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simeken-u02\Desktop\"/>
    </mc:Choice>
  </mc:AlternateContent>
  <xr:revisionPtr revIDLastSave="0" documentId="8_{D57C5077-BF52-4B49-BE31-77907F959703}" xr6:coauthVersionLast="36" xr6:coauthVersionMax="36" xr10:uidLastSave="{00000000-0000-0000-0000-000000000000}"/>
  <bookViews>
    <workbookView xWindow="0" yWindow="0" windowWidth="24420" windowHeight="11370" tabRatio="845" activeTab="3" xr2:uid="{00000000-000D-0000-FFFF-FFFF00000000}"/>
  </bookViews>
  <sheets>
    <sheet name="広告基準 " sheetId="20" r:id="rId1"/>
    <sheet name="料金表 " sheetId="19" r:id="rId2"/>
    <sheet name="申込書" sheetId="25" r:id="rId3"/>
    <sheet name="①総合計" sheetId="1" r:id="rId4"/>
    <sheet name="②旧鳥取市" sheetId="7" r:id="rId5"/>
    <sheet name="③郡部" sheetId="8" r:id="rId6"/>
    <sheet name="④中部" sheetId="9" r:id="rId7"/>
    <sheet name="④中部・トップ折込センター" sheetId="42" state="veryHidden" r:id="rId8"/>
    <sheet name="⑤米子市" sheetId="11" r:id="rId9"/>
    <sheet name="⑥西伯・日野郡" sheetId="12" r:id="rId10"/>
    <sheet name="⑦境・島根" sheetId="13" r:id="rId11"/>
    <sheet name="⑧兵庫" sheetId="14" r:id="rId12"/>
    <sheet name="⑨大阪" sheetId="44" state="veryHidden" r:id="rId13"/>
    <sheet name="各営業所住所" sheetId="18" r:id="rId14"/>
    <sheet name="★設定" sheetId="28" state="hidden" r:id="rId15"/>
    <sheet name="★受注" sheetId="38" state="veryHidden" r:id="rId16"/>
    <sheet name="★仕入先" sheetId="46" state="veryHidden" r:id="rId17"/>
    <sheet name="★営業所" sheetId="35" state="veryHidden" r:id="rId18"/>
    <sheet name="★仕入先_大阪" sheetId="47" state="veryHidden" r:id="rId19"/>
    <sheet name="★業種" sheetId="39" state="veryHidden" r:id="rId20"/>
    <sheet name="★シート" sheetId="43" state="veryHidden" r:id="rId21"/>
    <sheet name="★折込地区" sheetId="36" state="veryHidden" r:id="rId22"/>
    <sheet name="★サイズ表記" sheetId="34" state="veryHidden" r:id="rId23"/>
    <sheet name="★新聞" sheetId="33" state="veryHidden" r:id="rId24"/>
    <sheet name="★商品" sheetId="37" state="veryHidden" r:id="rId25"/>
    <sheet name="★原価商品" sheetId="41" state="veryHidden" r:id="rId26"/>
    <sheet name="★原価率" sheetId="40" state="veryHidden" r:id="rId27"/>
  </sheets>
  <definedNames>
    <definedName name="_xlnm._FilterDatabase" localSheetId="22" hidden="1">★サイズ表記!#REF!</definedName>
    <definedName name="_xlnm._FilterDatabase" localSheetId="20" hidden="1">★シート!$B$1:$B$5</definedName>
    <definedName name="_xlnm._FilterDatabase" localSheetId="17" hidden="1">★営業所!$B$1:$B$5</definedName>
    <definedName name="_xlnm._FilterDatabase" localSheetId="19" hidden="1">★業種!$A$1:$L$87</definedName>
    <definedName name="_xlnm._FilterDatabase" localSheetId="25" hidden="1">★原価商品!$A$5:$AZ$349</definedName>
    <definedName name="_xlnm._FilterDatabase" localSheetId="16" hidden="1">★仕入先!$A$1:$P$212</definedName>
    <definedName name="_xlnm._FilterDatabase" localSheetId="15" hidden="1">★受注!$A$1:$AP$977</definedName>
    <definedName name="_xlnm._FilterDatabase" localSheetId="24" hidden="1">★商品!$A$5:$BB$1231</definedName>
    <definedName name="_xlnm._FilterDatabase" localSheetId="23" hidden="1">★新聞!$A$1:$G$1</definedName>
    <definedName name="_xlnm._FilterDatabase" localSheetId="21" hidden="1">★折込地区!$B$1:$B$11</definedName>
    <definedName name="_xlnm._FilterDatabase" localSheetId="14" hidden="1">★新聞!$A$1:$C$1</definedName>
    <definedName name="_xlnm.Print_Area" localSheetId="3">①総合計!$A$1:$S$36</definedName>
    <definedName name="_xlnm.Print_Area" localSheetId="4">②旧鳥取市!$A$1:$V$31</definedName>
    <definedName name="_xlnm.Print_Area" localSheetId="5">③郡部!$A$1:$V$36</definedName>
    <definedName name="_xlnm.Print_Area" localSheetId="6">④中部!$A$1:$V$35</definedName>
    <definedName name="_xlnm.Print_Area" localSheetId="7">④中部・トップ折込センター!$A$1:$V$35</definedName>
    <definedName name="_xlnm.Print_Area" localSheetId="8">⑤米子市!$A$1:$V$33</definedName>
    <definedName name="_xlnm.Print_Area" localSheetId="9">⑥西伯・日野郡!$A$1:$W$31</definedName>
    <definedName name="_xlnm.Print_Area" localSheetId="10">⑦境・島根!$A$1:$V$31</definedName>
    <definedName name="_xlnm.Print_Area" localSheetId="11">⑧兵庫!$A$1:$V$17</definedName>
    <definedName name="_xlnm.Print_Area" localSheetId="12">⑨大阪!$A$1:$V$92</definedName>
    <definedName name="_xlnm.Print_Area" localSheetId="0">'広告基準 '!$A$1:$V$32</definedName>
    <definedName name="_xlnm.Print_Area" localSheetId="2">申込書!$A$1:$Q$34</definedName>
    <definedName name="_xlnm.Print_Area" localSheetId="1">'料金表 '!$A$1:$V$28</definedName>
    <definedName name="顧客マスター">#REF!</definedName>
  </definedNames>
  <calcPr calcId="191029"/>
</workbook>
</file>

<file path=xl/calcChain.xml><?xml version="1.0" encoding="utf-8"?>
<calcChain xmlns="http://schemas.openxmlformats.org/spreadsheetml/2006/main">
  <c r="X18" i="8" l="1"/>
  <c r="Z19" i="11" l="1"/>
  <c r="AQ976" i="38"/>
  <c r="AQ975" i="38"/>
  <c r="AQ974" i="38"/>
  <c r="AQ973" i="38"/>
  <c r="AQ972" i="38"/>
  <c r="AQ971" i="38"/>
  <c r="AQ970" i="38"/>
  <c r="AQ969" i="38"/>
  <c r="AQ968" i="38"/>
  <c r="AQ967" i="38"/>
  <c r="AQ966" i="38"/>
  <c r="AQ965" i="38"/>
  <c r="AQ964" i="38"/>
  <c r="AQ963" i="38"/>
  <c r="AQ962" i="38"/>
  <c r="AQ961" i="38"/>
  <c r="AQ960" i="38"/>
  <c r="AQ959" i="38"/>
  <c r="AQ958" i="38"/>
  <c r="AQ957" i="38"/>
  <c r="AQ956" i="38"/>
  <c r="AQ955" i="38"/>
  <c r="AQ954" i="38"/>
  <c r="AQ953" i="38"/>
  <c r="AQ952" i="38"/>
  <c r="AQ951" i="38"/>
  <c r="AQ950" i="38"/>
  <c r="AQ949" i="38"/>
  <c r="AQ948" i="38"/>
  <c r="AQ947" i="38"/>
  <c r="AQ946" i="38"/>
  <c r="AQ945" i="38"/>
  <c r="AQ944" i="38"/>
  <c r="AQ943" i="38"/>
  <c r="AQ942" i="38"/>
  <c r="AQ941" i="38"/>
  <c r="AQ940" i="38"/>
  <c r="AQ939" i="38"/>
  <c r="AQ938" i="38"/>
  <c r="AQ937" i="38"/>
  <c r="AQ936" i="38"/>
  <c r="AQ935" i="38"/>
  <c r="AQ934" i="38"/>
  <c r="AQ933" i="38"/>
  <c r="AQ932" i="38"/>
  <c r="AQ931" i="38"/>
  <c r="AQ930" i="38"/>
  <c r="AQ929" i="38"/>
  <c r="AQ928" i="38"/>
  <c r="AQ927" i="38"/>
  <c r="AQ926" i="38"/>
  <c r="AQ925" i="38"/>
  <c r="AQ924" i="38"/>
  <c r="AQ923" i="38"/>
  <c r="AQ922" i="38"/>
  <c r="AQ921" i="38"/>
  <c r="AQ920" i="38"/>
  <c r="AQ919" i="38"/>
  <c r="AQ918" i="38"/>
  <c r="AQ917" i="38"/>
  <c r="AQ916" i="38"/>
  <c r="AQ915" i="38"/>
  <c r="AQ914" i="38"/>
  <c r="AQ913" i="38"/>
  <c r="AQ912" i="38"/>
  <c r="AQ911" i="38"/>
  <c r="AQ910" i="38"/>
  <c r="AQ909" i="38"/>
  <c r="AQ908" i="38"/>
  <c r="AQ907" i="38"/>
  <c r="AQ906" i="38"/>
  <c r="AQ905" i="38"/>
  <c r="AQ904" i="38"/>
  <c r="AQ903" i="38"/>
  <c r="AQ902" i="38"/>
  <c r="AQ901" i="38"/>
  <c r="AQ900" i="38"/>
  <c r="AQ899" i="38"/>
  <c r="AQ898" i="38"/>
  <c r="AQ897" i="38"/>
  <c r="AQ896" i="38"/>
  <c r="AQ895" i="38"/>
  <c r="AQ894" i="38"/>
  <c r="AQ893" i="38"/>
  <c r="AQ892" i="38"/>
  <c r="AQ891" i="38"/>
  <c r="AQ890" i="38"/>
  <c r="AQ889" i="38"/>
  <c r="AQ888" i="38"/>
  <c r="AQ887" i="38"/>
  <c r="AQ886" i="38"/>
  <c r="AQ885" i="38"/>
  <c r="AQ884" i="38"/>
  <c r="AQ883" i="38"/>
  <c r="AQ882" i="38"/>
  <c r="AQ881" i="38"/>
  <c r="AQ880" i="38"/>
  <c r="AQ879" i="38"/>
  <c r="AQ878" i="38"/>
  <c r="AQ877" i="38"/>
  <c r="AQ876" i="38"/>
  <c r="AQ875" i="38"/>
  <c r="AQ874" i="38"/>
  <c r="AQ873" i="38"/>
  <c r="AQ872" i="38"/>
  <c r="AQ871" i="38"/>
  <c r="AQ870" i="38"/>
  <c r="AQ869" i="38"/>
  <c r="AQ868" i="38"/>
  <c r="AQ867" i="38"/>
  <c r="AQ866" i="38"/>
  <c r="AQ865" i="38"/>
  <c r="AQ864" i="38"/>
  <c r="AQ863" i="38"/>
  <c r="AQ862" i="38"/>
  <c r="AQ861" i="38"/>
  <c r="AQ860" i="38"/>
  <c r="AQ859" i="38"/>
  <c r="AQ858" i="38"/>
  <c r="AQ857" i="38"/>
  <c r="AQ856" i="38"/>
  <c r="AQ855" i="38"/>
  <c r="AQ854" i="38"/>
  <c r="AQ853" i="38"/>
  <c r="AQ852" i="38"/>
  <c r="AQ851" i="38"/>
  <c r="AQ850" i="38"/>
  <c r="AQ849" i="38"/>
  <c r="AQ848" i="38"/>
  <c r="AQ847" i="38"/>
  <c r="AQ846" i="38"/>
  <c r="AQ845" i="38"/>
  <c r="AQ844" i="38"/>
  <c r="AQ843" i="38"/>
  <c r="AQ842" i="38"/>
  <c r="AQ841" i="38"/>
  <c r="AQ840" i="38"/>
  <c r="AQ839" i="38"/>
  <c r="AQ838" i="38"/>
  <c r="AQ837" i="38"/>
  <c r="AQ836" i="38"/>
  <c r="AQ835" i="38"/>
  <c r="AQ834" i="38"/>
  <c r="AQ833" i="38"/>
  <c r="AQ832" i="38"/>
  <c r="AQ831" i="38"/>
  <c r="AQ830" i="38"/>
  <c r="AQ829" i="38"/>
  <c r="AQ828" i="38"/>
  <c r="AQ827" i="38"/>
  <c r="AQ826" i="38"/>
  <c r="AQ825" i="38"/>
  <c r="AQ824" i="38"/>
  <c r="AQ823" i="38"/>
  <c r="AQ822" i="38"/>
  <c r="AQ821" i="38"/>
  <c r="AQ820" i="38"/>
  <c r="AQ819" i="38"/>
  <c r="AQ818" i="38"/>
  <c r="AQ817" i="38"/>
  <c r="AQ816" i="38"/>
  <c r="AQ815" i="38"/>
  <c r="AQ814" i="38"/>
  <c r="AQ813" i="38"/>
  <c r="AQ812" i="38"/>
  <c r="AQ811" i="38"/>
  <c r="AQ810" i="38"/>
  <c r="AQ809" i="38"/>
  <c r="AQ808" i="38"/>
  <c r="AQ807" i="38"/>
  <c r="AQ806" i="38"/>
  <c r="AQ805" i="38"/>
  <c r="AQ804" i="38"/>
  <c r="AQ803" i="38"/>
  <c r="AQ802" i="38"/>
  <c r="AQ801" i="38"/>
  <c r="AQ800" i="38"/>
  <c r="AQ799" i="38"/>
  <c r="AQ798" i="38"/>
  <c r="AQ797" i="38"/>
  <c r="AQ796" i="38"/>
  <c r="AQ795" i="38"/>
  <c r="AQ794" i="38"/>
  <c r="AQ793" i="38"/>
  <c r="AQ792" i="38"/>
  <c r="AQ791" i="38"/>
  <c r="AQ790" i="38"/>
  <c r="AQ789" i="38"/>
  <c r="AQ788" i="38"/>
  <c r="AQ787" i="38"/>
  <c r="AQ786" i="38"/>
  <c r="AQ785" i="38"/>
  <c r="AQ784" i="38"/>
  <c r="AQ783" i="38"/>
  <c r="AQ782" i="38"/>
  <c r="AQ781" i="38"/>
  <c r="AQ780" i="38"/>
  <c r="AQ779" i="38"/>
  <c r="AQ778" i="38"/>
  <c r="AQ777" i="38"/>
  <c r="AQ776" i="38"/>
  <c r="AQ775" i="38"/>
  <c r="AQ774" i="38"/>
  <c r="AQ773" i="38"/>
  <c r="AQ772" i="38"/>
  <c r="AQ771" i="38"/>
  <c r="AQ770" i="38"/>
  <c r="AQ769" i="38"/>
  <c r="AQ768" i="38"/>
  <c r="AQ767" i="38"/>
  <c r="AQ766" i="38"/>
  <c r="AQ765" i="38"/>
  <c r="AQ764" i="38"/>
  <c r="AQ763" i="38"/>
  <c r="AQ762" i="38"/>
  <c r="AQ761" i="38"/>
  <c r="AQ760" i="38"/>
  <c r="AQ759" i="38"/>
  <c r="AQ758" i="38"/>
  <c r="AQ757" i="38"/>
  <c r="AQ756" i="38"/>
  <c r="AQ755" i="38"/>
  <c r="AQ754" i="38"/>
  <c r="AQ753" i="38"/>
  <c r="AQ752" i="38"/>
  <c r="AQ751" i="38"/>
  <c r="AQ750" i="38"/>
  <c r="AQ749" i="38"/>
  <c r="AQ748" i="38"/>
  <c r="AQ747" i="38"/>
  <c r="AQ746" i="38"/>
  <c r="AQ745" i="38"/>
  <c r="AQ744" i="38"/>
  <c r="AQ743" i="38"/>
  <c r="AQ742" i="38"/>
  <c r="AQ741" i="38"/>
  <c r="AQ740" i="38"/>
  <c r="AQ739" i="38"/>
  <c r="AQ738" i="38"/>
  <c r="AQ737" i="38"/>
  <c r="AQ736" i="38"/>
  <c r="AQ735" i="38"/>
  <c r="AQ734" i="38"/>
  <c r="AQ733" i="38"/>
  <c r="AQ732" i="38"/>
  <c r="AQ731" i="38"/>
  <c r="AQ730" i="38"/>
  <c r="AQ729" i="38"/>
  <c r="AQ728" i="38"/>
  <c r="AQ727" i="38"/>
  <c r="AQ726" i="38"/>
  <c r="AQ725" i="38"/>
  <c r="AQ724" i="38"/>
  <c r="AQ723" i="38"/>
  <c r="AQ722" i="38"/>
  <c r="AQ721" i="38"/>
  <c r="AQ720" i="38"/>
  <c r="AQ719" i="38"/>
  <c r="AQ718" i="38"/>
  <c r="AQ717" i="38"/>
  <c r="AQ716" i="38"/>
  <c r="AQ715" i="38"/>
  <c r="AQ714" i="38"/>
  <c r="AQ713" i="38"/>
  <c r="AQ712" i="38"/>
  <c r="AQ711" i="38"/>
  <c r="AQ710" i="38"/>
  <c r="AQ709" i="38"/>
  <c r="AQ708" i="38"/>
  <c r="AQ707" i="38"/>
  <c r="AQ706" i="38"/>
  <c r="AQ705" i="38"/>
  <c r="AQ704" i="38"/>
  <c r="AQ703" i="38"/>
  <c r="AQ702" i="38"/>
  <c r="AQ701" i="38"/>
  <c r="AQ700" i="38"/>
  <c r="AQ699" i="38"/>
  <c r="AQ698" i="38"/>
  <c r="AQ697" i="38"/>
  <c r="AQ696" i="38"/>
  <c r="AQ695" i="38"/>
  <c r="AQ694" i="38"/>
  <c r="AQ693" i="38"/>
  <c r="AQ692" i="38"/>
  <c r="AQ691" i="38"/>
  <c r="AQ690" i="38"/>
  <c r="AQ689" i="38"/>
  <c r="AQ688" i="38"/>
  <c r="AQ687" i="38"/>
  <c r="AQ686" i="38"/>
  <c r="AQ685" i="38"/>
  <c r="AQ684" i="38"/>
  <c r="AQ683" i="38"/>
  <c r="AQ682" i="38"/>
  <c r="AQ681" i="38"/>
  <c r="AQ680" i="38"/>
  <c r="AQ679" i="38"/>
  <c r="AQ678" i="38"/>
  <c r="AQ677" i="38"/>
  <c r="AQ676" i="38"/>
  <c r="AQ675" i="38"/>
  <c r="AQ674" i="38"/>
  <c r="AQ673" i="38"/>
  <c r="AQ672" i="38"/>
  <c r="AQ671" i="38"/>
  <c r="AQ670" i="38"/>
  <c r="AQ669" i="38"/>
  <c r="AQ668" i="38"/>
  <c r="AQ667" i="38"/>
  <c r="AQ666" i="38"/>
  <c r="AQ665" i="38"/>
  <c r="AQ664" i="38"/>
  <c r="AQ663" i="38"/>
  <c r="AQ662" i="38"/>
  <c r="AQ661" i="38"/>
  <c r="AQ660" i="38"/>
  <c r="AQ659" i="38"/>
  <c r="AQ658" i="38"/>
  <c r="AQ657" i="38"/>
  <c r="AQ656" i="38"/>
  <c r="AQ655" i="38"/>
  <c r="AQ654" i="38"/>
  <c r="AQ653" i="38"/>
  <c r="AQ652" i="38"/>
  <c r="AQ651" i="38"/>
  <c r="AQ650" i="38"/>
  <c r="AQ649" i="38"/>
  <c r="AQ648" i="38"/>
  <c r="AQ647" i="38"/>
  <c r="AQ646" i="38"/>
  <c r="AQ645" i="38"/>
  <c r="AQ644" i="38"/>
  <c r="AQ643" i="38"/>
  <c r="AQ642" i="38"/>
  <c r="AQ641" i="38"/>
  <c r="AQ640" i="38"/>
  <c r="AQ639" i="38"/>
  <c r="AQ638" i="38"/>
  <c r="AQ637" i="38"/>
  <c r="AQ636" i="38"/>
  <c r="AQ635" i="38"/>
  <c r="AQ634" i="38"/>
  <c r="AQ633" i="38"/>
  <c r="AQ632" i="38"/>
  <c r="AQ631" i="38"/>
  <c r="AQ630" i="38"/>
  <c r="AQ629" i="38"/>
  <c r="AQ628" i="38"/>
  <c r="AQ627" i="38"/>
  <c r="AQ626" i="38"/>
  <c r="AQ625" i="38"/>
  <c r="AQ624" i="38"/>
  <c r="AQ623" i="38"/>
  <c r="AQ622" i="38"/>
  <c r="AQ621" i="38"/>
  <c r="AQ620" i="38"/>
  <c r="AQ619" i="38"/>
  <c r="AQ618" i="38"/>
  <c r="AQ617" i="38"/>
  <c r="AQ616" i="38"/>
  <c r="AQ615" i="38"/>
  <c r="AQ614" i="38"/>
  <c r="AQ613" i="38"/>
  <c r="AQ612" i="38"/>
  <c r="AQ611" i="38"/>
  <c r="AQ610" i="38"/>
  <c r="AQ609" i="38"/>
  <c r="AQ608" i="38"/>
  <c r="AQ607" i="38"/>
  <c r="AQ606" i="38"/>
  <c r="AQ605" i="38"/>
  <c r="AQ604" i="38"/>
  <c r="AQ603" i="38"/>
  <c r="AQ602" i="38"/>
  <c r="AQ601" i="38"/>
  <c r="AQ600" i="38"/>
  <c r="AQ599" i="38"/>
  <c r="AQ598" i="38"/>
  <c r="AQ597" i="38"/>
  <c r="AQ596" i="38"/>
  <c r="AQ595" i="38"/>
  <c r="AQ594" i="38"/>
  <c r="AQ593" i="38"/>
  <c r="AQ592" i="38"/>
  <c r="AQ591" i="38"/>
  <c r="AQ590" i="38"/>
  <c r="AQ589" i="38"/>
  <c r="AQ588" i="38"/>
  <c r="AQ587" i="38"/>
  <c r="AQ586" i="38"/>
  <c r="AQ585" i="38"/>
  <c r="AQ584" i="38"/>
  <c r="AQ583" i="38"/>
  <c r="AQ582" i="38"/>
  <c r="AQ581" i="38"/>
  <c r="AQ580" i="38"/>
  <c r="AQ579" i="38"/>
  <c r="AQ578" i="38"/>
  <c r="AQ577" i="38"/>
  <c r="AQ576" i="38"/>
  <c r="AQ575" i="38"/>
  <c r="AQ574" i="38"/>
  <c r="AQ573" i="38"/>
  <c r="AQ572" i="38"/>
  <c r="AQ571" i="38"/>
  <c r="AQ570" i="38"/>
  <c r="AQ569" i="38"/>
  <c r="AQ568" i="38"/>
  <c r="AQ567" i="38"/>
  <c r="AQ566" i="38"/>
  <c r="AQ565" i="38"/>
  <c r="AQ564" i="38"/>
  <c r="AQ563" i="38"/>
  <c r="AQ562" i="38"/>
  <c r="AQ561" i="38"/>
  <c r="AQ560" i="38"/>
  <c r="AQ559" i="38"/>
  <c r="AQ558" i="38"/>
  <c r="AQ557" i="38"/>
  <c r="AQ556" i="38"/>
  <c r="AQ555" i="38"/>
  <c r="AQ554" i="38"/>
  <c r="AQ553" i="38"/>
  <c r="AQ552" i="38"/>
  <c r="AQ551" i="38"/>
  <c r="AQ550" i="38"/>
  <c r="AQ549" i="38"/>
  <c r="AQ548" i="38"/>
  <c r="AQ547" i="38"/>
  <c r="AQ546" i="38"/>
  <c r="AQ545" i="38"/>
  <c r="AQ544" i="38"/>
  <c r="AQ543" i="38"/>
  <c r="AQ542" i="38"/>
  <c r="AQ541" i="38"/>
  <c r="AQ540" i="38"/>
  <c r="AQ539" i="38"/>
  <c r="AQ538" i="38"/>
  <c r="AQ537" i="38"/>
  <c r="AQ536" i="38"/>
  <c r="AQ535" i="38"/>
  <c r="AQ534" i="38"/>
  <c r="AQ533" i="38"/>
  <c r="AQ532" i="38"/>
  <c r="AQ531" i="38"/>
  <c r="AQ530" i="38"/>
  <c r="AQ529" i="38"/>
  <c r="AQ528" i="38"/>
  <c r="AQ527" i="38"/>
  <c r="AQ526" i="38"/>
  <c r="AQ525" i="38"/>
  <c r="AQ524" i="38"/>
  <c r="AQ523" i="38"/>
  <c r="AQ522" i="38"/>
  <c r="AQ521" i="38"/>
  <c r="AQ520" i="38"/>
  <c r="AQ519" i="38"/>
  <c r="AQ518" i="38"/>
  <c r="AQ517" i="38"/>
  <c r="AQ516" i="38"/>
  <c r="AQ515" i="38"/>
  <c r="AQ514" i="38"/>
  <c r="AQ513" i="38"/>
  <c r="AQ512" i="38"/>
  <c r="AQ511" i="38"/>
  <c r="AQ510" i="38"/>
  <c r="AQ509" i="38"/>
  <c r="AQ508" i="38"/>
  <c r="AQ507" i="38"/>
  <c r="AQ506" i="38"/>
  <c r="AQ505" i="38"/>
  <c r="AQ504" i="38"/>
  <c r="AQ503" i="38"/>
  <c r="AQ502" i="38"/>
  <c r="AQ501" i="38"/>
  <c r="AQ500" i="38"/>
  <c r="AQ499" i="38"/>
  <c r="AQ498" i="38"/>
  <c r="AQ497" i="38"/>
  <c r="AQ496" i="38"/>
  <c r="AQ495" i="38"/>
  <c r="AQ494" i="38"/>
  <c r="AQ493" i="38"/>
  <c r="AQ492" i="38"/>
  <c r="AQ491" i="38"/>
  <c r="AQ490" i="38"/>
  <c r="AQ489" i="38"/>
  <c r="AQ488" i="38"/>
  <c r="AQ487" i="38"/>
  <c r="AQ486" i="38"/>
  <c r="AQ485" i="38"/>
  <c r="AQ484" i="38"/>
  <c r="AQ483" i="38"/>
  <c r="AQ482" i="38"/>
  <c r="AQ481" i="38"/>
  <c r="AQ480" i="38"/>
  <c r="AQ479" i="38"/>
  <c r="AQ478" i="38"/>
  <c r="AQ477" i="38"/>
  <c r="AQ476" i="38"/>
  <c r="AQ475" i="38"/>
  <c r="AQ474" i="38"/>
  <c r="AQ473" i="38"/>
  <c r="AQ472" i="38"/>
  <c r="AQ471" i="38"/>
  <c r="AQ470" i="38"/>
  <c r="AQ469" i="38"/>
  <c r="AQ468" i="38"/>
  <c r="AQ467" i="38"/>
  <c r="AQ466" i="38"/>
  <c r="AQ465" i="38"/>
  <c r="AQ464" i="38"/>
  <c r="AQ463" i="38"/>
  <c r="AQ462" i="38"/>
  <c r="AQ461" i="38"/>
  <c r="AQ460" i="38"/>
  <c r="AQ459" i="38"/>
  <c r="AQ458" i="38"/>
  <c r="AQ457" i="38"/>
  <c r="AQ456" i="38"/>
  <c r="AQ455" i="38"/>
  <c r="AQ454" i="38"/>
  <c r="AQ453" i="38"/>
  <c r="AQ452" i="38"/>
  <c r="AQ451" i="38"/>
  <c r="AQ450" i="38"/>
  <c r="AQ449" i="38"/>
  <c r="AQ448" i="38"/>
  <c r="AQ447" i="38"/>
  <c r="AQ446" i="38"/>
  <c r="AQ445" i="38"/>
  <c r="AQ444" i="38"/>
  <c r="AQ443" i="38"/>
  <c r="AQ442" i="38"/>
  <c r="AQ441" i="38"/>
  <c r="AQ440" i="38"/>
  <c r="AQ439" i="38"/>
  <c r="AQ438" i="38"/>
  <c r="AQ437" i="38"/>
  <c r="AQ436" i="38"/>
  <c r="AQ435" i="38"/>
  <c r="AQ434" i="38"/>
  <c r="AQ433" i="38"/>
  <c r="AQ432" i="38"/>
  <c r="AQ431" i="38"/>
  <c r="AQ430" i="38"/>
  <c r="AQ429" i="38"/>
  <c r="AQ428" i="38"/>
  <c r="AQ427" i="38"/>
  <c r="AQ426" i="38"/>
  <c r="AQ425" i="38"/>
  <c r="AQ424" i="38"/>
  <c r="AQ423" i="38"/>
  <c r="AQ422" i="38"/>
  <c r="AQ421" i="38"/>
  <c r="AQ420" i="38"/>
  <c r="AQ419" i="38"/>
  <c r="AQ418" i="38"/>
  <c r="AQ417" i="38"/>
  <c r="AQ416" i="38"/>
  <c r="AQ415" i="38"/>
  <c r="AQ414" i="38"/>
  <c r="AQ413" i="38"/>
  <c r="AQ412" i="38"/>
  <c r="AQ411" i="38"/>
  <c r="AQ410" i="38"/>
  <c r="AQ409" i="38"/>
  <c r="AQ408" i="38"/>
  <c r="AQ407" i="38"/>
  <c r="AQ406" i="38"/>
  <c r="AQ405" i="38"/>
  <c r="AQ404" i="38"/>
  <c r="AQ403" i="38"/>
  <c r="AQ402" i="38"/>
  <c r="AQ401" i="38"/>
  <c r="AQ400" i="38"/>
  <c r="AQ399" i="38"/>
  <c r="AQ398" i="38"/>
  <c r="AQ397" i="38"/>
  <c r="AQ396" i="38"/>
  <c r="AQ395" i="38"/>
  <c r="AQ394" i="38"/>
  <c r="AQ393" i="38"/>
  <c r="AQ392" i="38"/>
  <c r="AQ391" i="38"/>
  <c r="AQ390" i="38"/>
  <c r="AQ389" i="38"/>
  <c r="AQ388" i="38"/>
  <c r="AQ387" i="38"/>
  <c r="AQ386" i="38"/>
  <c r="AQ385" i="38"/>
  <c r="AQ384" i="38"/>
  <c r="AQ383" i="38"/>
  <c r="AQ382" i="38"/>
  <c r="AQ381" i="38"/>
  <c r="AQ380" i="38"/>
  <c r="AQ379" i="38"/>
  <c r="AQ378" i="38"/>
  <c r="AQ377" i="38"/>
  <c r="AQ376" i="38"/>
  <c r="AQ375" i="38"/>
  <c r="AQ374" i="38"/>
  <c r="AQ373" i="38"/>
  <c r="AQ372" i="38"/>
  <c r="AQ371" i="38"/>
  <c r="AQ370" i="38"/>
  <c r="AQ369" i="38"/>
  <c r="AQ368" i="38"/>
  <c r="AQ367" i="38"/>
  <c r="AQ366" i="38"/>
  <c r="AQ365" i="38"/>
  <c r="AQ364" i="38"/>
  <c r="AQ363" i="38"/>
  <c r="AQ362" i="38"/>
  <c r="AQ361" i="38"/>
  <c r="AQ360" i="38"/>
  <c r="AQ359" i="38"/>
  <c r="AQ358" i="38"/>
  <c r="AQ357" i="38"/>
  <c r="AQ356" i="38"/>
  <c r="AQ355" i="38"/>
  <c r="AQ354" i="38"/>
  <c r="AQ353" i="38"/>
  <c r="AQ352" i="38"/>
  <c r="AQ351" i="38"/>
  <c r="AQ350" i="38"/>
  <c r="AQ349" i="38"/>
  <c r="AQ348" i="38"/>
  <c r="AQ347" i="38"/>
  <c r="AQ346" i="38"/>
  <c r="AQ345" i="38"/>
  <c r="AQ344" i="38"/>
  <c r="AQ343" i="38"/>
  <c r="AQ342" i="38"/>
  <c r="AQ341" i="38"/>
  <c r="AQ340" i="38"/>
  <c r="AQ339" i="38"/>
  <c r="AQ338" i="38"/>
  <c r="AQ337" i="38"/>
  <c r="AQ336" i="38"/>
  <c r="AQ335" i="38"/>
  <c r="AQ334" i="38"/>
  <c r="AQ333" i="38"/>
  <c r="AQ332" i="38"/>
  <c r="AQ331" i="38"/>
  <c r="AQ330" i="38"/>
  <c r="AQ329" i="38"/>
  <c r="AQ328" i="38"/>
  <c r="AQ327" i="38"/>
  <c r="AQ326" i="38"/>
  <c r="AQ325" i="38"/>
  <c r="AQ324" i="38"/>
  <c r="AQ323" i="38"/>
  <c r="AQ322" i="38"/>
  <c r="AQ321" i="38"/>
  <c r="AQ320" i="38"/>
  <c r="AQ319" i="38"/>
  <c r="AQ318" i="38"/>
  <c r="AQ317" i="38"/>
  <c r="AQ316" i="38"/>
  <c r="AQ315" i="38"/>
  <c r="AQ314" i="38"/>
  <c r="AQ313" i="38"/>
  <c r="AQ312" i="38"/>
  <c r="AQ311" i="38"/>
  <c r="AQ310" i="38"/>
  <c r="AQ309" i="38"/>
  <c r="AQ308" i="38"/>
  <c r="AQ307" i="38"/>
  <c r="AQ306" i="38"/>
  <c r="AQ305" i="38"/>
  <c r="AQ304" i="38"/>
  <c r="AQ303" i="38"/>
  <c r="AQ302" i="38"/>
  <c r="AQ301" i="38"/>
  <c r="AQ300" i="38"/>
  <c r="AQ299" i="38"/>
  <c r="AQ298" i="38"/>
  <c r="AQ297" i="38"/>
  <c r="AQ296" i="38"/>
  <c r="AQ295" i="38"/>
  <c r="AQ294" i="38"/>
  <c r="AQ293" i="38"/>
  <c r="AQ292" i="38"/>
  <c r="AQ291" i="38"/>
  <c r="AQ290" i="38"/>
  <c r="AQ289" i="38"/>
  <c r="AQ288" i="38"/>
  <c r="AQ287" i="38"/>
  <c r="AQ286" i="38"/>
  <c r="AQ285" i="38"/>
  <c r="AQ284" i="38"/>
  <c r="AQ283" i="38"/>
  <c r="AQ282" i="38"/>
  <c r="AQ281" i="38"/>
  <c r="AQ280" i="38"/>
  <c r="AQ279" i="38"/>
  <c r="AQ278" i="38"/>
  <c r="AQ277" i="38"/>
  <c r="AQ276" i="38"/>
  <c r="AQ275" i="38"/>
  <c r="AQ274" i="38"/>
  <c r="AQ273" i="38"/>
  <c r="AQ272" i="38"/>
  <c r="AQ271" i="38"/>
  <c r="AQ270" i="38"/>
  <c r="AQ269" i="38"/>
  <c r="AQ268" i="38"/>
  <c r="AQ267" i="38"/>
  <c r="AQ266" i="38"/>
  <c r="AQ265" i="38"/>
  <c r="AQ264" i="38"/>
  <c r="AQ263" i="38"/>
  <c r="AQ262" i="38"/>
  <c r="AQ261" i="38"/>
  <c r="AQ260" i="38"/>
  <c r="AQ259" i="38"/>
  <c r="AQ258" i="38"/>
  <c r="AQ257" i="38"/>
  <c r="AQ256" i="38"/>
  <c r="AQ255" i="38"/>
  <c r="AQ254" i="38"/>
  <c r="AQ253" i="38"/>
  <c r="AQ252" i="38"/>
  <c r="AQ251" i="38"/>
  <c r="AQ250" i="38"/>
  <c r="AQ249" i="38"/>
  <c r="AQ248" i="38"/>
  <c r="AQ247" i="38"/>
  <c r="AQ246" i="38"/>
  <c r="AQ245" i="38"/>
  <c r="AQ244" i="38"/>
  <c r="AQ243" i="38"/>
  <c r="AQ242" i="38"/>
  <c r="AQ241" i="38"/>
  <c r="AQ240" i="38"/>
  <c r="AQ239" i="38"/>
  <c r="AQ238" i="38"/>
  <c r="AQ237" i="38"/>
  <c r="AQ236" i="38"/>
  <c r="AQ235" i="38"/>
  <c r="AQ234" i="38"/>
  <c r="AQ233" i="38"/>
  <c r="AQ232" i="38"/>
  <c r="AQ231" i="38"/>
  <c r="AQ230" i="38"/>
  <c r="AQ229" i="38"/>
  <c r="AQ228" i="38"/>
  <c r="AQ227" i="38"/>
  <c r="AQ226" i="38"/>
  <c r="AQ225" i="38"/>
  <c r="AQ224" i="38"/>
  <c r="AQ223" i="38"/>
  <c r="AQ222" i="38"/>
  <c r="AQ221" i="38"/>
  <c r="AQ220" i="38"/>
  <c r="AQ219" i="38"/>
  <c r="AQ218" i="38"/>
  <c r="AQ217" i="38"/>
  <c r="AQ216" i="38"/>
  <c r="AQ215" i="38"/>
  <c r="AQ214" i="38"/>
  <c r="AQ213" i="38"/>
  <c r="AQ212" i="38"/>
  <c r="AQ211" i="38"/>
  <c r="AQ210" i="38"/>
  <c r="AQ209" i="38"/>
  <c r="AQ208" i="38"/>
  <c r="AQ207" i="38"/>
  <c r="AQ206" i="38"/>
  <c r="AQ205" i="38"/>
  <c r="AQ204" i="38"/>
  <c r="AQ203" i="38"/>
  <c r="AQ202" i="38"/>
  <c r="AQ201" i="38"/>
  <c r="AQ200" i="38"/>
  <c r="AQ199" i="38"/>
  <c r="AQ198" i="38"/>
  <c r="AQ197" i="38"/>
  <c r="AQ196" i="38"/>
  <c r="AQ195" i="38"/>
  <c r="AQ194" i="38"/>
  <c r="AQ193" i="38"/>
  <c r="AQ192" i="38"/>
  <c r="AQ191" i="38"/>
  <c r="AQ190" i="38"/>
  <c r="AQ189" i="38"/>
  <c r="AQ188" i="38"/>
  <c r="AQ187" i="38"/>
  <c r="AQ186" i="38"/>
  <c r="AQ185" i="38"/>
  <c r="AQ184" i="38"/>
  <c r="AQ183" i="38"/>
  <c r="AQ182" i="38"/>
  <c r="AQ181" i="38"/>
  <c r="AQ180" i="38"/>
  <c r="AQ179" i="38"/>
  <c r="AQ178" i="38"/>
  <c r="AQ177" i="38"/>
  <c r="AQ176" i="38"/>
  <c r="AQ175" i="38"/>
  <c r="AQ174" i="38"/>
  <c r="AQ173" i="38"/>
  <c r="AQ172" i="38"/>
  <c r="AQ171" i="38"/>
  <c r="AQ170" i="38"/>
  <c r="AQ169" i="38"/>
  <c r="AQ168" i="38"/>
  <c r="AQ167" i="38"/>
  <c r="AQ166" i="38"/>
  <c r="AQ165" i="38"/>
  <c r="AQ164" i="38"/>
  <c r="AQ163" i="38"/>
  <c r="AQ162" i="38"/>
  <c r="AQ161" i="38"/>
  <c r="AQ160" i="38"/>
  <c r="AQ159" i="38"/>
  <c r="AQ158" i="38"/>
  <c r="AQ157" i="38"/>
  <c r="AQ156" i="38"/>
  <c r="AQ155" i="38"/>
  <c r="AQ154" i="38"/>
  <c r="AQ153" i="38"/>
  <c r="AQ152" i="38"/>
  <c r="AQ151" i="38"/>
  <c r="AQ150" i="38"/>
  <c r="AQ149" i="38"/>
  <c r="AQ148" i="38"/>
  <c r="AQ147" i="38"/>
  <c r="AQ146" i="38"/>
  <c r="AQ145" i="38"/>
  <c r="AQ144" i="38"/>
  <c r="AQ143" i="38"/>
  <c r="AQ142" i="38"/>
  <c r="AQ141" i="38"/>
  <c r="AQ140" i="38"/>
  <c r="AQ139" i="38"/>
  <c r="AQ138" i="38"/>
  <c r="AQ137" i="38"/>
  <c r="AQ136" i="38"/>
  <c r="AQ135" i="38"/>
  <c r="AQ134" i="38"/>
  <c r="AQ133" i="38"/>
  <c r="AQ132" i="38"/>
  <c r="AQ131" i="38"/>
  <c r="AQ130" i="38"/>
  <c r="AQ129" i="38"/>
  <c r="AQ128" i="38"/>
  <c r="AQ127" i="38"/>
  <c r="AQ126" i="38"/>
  <c r="AQ125" i="38"/>
  <c r="AQ124" i="38"/>
  <c r="AQ123" i="38"/>
  <c r="AQ122" i="38"/>
  <c r="AQ121" i="38"/>
  <c r="AQ120" i="38"/>
  <c r="AQ119" i="38"/>
  <c r="AQ118" i="38"/>
  <c r="AQ117" i="38"/>
  <c r="AQ116" i="38"/>
  <c r="AQ115" i="38"/>
  <c r="AQ114" i="38"/>
  <c r="AQ113" i="38"/>
  <c r="AQ112" i="38"/>
  <c r="AQ111" i="38"/>
  <c r="AQ110" i="38"/>
  <c r="AQ109" i="38"/>
  <c r="AQ108" i="38"/>
  <c r="AQ107" i="38"/>
  <c r="AQ106" i="38"/>
  <c r="AQ105" i="38"/>
  <c r="AQ104" i="38"/>
  <c r="AQ103" i="38"/>
  <c r="AQ102" i="38"/>
  <c r="AQ101" i="38"/>
  <c r="AQ100" i="38"/>
  <c r="AQ99" i="38"/>
  <c r="AQ98" i="38"/>
  <c r="AQ97" i="38"/>
  <c r="AQ96" i="38"/>
  <c r="AQ95" i="38"/>
  <c r="AQ94" i="38"/>
  <c r="AQ93" i="38"/>
  <c r="AQ92" i="38"/>
  <c r="AQ91" i="38"/>
  <c r="AQ90" i="38"/>
  <c r="AQ89" i="38"/>
  <c r="AQ88" i="38"/>
  <c r="AQ87" i="38"/>
  <c r="AQ86" i="38"/>
  <c r="AQ85" i="38"/>
  <c r="AQ84" i="38"/>
  <c r="AQ83" i="38"/>
  <c r="AQ82" i="38"/>
  <c r="AQ81" i="38"/>
  <c r="AQ80" i="38"/>
  <c r="AQ79" i="38"/>
  <c r="AQ78" i="38"/>
  <c r="AQ77" i="38"/>
  <c r="AQ76" i="38"/>
  <c r="AQ75" i="38"/>
  <c r="AQ74" i="38"/>
  <c r="AQ73" i="38"/>
  <c r="AQ72" i="38"/>
  <c r="AQ71" i="38"/>
  <c r="AQ70" i="38"/>
  <c r="AQ69" i="38"/>
  <c r="AQ68" i="38"/>
  <c r="AQ67" i="38"/>
  <c r="AQ66" i="38"/>
  <c r="AQ65" i="38"/>
  <c r="AQ64" i="38"/>
  <c r="AQ63" i="38"/>
  <c r="AQ62" i="38"/>
  <c r="AQ61" i="38"/>
  <c r="AQ60" i="38"/>
  <c r="AQ59" i="38"/>
  <c r="AQ58" i="38"/>
  <c r="AQ57" i="38"/>
  <c r="AQ56" i="38"/>
  <c r="AQ55" i="38"/>
  <c r="AQ54" i="38"/>
  <c r="AQ53" i="38"/>
  <c r="AQ52" i="38"/>
  <c r="AQ51" i="38"/>
  <c r="AQ50" i="38"/>
  <c r="AQ49" i="38"/>
  <c r="AQ48" i="38"/>
  <c r="AQ47" i="38"/>
  <c r="AQ46" i="38"/>
  <c r="AQ45" i="38"/>
  <c r="AQ44" i="38"/>
  <c r="AQ43" i="38"/>
  <c r="AQ42" i="38"/>
  <c r="AQ41" i="38"/>
  <c r="AQ40" i="38"/>
  <c r="AQ39" i="38"/>
  <c r="AQ38" i="38"/>
  <c r="AQ37" i="38"/>
  <c r="AQ36" i="38"/>
  <c r="AQ35" i="38"/>
  <c r="AQ34" i="38"/>
  <c r="AQ33" i="38"/>
  <c r="AQ32" i="38"/>
  <c r="AQ31" i="38"/>
  <c r="AQ30" i="38"/>
  <c r="AQ29" i="38"/>
  <c r="AQ28" i="38"/>
  <c r="AQ27" i="38"/>
  <c r="AQ26" i="38"/>
  <c r="AQ25" i="38"/>
  <c r="AQ24" i="38"/>
  <c r="AQ23" i="38"/>
  <c r="AQ22" i="38"/>
  <c r="AQ21" i="38"/>
  <c r="AQ20" i="38"/>
  <c r="AQ19" i="38"/>
  <c r="AQ18" i="38"/>
  <c r="AQ17" i="38"/>
  <c r="AQ16" i="38"/>
  <c r="AQ15" i="38"/>
  <c r="AQ14" i="38"/>
  <c r="AQ13" i="38"/>
  <c r="AQ12" i="38"/>
  <c r="AQ11" i="38"/>
  <c r="AQ10" i="38"/>
  <c r="AQ9" i="38"/>
  <c r="AQ8" i="38"/>
  <c r="AQ7" i="38"/>
  <c r="AQ6" i="38"/>
  <c r="AQ5" i="38"/>
  <c r="AQ4" i="38"/>
  <c r="AQ3" i="38"/>
  <c r="AQ2" i="38"/>
  <c r="AK2" i="38"/>
  <c r="AK976" i="38" l="1"/>
  <c r="AK975" i="38"/>
  <c r="AK974" i="38"/>
  <c r="AK973" i="38"/>
  <c r="AK972" i="38"/>
  <c r="AK971" i="38"/>
  <c r="AK970" i="38"/>
  <c r="AK969" i="38"/>
  <c r="AK968" i="38"/>
  <c r="AK967" i="38"/>
  <c r="AK966" i="38"/>
  <c r="AK965" i="38"/>
  <c r="AK964" i="38"/>
  <c r="AK963" i="38"/>
  <c r="AK962" i="38"/>
  <c r="AK961" i="38"/>
  <c r="AK960" i="38"/>
  <c r="AK959" i="38"/>
  <c r="AK958" i="38"/>
  <c r="AK957" i="38"/>
  <c r="AK956" i="38"/>
  <c r="AK955" i="38"/>
  <c r="AK954" i="38"/>
  <c r="AK953" i="38"/>
  <c r="AK952" i="38"/>
  <c r="AK951" i="38"/>
  <c r="AK950" i="38"/>
  <c r="AK949" i="38"/>
  <c r="AK948" i="38"/>
  <c r="AK947" i="38"/>
  <c r="AK946" i="38"/>
  <c r="AK945" i="38"/>
  <c r="AK944" i="38"/>
  <c r="AK943" i="38"/>
  <c r="AK942" i="38"/>
  <c r="AK941" i="38"/>
  <c r="AK940" i="38"/>
  <c r="AK939" i="38"/>
  <c r="AK938" i="38"/>
  <c r="AK937" i="38"/>
  <c r="AK936" i="38"/>
  <c r="AK935" i="38"/>
  <c r="AK934" i="38"/>
  <c r="AK933" i="38"/>
  <c r="AK932" i="38"/>
  <c r="AK931" i="38"/>
  <c r="AK930" i="38"/>
  <c r="AK929" i="38"/>
  <c r="AK928" i="38"/>
  <c r="AK927" i="38"/>
  <c r="AK926" i="38"/>
  <c r="AK925" i="38"/>
  <c r="AK924" i="38"/>
  <c r="AK923" i="38"/>
  <c r="AK922" i="38"/>
  <c r="AK921" i="38"/>
  <c r="AK920" i="38"/>
  <c r="AK919" i="38"/>
  <c r="AK918" i="38"/>
  <c r="AK917" i="38"/>
  <c r="AK916" i="38"/>
  <c r="AK915" i="38"/>
  <c r="AK914" i="38"/>
  <c r="AK913" i="38"/>
  <c r="AK912" i="38"/>
  <c r="AK911" i="38"/>
  <c r="AK910" i="38"/>
  <c r="AK909" i="38"/>
  <c r="AK908" i="38"/>
  <c r="AK907" i="38"/>
  <c r="AK906" i="38"/>
  <c r="AK905" i="38"/>
  <c r="AK904" i="38"/>
  <c r="AK903" i="38"/>
  <c r="AK902" i="38"/>
  <c r="AK901" i="38"/>
  <c r="AK900" i="38"/>
  <c r="AK899" i="38"/>
  <c r="AK898" i="38"/>
  <c r="AK897" i="38"/>
  <c r="AK896" i="38"/>
  <c r="AK895" i="38"/>
  <c r="AK894" i="38"/>
  <c r="AK893" i="38"/>
  <c r="AK892" i="38"/>
  <c r="AK891" i="38"/>
  <c r="AK890" i="38"/>
  <c r="AK889" i="38"/>
  <c r="AK888" i="38"/>
  <c r="AK887" i="38"/>
  <c r="AK886" i="38"/>
  <c r="AK885" i="38"/>
  <c r="AK884" i="38"/>
  <c r="AK883" i="38"/>
  <c r="AK882" i="38"/>
  <c r="AK881" i="38"/>
  <c r="AK880" i="38"/>
  <c r="AK879" i="38"/>
  <c r="AK878" i="38"/>
  <c r="AK877" i="38"/>
  <c r="AK876" i="38"/>
  <c r="AK875" i="38"/>
  <c r="AK874" i="38"/>
  <c r="AK873" i="38"/>
  <c r="AK872" i="38"/>
  <c r="AK871" i="38"/>
  <c r="AK870" i="38"/>
  <c r="AK869" i="38"/>
  <c r="AK868" i="38"/>
  <c r="AK867" i="38"/>
  <c r="AK866" i="38"/>
  <c r="AK865" i="38"/>
  <c r="AK864" i="38"/>
  <c r="AK863" i="38"/>
  <c r="AK862" i="38"/>
  <c r="AK861" i="38"/>
  <c r="AK860" i="38"/>
  <c r="AK859" i="38"/>
  <c r="AK858" i="38"/>
  <c r="AK857" i="38"/>
  <c r="AK856" i="38"/>
  <c r="AK855" i="38"/>
  <c r="AK854" i="38"/>
  <c r="AK853" i="38"/>
  <c r="AK852" i="38"/>
  <c r="AK851" i="38"/>
  <c r="AK850" i="38"/>
  <c r="AK849" i="38"/>
  <c r="AK848" i="38"/>
  <c r="AK847" i="38"/>
  <c r="AK846" i="38"/>
  <c r="AK845" i="38"/>
  <c r="AK808" i="38"/>
  <c r="AK807" i="38"/>
  <c r="AK806" i="38"/>
  <c r="AK805" i="38"/>
  <c r="AK804" i="38"/>
  <c r="AK803" i="38"/>
  <c r="AK802" i="38"/>
  <c r="AK801" i="38"/>
  <c r="AK800" i="38"/>
  <c r="AK799" i="38"/>
  <c r="AK798" i="38"/>
  <c r="AK797" i="38"/>
  <c r="AK796" i="38"/>
  <c r="AK795" i="38"/>
  <c r="AK794" i="38"/>
  <c r="AK793" i="38"/>
  <c r="AK792" i="38"/>
  <c r="AK677" i="38"/>
  <c r="AK676" i="38"/>
  <c r="AK675" i="38"/>
  <c r="AK674" i="38"/>
  <c r="AK673" i="38"/>
  <c r="AK672" i="38"/>
  <c r="AK671" i="38"/>
  <c r="AK670" i="38"/>
  <c r="AK669" i="38"/>
  <c r="AK668" i="38"/>
  <c r="AK667" i="38"/>
  <c r="AK666" i="38"/>
  <c r="AK665" i="38"/>
  <c r="AK664" i="38"/>
  <c r="AK663" i="38"/>
  <c r="AK662" i="38"/>
  <c r="AK661" i="38"/>
  <c r="AK660" i="38"/>
  <c r="AK659" i="38"/>
  <c r="AK532" i="38"/>
  <c r="AK531" i="38"/>
  <c r="AK530" i="38"/>
  <c r="AK529" i="38"/>
  <c r="AK528" i="38"/>
  <c r="AK527" i="38"/>
  <c r="AK526" i="38"/>
  <c r="AK525" i="38"/>
  <c r="AK524" i="38"/>
  <c r="AK523" i="38"/>
  <c r="AK522" i="38"/>
  <c r="AK521" i="38"/>
  <c r="AK520" i="38"/>
  <c r="AK519" i="38"/>
  <c r="AK518" i="38"/>
  <c r="AK517" i="38"/>
  <c r="AK516" i="38"/>
  <c r="AK515" i="38"/>
  <c r="AK514" i="38"/>
  <c r="AK513" i="38"/>
  <c r="AK512" i="38"/>
  <c r="AK409" i="38"/>
  <c r="AK408" i="38"/>
  <c r="AK407" i="38"/>
  <c r="AK406" i="38"/>
  <c r="AK405" i="38"/>
  <c r="AK404" i="38"/>
  <c r="AK403" i="38"/>
  <c r="AK402" i="38"/>
  <c r="AK401" i="38"/>
  <c r="AK400" i="38"/>
  <c r="AK399" i="38"/>
  <c r="AK398" i="38"/>
  <c r="AK397" i="38"/>
  <c r="AK396" i="38"/>
  <c r="AK395" i="38"/>
  <c r="AK394" i="38"/>
  <c r="AK393" i="38"/>
  <c r="AK392" i="38"/>
  <c r="AK391" i="38"/>
  <c r="AK390" i="38"/>
  <c r="AK287" i="38"/>
  <c r="AK286" i="38"/>
  <c r="AK285" i="38"/>
  <c r="AK284" i="38"/>
  <c r="AK283" i="38"/>
  <c r="AK282" i="38"/>
  <c r="AK281" i="38"/>
  <c r="AK280" i="38"/>
  <c r="AK279" i="38"/>
  <c r="AK278" i="38"/>
  <c r="AK277" i="38"/>
  <c r="AK276" i="38"/>
  <c r="AK275" i="38"/>
  <c r="AK274" i="38"/>
  <c r="AK273" i="38"/>
  <c r="AK272" i="38"/>
  <c r="AK271" i="38"/>
  <c r="AK270" i="38"/>
  <c r="AK269" i="38"/>
  <c r="AK268" i="38"/>
  <c r="AK171" i="38"/>
  <c r="AK170" i="38"/>
  <c r="AK169" i="38"/>
  <c r="AK168" i="38"/>
  <c r="AK167" i="38"/>
  <c r="AK166" i="38"/>
  <c r="AK165" i="38"/>
  <c r="AK164" i="38"/>
  <c r="AK163" i="38"/>
  <c r="AK162" i="38"/>
  <c r="AK161" i="38"/>
  <c r="AK160" i="38"/>
  <c r="AK159" i="38"/>
  <c r="AK158" i="38"/>
  <c r="AK157" i="38"/>
  <c r="AK156" i="38"/>
  <c r="AK23" i="38"/>
  <c r="AK22" i="38"/>
  <c r="AK21" i="38"/>
  <c r="AK20" i="38"/>
  <c r="AK19" i="38"/>
  <c r="AK18" i="38"/>
  <c r="AK17" i="38"/>
  <c r="AK16" i="38"/>
  <c r="AK15" i="38"/>
  <c r="AK14" i="38"/>
  <c r="AK13" i="38"/>
  <c r="AK12" i="38"/>
  <c r="AK11" i="38"/>
  <c r="AK10" i="38"/>
  <c r="AK9" i="38"/>
  <c r="AK8" i="38"/>
  <c r="AK7" i="38"/>
  <c r="AK6" i="38"/>
  <c r="AK5" i="38"/>
  <c r="AK4" i="38"/>
  <c r="AK3" i="38"/>
  <c r="K976" i="38" a="1"/>
  <c r="K976" i="38" s="1"/>
  <c r="J976" i="38" a="1"/>
  <c r="J976" i="38" s="1"/>
  <c r="I976" i="38" a="1"/>
  <c r="I976" i="38" s="1"/>
  <c r="K975" i="38" a="1"/>
  <c r="K975" i="38" s="1"/>
  <c r="J975" i="38" a="1"/>
  <c r="J975" i="38" s="1"/>
  <c r="I975" i="38" a="1"/>
  <c r="I975" i="38" s="1"/>
  <c r="K974" i="38" a="1"/>
  <c r="K974" i="38" s="1"/>
  <c r="J974" i="38" a="1"/>
  <c r="J974" i="38" s="1"/>
  <c r="I974" i="38" a="1"/>
  <c r="I974" i="38" s="1"/>
  <c r="K973" i="38" a="1"/>
  <c r="K973" i="38" s="1"/>
  <c r="J973" i="38" a="1"/>
  <c r="J973" i="38" s="1"/>
  <c r="I973" i="38" a="1"/>
  <c r="I973" i="38" s="1"/>
  <c r="K972" i="38" a="1"/>
  <c r="K972" i="38" s="1"/>
  <c r="J972" i="38" a="1"/>
  <c r="J972" i="38" s="1"/>
  <c r="I972" i="38" a="1"/>
  <c r="I972" i="38" s="1"/>
  <c r="K971" i="38" a="1"/>
  <c r="K971" i="38" s="1"/>
  <c r="J971" i="38" a="1"/>
  <c r="J971" i="38" s="1"/>
  <c r="I971" i="38" a="1"/>
  <c r="I971" i="38" s="1"/>
  <c r="K970" i="38" a="1"/>
  <c r="K970" i="38" s="1"/>
  <c r="J970" i="38" a="1"/>
  <c r="J970" i="38" s="1"/>
  <c r="I970" i="38" a="1"/>
  <c r="I970" i="38" s="1"/>
  <c r="K969" i="38" a="1"/>
  <c r="K969" i="38" s="1"/>
  <c r="J969" i="38" a="1"/>
  <c r="J969" i="38" s="1"/>
  <c r="I969" i="38" a="1"/>
  <c r="I969" i="38" s="1"/>
  <c r="K968" i="38" a="1"/>
  <c r="K968" i="38" s="1"/>
  <c r="J968" i="38" a="1"/>
  <c r="J968" i="38" s="1"/>
  <c r="I968" i="38" a="1"/>
  <c r="I968" i="38" s="1"/>
  <c r="K967" i="38" a="1"/>
  <c r="K967" i="38" s="1"/>
  <c r="J967" i="38" a="1"/>
  <c r="J967" i="38" s="1"/>
  <c r="I967" i="38" a="1"/>
  <c r="I967" i="38" s="1"/>
  <c r="K966" i="38" a="1"/>
  <c r="K966" i="38" s="1"/>
  <c r="J966" i="38" a="1"/>
  <c r="J966" i="38" s="1"/>
  <c r="I966" i="38" a="1"/>
  <c r="I966" i="38" s="1"/>
  <c r="K965" i="38" a="1"/>
  <c r="K965" i="38" s="1"/>
  <c r="J965" i="38" a="1"/>
  <c r="J965" i="38" s="1"/>
  <c r="I965" i="38" a="1"/>
  <c r="I965" i="38" s="1"/>
  <c r="K964" i="38" a="1"/>
  <c r="K964" i="38" s="1"/>
  <c r="J964" i="38" a="1"/>
  <c r="J964" i="38" s="1"/>
  <c r="I964" i="38" a="1"/>
  <c r="I964" i="38" s="1"/>
  <c r="K963" i="38" a="1"/>
  <c r="K963" i="38" s="1"/>
  <c r="J963" i="38" a="1"/>
  <c r="J963" i="38" s="1"/>
  <c r="I963" i="38" a="1"/>
  <c r="I963" i="38" s="1"/>
  <c r="K962" i="38" a="1"/>
  <c r="K962" i="38" s="1"/>
  <c r="J962" i="38" a="1"/>
  <c r="J962" i="38" s="1"/>
  <c r="I962" i="38" a="1"/>
  <c r="I962" i="38" s="1"/>
  <c r="K961" i="38" a="1"/>
  <c r="K961" i="38" s="1"/>
  <c r="J961" i="38" a="1"/>
  <c r="J961" i="38" s="1"/>
  <c r="I961" i="38" a="1"/>
  <c r="I961" i="38" s="1"/>
  <c r="K960" i="38" a="1"/>
  <c r="K960" i="38" s="1"/>
  <c r="J960" i="38" a="1"/>
  <c r="J960" i="38" s="1"/>
  <c r="I960" i="38" a="1"/>
  <c r="I960" i="38" s="1"/>
  <c r="K959" i="38" a="1"/>
  <c r="K959" i="38" s="1"/>
  <c r="J959" i="38" a="1"/>
  <c r="J959" i="38" s="1"/>
  <c r="I959" i="38" a="1"/>
  <c r="I959" i="38" s="1"/>
  <c r="K958" i="38" a="1"/>
  <c r="K958" i="38" s="1"/>
  <c r="J958" i="38" a="1"/>
  <c r="J958" i="38" s="1"/>
  <c r="I958" i="38" a="1"/>
  <c r="I958" i="38" s="1"/>
  <c r="K957" i="38" a="1"/>
  <c r="K957" i="38" s="1"/>
  <c r="J957" i="38" a="1"/>
  <c r="J957" i="38" s="1"/>
  <c r="I957" i="38" a="1"/>
  <c r="I957" i="38" s="1"/>
  <c r="K956" i="38" a="1"/>
  <c r="K956" i="38" s="1"/>
  <c r="J956" i="38" a="1"/>
  <c r="J956" i="38" s="1"/>
  <c r="I956" i="38" a="1"/>
  <c r="I956" i="38" s="1"/>
  <c r="K955" i="38" a="1"/>
  <c r="K955" i="38" s="1"/>
  <c r="J955" i="38" a="1"/>
  <c r="J955" i="38" s="1"/>
  <c r="I955" i="38" a="1"/>
  <c r="I955" i="38" s="1"/>
  <c r="K954" i="38" a="1"/>
  <c r="K954" i="38" s="1"/>
  <c r="J954" i="38" a="1"/>
  <c r="J954" i="38" s="1"/>
  <c r="I954" i="38" a="1"/>
  <c r="I954" i="38" s="1"/>
  <c r="K953" i="38" a="1"/>
  <c r="K953" i="38" s="1"/>
  <c r="J953" i="38" a="1"/>
  <c r="J953" i="38" s="1"/>
  <c r="I953" i="38" a="1"/>
  <c r="I953" i="38" s="1"/>
  <c r="K952" i="38" a="1"/>
  <c r="K952" i="38" s="1"/>
  <c r="J952" i="38" a="1"/>
  <c r="J952" i="38" s="1"/>
  <c r="I952" i="38" a="1"/>
  <c r="I952" i="38" s="1"/>
  <c r="K951" i="38" a="1"/>
  <c r="K951" i="38" s="1"/>
  <c r="J951" i="38" a="1"/>
  <c r="J951" i="38" s="1"/>
  <c r="I951" i="38" a="1"/>
  <c r="I951" i="38" s="1"/>
  <c r="K950" i="38" a="1"/>
  <c r="K950" i="38" s="1"/>
  <c r="J950" i="38" a="1"/>
  <c r="J950" i="38" s="1"/>
  <c r="I950" i="38" a="1"/>
  <c r="I950" i="38" s="1"/>
  <c r="K949" i="38" a="1"/>
  <c r="K949" i="38" s="1"/>
  <c r="J949" i="38" a="1"/>
  <c r="J949" i="38" s="1"/>
  <c r="I949" i="38" a="1"/>
  <c r="I949" i="38" s="1"/>
  <c r="K948" i="38" a="1"/>
  <c r="K948" i="38" s="1"/>
  <c r="J948" i="38" a="1"/>
  <c r="J948" i="38" s="1"/>
  <c r="I948" i="38" a="1"/>
  <c r="I948" i="38" s="1"/>
  <c r="K947" i="38" a="1"/>
  <c r="K947" i="38" s="1"/>
  <c r="J947" i="38" a="1"/>
  <c r="J947" i="38" s="1"/>
  <c r="I947" i="38" a="1"/>
  <c r="I947" i="38" s="1"/>
  <c r="K946" i="38" a="1"/>
  <c r="K946" i="38" s="1"/>
  <c r="J946" i="38" a="1"/>
  <c r="J946" i="38" s="1"/>
  <c r="I946" i="38" a="1"/>
  <c r="I946" i="38" s="1"/>
  <c r="K945" i="38" a="1"/>
  <c r="K945" i="38" s="1"/>
  <c r="J945" i="38" a="1"/>
  <c r="J945" i="38" s="1"/>
  <c r="I945" i="38" a="1"/>
  <c r="I945" i="38" s="1"/>
  <c r="K944" i="38" a="1"/>
  <c r="K944" i="38" s="1"/>
  <c r="J944" i="38" a="1"/>
  <c r="J944" i="38" s="1"/>
  <c r="I944" i="38" a="1"/>
  <c r="I944" i="38" s="1"/>
  <c r="K943" i="38" a="1"/>
  <c r="K943" i="38" s="1"/>
  <c r="J943" i="38" a="1"/>
  <c r="J943" i="38" s="1"/>
  <c r="I943" i="38" a="1"/>
  <c r="I943" i="38" s="1"/>
  <c r="K942" i="38" a="1"/>
  <c r="K942" i="38" s="1"/>
  <c r="J942" i="38" a="1"/>
  <c r="J942" i="38" s="1"/>
  <c r="I942" i="38" a="1"/>
  <c r="I942" i="38" s="1"/>
  <c r="K941" i="38" a="1"/>
  <c r="K941" i="38" s="1"/>
  <c r="J941" i="38" a="1"/>
  <c r="J941" i="38" s="1"/>
  <c r="I941" i="38" a="1"/>
  <c r="I941" i="38" s="1"/>
  <c r="K940" i="38" a="1"/>
  <c r="K940" i="38" s="1"/>
  <c r="J940" i="38" a="1"/>
  <c r="J940" i="38" s="1"/>
  <c r="I940" i="38" a="1"/>
  <c r="I940" i="38" s="1"/>
  <c r="K939" i="38" a="1"/>
  <c r="K939" i="38" s="1"/>
  <c r="J939" i="38" a="1"/>
  <c r="J939" i="38" s="1"/>
  <c r="I939" i="38" a="1"/>
  <c r="I939" i="38" s="1"/>
  <c r="K938" i="38" a="1"/>
  <c r="K938" i="38" s="1"/>
  <c r="J938" i="38" a="1"/>
  <c r="J938" i="38" s="1"/>
  <c r="I938" i="38" a="1"/>
  <c r="I938" i="38" s="1"/>
  <c r="K937" i="38" a="1"/>
  <c r="K937" i="38" s="1"/>
  <c r="J937" i="38" a="1"/>
  <c r="J937" i="38" s="1"/>
  <c r="I937" i="38" a="1"/>
  <c r="I937" i="38" s="1"/>
  <c r="K936" i="38" a="1"/>
  <c r="K936" i="38" s="1"/>
  <c r="J936" i="38" a="1"/>
  <c r="J936" i="38" s="1"/>
  <c r="I936" i="38" a="1"/>
  <c r="I936" i="38" s="1"/>
  <c r="K935" i="38" a="1"/>
  <c r="K935" i="38" s="1"/>
  <c r="J935" i="38" a="1"/>
  <c r="J935" i="38" s="1"/>
  <c r="I935" i="38" a="1"/>
  <c r="I935" i="38" s="1"/>
  <c r="K934" i="38" a="1"/>
  <c r="K934" i="38" s="1"/>
  <c r="J934" i="38" a="1"/>
  <c r="J934" i="38" s="1"/>
  <c r="I934" i="38" a="1"/>
  <c r="I934" i="38" s="1"/>
  <c r="K933" i="38" a="1"/>
  <c r="K933" i="38" s="1"/>
  <c r="J933" i="38" a="1"/>
  <c r="J933" i="38" s="1"/>
  <c r="I933" i="38" a="1"/>
  <c r="I933" i="38" s="1"/>
  <c r="K932" i="38" a="1"/>
  <c r="K932" i="38" s="1"/>
  <c r="J932" i="38" a="1"/>
  <c r="J932" i="38" s="1"/>
  <c r="I932" i="38" a="1"/>
  <c r="I932" i="38" s="1"/>
  <c r="K931" i="38" a="1"/>
  <c r="K931" i="38" s="1"/>
  <c r="J931" i="38" a="1"/>
  <c r="J931" i="38" s="1"/>
  <c r="I931" i="38" a="1"/>
  <c r="I931" i="38" s="1"/>
  <c r="K930" i="38" a="1"/>
  <c r="K930" i="38" s="1"/>
  <c r="J930" i="38" a="1"/>
  <c r="J930" i="38" s="1"/>
  <c r="I930" i="38" a="1"/>
  <c r="I930" i="38" s="1"/>
  <c r="K929" i="38" a="1"/>
  <c r="K929" i="38" s="1"/>
  <c r="J929" i="38" a="1"/>
  <c r="J929" i="38" s="1"/>
  <c r="I929" i="38" a="1"/>
  <c r="I929" i="38" s="1"/>
  <c r="K928" i="38" a="1"/>
  <c r="K928" i="38" s="1"/>
  <c r="J928" i="38" a="1"/>
  <c r="J928" i="38" s="1"/>
  <c r="I928" i="38" a="1"/>
  <c r="I928" i="38" s="1"/>
  <c r="K927" i="38" a="1"/>
  <c r="K927" i="38" s="1"/>
  <c r="J927" i="38" a="1"/>
  <c r="J927" i="38" s="1"/>
  <c r="I927" i="38" a="1"/>
  <c r="I927" i="38" s="1"/>
  <c r="K926" i="38" a="1"/>
  <c r="K926" i="38" s="1"/>
  <c r="J926" i="38" a="1"/>
  <c r="J926" i="38" s="1"/>
  <c r="I926" i="38" a="1"/>
  <c r="I926" i="38" s="1"/>
  <c r="K925" i="38" a="1"/>
  <c r="K925" i="38" s="1"/>
  <c r="J925" i="38" a="1"/>
  <c r="J925" i="38" s="1"/>
  <c r="I925" i="38" a="1"/>
  <c r="I925" i="38" s="1"/>
  <c r="K924" i="38" a="1"/>
  <c r="K924" i="38" s="1"/>
  <c r="J924" i="38" a="1"/>
  <c r="J924" i="38" s="1"/>
  <c r="I924" i="38" a="1"/>
  <c r="I924" i="38" s="1"/>
  <c r="K923" i="38" a="1"/>
  <c r="K923" i="38" s="1"/>
  <c r="J923" i="38" a="1"/>
  <c r="J923" i="38" s="1"/>
  <c r="I923" i="38" a="1"/>
  <c r="I923" i="38" s="1"/>
  <c r="K922" i="38" a="1"/>
  <c r="K922" i="38" s="1"/>
  <c r="J922" i="38" a="1"/>
  <c r="J922" i="38" s="1"/>
  <c r="I922" i="38" a="1"/>
  <c r="I922" i="38" s="1"/>
  <c r="K921" i="38" a="1"/>
  <c r="K921" i="38" s="1"/>
  <c r="J921" i="38" a="1"/>
  <c r="J921" i="38" s="1"/>
  <c r="I921" i="38" a="1"/>
  <c r="I921" i="38" s="1"/>
  <c r="K920" i="38" a="1"/>
  <c r="K920" i="38" s="1"/>
  <c r="J920" i="38" a="1"/>
  <c r="J920" i="38" s="1"/>
  <c r="I920" i="38" a="1"/>
  <c r="I920" i="38" s="1"/>
  <c r="K919" i="38" a="1"/>
  <c r="K919" i="38" s="1"/>
  <c r="J919" i="38" a="1"/>
  <c r="J919" i="38" s="1"/>
  <c r="I919" i="38" a="1"/>
  <c r="I919" i="38" s="1"/>
  <c r="K918" i="38" a="1"/>
  <c r="K918" i="38" s="1"/>
  <c r="J918" i="38" a="1"/>
  <c r="J918" i="38" s="1"/>
  <c r="I918" i="38" a="1"/>
  <c r="I918" i="38" s="1"/>
  <c r="K917" i="38" a="1"/>
  <c r="K917" i="38" s="1"/>
  <c r="J917" i="38" a="1"/>
  <c r="J917" i="38" s="1"/>
  <c r="I917" i="38" a="1"/>
  <c r="I917" i="38" s="1"/>
  <c r="K916" i="38" a="1"/>
  <c r="K916" i="38" s="1"/>
  <c r="J916" i="38" a="1"/>
  <c r="J916" i="38" s="1"/>
  <c r="I916" i="38" a="1"/>
  <c r="I916" i="38" s="1"/>
  <c r="K915" i="38" a="1"/>
  <c r="K915" i="38" s="1"/>
  <c r="J915" i="38" a="1"/>
  <c r="J915" i="38" s="1"/>
  <c r="I915" i="38" a="1"/>
  <c r="I915" i="38" s="1"/>
  <c r="K914" i="38" a="1"/>
  <c r="K914" i="38" s="1"/>
  <c r="J914" i="38" a="1"/>
  <c r="J914" i="38" s="1"/>
  <c r="I914" i="38" a="1"/>
  <c r="I914" i="38" s="1"/>
  <c r="K913" i="38" a="1"/>
  <c r="K913" i="38" s="1"/>
  <c r="J913" i="38" a="1"/>
  <c r="J913" i="38" s="1"/>
  <c r="I913" i="38" a="1"/>
  <c r="I913" i="38" s="1"/>
  <c r="K912" i="38" a="1"/>
  <c r="K912" i="38" s="1"/>
  <c r="J912" i="38" a="1"/>
  <c r="J912" i="38" s="1"/>
  <c r="I912" i="38" a="1"/>
  <c r="I912" i="38" s="1"/>
  <c r="K911" i="38" a="1"/>
  <c r="K911" i="38" s="1"/>
  <c r="J911" i="38" a="1"/>
  <c r="J911" i="38" s="1"/>
  <c r="I911" i="38" a="1"/>
  <c r="I911" i="38" s="1"/>
  <c r="K910" i="38" a="1"/>
  <c r="K910" i="38" s="1"/>
  <c r="J910" i="38" a="1"/>
  <c r="J910" i="38" s="1"/>
  <c r="I910" i="38" a="1"/>
  <c r="I910" i="38" s="1"/>
  <c r="K909" i="38" a="1"/>
  <c r="K909" i="38" s="1"/>
  <c r="J909" i="38" a="1"/>
  <c r="J909" i="38" s="1"/>
  <c r="I909" i="38" a="1"/>
  <c r="I909" i="38" s="1"/>
  <c r="K908" i="38" a="1"/>
  <c r="K908" i="38" s="1"/>
  <c r="J908" i="38" a="1"/>
  <c r="J908" i="38" s="1"/>
  <c r="I908" i="38" a="1"/>
  <c r="I908" i="38" s="1"/>
  <c r="K907" i="38" a="1"/>
  <c r="K907" i="38" s="1"/>
  <c r="J907" i="38" a="1"/>
  <c r="J907" i="38" s="1"/>
  <c r="I907" i="38" a="1"/>
  <c r="I907" i="38" s="1"/>
  <c r="K906" i="38" a="1"/>
  <c r="K906" i="38" s="1"/>
  <c r="J906" i="38" a="1"/>
  <c r="J906" i="38" s="1"/>
  <c r="I906" i="38" a="1"/>
  <c r="I906" i="38" s="1"/>
  <c r="K905" i="38" a="1"/>
  <c r="K905" i="38" s="1"/>
  <c r="J905" i="38" a="1"/>
  <c r="J905" i="38" s="1"/>
  <c r="I905" i="38" a="1"/>
  <c r="I905" i="38" s="1"/>
  <c r="K904" i="38" a="1"/>
  <c r="K904" i="38" s="1"/>
  <c r="J904" i="38" a="1"/>
  <c r="J904" i="38" s="1"/>
  <c r="I904" i="38" a="1"/>
  <c r="I904" i="38" s="1"/>
  <c r="K903" i="38" a="1"/>
  <c r="K903" i="38" s="1"/>
  <c r="J903" i="38" a="1"/>
  <c r="J903" i="38" s="1"/>
  <c r="I903" i="38" a="1"/>
  <c r="I903" i="38" s="1"/>
  <c r="K902" i="38" a="1"/>
  <c r="K902" i="38" s="1"/>
  <c r="J902" i="38" a="1"/>
  <c r="J902" i="38" s="1"/>
  <c r="I902" i="38" a="1"/>
  <c r="I902" i="38" s="1"/>
  <c r="K901" i="38" a="1"/>
  <c r="K901" i="38" s="1"/>
  <c r="J901" i="38" a="1"/>
  <c r="J901" i="38" s="1"/>
  <c r="I901" i="38" a="1"/>
  <c r="I901" i="38" s="1"/>
  <c r="K900" i="38" a="1"/>
  <c r="K900" i="38" s="1"/>
  <c r="J900" i="38" a="1"/>
  <c r="J900" i="38" s="1"/>
  <c r="I900" i="38" a="1"/>
  <c r="I900" i="38" s="1"/>
  <c r="K899" i="38" a="1"/>
  <c r="K899" i="38" s="1"/>
  <c r="J899" i="38" a="1"/>
  <c r="J899" i="38" s="1"/>
  <c r="I899" i="38" a="1"/>
  <c r="I899" i="38" s="1"/>
  <c r="K898" i="38" a="1"/>
  <c r="K898" i="38" s="1"/>
  <c r="J898" i="38" a="1"/>
  <c r="J898" i="38" s="1"/>
  <c r="I898" i="38" a="1"/>
  <c r="I898" i="38" s="1"/>
  <c r="K897" i="38" a="1"/>
  <c r="K897" i="38" s="1"/>
  <c r="J897" i="38" a="1"/>
  <c r="J897" i="38" s="1"/>
  <c r="I897" i="38" a="1"/>
  <c r="I897" i="38" s="1"/>
  <c r="K896" i="38" a="1"/>
  <c r="K896" i="38" s="1"/>
  <c r="J896" i="38" a="1"/>
  <c r="J896" i="38" s="1"/>
  <c r="I896" i="38" a="1"/>
  <c r="I896" i="38" s="1"/>
  <c r="K895" i="38" a="1"/>
  <c r="K895" i="38" s="1"/>
  <c r="J895" i="38" a="1"/>
  <c r="J895" i="38" s="1"/>
  <c r="I895" i="38" a="1"/>
  <c r="I895" i="38" s="1"/>
  <c r="K894" i="38" a="1"/>
  <c r="K894" i="38" s="1"/>
  <c r="J894" i="38" a="1"/>
  <c r="J894" i="38" s="1"/>
  <c r="I894" i="38" a="1"/>
  <c r="I894" i="38" s="1"/>
  <c r="K893" i="38" a="1"/>
  <c r="K893" i="38" s="1"/>
  <c r="J893" i="38" a="1"/>
  <c r="J893" i="38" s="1"/>
  <c r="I893" i="38" a="1"/>
  <c r="I893" i="38" s="1"/>
  <c r="K892" i="38" a="1"/>
  <c r="K892" i="38" s="1"/>
  <c r="J892" i="38" a="1"/>
  <c r="J892" i="38" s="1"/>
  <c r="I892" i="38" a="1"/>
  <c r="I892" i="38" s="1"/>
  <c r="K891" i="38" a="1"/>
  <c r="K891" i="38" s="1"/>
  <c r="J891" i="38" a="1"/>
  <c r="J891" i="38" s="1"/>
  <c r="I891" i="38" a="1"/>
  <c r="I891" i="38" s="1"/>
  <c r="K890" i="38" a="1"/>
  <c r="K890" i="38" s="1"/>
  <c r="J890" i="38" a="1"/>
  <c r="J890" i="38" s="1"/>
  <c r="I890" i="38" a="1"/>
  <c r="I890" i="38" s="1"/>
  <c r="K889" i="38" a="1"/>
  <c r="K889" i="38" s="1"/>
  <c r="J889" i="38" a="1"/>
  <c r="J889" i="38" s="1"/>
  <c r="I889" i="38" a="1"/>
  <c r="I889" i="38" s="1"/>
  <c r="K888" i="38" a="1"/>
  <c r="K888" i="38" s="1"/>
  <c r="J888" i="38" a="1"/>
  <c r="J888" i="38" s="1"/>
  <c r="I888" i="38" a="1"/>
  <c r="I888" i="38" s="1"/>
  <c r="K887" i="38" a="1"/>
  <c r="K887" i="38" s="1"/>
  <c r="J887" i="38" a="1"/>
  <c r="J887" i="38" s="1"/>
  <c r="I887" i="38" a="1"/>
  <c r="I887" i="38" s="1"/>
  <c r="K886" i="38" a="1"/>
  <c r="K886" i="38" s="1"/>
  <c r="J886" i="38" a="1"/>
  <c r="J886" i="38" s="1"/>
  <c r="I886" i="38" a="1"/>
  <c r="I886" i="38" s="1"/>
  <c r="K885" i="38" a="1"/>
  <c r="K885" i="38" s="1"/>
  <c r="J885" i="38" a="1"/>
  <c r="J885" i="38" s="1"/>
  <c r="I885" i="38" a="1"/>
  <c r="I885" i="38" s="1"/>
  <c r="K884" i="38" a="1"/>
  <c r="K884" i="38" s="1"/>
  <c r="J884" i="38" a="1"/>
  <c r="J884" i="38" s="1"/>
  <c r="I884" i="38" a="1"/>
  <c r="I884" i="38" s="1"/>
  <c r="K883" i="38" a="1"/>
  <c r="K883" i="38" s="1"/>
  <c r="J883" i="38" a="1"/>
  <c r="J883" i="38" s="1"/>
  <c r="I883" i="38" a="1"/>
  <c r="I883" i="38" s="1"/>
  <c r="K882" i="38" a="1"/>
  <c r="K882" i="38" s="1"/>
  <c r="J882" i="38" a="1"/>
  <c r="J882" i="38" s="1"/>
  <c r="I882" i="38" a="1"/>
  <c r="I882" i="38" s="1"/>
  <c r="K881" i="38" a="1"/>
  <c r="K881" i="38" s="1"/>
  <c r="J881" i="38" a="1"/>
  <c r="J881" i="38" s="1"/>
  <c r="I881" i="38" a="1"/>
  <c r="I881" i="38" s="1"/>
  <c r="K880" i="38" a="1"/>
  <c r="K880" i="38" s="1"/>
  <c r="J880" i="38" a="1"/>
  <c r="J880" i="38" s="1"/>
  <c r="I880" i="38" a="1"/>
  <c r="I880" i="38" s="1"/>
  <c r="K879" i="38" a="1"/>
  <c r="K879" i="38" s="1"/>
  <c r="J879" i="38" a="1"/>
  <c r="J879" i="38" s="1"/>
  <c r="I879" i="38" a="1"/>
  <c r="I879" i="38" s="1"/>
  <c r="K878" i="38" a="1"/>
  <c r="K878" i="38" s="1"/>
  <c r="J878" i="38" a="1"/>
  <c r="J878" i="38" s="1"/>
  <c r="I878" i="38" a="1"/>
  <c r="I878" i="38" s="1"/>
  <c r="K877" i="38" a="1"/>
  <c r="K877" i="38" s="1"/>
  <c r="J877" i="38" a="1"/>
  <c r="J877" i="38" s="1"/>
  <c r="I877" i="38" a="1"/>
  <c r="I877" i="38" s="1"/>
  <c r="K876" i="38" a="1"/>
  <c r="K876" i="38" s="1"/>
  <c r="J876" i="38" a="1"/>
  <c r="J876" i="38" s="1"/>
  <c r="I876" i="38" a="1"/>
  <c r="I876" i="38" s="1"/>
  <c r="K875" i="38" a="1"/>
  <c r="K875" i="38" s="1"/>
  <c r="J875" i="38" a="1"/>
  <c r="J875" i="38" s="1"/>
  <c r="I875" i="38" a="1"/>
  <c r="I875" i="38" s="1"/>
  <c r="K874" i="38" a="1"/>
  <c r="K874" i="38" s="1"/>
  <c r="J874" i="38" a="1"/>
  <c r="J874" i="38" s="1"/>
  <c r="I874" i="38" a="1"/>
  <c r="I874" i="38" s="1"/>
  <c r="K873" i="38" a="1"/>
  <c r="K873" i="38" s="1"/>
  <c r="J873" i="38" a="1"/>
  <c r="J873" i="38" s="1"/>
  <c r="I873" i="38" a="1"/>
  <c r="I873" i="38" s="1"/>
  <c r="K872" i="38" a="1"/>
  <c r="K872" i="38" s="1"/>
  <c r="J872" i="38" a="1"/>
  <c r="J872" i="38" s="1"/>
  <c r="I872" i="38" a="1"/>
  <c r="I872" i="38" s="1"/>
  <c r="K871" i="38" a="1"/>
  <c r="K871" i="38" s="1"/>
  <c r="J871" i="38" a="1"/>
  <c r="J871" i="38" s="1"/>
  <c r="I871" i="38" a="1"/>
  <c r="I871" i="38" s="1"/>
  <c r="K870" i="38" a="1"/>
  <c r="K870" i="38" s="1"/>
  <c r="J870" i="38" a="1"/>
  <c r="J870" i="38" s="1"/>
  <c r="I870" i="38" a="1"/>
  <c r="I870" i="38" s="1"/>
  <c r="K869" i="38" a="1"/>
  <c r="K869" i="38" s="1"/>
  <c r="J869" i="38" a="1"/>
  <c r="J869" i="38" s="1"/>
  <c r="I869" i="38" a="1"/>
  <c r="I869" i="38" s="1"/>
  <c r="K868" i="38" a="1"/>
  <c r="K868" i="38" s="1"/>
  <c r="J868" i="38" a="1"/>
  <c r="J868" i="38" s="1"/>
  <c r="I868" i="38" a="1"/>
  <c r="I868" i="38" s="1"/>
  <c r="K867" i="38" a="1"/>
  <c r="K867" i="38" s="1"/>
  <c r="J867" i="38" a="1"/>
  <c r="J867" i="38" s="1"/>
  <c r="I867" i="38" a="1"/>
  <c r="I867" i="38" s="1"/>
  <c r="K866" i="38" a="1"/>
  <c r="K866" i="38" s="1"/>
  <c r="J866" i="38" a="1"/>
  <c r="J866" i="38" s="1"/>
  <c r="I866" i="38" a="1"/>
  <c r="I866" i="38" s="1"/>
  <c r="K865" i="38" a="1"/>
  <c r="K865" i="38" s="1"/>
  <c r="J865" i="38" a="1"/>
  <c r="J865" i="38" s="1"/>
  <c r="I865" i="38" a="1"/>
  <c r="I865" i="38" s="1"/>
  <c r="K864" i="38" a="1"/>
  <c r="K864" i="38" s="1"/>
  <c r="J864" i="38" a="1"/>
  <c r="J864" i="38" s="1"/>
  <c r="I864" i="38" a="1"/>
  <c r="I864" i="38" s="1"/>
  <c r="K863" i="38" a="1"/>
  <c r="K863" i="38" s="1"/>
  <c r="J863" i="38" a="1"/>
  <c r="J863" i="38" s="1"/>
  <c r="I863" i="38" a="1"/>
  <c r="I863" i="38" s="1"/>
  <c r="K862" i="38" a="1"/>
  <c r="K862" i="38" s="1"/>
  <c r="J862" i="38" a="1"/>
  <c r="J862" i="38" s="1"/>
  <c r="I862" i="38" a="1"/>
  <c r="I862" i="38" s="1"/>
  <c r="K861" i="38" a="1"/>
  <c r="K861" i="38" s="1"/>
  <c r="J861" i="38" a="1"/>
  <c r="J861" i="38" s="1"/>
  <c r="I861" i="38" a="1"/>
  <c r="I861" i="38" s="1"/>
  <c r="K860" i="38" a="1"/>
  <c r="K860" i="38" s="1"/>
  <c r="J860" i="38" a="1"/>
  <c r="J860" i="38" s="1"/>
  <c r="I860" i="38" a="1"/>
  <c r="I860" i="38" s="1"/>
  <c r="K859" i="38" a="1"/>
  <c r="K859" i="38" s="1"/>
  <c r="J859" i="38" a="1"/>
  <c r="J859" i="38" s="1"/>
  <c r="I859" i="38" a="1"/>
  <c r="I859" i="38" s="1"/>
  <c r="K858" i="38" a="1"/>
  <c r="K858" i="38" s="1"/>
  <c r="J858" i="38" a="1"/>
  <c r="J858" i="38" s="1"/>
  <c r="I858" i="38" a="1"/>
  <c r="I858" i="38" s="1"/>
  <c r="K857" i="38" a="1"/>
  <c r="K857" i="38" s="1"/>
  <c r="J857" i="38" a="1"/>
  <c r="J857" i="38" s="1"/>
  <c r="I857" i="38" a="1"/>
  <c r="I857" i="38" s="1"/>
  <c r="K856" i="38" a="1"/>
  <c r="K856" i="38" s="1"/>
  <c r="J856" i="38" a="1"/>
  <c r="J856" i="38" s="1"/>
  <c r="I856" i="38" a="1"/>
  <c r="I856" i="38" s="1"/>
  <c r="K855" i="38" a="1"/>
  <c r="K855" i="38" s="1"/>
  <c r="J855" i="38" a="1"/>
  <c r="J855" i="38" s="1"/>
  <c r="I855" i="38" a="1"/>
  <c r="I855" i="38" s="1"/>
  <c r="K854" i="38" a="1"/>
  <c r="K854" i="38" s="1"/>
  <c r="J854" i="38" a="1"/>
  <c r="J854" i="38" s="1"/>
  <c r="I854" i="38" a="1"/>
  <c r="I854" i="38" s="1"/>
  <c r="K853" i="38" a="1"/>
  <c r="K853" i="38" s="1"/>
  <c r="J853" i="38" a="1"/>
  <c r="J853" i="38" s="1"/>
  <c r="I853" i="38" a="1"/>
  <c r="I853" i="38" s="1"/>
  <c r="K852" i="38" a="1"/>
  <c r="K852" i="38" s="1"/>
  <c r="J852" i="38" a="1"/>
  <c r="J852" i="38" s="1"/>
  <c r="I852" i="38" a="1"/>
  <c r="I852" i="38" s="1"/>
  <c r="K851" i="38" a="1"/>
  <c r="K851" i="38" s="1"/>
  <c r="J851" i="38" a="1"/>
  <c r="J851" i="38" s="1"/>
  <c r="I851" i="38" a="1"/>
  <c r="I851" i="38" s="1"/>
  <c r="K850" i="38" a="1"/>
  <c r="K850" i="38" s="1"/>
  <c r="J850" i="38" a="1"/>
  <c r="J850" i="38" s="1"/>
  <c r="I850" i="38" a="1"/>
  <c r="I850" i="38" s="1"/>
  <c r="K849" i="38" a="1"/>
  <c r="K849" i="38" s="1"/>
  <c r="J849" i="38" a="1"/>
  <c r="J849" i="38" s="1"/>
  <c r="I849" i="38" a="1"/>
  <c r="I849" i="38" s="1"/>
  <c r="K848" i="38" a="1"/>
  <c r="K848" i="38" s="1"/>
  <c r="J848" i="38" a="1"/>
  <c r="J848" i="38" s="1"/>
  <c r="I848" i="38" a="1"/>
  <c r="I848" i="38" s="1"/>
  <c r="K847" i="38" a="1"/>
  <c r="K847" i="38" s="1"/>
  <c r="J847" i="38" a="1"/>
  <c r="J847" i="38" s="1"/>
  <c r="I847" i="38" a="1"/>
  <c r="I847" i="38" s="1"/>
  <c r="K846" i="38" a="1"/>
  <c r="K846" i="38" s="1"/>
  <c r="J846" i="38" a="1"/>
  <c r="J846" i="38" s="1"/>
  <c r="I846" i="38" a="1"/>
  <c r="I846" i="38" s="1"/>
  <c r="K845" i="38" a="1"/>
  <c r="K845" i="38" s="1"/>
  <c r="J845" i="38" a="1"/>
  <c r="J845" i="38" s="1"/>
  <c r="I845" i="38" a="1"/>
  <c r="I845" i="38" s="1"/>
  <c r="K844" i="38" a="1"/>
  <c r="K844" i="38" s="1"/>
  <c r="J844" i="38" a="1"/>
  <c r="J844" i="38" s="1"/>
  <c r="I844" i="38" a="1"/>
  <c r="I844" i="38" s="1"/>
  <c r="K843" i="38" a="1"/>
  <c r="K843" i="38" s="1"/>
  <c r="J843" i="38" a="1"/>
  <c r="J843" i="38" s="1"/>
  <c r="I843" i="38" a="1"/>
  <c r="I843" i="38" s="1"/>
  <c r="K842" i="38" a="1"/>
  <c r="K842" i="38" s="1"/>
  <c r="J842" i="38" a="1"/>
  <c r="J842" i="38" s="1"/>
  <c r="I842" i="38" a="1"/>
  <c r="I842" i="38" s="1"/>
  <c r="K841" i="38" a="1"/>
  <c r="K841" i="38" s="1"/>
  <c r="J841" i="38" a="1"/>
  <c r="J841" i="38" s="1"/>
  <c r="I841" i="38" a="1"/>
  <c r="I841" i="38" s="1"/>
  <c r="K840" i="38" a="1"/>
  <c r="K840" i="38" s="1"/>
  <c r="J840" i="38" a="1"/>
  <c r="J840" i="38" s="1"/>
  <c r="I840" i="38" a="1"/>
  <c r="I840" i="38" s="1"/>
  <c r="K839" i="38" a="1"/>
  <c r="K839" i="38" s="1"/>
  <c r="J839" i="38" a="1"/>
  <c r="J839" i="38" s="1"/>
  <c r="I839" i="38" a="1"/>
  <c r="I839" i="38" s="1"/>
  <c r="K838" i="38" a="1"/>
  <c r="K838" i="38" s="1"/>
  <c r="J838" i="38" a="1"/>
  <c r="J838" i="38" s="1"/>
  <c r="I838" i="38" a="1"/>
  <c r="I838" i="38" s="1"/>
  <c r="K837" i="38" a="1"/>
  <c r="K837" i="38" s="1"/>
  <c r="J837" i="38" a="1"/>
  <c r="J837" i="38" s="1"/>
  <c r="I837" i="38" a="1"/>
  <c r="I837" i="38" s="1"/>
  <c r="K836" i="38" a="1"/>
  <c r="K836" i="38" s="1"/>
  <c r="J836" i="38" a="1"/>
  <c r="J836" i="38" s="1"/>
  <c r="I836" i="38" a="1"/>
  <c r="I836" i="38" s="1"/>
  <c r="K835" i="38" a="1"/>
  <c r="K835" i="38" s="1"/>
  <c r="J835" i="38" a="1"/>
  <c r="J835" i="38" s="1"/>
  <c r="I835" i="38" a="1"/>
  <c r="I835" i="38" s="1"/>
  <c r="K834" i="38" a="1"/>
  <c r="K834" i="38" s="1"/>
  <c r="J834" i="38" a="1"/>
  <c r="J834" i="38" s="1"/>
  <c r="I834" i="38" a="1"/>
  <c r="I834" i="38" s="1"/>
  <c r="K833" i="38" a="1"/>
  <c r="K833" i="38" s="1"/>
  <c r="J833" i="38" a="1"/>
  <c r="J833" i="38" s="1"/>
  <c r="I833" i="38" a="1"/>
  <c r="I833" i="38" s="1"/>
  <c r="K832" i="38" a="1"/>
  <c r="K832" i="38" s="1"/>
  <c r="J832" i="38" a="1"/>
  <c r="J832" i="38" s="1"/>
  <c r="I832" i="38" a="1"/>
  <c r="I832" i="38" s="1"/>
  <c r="K831" i="38" a="1"/>
  <c r="K831" i="38" s="1"/>
  <c r="J831" i="38" a="1"/>
  <c r="J831" i="38" s="1"/>
  <c r="I831" i="38" a="1"/>
  <c r="I831" i="38" s="1"/>
  <c r="K830" i="38" a="1"/>
  <c r="K830" i="38" s="1"/>
  <c r="J830" i="38" a="1"/>
  <c r="J830" i="38" s="1"/>
  <c r="I830" i="38" a="1"/>
  <c r="I830" i="38" s="1"/>
  <c r="K829" i="38" a="1"/>
  <c r="K829" i="38" s="1"/>
  <c r="J829" i="38" a="1"/>
  <c r="J829" i="38" s="1"/>
  <c r="I829" i="38" a="1"/>
  <c r="I829" i="38" s="1"/>
  <c r="K828" i="38" a="1"/>
  <c r="K828" i="38" s="1"/>
  <c r="J828" i="38" a="1"/>
  <c r="J828" i="38" s="1"/>
  <c r="I828" i="38" a="1"/>
  <c r="I828" i="38" s="1"/>
  <c r="K827" i="38" a="1"/>
  <c r="K827" i="38" s="1"/>
  <c r="J827" i="38" a="1"/>
  <c r="J827" i="38" s="1"/>
  <c r="I827" i="38" a="1"/>
  <c r="I827" i="38" s="1"/>
  <c r="K826" i="38" a="1"/>
  <c r="K826" i="38" s="1"/>
  <c r="J826" i="38" a="1"/>
  <c r="J826" i="38" s="1"/>
  <c r="I826" i="38" a="1"/>
  <c r="I826" i="38" s="1"/>
  <c r="K825" i="38" a="1"/>
  <c r="K825" i="38" s="1"/>
  <c r="J825" i="38" a="1"/>
  <c r="J825" i="38" s="1"/>
  <c r="I825" i="38" a="1"/>
  <c r="I825" i="38" s="1"/>
  <c r="K824" i="38" a="1"/>
  <c r="K824" i="38" s="1"/>
  <c r="J824" i="38" a="1"/>
  <c r="J824" i="38" s="1"/>
  <c r="I824" i="38" a="1"/>
  <c r="I824" i="38" s="1"/>
  <c r="K823" i="38" a="1"/>
  <c r="K823" i="38" s="1"/>
  <c r="J823" i="38" a="1"/>
  <c r="J823" i="38" s="1"/>
  <c r="I823" i="38" a="1"/>
  <c r="I823" i="38" s="1"/>
  <c r="K822" i="38" a="1"/>
  <c r="K822" i="38" s="1"/>
  <c r="J822" i="38" a="1"/>
  <c r="J822" i="38" s="1"/>
  <c r="I822" i="38" a="1"/>
  <c r="I822" i="38" s="1"/>
  <c r="K821" i="38" a="1"/>
  <c r="K821" i="38" s="1"/>
  <c r="J821" i="38" a="1"/>
  <c r="J821" i="38" s="1"/>
  <c r="I821" i="38" a="1"/>
  <c r="I821" i="38" s="1"/>
  <c r="K820" i="38" a="1"/>
  <c r="K820" i="38" s="1"/>
  <c r="J820" i="38" a="1"/>
  <c r="J820" i="38" s="1"/>
  <c r="I820" i="38" a="1"/>
  <c r="I820" i="38" s="1"/>
  <c r="K819" i="38" a="1"/>
  <c r="K819" i="38" s="1"/>
  <c r="J819" i="38" a="1"/>
  <c r="J819" i="38" s="1"/>
  <c r="I819" i="38" a="1"/>
  <c r="I819" i="38" s="1"/>
  <c r="K818" i="38" a="1"/>
  <c r="K818" i="38" s="1"/>
  <c r="J818" i="38" a="1"/>
  <c r="J818" i="38" s="1"/>
  <c r="I818" i="38" a="1"/>
  <c r="I818" i="38" s="1"/>
  <c r="K817" i="38" a="1"/>
  <c r="K817" i="38" s="1"/>
  <c r="J817" i="38" a="1"/>
  <c r="J817" i="38" s="1"/>
  <c r="I817" i="38" a="1"/>
  <c r="I817" i="38" s="1"/>
  <c r="K816" i="38" a="1"/>
  <c r="K816" i="38" s="1"/>
  <c r="J816" i="38" a="1"/>
  <c r="J816" i="38" s="1"/>
  <c r="I816" i="38" a="1"/>
  <c r="I816" i="38" s="1"/>
  <c r="K815" i="38" a="1"/>
  <c r="K815" i="38" s="1"/>
  <c r="J815" i="38" a="1"/>
  <c r="J815" i="38" s="1"/>
  <c r="I815" i="38" a="1"/>
  <c r="I815" i="38" s="1"/>
  <c r="K814" i="38" a="1"/>
  <c r="K814" i="38" s="1"/>
  <c r="J814" i="38" a="1"/>
  <c r="J814" i="38" s="1"/>
  <c r="I814" i="38" a="1"/>
  <c r="I814" i="38" s="1"/>
  <c r="K813" i="38" a="1"/>
  <c r="K813" i="38" s="1"/>
  <c r="J813" i="38" a="1"/>
  <c r="J813" i="38" s="1"/>
  <c r="I813" i="38" a="1"/>
  <c r="I813" i="38" s="1"/>
  <c r="K812" i="38" a="1"/>
  <c r="K812" i="38" s="1"/>
  <c r="J812" i="38" a="1"/>
  <c r="J812" i="38" s="1"/>
  <c r="I812" i="38" a="1"/>
  <c r="I812" i="38" s="1"/>
  <c r="K811" i="38" a="1"/>
  <c r="K811" i="38" s="1"/>
  <c r="J811" i="38" a="1"/>
  <c r="J811" i="38" s="1"/>
  <c r="I811" i="38" a="1"/>
  <c r="I811" i="38" s="1"/>
  <c r="K810" i="38" a="1"/>
  <c r="K810" i="38" s="1"/>
  <c r="J810" i="38" a="1"/>
  <c r="J810" i="38" s="1"/>
  <c r="I810" i="38" a="1"/>
  <c r="I810" i="38" s="1"/>
  <c r="K809" i="38" a="1"/>
  <c r="K809" i="38" s="1"/>
  <c r="J809" i="38" a="1"/>
  <c r="J809" i="38" s="1"/>
  <c r="I809" i="38" a="1"/>
  <c r="I809" i="38" s="1"/>
  <c r="K807" i="38" a="1"/>
  <c r="K807" i="38" s="1"/>
  <c r="J807" i="38" a="1"/>
  <c r="J807" i="38" s="1"/>
  <c r="I807" i="38" a="1"/>
  <c r="I807" i="38" s="1"/>
  <c r="K800" i="38" a="1"/>
  <c r="K800" i="38" s="1"/>
  <c r="J800" i="38" a="1"/>
  <c r="J800" i="38" s="1"/>
  <c r="I800" i="38" a="1"/>
  <c r="I800" i="38" s="1"/>
  <c r="K799" i="38" a="1"/>
  <c r="K799" i="38" s="1"/>
  <c r="J799" i="38" a="1"/>
  <c r="J799" i="38" s="1"/>
  <c r="I799" i="38" a="1"/>
  <c r="I799" i="38" s="1"/>
  <c r="K798" i="38" a="1"/>
  <c r="K798" i="38" s="1"/>
  <c r="J798" i="38" a="1"/>
  <c r="J798" i="38" s="1"/>
  <c r="I798" i="38" a="1"/>
  <c r="I798" i="38" s="1"/>
  <c r="K797" i="38" a="1"/>
  <c r="K797" i="38" s="1"/>
  <c r="J797" i="38" a="1"/>
  <c r="J797" i="38" s="1"/>
  <c r="I797" i="38" a="1"/>
  <c r="I797" i="38" s="1"/>
  <c r="K796" i="38" a="1"/>
  <c r="K796" i="38" s="1"/>
  <c r="J796" i="38" a="1"/>
  <c r="J796" i="38" s="1"/>
  <c r="I796" i="38" a="1"/>
  <c r="I796" i="38" s="1"/>
  <c r="K795" i="38" a="1"/>
  <c r="K795" i="38" s="1"/>
  <c r="J795" i="38" a="1"/>
  <c r="J795" i="38" s="1"/>
  <c r="I795" i="38" a="1"/>
  <c r="I795" i="38" s="1"/>
  <c r="K794" i="38" a="1"/>
  <c r="K794" i="38" s="1"/>
  <c r="J794" i="38" a="1"/>
  <c r="J794" i="38" s="1"/>
  <c r="I794" i="38" a="1"/>
  <c r="I794" i="38" s="1"/>
  <c r="K793" i="38" a="1"/>
  <c r="K793" i="38" s="1"/>
  <c r="J793" i="38" a="1"/>
  <c r="J793" i="38" s="1"/>
  <c r="I793" i="38" a="1"/>
  <c r="I793" i="38" s="1"/>
  <c r="K792" i="38" a="1"/>
  <c r="K792" i="38" s="1"/>
  <c r="J792" i="38" a="1"/>
  <c r="J792" i="38" s="1"/>
  <c r="I792" i="38" a="1"/>
  <c r="I792" i="38" s="1"/>
  <c r="K791" i="38" a="1"/>
  <c r="K791" i="38" s="1"/>
  <c r="J791" i="38" a="1"/>
  <c r="J791" i="38" s="1"/>
  <c r="I791" i="38" a="1"/>
  <c r="I791" i="38" s="1"/>
  <c r="K790" i="38" a="1"/>
  <c r="K790" i="38" s="1"/>
  <c r="J790" i="38" a="1"/>
  <c r="J790" i="38" s="1"/>
  <c r="I790" i="38" a="1"/>
  <c r="I790" i="38" s="1"/>
  <c r="K789" i="38" a="1"/>
  <c r="K789" i="38" s="1"/>
  <c r="J789" i="38" a="1"/>
  <c r="J789" i="38" s="1"/>
  <c r="I789" i="38" a="1"/>
  <c r="I789" i="38" s="1"/>
  <c r="K788" i="38" a="1"/>
  <c r="K788" i="38" s="1"/>
  <c r="J788" i="38" a="1"/>
  <c r="J788" i="38" s="1"/>
  <c r="I788" i="38" a="1"/>
  <c r="I788" i="38" s="1"/>
  <c r="K787" i="38" a="1"/>
  <c r="K787" i="38" s="1"/>
  <c r="J787" i="38" a="1"/>
  <c r="J787" i="38" s="1"/>
  <c r="I787" i="38" a="1"/>
  <c r="I787" i="38" s="1"/>
  <c r="K786" i="38" a="1"/>
  <c r="K786" i="38" s="1"/>
  <c r="J786" i="38" a="1"/>
  <c r="J786" i="38" s="1"/>
  <c r="I786" i="38" a="1"/>
  <c r="I786" i="38" s="1"/>
  <c r="K785" i="38" a="1"/>
  <c r="K785" i="38" s="1"/>
  <c r="J785" i="38" a="1"/>
  <c r="J785" i="38" s="1"/>
  <c r="I785" i="38" a="1"/>
  <c r="I785" i="38" s="1"/>
  <c r="K784" i="38" a="1"/>
  <c r="K784" i="38" s="1"/>
  <c r="J784" i="38" a="1"/>
  <c r="J784" i="38" s="1"/>
  <c r="I784" i="38" a="1"/>
  <c r="I784" i="38" s="1"/>
  <c r="K783" i="38" a="1"/>
  <c r="K783" i="38" s="1"/>
  <c r="J783" i="38" a="1"/>
  <c r="J783" i="38" s="1"/>
  <c r="I783" i="38" a="1"/>
  <c r="I783" i="38" s="1"/>
  <c r="K782" i="38" a="1"/>
  <c r="K782" i="38" s="1"/>
  <c r="J782" i="38" a="1"/>
  <c r="J782" i="38" s="1"/>
  <c r="I782" i="38" a="1"/>
  <c r="I782" i="38" s="1"/>
  <c r="K781" i="38" a="1"/>
  <c r="K781" i="38" s="1"/>
  <c r="J781" i="38" a="1"/>
  <c r="J781" i="38" s="1"/>
  <c r="I781" i="38" a="1"/>
  <c r="I781" i="38" s="1"/>
  <c r="K780" i="38" a="1"/>
  <c r="K780" i="38" s="1"/>
  <c r="J780" i="38" a="1"/>
  <c r="J780" i="38" s="1"/>
  <c r="I780" i="38" a="1"/>
  <c r="I780" i="38" s="1"/>
  <c r="K779" i="38" a="1"/>
  <c r="K779" i="38" s="1"/>
  <c r="J779" i="38" a="1"/>
  <c r="J779" i="38" s="1"/>
  <c r="I779" i="38" a="1"/>
  <c r="I779" i="38" s="1"/>
  <c r="K778" i="38" a="1"/>
  <c r="K778" i="38" s="1"/>
  <c r="J778" i="38" a="1"/>
  <c r="J778" i="38" s="1"/>
  <c r="I778" i="38" a="1"/>
  <c r="I778" i="38" s="1"/>
  <c r="K777" i="38" a="1"/>
  <c r="K777" i="38" s="1"/>
  <c r="J777" i="38" a="1"/>
  <c r="J777" i="38" s="1"/>
  <c r="I777" i="38" a="1"/>
  <c r="I777" i="38" s="1"/>
  <c r="K776" i="38" a="1"/>
  <c r="K776" i="38" s="1"/>
  <c r="J776" i="38" a="1"/>
  <c r="J776" i="38" s="1"/>
  <c r="I776" i="38" a="1"/>
  <c r="I776" i="38" s="1"/>
  <c r="K775" i="38" a="1"/>
  <c r="K775" i="38" s="1"/>
  <c r="J775" i="38" a="1"/>
  <c r="J775" i="38" s="1"/>
  <c r="I775" i="38" a="1"/>
  <c r="I775" i="38" s="1"/>
  <c r="K774" i="38" a="1"/>
  <c r="K774" i="38" s="1"/>
  <c r="J774" i="38" a="1"/>
  <c r="J774" i="38" s="1"/>
  <c r="I774" i="38" a="1"/>
  <c r="I774" i="38" s="1"/>
  <c r="K773" i="38" a="1"/>
  <c r="K773" i="38" s="1"/>
  <c r="J773" i="38" a="1"/>
  <c r="J773" i="38" s="1"/>
  <c r="I773" i="38" a="1"/>
  <c r="I773" i="38" s="1"/>
  <c r="K772" i="38" a="1"/>
  <c r="K772" i="38" s="1"/>
  <c r="J772" i="38" a="1"/>
  <c r="J772" i="38" s="1"/>
  <c r="I772" i="38" a="1"/>
  <c r="I772" i="38" s="1"/>
  <c r="K771" i="38" a="1"/>
  <c r="K771" i="38" s="1"/>
  <c r="J771" i="38" a="1"/>
  <c r="J771" i="38" s="1"/>
  <c r="I771" i="38" a="1"/>
  <c r="I771" i="38" s="1"/>
  <c r="K770" i="38" a="1"/>
  <c r="K770" i="38" s="1"/>
  <c r="J770" i="38" a="1"/>
  <c r="J770" i="38" s="1"/>
  <c r="I770" i="38" a="1"/>
  <c r="I770" i="38" s="1"/>
  <c r="K769" i="38" a="1"/>
  <c r="K769" i="38" s="1"/>
  <c r="J769" i="38" a="1"/>
  <c r="J769" i="38" s="1"/>
  <c r="I769" i="38" a="1"/>
  <c r="I769" i="38" s="1"/>
  <c r="K768" i="38" a="1"/>
  <c r="K768" i="38" s="1"/>
  <c r="J768" i="38" a="1"/>
  <c r="J768" i="38" s="1"/>
  <c r="I768" i="38" a="1"/>
  <c r="I768" i="38" s="1"/>
  <c r="K767" i="38" a="1"/>
  <c r="K767" i="38" s="1"/>
  <c r="J767" i="38" a="1"/>
  <c r="J767" i="38" s="1"/>
  <c r="I767" i="38" a="1"/>
  <c r="I767" i="38" s="1"/>
  <c r="K766" i="38" a="1"/>
  <c r="K766" i="38" s="1"/>
  <c r="J766" i="38" a="1"/>
  <c r="J766" i="38" s="1"/>
  <c r="I766" i="38" a="1"/>
  <c r="I766" i="38" s="1"/>
  <c r="K765" i="38" a="1"/>
  <c r="K765" i="38" s="1"/>
  <c r="J765" i="38" a="1"/>
  <c r="J765" i="38" s="1"/>
  <c r="I765" i="38" a="1"/>
  <c r="I765" i="38" s="1"/>
  <c r="K764" i="38" a="1"/>
  <c r="K764" i="38" s="1"/>
  <c r="J764" i="38" a="1"/>
  <c r="J764" i="38" s="1"/>
  <c r="I764" i="38" a="1"/>
  <c r="I764" i="38" s="1"/>
  <c r="K763" i="38" a="1"/>
  <c r="K763" i="38" s="1"/>
  <c r="J763" i="38" a="1"/>
  <c r="J763" i="38" s="1"/>
  <c r="I763" i="38" a="1"/>
  <c r="I763" i="38" s="1"/>
  <c r="K762" i="38" a="1"/>
  <c r="K762" i="38" s="1"/>
  <c r="J762" i="38" a="1"/>
  <c r="J762" i="38" s="1"/>
  <c r="I762" i="38" a="1"/>
  <c r="I762" i="38" s="1"/>
  <c r="K761" i="38" a="1"/>
  <c r="K761" i="38" s="1"/>
  <c r="J761" i="38" a="1"/>
  <c r="J761" i="38" s="1"/>
  <c r="I761" i="38" a="1"/>
  <c r="I761" i="38" s="1"/>
  <c r="K760" i="38" a="1"/>
  <c r="K760" i="38" s="1"/>
  <c r="J760" i="38" a="1"/>
  <c r="J760" i="38" s="1"/>
  <c r="I760" i="38" a="1"/>
  <c r="I760" i="38" s="1"/>
  <c r="K759" i="38" a="1"/>
  <c r="K759" i="38" s="1"/>
  <c r="J759" i="38" a="1"/>
  <c r="J759" i="38" s="1"/>
  <c r="I759" i="38" a="1"/>
  <c r="I759" i="38" s="1"/>
  <c r="K758" i="38" a="1"/>
  <c r="K758" i="38" s="1"/>
  <c r="J758" i="38" a="1"/>
  <c r="J758" i="38" s="1"/>
  <c r="I758" i="38" a="1"/>
  <c r="I758" i="38" s="1"/>
  <c r="K757" i="38" a="1"/>
  <c r="K757" i="38" s="1"/>
  <c r="J757" i="38" a="1"/>
  <c r="J757" i="38" s="1"/>
  <c r="I757" i="38" a="1"/>
  <c r="I757" i="38" s="1"/>
  <c r="K756" i="38" a="1"/>
  <c r="K756" i="38" s="1"/>
  <c r="J756" i="38" a="1"/>
  <c r="J756" i="38" s="1"/>
  <c r="I756" i="38" a="1"/>
  <c r="I756" i="38" s="1"/>
  <c r="K755" i="38" a="1"/>
  <c r="K755" i="38" s="1"/>
  <c r="J755" i="38" a="1"/>
  <c r="J755" i="38" s="1"/>
  <c r="I755" i="38" a="1"/>
  <c r="I755" i="38" s="1"/>
  <c r="K754" i="38" a="1"/>
  <c r="K754" i="38" s="1"/>
  <c r="J754" i="38" a="1"/>
  <c r="J754" i="38" s="1"/>
  <c r="I754" i="38" a="1"/>
  <c r="I754" i="38" s="1"/>
  <c r="K753" i="38" a="1"/>
  <c r="K753" i="38" s="1"/>
  <c r="J753" i="38" a="1"/>
  <c r="J753" i="38" s="1"/>
  <c r="I753" i="38" a="1"/>
  <c r="I753" i="38" s="1"/>
  <c r="K752" i="38" a="1"/>
  <c r="K752" i="38" s="1"/>
  <c r="J752" i="38" a="1"/>
  <c r="J752" i="38" s="1"/>
  <c r="I752" i="38" a="1"/>
  <c r="I752" i="38" s="1"/>
  <c r="K751" i="38" a="1"/>
  <c r="K751" i="38" s="1"/>
  <c r="J751" i="38" a="1"/>
  <c r="J751" i="38" s="1"/>
  <c r="I751" i="38" a="1"/>
  <c r="I751" i="38" s="1"/>
  <c r="K750" i="38" a="1"/>
  <c r="K750" i="38" s="1"/>
  <c r="J750" i="38" a="1"/>
  <c r="J750" i="38" s="1"/>
  <c r="I750" i="38" a="1"/>
  <c r="I750" i="38" s="1"/>
  <c r="K749" i="38" a="1"/>
  <c r="K749" i="38" s="1"/>
  <c r="J749" i="38" a="1"/>
  <c r="J749" i="38" s="1"/>
  <c r="I749" i="38" a="1"/>
  <c r="I749" i="38" s="1"/>
  <c r="K748" i="38" a="1"/>
  <c r="K748" i="38" s="1"/>
  <c r="J748" i="38" a="1"/>
  <c r="J748" i="38" s="1"/>
  <c r="I748" i="38" a="1"/>
  <c r="I748" i="38" s="1"/>
  <c r="K747" i="38" a="1"/>
  <c r="K747" i="38" s="1"/>
  <c r="J747" i="38" a="1"/>
  <c r="J747" i="38" s="1"/>
  <c r="I747" i="38" a="1"/>
  <c r="I747" i="38" s="1"/>
  <c r="K746" i="38" a="1"/>
  <c r="K746" i="38" s="1"/>
  <c r="J746" i="38" a="1"/>
  <c r="J746" i="38" s="1"/>
  <c r="I746" i="38" a="1"/>
  <c r="I746" i="38" s="1"/>
  <c r="K745" i="38" a="1"/>
  <c r="K745" i="38" s="1"/>
  <c r="J745" i="38" a="1"/>
  <c r="J745" i="38" s="1"/>
  <c r="I745" i="38" a="1"/>
  <c r="I745" i="38" s="1"/>
  <c r="K744" i="38" a="1"/>
  <c r="K744" i="38" s="1"/>
  <c r="J744" i="38" a="1"/>
  <c r="J744" i="38" s="1"/>
  <c r="I744" i="38" a="1"/>
  <c r="I744" i="38" s="1"/>
  <c r="K743" i="38" a="1"/>
  <c r="K743" i="38" s="1"/>
  <c r="J743" i="38" a="1"/>
  <c r="J743" i="38" s="1"/>
  <c r="I743" i="38" a="1"/>
  <c r="I743" i="38" s="1"/>
  <c r="K742" i="38" a="1"/>
  <c r="K742" i="38" s="1"/>
  <c r="J742" i="38" a="1"/>
  <c r="J742" i="38" s="1"/>
  <c r="I742" i="38" a="1"/>
  <c r="I742" i="38" s="1"/>
  <c r="K741" i="38" a="1"/>
  <c r="K741" i="38" s="1"/>
  <c r="J741" i="38" a="1"/>
  <c r="J741" i="38" s="1"/>
  <c r="I741" i="38" a="1"/>
  <c r="I741" i="38" s="1"/>
  <c r="K740" i="38" a="1"/>
  <c r="K740" i="38" s="1"/>
  <c r="J740" i="38" a="1"/>
  <c r="J740" i="38" s="1"/>
  <c r="I740" i="38" a="1"/>
  <c r="I740" i="38" s="1"/>
  <c r="K739" i="38" a="1"/>
  <c r="K739" i="38" s="1"/>
  <c r="J739" i="38" a="1"/>
  <c r="J739" i="38" s="1"/>
  <c r="I739" i="38" a="1"/>
  <c r="I739" i="38" s="1"/>
  <c r="K738" i="38" a="1"/>
  <c r="K738" i="38" s="1"/>
  <c r="J738" i="38" a="1"/>
  <c r="J738" i="38" s="1"/>
  <c r="I738" i="38" a="1"/>
  <c r="I738" i="38" s="1"/>
  <c r="K737" i="38" a="1"/>
  <c r="K737" i="38" s="1"/>
  <c r="J737" i="38" a="1"/>
  <c r="J737" i="38" s="1"/>
  <c r="I737" i="38" a="1"/>
  <c r="I737" i="38" s="1"/>
  <c r="K736" i="38" a="1"/>
  <c r="K736" i="38" s="1"/>
  <c r="J736" i="38" a="1"/>
  <c r="J736" i="38" s="1"/>
  <c r="I736" i="38" a="1"/>
  <c r="I736" i="38" s="1"/>
  <c r="K735" i="38" a="1"/>
  <c r="K735" i="38" s="1"/>
  <c r="J735" i="38" a="1"/>
  <c r="J735" i="38" s="1"/>
  <c r="I735" i="38" a="1"/>
  <c r="I735" i="38" s="1"/>
  <c r="K734" i="38" a="1"/>
  <c r="K734" i="38" s="1"/>
  <c r="J734" i="38" a="1"/>
  <c r="J734" i="38" s="1"/>
  <c r="I734" i="38" a="1"/>
  <c r="I734" i="38" s="1"/>
  <c r="K733" i="38" a="1"/>
  <c r="K733" i="38" s="1"/>
  <c r="J733" i="38" a="1"/>
  <c r="J733" i="38" s="1"/>
  <c r="I733" i="38" a="1"/>
  <c r="I733" i="38" s="1"/>
  <c r="K732" i="38" a="1"/>
  <c r="K732" i="38" s="1"/>
  <c r="J732" i="38" a="1"/>
  <c r="J732" i="38" s="1"/>
  <c r="I732" i="38" a="1"/>
  <c r="I732" i="38" s="1"/>
  <c r="K731" i="38" a="1"/>
  <c r="K731" i="38" s="1"/>
  <c r="J731" i="38" a="1"/>
  <c r="J731" i="38" s="1"/>
  <c r="I731" i="38" a="1"/>
  <c r="I731" i="38" s="1"/>
  <c r="K730" i="38" a="1"/>
  <c r="K730" i="38" s="1"/>
  <c r="J730" i="38" a="1"/>
  <c r="J730" i="38" s="1"/>
  <c r="I730" i="38" a="1"/>
  <c r="I730" i="38" s="1"/>
  <c r="K729" i="38" a="1"/>
  <c r="K729" i="38" s="1"/>
  <c r="J729" i="38" a="1"/>
  <c r="J729" i="38" s="1"/>
  <c r="I729" i="38" a="1"/>
  <c r="I729" i="38" s="1"/>
  <c r="K728" i="38" a="1"/>
  <c r="K728" i="38" s="1"/>
  <c r="J728" i="38" a="1"/>
  <c r="J728" i="38" s="1"/>
  <c r="I728" i="38" a="1"/>
  <c r="I728" i="38" s="1"/>
  <c r="K727" i="38" a="1"/>
  <c r="K727" i="38" s="1"/>
  <c r="J727" i="38" a="1"/>
  <c r="J727" i="38" s="1"/>
  <c r="I727" i="38" a="1"/>
  <c r="I727" i="38" s="1"/>
  <c r="K726" i="38" a="1"/>
  <c r="K726" i="38" s="1"/>
  <c r="J726" i="38" a="1"/>
  <c r="J726" i="38" s="1"/>
  <c r="I726" i="38" a="1"/>
  <c r="I726" i="38" s="1"/>
  <c r="K725" i="38" a="1"/>
  <c r="K725" i="38" s="1"/>
  <c r="J725" i="38" a="1"/>
  <c r="J725" i="38" s="1"/>
  <c r="I725" i="38" a="1"/>
  <c r="I725" i="38" s="1"/>
  <c r="K724" i="38" a="1"/>
  <c r="K724" i="38" s="1"/>
  <c r="J724" i="38" a="1"/>
  <c r="J724" i="38" s="1"/>
  <c r="I724" i="38" a="1"/>
  <c r="I724" i="38" s="1"/>
  <c r="K723" i="38" a="1"/>
  <c r="K723" i="38" s="1"/>
  <c r="J723" i="38" a="1"/>
  <c r="J723" i="38" s="1"/>
  <c r="I723" i="38" a="1"/>
  <c r="I723" i="38" s="1"/>
  <c r="K722" i="38" a="1"/>
  <c r="K722" i="38" s="1"/>
  <c r="J722" i="38" a="1"/>
  <c r="J722" i="38" s="1"/>
  <c r="I722" i="38" a="1"/>
  <c r="I722" i="38" s="1"/>
  <c r="K721" i="38" a="1"/>
  <c r="K721" i="38" s="1"/>
  <c r="J721" i="38" a="1"/>
  <c r="J721" i="38" s="1"/>
  <c r="I721" i="38" a="1"/>
  <c r="I721" i="38" s="1"/>
  <c r="K720" i="38" a="1"/>
  <c r="K720" i="38" s="1"/>
  <c r="J720" i="38" a="1"/>
  <c r="J720" i="38" s="1"/>
  <c r="I720" i="38" a="1"/>
  <c r="I720" i="38" s="1"/>
  <c r="K719" i="38" a="1"/>
  <c r="K719" i="38" s="1"/>
  <c r="J719" i="38" a="1"/>
  <c r="J719" i="38" s="1"/>
  <c r="I719" i="38" a="1"/>
  <c r="I719" i="38" s="1"/>
  <c r="K718" i="38" a="1"/>
  <c r="K718" i="38" s="1"/>
  <c r="J718" i="38" a="1"/>
  <c r="J718" i="38" s="1"/>
  <c r="I718" i="38" a="1"/>
  <c r="I718" i="38" s="1"/>
  <c r="K717" i="38" a="1"/>
  <c r="K717" i="38" s="1"/>
  <c r="J717" i="38" a="1"/>
  <c r="J717" i="38" s="1"/>
  <c r="I717" i="38" a="1"/>
  <c r="I717" i="38" s="1"/>
  <c r="K716" i="38" a="1"/>
  <c r="K716" i="38" s="1"/>
  <c r="J716" i="38" a="1"/>
  <c r="J716" i="38" s="1"/>
  <c r="I716" i="38" a="1"/>
  <c r="I716" i="38" s="1"/>
  <c r="K715" i="38" a="1"/>
  <c r="K715" i="38" s="1"/>
  <c r="J715" i="38" a="1"/>
  <c r="J715" i="38" s="1"/>
  <c r="I715" i="38" a="1"/>
  <c r="I715" i="38" s="1"/>
  <c r="K714" i="38" a="1"/>
  <c r="K714" i="38" s="1"/>
  <c r="J714" i="38" a="1"/>
  <c r="J714" i="38" s="1"/>
  <c r="I714" i="38" a="1"/>
  <c r="I714" i="38" s="1"/>
  <c r="K713" i="38" a="1"/>
  <c r="K713" i="38" s="1"/>
  <c r="J713" i="38" a="1"/>
  <c r="J713" i="38" s="1"/>
  <c r="I713" i="38" a="1"/>
  <c r="I713" i="38" s="1"/>
  <c r="K712" i="38" a="1"/>
  <c r="K712" i="38" s="1"/>
  <c r="J712" i="38" a="1"/>
  <c r="J712" i="38" s="1"/>
  <c r="I712" i="38" a="1"/>
  <c r="I712" i="38" s="1"/>
  <c r="K711" i="38" a="1"/>
  <c r="K711" i="38" s="1"/>
  <c r="J711" i="38" a="1"/>
  <c r="J711" i="38" s="1"/>
  <c r="I711" i="38" a="1"/>
  <c r="I711" i="38" s="1"/>
  <c r="K710" i="38" a="1"/>
  <c r="K710" i="38" s="1"/>
  <c r="J710" i="38" a="1"/>
  <c r="J710" i="38" s="1"/>
  <c r="I710" i="38" a="1"/>
  <c r="I710" i="38" s="1"/>
  <c r="K709" i="38" a="1"/>
  <c r="K709" i="38" s="1"/>
  <c r="J709" i="38" a="1"/>
  <c r="J709" i="38" s="1"/>
  <c r="I709" i="38" a="1"/>
  <c r="I709" i="38" s="1"/>
  <c r="K708" i="38" a="1"/>
  <c r="K708" i="38" s="1"/>
  <c r="J708" i="38" a="1"/>
  <c r="J708" i="38" s="1"/>
  <c r="I708" i="38" a="1"/>
  <c r="I708" i="38" s="1"/>
  <c r="K707" i="38" a="1"/>
  <c r="K707" i="38" s="1"/>
  <c r="J707" i="38" a="1"/>
  <c r="J707" i="38" s="1"/>
  <c r="I707" i="38" a="1"/>
  <c r="I707" i="38" s="1"/>
  <c r="K706" i="38" a="1"/>
  <c r="K706" i="38" s="1"/>
  <c r="J706" i="38" a="1"/>
  <c r="J706" i="38" s="1"/>
  <c r="I706" i="38" a="1"/>
  <c r="I706" i="38" s="1"/>
  <c r="K705" i="38" a="1"/>
  <c r="K705" i="38" s="1"/>
  <c r="J705" i="38" a="1"/>
  <c r="J705" i="38" s="1"/>
  <c r="I705" i="38" a="1"/>
  <c r="I705" i="38" s="1"/>
  <c r="K704" i="38" a="1"/>
  <c r="K704" i="38" s="1"/>
  <c r="J704" i="38" a="1"/>
  <c r="J704" i="38" s="1"/>
  <c r="I704" i="38" a="1"/>
  <c r="I704" i="38" s="1"/>
  <c r="K703" i="38" a="1"/>
  <c r="K703" i="38" s="1"/>
  <c r="J703" i="38" a="1"/>
  <c r="J703" i="38" s="1"/>
  <c r="I703" i="38" a="1"/>
  <c r="I703" i="38" s="1"/>
  <c r="K702" i="38" a="1"/>
  <c r="K702" i="38" s="1"/>
  <c r="J702" i="38" a="1"/>
  <c r="J702" i="38" s="1"/>
  <c r="I702" i="38" a="1"/>
  <c r="I702" i="38" s="1"/>
  <c r="K701" i="38" a="1"/>
  <c r="K701" i="38" s="1"/>
  <c r="J701" i="38" a="1"/>
  <c r="J701" i="38" s="1"/>
  <c r="I701" i="38" a="1"/>
  <c r="I701" i="38" s="1"/>
  <c r="K700" i="38" a="1"/>
  <c r="K700" i="38" s="1"/>
  <c r="J700" i="38" a="1"/>
  <c r="J700" i="38" s="1"/>
  <c r="I700" i="38" a="1"/>
  <c r="I700" i="38" s="1"/>
  <c r="K699" i="38" a="1"/>
  <c r="K699" i="38" s="1"/>
  <c r="J699" i="38" a="1"/>
  <c r="J699" i="38" s="1"/>
  <c r="I699" i="38" a="1"/>
  <c r="I699" i="38" s="1"/>
  <c r="K698" i="38" a="1"/>
  <c r="K698" i="38" s="1"/>
  <c r="J698" i="38" a="1"/>
  <c r="J698" i="38" s="1"/>
  <c r="I698" i="38" a="1"/>
  <c r="I698" i="38" s="1"/>
  <c r="K697" i="38" a="1"/>
  <c r="K697" i="38" s="1"/>
  <c r="J697" i="38" a="1"/>
  <c r="J697" i="38" s="1"/>
  <c r="I697" i="38" a="1"/>
  <c r="I697" i="38" s="1"/>
  <c r="K696" i="38" a="1"/>
  <c r="K696" i="38" s="1"/>
  <c r="J696" i="38" a="1"/>
  <c r="J696" i="38" s="1"/>
  <c r="I696" i="38" a="1"/>
  <c r="I696" i="38" s="1"/>
  <c r="K695" i="38" a="1"/>
  <c r="K695" i="38" s="1"/>
  <c r="J695" i="38" a="1"/>
  <c r="J695" i="38" s="1"/>
  <c r="I695" i="38" a="1"/>
  <c r="I695" i="38" s="1"/>
  <c r="K694" i="38" a="1"/>
  <c r="K694" i="38" s="1"/>
  <c r="J694" i="38" a="1"/>
  <c r="J694" i="38" s="1"/>
  <c r="I694" i="38" a="1"/>
  <c r="I694" i="38" s="1"/>
  <c r="K693" i="38" a="1"/>
  <c r="K693" i="38" s="1"/>
  <c r="J693" i="38" a="1"/>
  <c r="J693" i="38" s="1"/>
  <c r="I693" i="38" a="1"/>
  <c r="I693" i="38" s="1"/>
  <c r="K692" i="38" a="1"/>
  <c r="K692" i="38" s="1"/>
  <c r="J692" i="38" a="1"/>
  <c r="J692" i="38" s="1"/>
  <c r="I692" i="38" a="1"/>
  <c r="I692" i="38" s="1"/>
  <c r="K691" i="38" a="1"/>
  <c r="K691" i="38" s="1"/>
  <c r="J691" i="38" a="1"/>
  <c r="J691" i="38" s="1"/>
  <c r="I691" i="38" a="1"/>
  <c r="I691" i="38" s="1"/>
  <c r="K690" i="38" a="1"/>
  <c r="K690" i="38" s="1"/>
  <c r="J690" i="38" a="1"/>
  <c r="J690" i="38" s="1"/>
  <c r="I690" i="38" a="1"/>
  <c r="I690" i="38" s="1"/>
  <c r="K689" i="38" a="1"/>
  <c r="K689" i="38" s="1"/>
  <c r="J689" i="38" a="1"/>
  <c r="J689" i="38" s="1"/>
  <c r="I689" i="38" a="1"/>
  <c r="I689" i="38" s="1"/>
  <c r="K688" i="38" a="1"/>
  <c r="K688" i="38" s="1"/>
  <c r="J688" i="38" a="1"/>
  <c r="J688" i="38" s="1"/>
  <c r="I688" i="38" a="1"/>
  <c r="I688" i="38" s="1"/>
  <c r="K687" i="38" a="1"/>
  <c r="K687" i="38" s="1"/>
  <c r="J687" i="38" a="1"/>
  <c r="J687" i="38" s="1"/>
  <c r="I687" i="38" a="1"/>
  <c r="I687" i="38" s="1"/>
  <c r="K686" i="38" a="1"/>
  <c r="K686" i="38" s="1"/>
  <c r="J686" i="38" a="1"/>
  <c r="J686" i="38" s="1"/>
  <c r="I686" i="38" a="1"/>
  <c r="I686" i="38" s="1"/>
  <c r="K685" i="38" a="1"/>
  <c r="K685" i="38" s="1"/>
  <c r="J685" i="38" a="1"/>
  <c r="J685" i="38" s="1"/>
  <c r="I685" i="38" a="1"/>
  <c r="I685" i="38" s="1"/>
  <c r="K684" i="38" a="1"/>
  <c r="K684" i="38" s="1"/>
  <c r="J684" i="38" a="1"/>
  <c r="J684" i="38" s="1"/>
  <c r="I684" i="38" a="1"/>
  <c r="I684" i="38" s="1"/>
  <c r="K683" i="38" a="1"/>
  <c r="K683" i="38" s="1"/>
  <c r="J683" i="38" a="1"/>
  <c r="J683" i="38" s="1"/>
  <c r="I683" i="38" a="1"/>
  <c r="I683" i="38" s="1"/>
  <c r="K682" i="38" a="1"/>
  <c r="K682" i="38" s="1"/>
  <c r="J682" i="38" a="1"/>
  <c r="J682" i="38" s="1"/>
  <c r="I682" i="38" a="1"/>
  <c r="I682" i="38" s="1"/>
  <c r="K681" i="38" a="1"/>
  <c r="K681" i="38" s="1"/>
  <c r="J681" i="38" a="1"/>
  <c r="J681" i="38" s="1"/>
  <c r="I681" i="38" a="1"/>
  <c r="I681" i="38" s="1"/>
  <c r="K680" i="38" a="1"/>
  <c r="K680" i="38" s="1"/>
  <c r="J680" i="38" a="1"/>
  <c r="J680" i="38" s="1"/>
  <c r="I680" i="38" a="1"/>
  <c r="I680" i="38" s="1"/>
  <c r="K679" i="38" a="1"/>
  <c r="K679" i="38" s="1"/>
  <c r="J679" i="38" a="1"/>
  <c r="J679" i="38" s="1"/>
  <c r="I679" i="38" a="1"/>
  <c r="I679" i="38" s="1"/>
  <c r="K678" i="38" a="1"/>
  <c r="K678" i="38" s="1"/>
  <c r="J678" i="38" a="1"/>
  <c r="J678" i="38" s="1"/>
  <c r="I678" i="38" a="1"/>
  <c r="I678" i="38" s="1"/>
  <c r="K677" i="38" a="1"/>
  <c r="K677" i="38" s="1"/>
  <c r="J677" i="38" a="1"/>
  <c r="J677" i="38" s="1"/>
  <c r="I677" i="38" a="1"/>
  <c r="I677" i="38" s="1"/>
  <c r="K676" i="38" a="1"/>
  <c r="K676" i="38" s="1"/>
  <c r="J676" i="38" a="1"/>
  <c r="J676" i="38" s="1"/>
  <c r="I676" i="38" a="1"/>
  <c r="I676" i="38" s="1"/>
  <c r="K675" i="38" a="1"/>
  <c r="K675" i="38" s="1"/>
  <c r="J675" i="38" a="1"/>
  <c r="J675" i="38" s="1"/>
  <c r="I675" i="38" a="1"/>
  <c r="I675" i="38" s="1"/>
  <c r="K674" i="38" a="1"/>
  <c r="K674" i="38" s="1"/>
  <c r="J674" i="38" a="1"/>
  <c r="J674" i="38" s="1"/>
  <c r="I674" i="38" a="1"/>
  <c r="I674" i="38" s="1"/>
  <c r="K673" i="38" a="1"/>
  <c r="K673" i="38" s="1"/>
  <c r="J673" i="38" a="1"/>
  <c r="J673" i="38" s="1"/>
  <c r="I673" i="38" a="1"/>
  <c r="I673" i="38" s="1"/>
  <c r="K672" i="38" a="1"/>
  <c r="K672" i="38" s="1"/>
  <c r="J672" i="38" a="1"/>
  <c r="J672" i="38" s="1"/>
  <c r="I672" i="38" a="1"/>
  <c r="I672" i="38" s="1"/>
  <c r="K671" i="38" a="1"/>
  <c r="K671" i="38" s="1"/>
  <c r="J671" i="38" a="1"/>
  <c r="J671" i="38" s="1"/>
  <c r="I671" i="38" a="1"/>
  <c r="I671" i="38" s="1"/>
  <c r="K670" i="38" a="1"/>
  <c r="K670" i="38" s="1"/>
  <c r="J670" i="38" a="1"/>
  <c r="J670" i="38" s="1"/>
  <c r="I670" i="38" a="1"/>
  <c r="I670" i="38" s="1"/>
  <c r="K669" i="38" a="1"/>
  <c r="K669" i="38" s="1"/>
  <c r="J669" i="38" a="1"/>
  <c r="J669" i="38" s="1"/>
  <c r="I669" i="38" a="1"/>
  <c r="I669" i="38" s="1"/>
  <c r="K668" i="38" a="1"/>
  <c r="K668" i="38" s="1"/>
  <c r="J668" i="38" a="1"/>
  <c r="J668" i="38" s="1"/>
  <c r="I668" i="38" a="1"/>
  <c r="I668" i="38" s="1"/>
  <c r="K667" i="38" a="1"/>
  <c r="K667" i="38" s="1"/>
  <c r="J667" i="38" a="1"/>
  <c r="J667" i="38" s="1"/>
  <c r="I667" i="38" a="1"/>
  <c r="I667" i="38" s="1"/>
  <c r="K666" i="38" a="1"/>
  <c r="K666" i="38" s="1"/>
  <c r="J666" i="38" a="1"/>
  <c r="J666" i="38" s="1"/>
  <c r="I666" i="38" a="1"/>
  <c r="I666" i="38" s="1"/>
  <c r="K665" i="38" a="1"/>
  <c r="K665" i="38" s="1"/>
  <c r="J665" i="38" a="1"/>
  <c r="J665" i="38" s="1"/>
  <c r="I665" i="38" a="1"/>
  <c r="I665" i="38" s="1"/>
  <c r="K664" i="38" a="1"/>
  <c r="K664" i="38" s="1"/>
  <c r="J664" i="38" a="1"/>
  <c r="J664" i="38" s="1"/>
  <c r="I664" i="38" a="1"/>
  <c r="I664" i="38" s="1"/>
  <c r="K663" i="38" a="1"/>
  <c r="K663" i="38" s="1"/>
  <c r="J663" i="38" a="1"/>
  <c r="J663" i="38" s="1"/>
  <c r="I663" i="38" a="1"/>
  <c r="I663" i="38" s="1"/>
  <c r="K662" i="38" a="1"/>
  <c r="K662" i="38" s="1"/>
  <c r="J662" i="38" a="1"/>
  <c r="J662" i="38" s="1"/>
  <c r="I662" i="38" a="1"/>
  <c r="I662" i="38" s="1"/>
  <c r="K661" i="38" a="1"/>
  <c r="K661" i="38" s="1"/>
  <c r="J661" i="38" a="1"/>
  <c r="J661" i="38" s="1"/>
  <c r="I661" i="38" a="1"/>
  <c r="I661" i="38" s="1"/>
  <c r="K660" i="38" a="1"/>
  <c r="K660" i="38" s="1"/>
  <c r="J660" i="38" a="1"/>
  <c r="J660" i="38" s="1"/>
  <c r="I660" i="38" a="1"/>
  <c r="I660" i="38" s="1"/>
  <c r="K659" i="38" a="1"/>
  <c r="K659" i="38" s="1"/>
  <c r="J659" i="38" a="1"/>
  <c r="J659" i="38" s="1"/>
  <c r="I659" i="38" a="1"/>
  <c r="I659" i="38" s="1"/>
  <c r="K658" i="38" a="1"/>
  <c r="K658" i="38" s="1"/>
  <c r="J658" i="38" a="1"/>
  <c r="J658" i="38" s="1"/>
  <c r="I658" i="38" a="1"/>
  <c r="I658" i="38" s="1"/>
  <c r="K657" i="38" a="1"/>
  <c r="K657" i="38" s="1"/>
  <c r="J657" i="38" a="1"/>
  <c r="J657" i="38" s="1"/>
  <c r="I657" i="38" a="1"/>
  <c r="I657" i="38" s="1"/>
  <c r="K656" i="38" a="1"/>
  <c r="K656" i="38" s="1"/>
  <c r="J656" i="38" a="1"/>
  <c r="J656" i="38" s="1"/>
  <c r="I656" i="38" a="1"/>
  <c r="I656" i="38" s="1"/>
  <c r="K655" i="38" a="1"/>
  <c r="K655" i="38" s="1"/>
  <c r="J655" i="38" a="1"/>
  <c r="J655" i="38" s="1"/>
  <c r="I655" i="38" a="1"/>
  <c r="I655" i="38" s="1"/>
  <c r="K654" i="38" a="1"/>
  <c r="K654" i="38" s="1"/>
  <c r="J654" i="38" a="1"/>
  <c r="J654" i="38" s="1"/>
  <c r="I654" i="38" a="1"/>
  <c r="I654" i="38" s="1"/>
  <c r="K653" i="38" a="1"/>
  <c r="K653" i="38" s="1"/>
  <c r="J653" i="38" a="1"/>
  <c r="J653" i="38" s="1"/>
  <c r="I653" i="38" a="1"/>
  <c r="I653" i="38" s="1"/>
  <c r="K652" i="38" a="1"/>
  <c r="K652" i="38" s="1"/>
  <c r="J652" i="38" a="1"/>
  <c r="J652" i="38" s="1"/>
  <c r="I652" i="38" a="1"/>
  <c r="I652" i="38" s="1"/>
  <c r="K651" i="38" a="1"/>
  <c r="K651" i="38" s="1"/>
  <c r="J651" i="38" a="1"/>
  <c r="J651" i="38" s="1"/>
  <c r="I651" i="38" a="1"/>
  <c r="I651" i="38" s="1"/>
  <c r="K650" i="38" a="1"/>
  <c r="K650" i="38" s="1"/>
  <c r="J650" i="38" a="1"/>
  <c r="J650" i="38" s="1"/>
  <c r="I650" i="38" a="1"/>
  <c r="I650" i="38" s="1"/>
  <c r="K649" i="38" a="1"/>
  <c r="K649" i="38" s="1"/>
  <c r="J649" i="38" a="1"/>
  <c r="J649" i="38" s="1"/>
  <c r="I649" i="38" a="1"/>
  <c r="I649" i="38" s="1"/>
  <c r="K648" i="38" a="1"/>
  <c r="K648" i="38" s="1"/>
  <c r="J648" i="38" a="1"/>
  <c r="J648" i="38" s="1"/>
  <c r="I648" i="38" a="1"/>
  <c r="I648" i="38" s="1"/>
  <c r="K647" i="38" a="1"/>
  <c r="K647" i="38" s="1"/>
  <c r="J647" i="38" a="1"/>
  <c r="J647" i="38" s="1"/>
  <c r="I647" i="38" a="1"/>
  <c r="I647" i="38" s="1"/>
  <c r="K646" i="38" a="1"/>
  <c r="K646" i="38" s="1"/>
  <c r="J646" i="38" a="1"/>
  <c r="J646" i="38" s="1"/>
  <c r="I646" i="38" a="1"/>
  <c r="I646" i="38" s="1"/>
  <c r="K645" i="38" a="1"/>
  <c r="K645" i="38" s="1"/>
  <c r="J645" i="38" a="1"/>
  <c r="J645" i="38" s="1"/>
  <c r="I645" i="38" a="1"/>
  <c r="I645" i="38" s="1"/>
  <c r="K644" i="38" a="1"/>
  <c r="K644" i="38" s="1"/>
  <c r="J644" i="38" a="1"/>
  <c r="J644" i="38" s="1"/>
  <c r="I644" i="38" a="1"/>
  <c r="I644" i="38" s="1"/>
  <c r="K643" i="38" a="1"/>
  <c r="K643" i="38" s="1"/>
  <c r="J643" i="38" a="1"/>
  <c r="J643" i="38" s="1"/>
  <c r="I643" i="38" a="1"/>
  <c r="I643" i="38" s="1"/>
  <c r="K642" i="38" a="1"/>
  <c r="K642" i="38" s="1"/>
  <c r="J642" i="38" a="1"/>
  <c r="J642" i="38" s="1"/>
  <c r="I642" i="38" a="1"/>
  <c r="I642" i="38" s="1"/>
  <c r="K641" i="38" a="1"/>
  <c r="K641" i="38" s="1"/>
  <c r="J641" i="38" a="1"/>
  <c r="J641" i="38" s="1"/>
  <c r="I641" i="38" a="1"/>
  <c r="I641" i="38" s="1"/>
  <c r="K640" i="38" a="1"/>
  <c r="K640" i="38" s="1"/>
  <c r="J640" i="38" a="1"/>
  <c r="J640" i="38" s="1"/>
  <c r="I640" i="38" a="1"/>
  <c r="I640" i="38" s="1"/>
  <c r="K639" i="38" a="1"/>
  <c r="K639" i="38" s="1"/>
  <c r="J639" i="38" a="1"/>
  <c r="J639" i="38" s="1"/>
  <c r="I639" i="38" a="1"/>
  <c r="I639" i="38" s="1"/>
  <c r="K638" i="38" a="1"/>
  <c r="K638" i="38" s="1"/>
  <c r="J638" i="38" a="1"/>
  <c r="J638" i="38" s="1"/>
  <c r="I638" i="38" a="1"/>
  <c r="I638" i="38" s="1"/>
  <c r="K637" i="38" a="1"/>
  <c r="K637" i="38" s="1"/>
  <c r="J637" i="38" a="1"/>
  <c r="J637" i="38" s="1"/>
  <c r="I637" i="38" a="1"/>
  <c r="I637" i="38" s="1"/>
  <c r="K636" i="38" a="1"/>
  <c r="K636" i="38" s="1"/>
  <c r="J636" i="38" a="1"/>
  <c r="J636" i="38" s="1"/>
  <c r="I636" i="38" a="1"/>
  <c r="I636" i="38" s="1"/>
  <c r="K635" i="38" a="1"/>
  <c r="K635" i="38" s="1"/>
  <c r="J635" i="38" a="1"/>
  <c r="J635" i="38" s="1"/>
  <c r="I635" i="38" a="1"/>
  <c r="I635" i="38" s="1"/>
  <c r="K634" i="38" a="1"/>
  <c r="K634" i="38" s="1"/>
  <c r="J634" i="38" a="1"/>
  <c r="J634" i="38" s="1"/>
  <c r="I634" i="38" a="1"/>
  <c r="I634" i="38" s="1"/>
  <c r="K633" i="38" a="1"/>
  <c r="K633" i="38" s="1"/>
  <c r="J633" i="38" a="1"/>
  <c r="J633" i="38" s="1"/>
  <c r="I633" i="38" a="1"/>
  <c r="I633" i="38" s="1"/>
  <c r="K632" i="38" a="1"/>
  <c r="K632" i="38" s="1"/>
  <c r="J632" i="38" a="1"/>
  <c r="J632" i="38" s="1"/>
  <c r="I632" i="38" a="1"/>
  <c r="I632" i="38" s="1"/>
  <c r="K631" i="38" a="1"/>
  <c r="K631" i="38" s="1"/>
  <c r="J631" i="38" a="1"/>
  <c r="J631" i="38" s="1"/>
  <c r="I631" i="38" a="1"/>
  <c r="I631" i="38" s="1"/>
  <c r="K630" i="38" a="1"/>
  <c r="K630" i="38" s="1"/>
  <c r="J630" i="38" a="1"/>
  <c r="J630" i="38" s="1"/>
  <c r="I630" i="38" a="1"/>
  <c r="I630" i="38" s="1"/>
  <c r="K629" i="38" a="1"/>
  <c r="K629" i="38" s="1"/>
  <c r="J629" i="38" a="1"/>
  <c r="J629" i="38" s="1"/>
  <c r="I629" i="38" a="1"/>
  <c r="I629" i="38" s="1"/>
  <c r="K628" i="38" a="1"/>
  <c r="K628" i="38" s="1"/>
  <c r="J628" i="38" a="1"/>
  <c r="J628" i="38" s="1"/>
  <c r="I628" i="38" a="1"/>
  <c r="I628" i="38" s="1"/>
  <c r="K627" i="38" a="1"/>
  <c r="K627" i="38" s="1"/>
  <c r="J627" i="38" a="1"/>
  <c r="J627" i="38" s="1"/>
  <c r="I627" i="38" a="1"/>
  <c r="I627" i="38" s="1"/>
  <c r="K626" i="38" a="1"/>
  <c r="K626" i="38" s="1"/>
  <c r="J626" i="38" a="1"/>
  <c r="J626" i="38" s="1"/>
  <c r="I626" i="38" a="1"/>
  <c r="I626" i="38" s="1"/>
  <c r="K625" i="38" a="1"/>
  <c r="K625" i="38" s="1"/>
  <c r="J625" i="38" a="1"/>
  <c r="J625" i="38" s="1"/>
  <c r="I625" i="38" a="1"/>
  <c r="I625" i="38" s="1"/>
  <c r="K624" i="38" a="1"/>
  <c r="K624" i="38" s="1"/>
  <c r="J624" i="38" a="1"/>
  <c r="J624" i="38" s="1"/>
  <c r="I624" i="38" a="1"/>
  <c r="I624" i="38" s="1"/>
  <c r="K623" i="38" a="1"/>
  <c r="K623" i="38" s="1"/>
  <c r="J623" i="38" a="1"/>
  <c r="J623" i="38" s="1"/>
  <c r="I623" i="38" a="1"/>
  <c r="I623" i="38" s="1"/>
  <c r="K622" i="38" a="1"/>
  <c r="K622" i="38" s="1"/>
  <c r="J622" i="38" a="1"/>
  <c r="J622" i="38" s="1"/>
  <c r="I622" i="38" a="1"/>
  <c r="I622" i="38" s="1"/>
  <c r="K621" i="38" a="1"/>
  <c r="K621" i="38" s="1"/>
  <c r="J621" i="38" a="1"/>
  <c r="J621" i="38" s="1"/>
  <c r="I621" i="38" a="1"/>
  <c r="I621" i="38" s="1"/>
  <c r="K620" i="38" a="1"/>
  <c r="K620" i="38" s="1"/>
  <c r="J620" i="38" a="1"/>
  <c r="J620" i="38" s="1"/>
  <c r="I620" i="38" a="1"/>
  <c r="I620" i="38" s="1"/>
  <c r="K619" i="38" a="1"/>
  <c r="K619" i="38" s="1"/>
  <c r="J619" i="38" a="1"/>
  <c r="J619" i="38" s="1"/>
  <c r="I619" i="38" a="1"/>
  <c r="I619" i="38" s="1"/>
  <c r="K618" i="38" a="1"/>
  <c r="K618" i="38" s="1"/>
  <c r="J618" i="38" a="1"/>
  <c r="J618" i="38" s="1"/>
  <c r="I618" i="38" a="1"/>
  <c r="I618" i="38" s="1"/>
  <c r="K617" i="38" a="1"/>
  <c r="K617" i="38" s="1"/>
  <c r="J617" i="38" a="1"/>
  <c r="J617" i="38" s="1"/>
  <c r="I617" i="38" a="1"/>
  <c r="I617" i="38" s="1"/>
  <c r="K616" i="38" a="1"/>
  <c r="K616" i="38" s="1"/>
  <c r="J616" i="38" a="1"/>
  <c r="J616" i="38" s="1"/>
  <c r="I616" i="38" a="1"/>
  <c r="I616" i="38" s="1"/>
  <c r="K615" i="38" a="1"/>
  <c r="K615" i="38" s="1"/>
  <c r="J615" i="38" a="1"/>
  <c r="J615" i="38" s="1"/>
  <c r="I615" i="38" a="1"/>
  <c r="I615" i="38" s="1"/>
  <c r="K614" i="38" a="1"/>
  <c r="K614" i="38" s="1"/>
  <c r="J614" i="38" a="1"/>
  <c r="J614" i="38" s="1"/>
  <c r="I614" i="38" a="1"/>
  <c r="I614" i="38" s="1"/>
  <c r="K613" i="38" a="1"/>
  <c r="K613" i="38" s="1"/>
  <c r="J613" i="38" a="1"/>
  <c r="J613" i="38" s="1"/>
  <c r="I613" i="38" a="1"/>
  <c r="I613" i="38" s="1"/>
  <c r="K612" i="38" a="1"/>
  <c r="K612" i="38" s="1"/>
  <c r="J612" i="38" a="1"/>
  <c r="J612" i="38" s="1"/>
  <c r="I612" i="38" a="1"/>
  <c r="I612" i="38" s="1"/>
  <c r="K611" i="38" a="1"/>
  <c r="K611" i="38" s="1"/>
  <c r="J611" i="38" a="1"/>
  <c r="J611" i="38" s="1"/>
  <c r="I611" i="38" a="1"/>
  <c r="I611" i="38" s="1"/>
  <c r="K610" i="38" a="1"/>
  <c r="K610" i="38" s="1"/>
  <c r="J610" i="38" a="1"/>
  <c r="J610" i="38" s="1"/>
  <c r="I610" i="38" a="1"/>
  <c r="I610" i="38" s="1"/>
  <c r="K609" i="38" a="1"/>
  <c r="K609" i="38" s="1"/>
  <c r="J609" i="38" a="1"/>
  <c r="J609" i="38" s="1"/>
  <c r="I609" i="38" a="1"/>
  <c r="I609" i="38" s="1"/>
  <c r="K608" i="38" a="1"/>
  <c r="K608" i="38" s="1"/>
  <c r="J608" i="38" a="1"/>
  <c r="J608" i="38" s="1"/>
  <c r="I608" i="38" a="1"/>
  <c r="I608" i="38" s="1"/>
  <c r="K607" i="38" a="1"/>
  <c r="K607" i="38" s="1"/>
  <c r="J607" i="38" a="1"/>
  <c r="J607" i="38" s="1"/>
  <c r="I607" i="38" a="1"/>
  <c r="I607" i="38" s="1"/>
  <c r="K606" i="38" a="1"/>
  <c r="K606" i="38" s="1"/>
  <c r="J606" i="38" a="1"/>
  <c r="J606" i="38" s="1"/>
  <c r="I606" i="38" a="1"/>
  <c r="I606" i="38" s="1"/>
  <c r="K605" i="38" a="1"/>
  <c r="K605" i="38" s="1"/>
  <c r="J605" i="38" a="1"/>
  <c r="J605" i="38" s="1"/>
  <c r="I605" i="38" a="1"/>
  <c r="I605" i="38" s="1"/>
  <c r="K604" i="38" a="1"/>
  <c r="K604" i="38" s="1"/>
  <c r="J604" i="38" a="1"/>
  <c r="J604" i="38" s="1"/>
  <c r="I604" i="38" a="1"/>
  <c r="I604" i="38" s="1"/>
  <c r="K603" i="38" a="1"/>
  <c r="K603" i="38" s="1"/>
  <c r="J603" i="38" a="1"/>
  <c r="J603" i="38" s="1"/>
  <c r="I603" i="38" a="1"/>
  <c r="I603" i="38" s="1"/>
  <c r="K602" i="38" a="1"/>
  <c r="K602" i="38" s="1"/>
  <c r="J602" i="38" a="1"/>
  <c r="J602" i="38" s="1"/>
  <c r="I602" i="38" a="1"/>
  <c r="I602" i="38" s="1"/>
  <c r="K601" i="38" a="1"/>
  <c r="K601" i="38" s="1"/>
  <c r="J601" i="38" a="1"/>
  <c r="J601" i="38" s="1"/>
  <c r="I601" i="38" a="1"/>
  <c r="I601" i="38" s="1"/>
  <c r="K600" i="38" a="1"/>
  <c r="K600" i="38" s="1"/>
  <c r="J600" i="38" a="1"/>
  <c r="J600" i="38" s="1"/>
  <c r="I600" i="38" a="1"/>
  <c r="I600" i="38" s="1"/>
  <c r="K599" i="38" a="1"/>
  <c r="K599" i="38" s="1"/>
  <c r="J599" i="38" a="1"/>
  <c r="J599" i="38" s="1"/>
  <c r="I599" i="38" a="1"/>
  <c r="I599" i="38" s="1"/>
  <c r="K598" i="38" a="1"/>
  <c r="K598" i="38" s="1"/>
  <c r="J598" i="38" a="1"/>
  <c r="J598" i="38" s="1"/>
  <c r="I598" i="38" a="1"/>
  <c r="I598" i="38" s="1"/>
  <c r="K597" i="38" a="1"/>
  <c r="K597" i="38" s="1"/>
  <c r="J597" i="38" a="1"/>
  <c r="J597" i="38" s="1"/>
  <c r="I597" i="38" a="1"/>
  <c r="I597" i="38" s="1"/>
  <c r="K596" i="38" a="1"/>
  <c r="K596" i="38" s="1"/>
  <c r="J596" i="38" a="1"/>
  <c r="J596" i="38" s="1"/>
  <c r="I596" i="38" a="1"/>
  <c r="I596" i="38" s="1"/>
  <c r="K595" i="38" a="1"/>
  <c r="K595" i="38" s="1"/>
  <c r="J595" i="38" a="1"/>
  <c r="J595" i="38" s="1"/>
  <c r="I595" i="38" a="1"/>
  <c r="I595" i="38" s="1"/>
  <c r="K594" i="38" a="1"/>
  <c r="K594" i="38" s="1"/>
  <c r="J594" i="38" a="1"/>
  <c r="J594" i="38" s="1"/>
  <c r="I594" i="38" a="1"/>
  <c r="I594" i="38" s="1"/>
  <c r="K593" i="38" a="1"/>
  <c r="K593" i="38" s="1"/>
  <c r="J593" i="38" a="1"/>
  <c r="J593" i="38" s="1"/>
  <c r="I593" i="38" a="1"/>
  <c r="I593" i="38" s="1"/>
  <c r="K592" i="38" a="1"/>
  <c r="K592" i="38" s="1"/>
  <c r="J592" i="38" a="1"/>
  <c r="J592" i="38" s="1"/>
  <c r="I592" i="38" a="1"/>
  <c r="I592" i="38" s="1"/>
  <c r="K591" i="38" a="1"/>
  <c r="K591" i="38" s="1"/>
  <c r="J591" i="38" a="1"/>
  <c r="J591" i="38" s="1"/>
  <c r="I591" i="38" a="1"/>
  <c r="I591" i="38" s="1"/>
  <c r="K590" i="38" a="1"/>
  <c r="K590" i="38" s="1"/>
  <c r="J590" i="38" a="1"/>
  <c r="J590" i="38" s="1"/>
  <c r="I590" i="38" a="1"/>
  <c r="I590" i="38" s="1"/>
  <c r="K589" i="38" a="1"/>
  <c r="K589" i="38" s="1"/>
  <c r="J589" i="38" a="1"/>
  <c r="J589" i="38" s="1"/>
  <c r="I589" i="38" a="1"/>
  <c r="I589" i="38" s="1"/>
  <c r="K588" i="38" a="1"/>
  <c r="K588" i="38" s="1"/>
  <c r="J588" i="38" a="1"/>
  <c r="J588" i="38" s="1"/>
  <c r="I588" i="38" a="1"/>
  <c r="I588" i="38" s="1"/>
  <c r="K587" i="38" a="1"/>
  <c r="K587" i="38" s="1"/>
  <c r="J587" i="38" a="1"/>
  <c r="J587" i="38" s="1"/>
  <c r="I587" i="38" a="1"/>
  <c r="I587" i="38" s="1"/>
  <c r="K586" i="38" a="1"/>
  <c r="K586" i="38" s="1"/>
  <c r="J586" i="38" a="1"/>
  <c r="J586" i="38" s="1"/>
  <c r="I586" i="38" a="1"/>
  <c r="I586" i="38" s="1"/>
  <c r="K585" i="38" a="1"/>
  <c r="K585" i="38" s="1"/>
  <c r="J585" i="38" a="1"/>
  <c r="J585" i="38" s="1"/>
  <c r="I585" i="38" a="1"/>
  <c r="I585" i="38" s="1"/>
  <c r="K584" i="38" a="1"/>
  <c r="K584" i="38" s="1"/>
  <c r="J584" i="38" a="1"/>
  <c r="J584" i="38" s="1"/>
  <c r="I584" i="38" a="1"/>
  <c r="I584" i="38" s="1"/>
  <c r="K583" i="38" a="1"/>
  <c r="K583" i="38" s="1"/>
  <c r="J583" i="38" a="1"/>
  <c r="J583" i="38" s="1"/>
  <c r="I583" i="38" a="1"/>
  <c r="I583" i="38" s="1"/>
  <c r="K582" i="38" a="1"/>
  <c r="K582" i="38" s="1"/>
  <c r="J582" i="38" a="1"/>
  <c r="J582" i="38" s="1"/>
  <c r="I582" i="38" a="1"/>
  <c r="I582" i="38" s="1"/>
  <c r="K581" i="38" a="1"/>
  <c r="K581" i="38" s="1"/>
  <c r="J581" i="38" a="1"/>
  <c r="J581" i="38" s="1"/>
  <c r="I581" i="38" a="1"/>
  <c r="I581" i="38" s="1"/>
  <c r="K580" i="38" a="1"/>
  <c r="K580" i="38" s="1"/>
  <c r="J580" i="38" a="1"/>
  <c r="J580" i="38" s="1"/>
  <c r="I580" i="38" a="1"/>
  <c r="I580" i="38" s="1"/>
  <c r="K579" i="38" a="1"/>
  <c r="K579" i="38" s="1"/>
  <c r="J579" i="38" a="1"/>
  <c r="J579" i="38" s="1"/>
  <c r="I579" i="38" a="1"/>
  <c r="I579" i="38" s="1"/>
  <c r="K578" i="38" a="1"/>
  <c r="K578" i="38" s="1"/>
  <c r="J578" i="38" a="1"/>
  <c r="J578" i="38" s="1"/>
  <c r="I578" i="38" a="1"/>
  <c r="I578" i="38" s="1"/>
  <c r="K577" i="38" a="1"/>
  <c r="K577" i="38" s="1"/>
  <c r="J577" i="38" a="1"/>
  <c r="J577" i="38" s="1"/>
  <c r="I577" i="38" a="1"/>
  <c r="I577" i="38" s="1"/>
  <c r="K576" i="38" a="1"/>
  <c r="K576" i="38" s="1"/>
  <c r="J576" i="38" a="1"/>
  <c r="J576" i="38" s="1"/>
  <c r="I576" i="38" a="1"/>
  <c r="I576" i="38" s="1"/>
  <c r="K575" i="38" a="1"/>
  <c r="K575" i="38" s="1"/>
  <c r="J575" i="38" a="1"/>
  <c r="J575" i="38" s="1"/>
  <c r="I575" i="38" a="1"/>
  <c r="I575" i="38" s="1"/>
  <c r="K574" i="38" a="1"/>
  <c r="K574" i="38" s="1"/>
  <c r="J574" i="38" a="1"/>
  <c r="J574" i="38" s="1"/>
  <c r="I574" i="38" a="1"/>
  <c r="I574" i="38" s="1"/>
  <c r="K573" i="38" a="1"/>
  <c r="K573" i="38" s="1"/>
  <c r="J573" i="38" a="1"/>
  <c r="J573" i="38" s="1"/>
  <c r="I573" i="38" a="1"/>
  <c r="I573" i="38" s="1"/>
  <c r="K572" i="38" a="1"/>
  <c r="K572" i="38" s="1"/>
  <c r="J572" i="38" a="1"/>
  <c r="J572" i="38" s="1"/>
  <c r="I572" i="38" a="1"/>
  <c r="I572" i="38" s="1"/>
  <c r="K571" i="38" a="1"/>
  <c r="K571" i="38" s="1"/>
  <c r="J571" i="38" a="1"/>
  <c r="J571" i="38" s="1"/>
  <c r="I571" i="38" a="1"/>
  <c r="I571" i="38" s="1"/>
  <c r="K570" i="38" a="1"/>
  <c r="K570" i="38" s="1"/>
  <c r="J570" i="38" a="1"/>
  <c r="J570" i="38" s="1"/>
  <c r="I570" i="38" a="1"/>
  <c r="I570" i="38" s="1"/>
  <c r="K569" i="38" a="1"/>
  <c r="K569" i="38" s="1"/>
  <c r="J569" i="38" a="1"/>
  <c r="J569" i="38" s="1"/>
  <c r="I569" i="38" a="1"/>
  <c r="I569" i="38" s="1"/>
  <c r="K568" i="38" a="1"/>
  <c r="K568" i="38" s="1"/>
  <c r="J568" i="38" a="1"/>
  <c r="J568" i="38" s="1"/>
  <c r="I568" i="38" a="1"/>
  <c r="I568" i="38" s="1"/>
  <c r="K567" i="38" a="1"/>
  <c r="K567" i="38" s="1"/>
  <c r="J567" i="38" a="1"/>
  <c r="J567" i="38" s="1"/>
  <c r="I567" i="38" a="1"/>
  <c r="I567" i="38" s="1"/>
  <c r="K566" i="38" a="1"/>
  <c r="K566" i="38" s="1"/>
  <c r="J566" i="38" a="1"/>
  <c r="J566" i="38" s="1"/>
  <c r="I566" i="38" a="1"/>
  <c r="I566" i="38" s="1"/>
  <c r="K565" i="38" a="1"/>
  <c r="K565" i="38" s="1"/>
  <c r="J565" i="38" a="1"/>
  <c r="J565" i="38" s="1"/>
  <c r="I565" i="38" a="1"/>
  <c r="I565" i="38" s="1"/>
  <c r="K564" i="38" a="1"/>
  <c r="K564" i="38" s="1"/>
  <c r="J564" i="38" a="1"/>
  <c r="J564" i="38" s="1"/>
  <c r="I564" i="38" a="1"/>
  <c r="I564" i="38" s="1"/>
  <c r="K563" i="38" a="1"/>
  <c r="K563" i="38" s="1"/>
  <c r="J563" i="38" a="1"/>
  <c r="J563" i="38" s="1"/>
  <c r="I563" i="38" a="1"/>
  <c r="I563" i="38" s="1"/>
  <c r="K562" i="38" a="1"/>
  <c r="K562" i="38" s="1"/>
  <c r="J562" i="38" a="1"/>
  <c r="J562" i="38" s="1"/>
  <c r="I562" i="38" a="1"/>
  <c r="I562" i="38" s="1"/>
  <c r="K561" i="38" a="1"/>
  <c r="K561" i="38" s="1"/>
  <c r="J561" i="38" a="1"/>
  <c r="J561" i="38" s="1"/>
  <c r="I561" i="38" a="1"/>
  <c r="I561" i="38" s="1"/>
  <c r="K560" i="38" a="1"/>
  <c r="K560" i="38" s="1"/>
  <c r="J560" i="38" a="1"/>
  <c r="J560" i="38" s="1"/>
  <c r="I560" i="38" a="1"/>
  <c r="I560" i="38" s="1"/>
  <c r="K559" i="38" a="1"/>
  <c r="K559" i="38" s="1"/>
  <c r="J559" i="38" a="1"/>
  <c r="J559" i="38" s="1"/>
  <c r="I559" i="38" a="1"/>
  <c r="I559" i="38" s="1"/>
  <c r="K558" i="38" a="1"/>
  <c r="K558" i="38" s="1"/>
  <c r="J558" i="38" a="1"/>
  <c r="J558" i="38" s="1"/>
  <c r="I558" i="38" a="1"/>
  <c r="I558" i="38" s="1"/>
  <c r="K557" i="38" a="1"/>
  <c r="K557" i="38" s="1"/>
  <c r="J557" i="38" a="1"/>
  <c r="J557" i="38" s="1"/>
  <c r="I557" i="38" a="1"/>
  <c r="I557" i="38" s="1"/>
  <c r="K556" i="38" a="1"/>
  <c r="K556" i="38" s="1"/>
  <c r="J556" i="38" a="1"/>
  <c r="J556" i="38" s="1"/>
  <c r="I556" i="38" a="1"/>
  <c r="I556" i="38" s="1"/>
  <c r="K555" i="38" a="1"/>
  <c r="K555" i="38" s="1"/>
  <c r="J555" i="38" a="1"/>
  <c r="J555" i="38" s="1"/>
  <c r="I555" i="38" a="1"/>
  <c r="I555" i="38" s="1"/>
  <c r="K554" i="38" a="1"/>
  <c r="K554" i="38" s="1"/>
  <c r="J554" i="38" a="1"/>
  <c r="J554" i="38" s="1"/>
  <c r="I554" i="38" a="1"/>
  <c r="I554" i="38" s="1"/>
  <c r="K553" i="38" a="1"/>
  <c r="K553" i="38" s="1"/>
  <c r="J553" i="38" a="1"/>
  <c r="J553" i="38" s="1"/>
  <c r="I553" i="38" a="1"/>
  <c r="I553" i="38" s="1"/>
  <c r="K552" i="38" a="1"/>
  <c r="K552" i="38" s="1"/>
  <c r="J552" i="38" a="1"/>
  <c r="J552" i="38" s="1"/>
  <c r="I552" i="38" a="1"/>
  <c r="I552" i="38" s="1"/>
  <c r="K551" i="38" a="1"/>
  <c r="K551" i="38" s="1"/>
  <c r="J551" i="38" a="1"/>
  <c r="J551" i="38" s="1"/>
  <c r="I551" i="38" a="1"/>
  <c r="I551" i="38" s="1"/>
  <c r="K550" i="38" a="1"/>
  <c r="K550" i="38" s="1"/>
  <c r="J550" i="38" a="1"/>
  <c r="J550" i="38" s="1"/>
  <c r="I550" i="38" a="1"/>
  <c r="I550" i="38" s="1"/>
  <c r="K549" i="38" a="1"/>
  <c r="K549" i="38" s="1"/>
  <c r="J549" i="38" a="1"/>
  <c r="J549" i="38" s="1"/>
  <c r="I549" i="38" a="1"/>
  <c r="I549" i="38" s="1"/>
  <c r="K548" i="38" a="1"/>
  <c r="K548" i="38" s="1"/>
  <c r="J548" i="38" a="1"/>
  <c r="J548" i="38" s="1"/>
  <c r="I548" i="38" a="1"/>
  <c r="I548" i="38" s="1"/>
  <c r="K547" i="38" a="1"/>
  <c r="K547" i="38" s="1"/>
  <c r="J547" i="38" a="1"/>
  <c r="J547" i="38" s="1"/>
  <c r="I547" i="38" a="1"/>
  <c r="I547" i="38" s="1"/>
  <c r="K546" i="38" a="1"/>
  <c r="K546" i="38" s="1"/>
  <c r="J546" i="38" a="1"/>
  <c r="J546" i="38" s="1"/>
  <c r="I546" i="38" a="1"/>
  <c r="I546" i="38" s="1"/>
  <c r="K545" i="38" a="1"/>
  <c r="K545" i="38" s="1"/>
  <c r="J545" i="38" a="1"/>
  <c r="J545" i="38" s="1"/>
  <c r="I545" i="38" a="1"/>
  <c r="I545" i="38" s="1"/>
  <c r="K544" i="38" a="1"/>
  <c r="K544" i="38" s="1"/>
  <c r="J544" i="38" a="1"/>
  <c r="J544" i="38" s="1"/>
  <c r="I544" i="38" a="1"/>
  <c r="I544" i="38" s="1"/>
  <c r="K543" i="38" a="1"/>
  <c r="K543" i="38" s="1"/>
  <c r="J543" i="38" a="1"/>
  <c r="J543" i="38" s="1"/>
  <c r="I543" i="38" a="1"/>
  <c r="I543" i="38" s="1"/>
  <c r="K542" i="38" a="1"/>
  <c r="K542" i="38" s="1"/>
  <c r="J542" i="38" a="1"/>
  <c r="J542" i="38" s="1"/>
  <c r="I542" i="38" a="1"/>
  <c r="I542" i="38" s="1"/>
  <c r="K541" i="38" a="1"/>
  <c r="K541" i="38" s="1"/>
  <c r="J541" i="38" a="1"/>
  <c r="J541" i="38" s="1"/>
  <c r="I541" i="38" a="1"/>
  <c r="I541" i="38" s="1"/>
  <c r="K540" i="38" a="1"/>
  <c r="K540" i="38" s="1"/>
  <c r="J540" i="38" a="1"/>
  <c r="J540" i="38" s="1"/>
  <c r="I540" i="38" a="1"/>
  <c r="I540" i="38" s="1"/>
  <c r="K539" i="38" a="1"/>
  <c r="K539" i="38" s="1"/>
  <c r="J539" i="38" a="1"/>
  <c r="J539" i="38" s="1"/>
  <c r="I539" i="38" a="1"/>
  <c r="I539" i="38" s="1"/>
  <c r="K538" i="38" a="1"/>
  <c r="K538" i="38" s="1"/>
  <c r="J538" i="38" a="1"/>
  <c r="J538" i="38" s="1"/>
  <c r="I538" i="38" a="1"/>
  <c r="I538" i="38" s="1"/>
  <c r="K537" i="38" a="1"/>
  <c r="K537" i="38" s="1"/>
  <c r="J537" i="38" a="1"/>
  <c r="J537" i="38" s="1"/>
  <c r="I537" i="38" a="1"/>
  <c r="I537" i="38" s="1"/>
  <c r="K536" i="38" a="1"/>
  <c r="K536" i="38" s="1"/>
  <c r="J536" i="38" a="1"/>
  <c r="J536" i="38" s="1"/>
  <c r="I536" i="38" a="1"/>
  <c r="I536" i="38" s="1"/>
  <c r="K535" i="38" a="1"/>
  <c r="K535" i="38" s="1"/>
  <c r="J535" i="38" a="1"/>
  <c r="J535" i="38" s="1"/>
  <c r="I535" i="38" a="1"/>
  <c r="I535" i="38" s="1"/>
  <c r="K534" i="38" a="1"/>
  <c r="K534" i="38" s="1"/>
  <c r="J534" i="38" a="1"/>
  <c r="J534" i="38" s="1"/>
  <c r="I534" i="38" a="1"/>
  <c r="I534" i="38" s="1"/>
  <c r="K533" i="38" a="1"/>
  <c r="K533" i="38" s="1"/>
  <c r="J533" i="38" a="1"/>
  <c r="J533" i="38" s="1"/>
  <c r="I533" i="38" a="1"/>
  <c r="I533" i="38" s="1"/>
  <c r="K532" i="38" a="1"/>
  <c r="K532" i="38" s="1"/>
  <c r="J532" i="38" a="1"/>
  <c r="J532" i="38" s="1"/>
  <c r="I532" i="38" a="1"/>
  <c r="I532" i="38" s="1"/>
  <c r="K531" i="38" a="1"/>
  <c r="K531" i="38" s="1"/>
  <c r="J531" i="38" a="1"/>
  <c r="J531" i="38" s="1"/>
  <c r="I531" i="38" a="1"/>
  <c r="I531" i="38" s="1"/>
  <c r="K530" i="38" a="1"/>
  <c r="K530" i="38" s="1"/>
  <c r="J530" i="38" a="1"/>
  <c r="J530" i="38" s="1"/>
  <c r="I530" i="38" a="1"/>
  <c r="I530" i="38" s="1"/>
  <c r="K529" i="38" a="1"/>
  <c r="K529" i="38" s="1"/>
  <c r="J529" i="38" a="1"/>
  <c r="J529" i="38" s="1"/>
  <c r="I529" i="38" a="1"/>
  <c r="I529" i="38" s="1"/>
  <c r="K528" i="38" a="1"/>
  <c r="K528" i="38" s="1"/>
  <c r="J528" i="38" a="1"/>
  <c r="J528" i="38" s="1"/>
  <c r="I528" i="38" a="1"/>
  <c r="I528" i="38" s="1"/>
  <c r="K527" i="38" a="1"/>
  <c r="K527" i="38" s="1"/>
  <c r="J527" i="38" a="1"/>
  <c r="J527" i="38" s="1"/>
  <c r="I527" i="38" a="1"/>
  <c r="I527" i="38" s="1"/>
  <c r="K526" i="38" a="1"/>
  <c r="K526" i="38" s="1"/>
  <c r="J526" i="38" a="1"/>
  <c r="J526" i="38" s="1"/>
  <c r="I526" i="38" a="1"/>
  <c r="I526" i="38" s="1"/>
  <c r="K525" i="38" a="1"/>
  <c r="K525" i="38" s="1"/>
  <c r="J525" i="38" a="1"/>
  <c r="J525" i="38" s="1"/>
  <c r="I525" i="38" a="1"/>
  <c r="I525" i="38" s="1"/>
  <c r="K524" i="38" a="1"/>
  <c r="K524" i="38" s="1"/>
  <c r="J524" i="38" a="1"/>
  <c r="J524" i="38" s="1"/>
  <c r="I524" i="38" a="1"/>
  <c r="I524" i="38" s="1"/>
  <c r="K523" i="38" a="1"/>
  <c r="K523" i="38" s="1"/>
  <c r="J523" i="38" a="1"/>
  <c r="J523" i="38" s="1"/>
  <c r="I523" i="38" a="1"/>
  <c r="I523" i="38" s="1"/>
  <c r="K522" i="38" a="1"/>
  <c r="K522" i="38" s="1"/>
  <c r="J522" i="38" a="1"/>
  <c r="J522" i="38" s="1"/>
  <c r="I522" i="38" a="1"/>
  <c r="I522" i="38" s="1"/>
  <c r="K521" i="38" a="1"/>
  <c r="K521" i="38" s="1"/>
  <c r="J521" i="38" a="1"/>
  <c r="J521" i="38" s="1"/>
  <c r="I521" i="38" a="1"/>
  <c r="I521" i="38" s="1"/>
  <c r="K520" i="38" a="1"/>
  <c r="K520" i="38" s="1"/>
  <c r="J520" i="38" a="1"/>
  <c r="J520" i="38" s="1"/>
  <c r="I520" i="38" a="1"/>
  <c r="I520" i="38" s="1"/>
  <c r="K519" i="38" a="1"/>
  <c r="K519" i="38" s="1"/>
  <c r="J519" i="38" a="1"/>
  <c r="J519" i="38" s="1"/>
  <c r="I519" i="38" a="1"/>
  <c r="I519" i="38" s="1"/>
  <c r="K518" i="38" a="1"/>
  <c r="K518" i="38" s="1"/>
  <c r="J518" i="38" a="1"/>
  <c r="J518" i="38" s="1"/>
  <c r="I518" i="38" a="1"/>
  <c r="I518" i="38" s="1"/>
  <c r="K517" i="38" a="1"/>
  <c r="K517" i="38" s="1"/>
  <c r="J517" i="38" a="1"/>
  <c r="J517" i="38" s="1"/>
  <c r="I517" i="38" a="1"/>
  <c r="I517" i="38" s="1"/>
  <c r="K516" i="38" a="1"/>
  <c r="K516" i="38" s="1"/>
  <c r="J516" i="38" a="1"/>
  <c r="J516" i="38" s="1"/>
  <c r="I516" i="38" a="1"/>
  <c r="I516" i="38" s="1"/>
  <c r="K515" i="38" a="1"/>
  <c r="K515" i="38" s="1"/>
  <c r="J515" i="38" a="1"/>
  <c r="J515" i="38" s="1"/>
  <c r="I515" i="38" a="1"/>
  <c r="I515" i="38" s="1"/>
  <c r="K514" i="38" a="1"/>
  <c r="K514" i="38" s="1"/>
  <c r="J514" i="38" a="1"/>
  <c r="J514" i="38" s="1"/>
  <c r="I514" i="38" a="1"/>
  <c r="I514" i="38" s="1"/>
  <c r="K513" i="38" a="1"/>
  <c r="K513" i="38" s="1"/>
  <c r="J513" i="38" a="1"/>
  <c r="J513" i="38" s="1"/>
  <c r="I513" i="38" a="1"/>
  <c r="I513" i="38" s="1"/>
  <c r="K512" i="38" a="1"/>
  <c r="K512" i="38" s="1"/>
  <c r="J512" i="38" a="1"/>
  <c r="J512" i="38" s="1"/>
  <c r="I512" i="38" a="1"/>
  <c r="I512" i="38" s="1"/>
  <c r="K511" i="38" a="1"/>
  <c r="K511" i="38" s="1"/>
  <c r="J511" i="38" a="1"/>
  <c r="J511" i="38" s="1"/>
  <c r="I511" i="38" a="1"/>
  <c r="I511" i="38" s="1"/>
  <c r="K510" i="38" a="1"/>
  <c r="K510" i="38" s="1"/>
  <c r="J510" i="38" a="1"/>
  <c r="J510" i="38" s="1"/>
  <c r="I510" i="38" a="1"/>
  <c r="I510" i="38" s="1"/>
  <c r="K509" i="38" a="1"/>
  <c r="K509" i="38" s="1"/>
  <c r="J509" i="38" a="1"/>
  <c r="J509" i="38" s="1"/>
  <c r="I509" i="38" a="1"/>
  <c r="I509" i="38" s="1"/>
  <c r="K508" i="38" a="1"/>
  <c r="K508" i="38" s="1"/>
  <c r="J508" i="38" a="1"/>
  <c r="J508" i="38" s="1"/>
  <c r="I508" i="38" a="1"/>
  <c r="I508" i="38" s="1"/>
  <c r="K507" i="38" a="1"/>
  <c r="K507" i="38" s="1"/>
  <c r="J507" i="38" a="1"/>
  <c r="J507" i="38" s="1"/>
  <c r="I507" i="38" a="1"/>
  <c r="I507" i="38" s="1"/>
  <c r="K506" i="38" a="1"/>
  <c r="K506" i="38" s="1"/>
  <c r="J506" i="38" a="1"/>
  <c r="J506" i="38" s="1"/>
  <c r="I506" i="38" a="1"/>
  <c r="I506" i="38" s="1"/>
  <c r="K505" i="38" a="1"/>
  <c r="K505" i="38" s="1"/>
  <c r="J505" i="38" a="1"/>
  <c r="J505" i="38" s="1"/>
  <c r="I505" i="38" a="1"/>
  <c r="I505" i="38" s="1"/>
  <c r="K504" i="38" a="1"/>
  <c r="K504" i="38" s="1"/>
  <c r="J504" i="38" a="1"/>
  <c r="J504" i="38" s="1"/>
  <c r="I504" i="38" a="1"/>
  <c r="I504" i="38" s="1"/>
  <c r="K503" i="38" a="1"/>
  <c r="K503" i="38" s="1"/>
  <c r="J503" i="38" a="1"/>
  <c r="J503" i="38" s="1"/>
  <c r="I503" i="38" a="1"/>
  <c r="I503" i="38" s="1"/>
  <c r="K502" i="38" a="1"/>
  <c r="K502" i="38" s="1"/>
  <c r="J502" i="38" a="1"/>
  <c r="J502" i="38" s="1"/>
  <c r="I502" i="38" a="1"/>
  <c r="I502" i="38" s="1"/>
  <c r="K501" i="38" a="1"/>
  <c r="K501" i="38" s="1"/>
  <c r="J501" i="38" a="1"/>
  <c r="J501" i="38" s="1"/>
  <c r="I501" i="38" a="1"/>
  <c r="I501" i="38" s="1"/>
  <c r="K500" i="38" a="1"/>
  <c r="K500" i="38" s="1"/>
  <c r="J500" i="38" a="1"/>
  <c r="J500" i="38" s="1"/>
  <c r="I500" i="38" a="1"/>
  <c r="I500" i="38" s="1"/>
  <c r="K499" i="38" a="1"/>
  <c r="K499" i="38" s="1"/>
  <c r="J499" i="38" a="1"/>
  <c r="J499" i="38" s="1"/>
  <c r="I499" i="38" a="1"/>
  <c r="I499" i="38" s="1"/>
  <c r="K498" i="38" a="1"/>
  <c r="K498" i="38" s="1"/>
  <c r="J498" i="38" a="1"/>
  <c r="J498" i="38" s="1"/>
  <c r="I498" i="38" a="1"/>
  <c r="I498" i="38" s="1"/>
  <c r="K497" i="38" a="1"/>
  <c r="K497" i="38" s="1"/>
  <c r="J497" i="38" a="1"/>
  <c r="J497" i="38" s="1"/>
  <c r="I497" i="38" a="1"/>
  <c r="I497" i="38" s="1"/>
  <c r="K496" i="38" a="1"/>
  <c r="K496" i="38" s="1"/>
  <c r="J496" i="38" a="1"/>
  <c r="J496" i="38" s="1"/>
  <c r="I496" i="38" a="1"/>
  <c r="I496" i="38" s="1"/>
  <c r="K495" i="38" a="1"/>
  <c r="K495" i="38" s="1"/>
  <c r="J495" i="38" a="1"/>
  <c r="J495" i="38" s="1"/>
  <c r="I495" i="38" a="1"/>
  <c r="I495" i="38" s="1"/>
  <c r="K494" i="38" a="1"/>
  <c r="K494" i="38" s="1"/>
  <c r="J494" i="38" a="1"/>
  <c r="J494" i="38" s="1"/>
  <c r="I494" i="38" a="1"/>
  <c r="I494" i="38" s="1"/>
  <c r="K493" i="38" a="1"/>
  <c r="K493" i="38" s="1"/>
  <c r="J493" i="38" a="1"/>
  <c r="J493" i="38" s="1"/>
  <c r="I493" i="38" a="1"/>
  <c r="I493" i="38" s="1"/>
  <c r="K492" i="38" a="1"/>
  <c r="K492" i="38" s="1"/>
  <c r="J492" i="38" a="1"/>
  <c r="J492" i="38" s="1"/>
  <c r="I492" i="38" a="1"/>
  <c r="I492" i="38" s="1"/>
  <c r="K491" i="38" a="1"/>
  <c r="K491" i="38" s="1"/>
  <c r="J491" i="38" a="1"/>
  <c r="J491" i="38" s="1"/>
  <c r="I491" i="38" a="1"/>
  <c r="I491" i="38" s="1"/>
  <c r="K490" i="38" a="1"/>
  <c r="K490" i="38" s="1"/>
  <c r="J490" i="38" a="1"/>
  <c r="J490" i="38" s="1"/>
  <c r="I490" i="38" a="1"/>
  <c r="I490" i="38" s="1"/>
  <c r="K489" i="38" a="1"/>
  <c r="K489" i="38" s="1"/>
  <c r="J489" i="38" a="1"/>
  <c r="J489" i="38" s="1"/>
  <c r="I489" i="38" a="1"/>
  <c r="I489" i="38" s="1"/>
  <c r="K488" i="38" a="1"/>
  <c r="K488" i="38" s="1"/>
  <c r="J488" i="38" a="1"/>
  <c r="J488" i="38" s="1"/>
  <c r="I488" i="38" a="1"/>
  <c r="I488" i="38" s="1"/>
  <c r="K487" i="38" a="1"/>
  <c r="K487" i="38" s="1"/>
  <c r="J487" i="38" a="1"/>
  <c r="J487" i="38" s="1"/>
  <c r="I487" i="38" a="1"/>
  <c r="I487" i="38" s="1"/>
  <c r="K486" i="38" a="1"/>
  <c r="K486" i="38" s="1"/>
  <c r="J486" i="38" a="1"/>
  <c r="J486" i="38" s="1"/>
  <c r="I486" i="38" a="1"/>
  <c r="I486" i="38" s="1"/>
  <c r="K485" i="38" a="1"/>
  <c r="K485" i="38" s="1"/>
  <c r="J485" i="38" a="1"/>
  <c r="J485" i="38" s="1"/>
  <c r="I485" i="38" a="1"/>
  <c r="I485" i="38" s="1"/>
  <c r="K484" i="38" a="1"/>
  <c r="K484" i="38" s="1"/>
  <c r="J484" i="38" a="1"/>
  <c r="J484" i="38" s="1"/>
  <c r="I484" i="38" a="1"/>
  <c r="I484" i="38" s="1"/>
  <c r="K483" i="38" a="1"/>
  <c r="K483" i="38" s="1"/>
  <c r="J483" i="38" a="1"/>
  <c r="J483" i="38" s="1"/>
  <c r="I483" i="38" a="1"/>
  <c r="I483" i="38" s="1"/>
  <c r="K482" i="38" a="1"/>
  <c r="K482" i="38" s="1"/>
  <c r="J482" i="38" a="1"/>
  <c r="J482" i="38" s="1"/>
  <c r="I482" i="38" a="1"/>
  <c r="I482" i="38" s="1"/>
  <c r="K481" i="38" a="1"/>
  <c r="K481" i="38" s="1"/>
  <c r="J481" i="38" a="1"/>
  <c r="J481" i="38" s="1"/>
  <c r="I481" i="38" a="1"/>
  <c r="I481" i="38" s="1"/>
  <c r="K480" i="38" a="1"/>
  <c r="K480" i="38" s="1"/>
  <c r="J480" i="38" a="1"/>
  <c r="J480" i="38" s="1"/>
  <c r="I480" i="38" a="1"/>
  <c r="I480" i="38" s="1"/>
  <c r="K479" i="38" a="1"/>
  <c r="K479" i="38" s="1"/>
  <c r="J479" i="38" a="1"/>
  <c r="J479" i="38" s="1"/>
  <c r="I479" i="38" a="1"/>
  <c r="I479" i="38" s="1"/>
  <c r="K478" i="38" a="1"/>
  <c r="K478" i="38" s="1"/>
  <c r="J478" i="38" a="1"/>
  <c r="J478" i="38" s="1"/>
  <c r="I478" i="38" a="1"/>
  <c r="I478" i="38" s="1"/>
  <c r="K477" i="38" a="1"/>
  <c r="K477" i="38" s="1"/>
  <c r="J477" i="38" a="1"/>
  <c r="J477" i="38" s="1"/>
  <c r="I477" i="38" a="1"/>
  <c r="I477" i="38" s="1"/>
  <c r="K476" i="38" a="1"/>
  <c r="K476" i="38" s="1"/>
  <c r="J476" i="38" a="1"/>
  <c r="J476" i="38" s="1"/>
  <c r="I476" i="38" a="1"/>
  <c r="I476" i="38" s="1"/>
  <c r="K475" i="38" a="1"/>
  <c r="K475" i="38" s="1"/>
  <c r="J475" i="38" a="1"/>
  <c r="J475" i="38" s="1"/>
  <c r="I475" i="38" a="1"/>
  <c r="I475" i="38" s="1"/>
  <c r="K474" i="38" a="1"/>
  <c r="K474" i="38" s="1"/>
  <c r="J474" i="38" a="1"/>
  <c r="J474" i="38" s="1"/>
  <c r="I474" i="38" a="1"/>
  <c r="I474" i="38" s="1"/>
  <c r="K473" i="38" a="1"/>
  <c r="K473" i="38" s="1"/>
  <c r="J473" i="38" a="1"/>
  <c r="J473" i="38" s="1"/>
  <c r="I473" i="38" a="1"/>
  <c r="I473" i="38" s="1"/>
  <c r="K472" i="38" a="1"/>
  <c r="K472" i="38" s="1"/>
  <c r="J472" i="38" a="1"/>
  <c r="J472" i="38" s="1"/>
  <c r="I472" i="38" a="1"/>
  <c r="I472" i="38" s="1"/>
  <c r="K471" i="38" a="1"/>
  <c r="K471" i="38" s="1"/>
  <c r="J471" i="38" a="1"/>
  <c r="J471" i="38" s="1"/>
  <c r="I471" i="38" a="1"/>
  <c r="I471" i="38" s="1"/>
  <c r="K470" i="38" a="1"/>
  <c r="K470" i="38" s="1"/>
  <c r="J470" i="38" a="1"/>
  <c r="J470" i="38" s="1"/>
  <c r="I470" i="38" a="1"/>
  <c r="I470" i="38" s="1"/>
  <c r="K469" i="38" a="1"/>
  <c r="K469" i="38" s="1"/>
  <c r="J469" i="38" a="1"/>
  <c r="J469" i="38" s="1"/>
  <c r="I469" i="38" a="1"/>
  <c r="I469" i="38" s="1"/>
  <c r="K468" i="38" a="1"/>
  <c r="K468" i="38" s="1"/>
  <c r="J468" i="38" a="1"/>
  <c r="J468" i="38" s="1"/>
  <c r="I468" i="38" a="1"/>
  <c r="I468" i="38" s="1"/>
  <c r="K467" i="38" a="1"/>
  <c r="K467" i="38" s="1"/>
  <c r="J467" i="38" a="1"/>
  <c r="J467" i="38" s="1"/>
  <c r="I467" i="38" a="1"/>
  <c r="I467" i="38" s="1"/>
  <c r="K466" i="38" a="1"/>
  <c r="K466" i="38" s="1"/>
  <c r="J466" i="38" a="1"/>
  <c r="J466" i="38" s="1"/>
  <c r="I466" i="38" a="1"/>
  <c r="I466" i="38" s="1"/>
  <c r="K465" i="38" a="1"/>
  <c r="K465" i="38" s="1"/>
  <c r="J465" i="38" a="1"/>
  <c r="J465" i="38" s="1"/>
  <c r="I465" i="38" a="1"/>
  <c r="I465" i="38" s="1"/>
  <c r="K464" i="38" a="1"/>
  <c r="K464" i="38" s="1"/>
  <c r="J464" i="38" a="1"/>
  <c r="J464" i="38" s="1"/>
  <c r="I464" i="38" a="1"/>
  <c r="I464" i="38" s="1"/>
  <c r="K463" i="38" a="1"/>
  <c r="K463" i="38" s="1"/>
  <c r="J463" i="38" a="1"/>
  <c r="J463" i="38" s="1"/>
  <c r="I463" i="38" a="1"/>
  <c r="I463" i="38" s="1"/>
  <c r="K462" i="38" a="1"/>
  <c r="K462" i="38" s="1"/>
  <c r="J462" i="38" a="1"/>
  <c r="J462" i="38" s="1"/>
  <c r="I462" i="38" a="1"/>
  <c r="I462" i="38" s="1"/>
  <c r="K461" i="38" a="1"/>
  <c r="K461" i="38" s="1"/>
  <c r="J461" i="38" a="1"/>
  <c r="J461" i="38" s="1"/>
  <c r="I461" i="38" a="1"/>
  <c r="I461" i="38" s="1"/>
  <c r="K460" i="38" a="1"/>
  <c r="K460" i="38" s="1"/>
  <c r="J460" i="38" a="1"/>
  <c r="J460" i="38" s="1"/>
  <c r="I460" i="38" a="1"/>
  <c r="I460" i="38" s="1"/>
  <c r="K459" i="38" a="1"/>
  <c r="K459" i="38" s="1"/>
  <c r="J459" i="38" a="1"/>
  <c r="J459" i="38" s="1"/>
  <c r="I459" i="38" a="1"/>
  <c r="I459" i="38" s="1"/>
  <c r="K458" i="38" a="1"/>
  <c r="K458" i="38" s="1"/>
  <c r="J458" i="38" a="1"/>
  <c r="J458" i="38" s="1"/>
  <c r="I458" i="38" a="1"/>
  <c r="I458" i="38" s="1"/>
  <c r="K457" i="38" a="1"/>
  <c r="K457" i="38" s="1"/>
  <c r="J457" i="38" a="1"/>
  <c r="J457" i="38" s="1"/>
  <c r="I457" i="38" a="1"/>
  <c r="I457" i="38" s="1"/>
  <c r="K456" i="38" a="1"/>
  <c r="K456" i="38" s="1"/>
  <c r="J456" i="38" a="1"/>
  <c r="J456" i="38" s="1"/>
  <c r="I456" i="38" a="1"/>
  <c r="I456" i="38" s="1"/>
  <c r="K455" i="38" a="1"/>
  <c r="K455" i="38" s="1"/>
  <c r="J455" i="38" a="1"/>
  <c r="J455" i="38" s="1"/>
  <c r="I455" i="38" a="1"/>
  <c r="I455" i="38" s="1"/>
  <c r="K454" i="38" a="1"/>
  <c r="K454" i="38" s="1"/>
  <c r="J454" i="38" a="1"/>
  <c r="J454" i="38" s="1"/>
  <c r="I454" i="38" a="1"/>
  <c r="I454" i="38" s="1"/>
  <c r="K453" i="38" a="1"/>
  <c r="K453" i="38" s="1"/>
  <c r="J453" i="38" a="1"/>
  <c r="J453" i="38" s="1"/>
  <c r="I453" i="38" a="1"/>
  <c r="I453" i="38" s="1"/>
  <c r="K452" i="38" a="1"/>
  <c r="K452" i="38" s="1"/>
  <c r="J452" i="38" a="1"/>
  <c r="J452" i="38" s="1"/>
  <c r="I452" i="38" a="1"/>
  <c r="I452" i="38" s="1"/>
  <c r="K451" i="38" a="1"/>
  <c r="K451" i="38" s="1"/>
  <c r="J451" i="38" a="1"/>
  <c r="J451" i="38" s="1"/>
  <c r="I451" i="38" a="1"/>
  <c r="I451" i="38" s="1"/>
  <c r="K450" i="38" a="1"/>
  <c r="K450" i="38" s="1"/>
  <c r="J450" i="38" a="1"/>
  <c r="J450" i="38" s="1"/>
  <c r="I450" i="38" a="1"/>
  <c r="I450" i="38" s="1"/>
  <c r="K449" i="38" a="1"/>
  <c r="K449" i="38" s="1"/>
  <c r="J449" i="38" a="1"/>
  <c r="J449" i="38" s="1"/>
  <c r="I449" i="38" a="1"/>
  <c r="I449" i="38" s="1"/>
  <c r="K448" i="38" a="1"/>
  <c r="K448" i="38" s="1"/>
  <c r="J448" i="38" a="1"/>
  <c r="J448" i="38" s="1"/>
  <c r="I448" i="38" a="1"/>
  <c r="I448" i="38" s="1"/>
  <c r="K447" i="38" a="1"/>
  <c r="K447" i="38" s="1"/>
  <c r="J447" i="38" a="1"/>
  <c r="J447" i="38" s="1"/>
  <c r="I447" i="38" a="1"/>
  <c r="I447" i="38" s="1"/>
  <c r="K446" i="38" a="1"/>
  <c r="K446" i="38" s="1"/>
  <c r="J446" i="38" a="1"/>
  <c r="J446" i="38" s="1"/>
  <c r="I446" i="38" a="1"/>
  <c r="I446" i="38" s="1"/>
  <c r="K445" i="38" a="1"/>
  <c r="K445" i="38" s="1"/>
  <c r="J445" i="38" a="1"/>
  <c r="J445" i="38" s="1"/>
  <c r="I445" i="38" a="1"/>
  <c r="I445" i="38" s="1"/>
  <c r="K444" i="38" a="1"/>
  <c r="K444" i="38" s="1"/>
  <c r="J444" i="38" a="1"/>
  <c r="J444" i="38" s="1"/>
  <c r="I444" i="38" a="1"/>
  <c r="I444" i="38" s="1"/>
  <c r="K443" i="38" a="1"/>
  <c r="K443" i="38" s="1"/>
  <c r="J443" i="38" a="1"/>
  <c r="J443" i="38" s="1"/>
  <c r="I443" i="38" a="1"/>
  <c r="I443" i="38" s="1"/>
  <c r="K442" i="38" a="1"/>
  <c r="K442" i="38" s="1"/>
  <c r="J442" i="38" a="1"/>
  <c r="J442" i="38" s="1"/>
  <c r="I442" i="38" a="1"/>
  <c r="I442" i="38" s="1"/>
  <c r="K441" i="38" a="1"/>
  <c r="K441" i="38" s="1"/>
  <c r="J441" i="38" a="1"/>
  <c r="J441" i="38" s="1"/>
  <c r="I441" i="38" a="1"/>
  <c r="I441" i="38" s="1"/>
  <c r="K440" i="38" a="1"/>
  <c r="K440" i="38" s="1"/>
  <c r="J440" i="38" a="1"/>
  <c r="J440" i="38" s="1"/>
  <c r="I440" i="38" a="1"/>
  <c r="I440" i="38" s="1"/>
  <c r="K439" i="38" a="1"/>
  <c r="K439" i="38" s="1"/>
  <c r="J439" i="38" a="1"/>
  <c r="J439" i="38" s="1"/>
  <c r="I439" i="38" a="1"/>
  <c r="I439" i="38" s="1"/>
  <c r="K438" i="38" a="1"/>
  <c r="K438" i="38" s="1"/>
  <c r="J438" i="38" a="1"/>
  <c r="J438" i="38" s="1"/>
  <c r="I438" i="38" a="1"/>
  <c r="I438" i="38" s="1"/>
  <c r="K437" i="38" a="1"/>
  <c r="K437" i="38" s="1"/>
  <c r="J437" i="38" a="1"/>
  <c r="J437" i="38" s="1"/>
  <c r="I437" i="38" a="1"/>
  <c r="I437" i="38" s="1"/>
  <c r="K436" i="38" a="1"/>
  <c r="K436" i="38" s="1"/>
  <c r="J436" i="38" a="1"/>
  <c r="J436" i="38" s="1"/>
  <c r="I436" i="38" a="1"/>
  <c r="I436" i="38" s="1"/>
  <c r="K435" i="38" a="1"/>
  <c r="K435" i="38" s="1"/>
  <c r="J435" i="38" a="1"/>
  <c r="J435" i="38" s="1"/>
  <c r="I435" i="38" a="1"/>
  <c r="I435" i="38" s="1"/>
  <c r="K434" i="38" a="1"/>
  <c r="K434" i="38" s="1"/>
  <c r="J434" i="38" a="1"/>
  <c r="J434" i="38" s="1"/>
  <c r="I434" i="38" a="1"/>
  <c r="I434" i="38" s="1"/>
  <c r="K433" i="38" a="1"/>
  <c r="K433" i="38" s="1"/>
  <c r="J433" i="38" a="1"/>
  <c r="J433" i="38" s="1"/>
  <c r="I433" i="38" a="1"/>
  <c r="I433" i="38" s="1"/>
  <c r="K432" i="38" a="1"/>
  <c r="K432" i="38" s="1"/>
  <c r="J432" i="38" a="1"/>
  <c r="J432" i="38" s="1"/>
  <c r="I432" i="38" a="1"/>
  <c r="I432" i="38" s="1"/>
  <c r="K431" i="38" a="1"/>
  <c r="K431" i="38" s="1"/>
  <c r="J431" i="38" a="1"/>
  <c r="J431" i="38" s="1"/>
  <c r="I431" i="38" a="1"/>
  <c r="I431" i="38" s="1"/>
  <c r="K430" i="38" a="1"/>
  <c r="K430" i="38" s="1"/>
  <c r="J430" i="38" a="1"/>
  <c r="J430" i="38" s="1"/>
  <c r="I430" i="38" a="1"/>
  <c r="I430" i="38" s="1"/>
  <c r="K429" i="38" a="1"/>
  <c r="K429" i="38" s="1"/>
  <c r="J429" i="38" a="1"/>
  <c r="J429" i="38" s="1"/>
  <c r="I429" i="38" a="1"/>
  <c r="I429" i="38" s="1"/>
  <c r="K428" i="38" a="1"/>
  <c r="K428" i="38" s="1"/>
  <c r="J428" i="38" a="1"/>
  <c r="J428" i="38" s="1"/>
  <c r="I428" i="38" a="1"/>
  <c r="I428" i="38" s="1"/>
  <c r="K427" i="38" a="1"/>
  <c r="K427" i="38" s="1"/>
  <c r="J427" i="38" a="1"/>
  <c r="J427" i="38" s="1"/>
  <c r="I427" i="38" a="1"/>
  <c r="I427" i="38" s="1"/>
  <c r="K426" i="38" a="1"/>
  <c r="K426" i="38" s="1"/>
  <c r="J426" i="38" a="1"/>
  <c r="J426" i="38" s="1"/>
  <c r="I426" i="38" a="1"/>
  <c r="I426" i="38" s="1"/>
  <c r="K425" i="38" a="1"/>
  <c r="K425" i="38" s="1"/>
  <c r="J425" i="38" a="1"/>
  <c r="J425" i="38" s="1"/>
  <c r="I425" i="38" a="1"/>
  <c r="I425" i="38" s="1"/>
  <c r="K424" i="38" a="1"/>
  <c r="K424" i="38" s="1"/>
  <c r="J424" i="38" a="1"/>
  <c r="J424" i="38" s="1"/>
  <c r="I424" i="38" a="1"/>
  <c r="I424" i="38" s="1"/>
  <c r="K423" i="38" a="1"/>
  <c r="K423" i="38" s="1"/>
  <c r="J423" i="38" a="1"/>
  <c r="J423" i="38" s="1"/>
  <c r="I423" i="38" a="1"/>
  <c r="I423" i="38" s="1"/>
  <c r="K422" i="38" a="1"/>
  <c r="K422" i="38" s="1"/>
  <c r="J422" i="38" a="1"/>
  <c r="J422" i="38" s="1"/>
  <c r="I422" i="38" a="1"/>
  <c r="I422" i="38" s="1"/>
  <c r="K421" i="38" a="1"/>
  <c r="K421" i="38" s="1"/>
  <c r="J421" i="38" a="1"/>
  <c r="J421" i="38" s="1"/>
  <c r="I421" i="38" a="1"/>
  <c r="I421" i="38" s="1"/>
  <c r="K420" i="38" a="1"/>
  <c r="K420" i="38" s="1"/>
  <c r="J420" i="38" a="1"/>
  <c r="J420" i="38" s="1"/>
  <c r="I420" i="38" a="1"/>
  <c r="I420" i="38" s="1"/>
  <c r="K419" i="38" a="1"/>
  <c r="K419" i="38" s="1"/>
  <c r="J419" i="38" a="1"/>
  <c r="J419" i="38" s="1"/>
  <c r="I419" i="38" a="1"/>
  <c r="I419" i="38" s="1"/>
  <c r="K418" i="38" a="1"/>
  <c r="K418" i="38" s="1"/>
  <c r="J418" i="38" a="1"/>
  <c r="J418" i="38" s="1"/>
  <c r="I418" i="38" a="1"/>
  <c r="I418" i="38" s="1"/>
  <c r="K417" i="38" a="1"/>
  <c r="K417" i="38" s="1"/>
  <c r="J417" i="38" a="1"/>
  <c r="J417" i="38" s="1"/>
  <c r="I417" i="38" a="1"/>
  <c r="I417" i="38" s="1"/>
  <c r="K416" i="38" a="1"/>
  <c r="K416" i="38" s="1"/>
  <c r="J416" i="38" a="1"/>
  <c r="J416" i="38" s="1"/>
  <c r="I416" i="38" a="1"/>
  <c r="I416" i="38" s="1"/>
  <c r="K415" i="38" a="1"/>
  <c r="K415" i="38" s="1"/>
  <c r="J415" i="38" a="1"/>
  <c r="J415" i="38" s="1"/>
  <c r="I415" i="38" a="1"/>
  <c r="I415" i="38" s="1"/>
  <c r="K414" i="38" a="1"/>
  <c r="K414" i="38" s="1"/>
  <c r="J414" i="38" a="1"/>
  <c r="J414" i="38" s="1"/>
  <c r="I414" i="38" a="1"/>
  <c r="I414" i="38" s="1"/>
  <c r="K413" i="38" a="1"/>
  <c r="K413" i="38" s="1"/>
  <c r="J413" i="38" a="1"/>
  <c r="J413" i="38" s="1"/>
  <c r="I413" i="38" a="1"/>
  <c r="I413" i="38" s="1"/>
  <c r="K412" i="38" a="1"/>
  <c r="K412" i="38" s="1"/>
  <c r="J412" i="38" a="1"/>
  <c r="J412" i="38" s="1"/>
  <c r="I412" i="38" a="1"/>
  <c r="I412" i="38" s="1"/>
  <c r="K411" i="38" a="1"/>
  <c r="K411" i="38" s="1"/>
  <c r="J411" i="38" a="1"/>
  <c r="J411" i="38" s="1"/>
  <c r="I411" i="38" a="1"/>
  <c r="I411" i="38" s="1"/>
  <c r="K410" i="38" a="1"/>
  <c r="K410" i="38" s="1"/>
  <c r="J410" i="38" a="1"/>
  <c r="J410" i="38" s="1"/>
  <c r="I410" i="38" a="1"/>
  <c r="I410" i="38" s="1"/>
  <c r="K409" i="38" a="1"/>
  <c r="K409" i="38" s="1"/>
  <c r="J409" i="38" a="1"/>
  <c r="J409" i="38" s="1"/>
  <c r="I409" i="38" a="1"/>
  <c r="I409" i="38" s="1"/>
  <c r="K408" i="38" a="1"/>
  <c r="K408" i="38" s="1"/>
  <c r="J408" i="38" a="1"/>
  <c r="J408" i="38" s="1"/>
  <c r="I408" i="38" a="1"/>
  <c r="I408" i="38" s="1"/>
  <c r="K407" i="38" a="1"/>
  <c r="K407" i="38" s="1"/>
  <c r="J407" i="38" a="1"/>
  <c r="J407" i="38" s="1"/>
  <c r="I407" i="38" a="1"/>
  <c r="I407" i="38" s="1"/>
  <c r="K406" i="38" a="1"/>
  <c r="K406" i="38" s="1"/>
  <c r="J406" i="38" a="1"/>
  <c r="J406" i="38" s="1"/>
  <c r="I406" i="38" a="1"/>
  <c r="I406" i="38" s="1"/>
  <c r="K405" i="38" a="1"/>
  <c r="K405" i="38" s="1"/>
  <c r="J405" i="38" a="1"/>
  <c r="J405" i="38" s="1"/>
  <c r="I405" i="38" a="1"/>
  <c r="I405" i="38" s="1"/>
  <c r="K404" i="38" a="1"/>
  <c r="K404" i="38" s="1"/>
  <c r="J404" i="38" a="1"/>
  <c r="J404" i="38" s="1"/>
  <c r="I404" i="38" a="1"/>
  <c r="I404" i="38" s="1"/>
  <c r="K403" i="38" a="1"/>
  <c r="K403" i="38" s="1"/>
  <c r="J403" i="38" a="1"/>
  <c r="J403" i="38" s="1"/>
  <c r="I403" i="38" a="1"/>
  <c r="I403" i="38" s="1"/>
  <c r="K402" i="38" a="1"/>
  <c r="K402" i="38" s="1"/>
  <c r="J402" i="38" a="1"/>
  <c r="J402" i="38" s="1"/>
  <c r="I402" i="38" a="1"/>
  <c r="I402" i="38" s="1"/>
  <c r="K401" i="38" a="1"/>
  <c r="K401" i="38" s="1"/>
  <c r="J401" i="38" a="1"/>
  <c r="J401" i="38" s="1"/>
  <c r="I401" i="38" a="1"/>
  <c r="I401" i="38" s="1"/>
  <c r="K400" i="38" a="1"/>
  <c r="K400" i="38" s="1"/>
  <c r="J400" i="38" a="1"/>
  <c r="J400" i="38" s="1"/>
  <c r="I400" i="38" a="1"/>
  <c r="I400" i="38" s="1"/>
  <c r="K399" i="38" a="1"/>
  <c r="K399" i="38" s="1"/>
  <c r="J399" i="38" a="1"/>
  <c r="J399" i="38" s="1"/>
  <c r="I399" i="38" a="1"/>
  <c r="I399" i="38" s="1"/>
  <c r="K398" i="38" a="1"/>
  <c r="K398" i="38" s="1"/>
  <c r="J398" i="38" a="1"/>
  <c r="J398" i="38" s="1"/>
  <c r="I398" i="38" a="1"/>
  <c r="I398" i="38" s="1"/>
  <c r="K397" i="38" a="1"/>
  <c r="K397" i="38" s="1"/>
  <c r="J397" i="38" a="1"/>
  <c r="J397" i="38" s="1"/>
  <c r="I397" i="38" a="1"/>
  <c r="I397" i="38" s="1"/>
  <c r="K396" i="38" a="1"/>
  <c r="K396" i="38" s="1"/>
  <c r="J396" i="38" a="1"/>
  <c r="J396" i="38" s="1"/>
  <c r="I396" i="38" a="1"/>
  <c r="I396" i="38" s="1"/>
  <c r="K395" i="38" a="1"/>
  <c r="K395" i="38" s="1"/>
  <c r="J395" i="38" a="1"/>
  <c r="J395" i="38" s="1"/>
  <c r="I395" i="38" a="1"/>
  <c r="I395" i="38" s="1"/>
  <c r="K394" i="38" a="1"/>
  <c r="K394" i="38" s="1"/>
  <c r="J394" i="38" a="1"/>
  <c r="J394" i="38" s="1"/>
  <c r="I394" i="38" a="1"/>
  <c r="I394" i="38" s="1"/>
  <c r="K393" i="38" a="1"/>
  <c r="K393" i="38" s="1"/>
  <c r="J393" i="38" a="1"/>
  <c r="J393" i="38" s="1"/>
  <c r="I393" i="38" a="1"/>
  <c r="I393" i="38" s="1"/>
  <c r="K392" i="38" a="1"/>
  <c r="K392" i="38" s="1"/>
  <c r="J392" i="38" a="1"/>
  <c r="J392" i="38" s="1"/>
  <c r="I392" i="38" a="1"/>
  <c r="I392" i="38" s="1"/>
  <c r="K391" i="38" a="1"/>
  <c r="K391" i="38" s="1"/>
  <c r="J391" i="38" a="1"/>
  <c r="J391" i="38" s="1"/>
  <c r="I391" i="38" a="1"/>
  <c r="I391" i="38" s="1"/>
  <c r="K390" i="38" a="1"/>
  <c r="K390" i="38" s="1"/>
  <c r="J390" i="38" a="1"/>
  <c r="J390" i="38" s="1"/>
  <c r="I390" i="38" a="1"/>
  <c r="I390" i="38" s="1"/>
  <c r="K389" i="38" a="1"/>
  <c r="K389" i="38" s="1"/>
  <c r="J389" i="38" a="1"/>
  <c r="J389" i="38" s="1"/>
  <c r="I389" i="38" a="1"/>
  <c r="I389" i="38" s="1"/>
  <c r="K388" i="38" a="1"/>
  <c r="K388" i="38" s="1"/>
  <c r="J388" i="38" a="1"/>
  <c r="J388" i="38" s="1"/>
  <c r="I388" i="38" a="1"/>
  <c r="I388" i="38" s="1"/>
  <c r="K387" i="38" a="1"/>
  <c r="K387" i="38" s="1"/>
  <c r="J387" i="38" a="1"/>
  <c r="J387" i="38" s="1"/>
  <c r="I387" i="38" a="1"/>
  <c r="I387" i="38" s="1"/>
  <c r="K386" i="38" a="1"/>
  <c r="K386" i="38" s="1"/>
  <c r="J386" i="38" a="1"/>
  <c r="J386" i="38" s="1"/>
  <c r="I386" i="38" a="1"/>
  <c r="I386" i="38" s="1"/>
  <c r="K385" i="38" a="1"/>
  <c r="K385" i="38" s="1"/>
  <c r="J385" i="38" a="1"/>
  <c r="J385" i="38" s="1"/>
  <c r="I385" i="38" a="1"/>
  <c r="I385" i="38" s="1"/>
  <c r="K384" i="38" a="1"/>
  <c r="K384" i="38" s="1"/>
  <c r="J384" i="38" a="1"/>
  <c r="J384" i="38" s="1"/>
  <c r="I384" i="38" a="1"/>
  <c r="I384" i="38" s="1"/>
  <c r="K383" i="38" a="1"/>
  <c r="K383" i="38" s="1"/>
  <c r="J383" i="38" a="1"/>
  <c r="J383" i="38" s="1"/>
  <c r="I383" i="38" a="1"/>
  <c r="I383" i="38" s="1"/>
  <c r="K382" i="38" a="1"/>
  <c r="K382" i="38" s="1"/>
  <c r="J382" i="38" a="1"/>
  <c r="J382" i="38" s="1"/>
  <c r="I382" i="38" a="1"/>
  <c r="I382" i="38" s="1"/>
  <c r="K381" i="38" a="1"/>
  <c r="K381" i="38" s="1"/>
  <c r="J381" i="38" a="1"/>
  <c r="J381" i="38" s="1"/>
  <c r="I381" i="38" a="1"/>
  <c r="I381" i="38" s="1"/>
  <c r="K380" i="38" a="1"/>
  <c r="K380" i="38" s="1"/>
  <c r="J380" i="38" a="1"/>
  <c r="J380" i="38" s="1"/>
  <c r="I380" i="38" a="1"/>
  <c r="I380" i="38" s="1"/>
  <c r="K379" i="38" a="1"/>
  <c r="K379" i="38" s="1"/>
  <c r="J379" i="38" a="1"/>
  <c r="J379" i="38" s="1"/>
  <c r="I379" i="38" a="1"/>
  <c r="I379" i="38" s="1"/>
  <c r="K378" i="38" a="1"/>
  <c r="K378" i="38" s="1"/>
  <c r="J378" i="38" a="1"/>
  <c r="J378" i="38" s="1"/>
  <c r="I378" i="38" a="1"/>
  <c r="I378" i="38" s="1"/>
  <c r="K377" i="38" a="1"/>
  <c r="K377" i="38" s="1"/>
  <c r="J377" i="38" a="1"/>
  <c r="J377" i="38" s="1"/>
  <c r="I377" i="38" a="1"/>
  <c r="I377" i="38" s="1"/>
  <c r="K376" i="38" a="1"/>
  <c r="K376" i="38" s="1"/>
  <c r="J376" i="38" a="1"/>
  <c r="J376" i="38" s="1"/>
  <c r="I376" i="38" a="1"/>
  <c r="I376" i="38" s="1"/>
  <c r="K375" i="38" a="1"/>
  <c r="K375" i="38" s="1"/>
  <c r="J375" i="38" a="1"/>
  <c r="J375" i="38" s="1"/>
  <c r="I375" i="38" a="1"/>
  <c r="I375" i="38" s="1"/>
  <c r="K374" i="38" a="1"/>
  <c r="K374" i="38" s="1"/>
  <c r="J374" i="38" a="1"/>
  <c r="J374" i="38" s="1"/>
  <c r="I374" i="38" a="1"/>
  <c r="I374" i="38" s="1"/>
  <c r="K373" i="38" a="1"/>
  <c r="K373" i="38" s="1"/>
  <c r="J373" i="38" a="1"/>
  <c r="J373" i="38" s="1"/>
  <c r="I373" i="38" a="1"/>
  <c r="I373" i="38" s="1"/>
  <c r="K372" i="38" a="1"/>
  <c r="K372" i="38" s="1"/>
  <c r="J372" i="38" a="1"/>
  <c r="J372" i="38" s="1"/>
  <c r="I372" i="38" a="1"/>
  <c r="I372" i="38" s="1"/>
  <c r="K371" i="38" a="1"/>
  <c r="K371" i="38" s="1"/>
  <c r="J371" i="38" a="1"/>
  <c r="J371" i="38" s="1"/>
  <c r="I371" i="38" a="1"/>
  <c r="I371" i="38" s="1"/>
  <c r="K370" i="38" a="1"/>
  <c r="K370" i="38" s="1"/>
  <c r="J370" i="38" a="1"/>
  <c r="J370" i="38" s="1"/>
  <c r="I370" i="38" a="1"/>
  <c r="I370" i="38" s="1"/>
  <c r="K369" i="38" a="1"/>
  <c r="K369" i="38" s="1"/>
  <c r="J369" i="38" a="1"/>
  <c r="J369" i="38" s="1"/>
  <c r="I369" i="38" a="1"/>
  <c r="I369" i="38" s="1"/>
  <c r="K368" i="38" a="1"/>
  <c r="K368" i="38" s="1"/>
  <c r="J368" i="38" a="1"/>
  <c r="J368" i="38" s="1"/>
  <c r="I368" i="38" a="1"/>
  <c r="I368" i="38" s="1"/>
  <c r="K367" i="38" a="1"/>
  <c r="K367" i="38" s="1"/>
  <c r="J367" i="38" a="1"/>
  <c r="J367" i="38" s="1"/>
  <c r="I367" i="38" a="1"/>
  <c r="I367" i="38" s="1"/>
  <c r="K366" i="38" a="1"/>
  <c r="K366" i="38" s="1"/>
  <c r="J366" i="38" a="1"/>
  <c r="J366" i="38" s="1"/>
  <c r="I366" i="38" a="1"/>
  <c r="I366" i="38" s="1"/>
  <c r="K365" i="38" a="1"/>
  <c r="K365" i="38" s="1"/>
  <c r="J365" i="38" a="1"/>
  <c r="J365" i="38" s="1"/>
  <c r="I365" i="38" a="1"/>
  <c r="I365" i="38" s="1"/>
  <c r="K364" i="38" a="1"/>
  <c r="K364" i="38" s="1"/>
  <c r="J364" i="38" a="1"/>
  <c r="J364" i="38" s="1"/>
  <c r="I364" i="38" a="1"/>
  <c r="I364" i="38" s="1"/>
  <c r="K363" i="38" a="1"/>
  <c r="K363" i="38" s="1"/>
  <c r="J363" i="38" a="1"/>
  <c r="J363" i="38" s="1"/>
  <c r="I363" i="38" a="1"/>
  <c r="I363" i="38" s="1"/>
  <c r="K362" i="38" a="1"/>
  <c r="K362" i="38" s="1"/>
  <c r="J362" i="38" a="1"/>
  <c r="J362" i="38" s="1"/>
  <c r="I362" i="38" a="1"/>
  <c r="I362" i="38" s="1"/>
  <c r="K361" i="38" a="1"/>
  <c r="K361" i="38" s="1"/>
  <c r="J361" i="38" a="1"/>
  <c r="J361" i="38" s="1"/>
  <c r="I361" i="38" a="1"/>
  <c r="I361" i="38" s="1"/>
  <c r="K360" i="38" a="1"/>
  <c r="K360" i="38" s="1"/>
  <c r="J360" i="38" a="1"/>
  <c r="J360" i="38" s="1"/>
  <c r="I360" i="38" a="1"/>
  <c r="I360" i="38" s="1"/>
  <c r="K359" i="38" a="1"/>
  <c r="K359" i="38" s="1"/>
  <c r="J359" i="38" a="1"/>
  <c r="J359" i="38" s="1"/>
  <c r="I359" i="38" a="1"/>
  <c r="I359" i="38" s="1"/>
  <c r="K358" i="38" a="1"/>
  <c r="K358" i="38" s="1"/>
  <c r="J358" i="38" a="1"/>
  <c r="J358" i="38" s="1"/>
  <c r="I358" i="38" a="1"/>
  <c r="I358" i="38" s="1"/>
  <c r="K357" i="38" a="1"/>
  <c r="K357" i="38" s="1"/>
  <c r="J357" i="38" a="1"/>
  <c r="J357" i="38" s="1"/>
  <c r="I357" i="38" a="1"/>
  <c r="I357" i="38" s="1"/>
  <c r="K356" i="38" a="1"/>
  <c r="K356" i="38" s="1"/>
  <c r="J356" i="38" a="1"/>
  <c r="J356" i="38" s="1"/>
  <c r="I356" i="38" a="1"/>
  <c r="I356" i="38" s="1"/>
  <c r="K355" i="38" a="1"/>
  <c r="K355" i="38" s="1"/>
  <c r="J355" i="38" a="1"/>
  <c r="J355" i="38" s="1"/>
  <c r="I355" i="38" a="1"/>
  <c r="I355" i="38" s="1"/>
  <c r="K354" i="38" a="1"/>
  <c r="K354" i="38" s="1"/>
  <c r="J354" i="38" a="1"/>
  <c r="J354" i="38" s="1"/>
  <c r="I354" i="38" a="1"/>
  <c r="I354" i="38" s="1"/>
  <c r="K353" i="38" a="1"/>
  <c r="K353" i="38" s="1"/>
  <c r="J353" i="38" a="1"/>
  <c r="J353" i="38" s="1"/>
  <c r="I353" i="38" a="1"/>
  <c r="I353" i="38" s="1"/>
  <c r="K352" i="38" a="1"/>
  <c r="K352" i="38" s="1"/>
  <c r="J352" i="38" a="1"/>
  <c r="J352" i="38" s="1"/>
  <c r="I352" i="38" a="1"/>
  <c r="I352" i="38" s="1"/>
  <c r="K351" i="38" a="1"/>
  <c r="K351" i="38" s="1"/>
  <c r="J351" i="38" a="1"/>
  <c r="J351" i="38" s="1"/>
  <c r="I351" i="38" a="1"/>
  <c r="I351" i="38" s="1"/>
  <c r="K350" i="38" a="1"/>
  <c r="K350" i="38" s="1"/>
  <c r="J350" i="38" a="1"/>
  <c r="J350" i="38" s="1"/>
  <c r="I350" i="38" a="1"/>
  <c r="I350" i="38" s="1"/>
  <c r="K349" i="38" a="1"/>
  <c r="K349" i="38" s="1"/>
  <c r="J349" i="38" a="1"/>
  <c r="J349" i="38" s="1"/>
  <c r="I349" i="38" a="1"/>
  <c r="I349" i="38" s="1"/>
  <c r="K348" i="38" a="1"/>
  <c r="K348" i="38" s="1"/>
  <c r="J348" i="38" a="1"/>
  <c r="J348" i="38" s="1"/>
  <c r="I348" i="38" a="1"/>
  <c r="I348" i="38" s="1"/>
  <c r="K347" i="38" a="1"/>
  <c r="K347" i="38" s="1"/>
  <c r="J347" i="38" a="1"/>
  <c r="J347" i="38" s="1"/>
  <c r="I347" i="38" a="1"/>
  <c r="I347" i="38" s="1"/>
  <c r="K346" i="38" a="1"/>
  <c r="K346" i="38" s="1"/>
  <c r="J346" i="38" a="1"/>
  <c r="J346" i="38" s="1"/>
  <c r="I346" i="38" a="1"/>
  <c r="I346" i="38" s="1"/>
  <c r="K345" i="38" a="1"/>
  <c r="K345" i="38" s="1"/>
  <c r="J345" i="38" a="1"/>
  <c r="J345" i="38" s="1"/>
  <c r="I345" i="38" a="1"/>
  <c r="I345" i="38" s="1"/>
  <c r="K344" i="38" a="1"/>
  <c r="K344" i="38" s="1"/>
  <c r="J344" i="38" a="1"/>
  <c r="J344" i="38" s="1"/>
  <c r="I344" i="38" a="1"/>
  <c r="I344" i="38" s="1"/>
  <c r="K343" i="38" a="1"/>
  <c r="K343" i="38" s="1"/>
  <c r="J343" i="38" a="1"/>
  <c r="J343" i="38" s="1"/>
  <c r="I343" i="38" a="1"/>
  <c r="I343" i="38" s="1"/>
  <c r="K342" i="38" a="1"/>
  <c r="K342" i="38" s="1"/>
  <c r="J342" i="38" a="1"/>
  <c r="J342" i="38" s="1"/>
  <c r="I342" i="38" a="1"/>
  <c r="I342" i="38" s="1"/>
  <c r="K341" i="38" a="1"/>
  <c r="K341" i="38" s="1"/>
  <c r="J341" i="38" a="1"/>
  <c r="J341" i="38" s="1"/>
  <c r="I341" i="38" a="1"/>
  <c r="I341" i="38" s="1"/>
  <c r="K340" i="38" a="1"/>
  <c r="K340" i="38" s="1"/>
  <c r="J340" i="38" a="1"/>
  <c r="J340" i="38" s="1"/>
  <c r="I340" i="38" a="1"/>
  <c r="I340" i="38" s="1"/>
  <c r="K339" i="38" a="1"/>
  <c r="K339" i="38" s="1"/>
  <c r="J339" i="38" a="1"/>
  <c r="J339" i="38" s="1"/>
  <c r="I339" i="38" a="1"/>
  <c r="I339" i="38" s="1"/>
  <c r="K338" i="38" a="1"/>
  <c r="K338" i="38" s="1"/>
  <c r="J338" i="38" a="1"/>
  <c r="J338" i="38" s="1"/>
  <c r="I338" i="38" a="1"/>
  <c r="I338" i="38" s="1"/>
  <c r="K337" i="38" a="1"/>
  <c r="K337" i="38" s="1"/>
  <c r="J337" i="38" a="1"/>
  <c r="J337" i="38" s="1"/>
  <c r="I337" i="38" a="1"/>
  <c r="I337" i="38" s="1"/>
  <c r="K336" i="38" a="1"/>
  <c r="K336" i="38" s="1"/>
  <c r="J336" i="38" a="1"/>
  <c r="J336" i="38" s="1"/>
  <c r="I336" i="38" a="1"/>
  <c r="I336" i="38" s="1"/>
  <c r="K335" i="38" a="1"/>
  <c r="K335" i="38" s="1"/>
  <c r="J335" i="38" a="1"/>
  <c r="J335" i="38" s="1"/>
  <c r="I335" i="38" a="1"/>
  <c r="I335" i="38" s="1"/>
  <c r="K334" i="38" a="1"/>
  <c r="K334" i="38" s="1"/>
  <c r="J334" i="38" a="1"/>
  <c r="J334" i="38" s="1"/>
  <c r="I334" i="38" a="1"/>
  <c r="I334" i="38" s="1"/>
  <c r="K333" i="38" a="1"/>
  <c r="K333" i="38" s="1"/>
  <c r="J333" i="38" a="1"/>
  <c r="J333" i="38" s="1"/>
  <c r="I333" i="38" a="1"/>
  <c r="I333" i="38" s="1"/>
  <c r="K332" i="38" a="1"/>
  <c r="K332" i="38" s="1"/>
  <c r="J332" i="38" a="1"/>
  <c r="J332" i="38" s="1"/>
  <c r="I332" i="38" a="1"/>
  <c r="I332" i="38" s="1"/>
  <c r="K331" i="38" a="1"/>
  <c r="K331" i="38" s="1"/>
  <c r="J331" i="38" a="1"/>
  <c r="J331" i="38" s="1"/>
  <c r="I331" i="38" a="1"/>
  <c r="I331" i="38" s="1"/>
  <c r="K330" i="38" a="1"/>
  <c r="K330" i="38" s="1"/>
  <c r="J330" i="38" a="1"/>
  <c r="J330" i="38" s="1"/>
  <c r="I330" i="38" a="1"/>
  <c r="I330" i="38" s="1"/>
  <c r="K329" i="38" a="1"/>
  <c r="K329" i="38" s="1"/>
  <c r="J329" i="38" a="1"/>
  <c r="J329" i="38" s="1"/>
  <c r="I329" i="38" a="1"/>
  <c r="I329" i="38" s="1"/>
  <c r="K328" i="38" a="1"/>
  <c r="K328" i="38" s="1"/>
  <c r="J328" i="38" a="1"/>
  <c r="J328" i="38" s="1"/>
  <c r="I328" i="38" a="1"/>
  <c r="I328" i="38" s="1"/>
  <c r="K327" i="38" a="1"/>
  <c r="K327" i="38" s="1"/>
  <c r="J327" i="38" a="1"/>
  <c r="J327" i="38" s="1"/>
  <c r="I327" i="38" a="1"/>
  <c r="I327" i="38" s="1"/>
  <c r="K326" i="38" a="1"/>
  <c r="K326" i="38" s="1"/>
  <c r="J326" i="38" a="1"/>
  <c r="J326" i="38" s="1"/>
  <c r="I326" i="38" a="1"/>
  <c r="I326" i="38" s="1"/>
  <c r="K325" i="38" a="1"/>
  <c r="K325" i="38" s="1"/>
  <c r="J325" i="38" a="1"/>
  <c r="J325" i="38" s="1"/>
  <c r="I325" i="38" a="1"/>
  <c r="I325" i="38" s="1"/>
  <c r="K324" i="38" a="1"/>
  <c r="K324" i="38" s="1"/>
  <c r="J324" i="38" a="1"/>
  <c r="J324" i="38" s="1"/>
  <c r="I324" i="38" a="1"/>
  <c r="I324" i="38" s="1"/>
  <c r="K323" i="38" a="1"/>
  <c r="K323" i="38" s="1"/>
  <c r="J323" i="38" a="1"/>
  <c r="J323" i="38" s="1"/>
  <c r="I323" i="38" a="1"/>
  <c r="I323" i="38" s="1"/>
  <c r="K322" i="38" a="1"/>
  <c r="K322" i="38" s="1"/>
  <c r="J322" i="38" a="1"/>
  <c r="J322" i="38" s="1"/>
  <c r="I322" i="38" a="1"/>
  <c r="I322" i="38" s="1"/>
  <c r="K321" i="38" a="1"/>
  <c r="K321" i="38" s="1"/>
  <c r="J321" i="38" a="1"/>
  <c r="J321" i="38" s="1"/>
  <c r="I321" i="38" a="1"/>
  <c r="I321" i="38" s="1"/>
  <c r="K320" i="38" a="1"/>
  <c r="K320" i="38" s="1"/>
  <c r="J320" i="38" a="1"/>
  <c r="J320" i="38" s="1"/>
  <c r="I320" i="38" a="1"/>
  <c r="I320" i="38" s="1"/>
  <c r="K319" i="38" a="1"/>
  <c r="K319" i="38" s="1"/>
  <c r="J319" i="38" a="1"/>
  <c r="J319" i="38" s="1"/>
  <c r="I319" i="38" a="1"/>
  <c r="I319" i="38" s="1"/>
  <c r="K318" i="38" a="1"/>
  <c r="K318" i="38" s="1"/>
  <c r="J318" i="38" a="1"/>
  <c r="J318" i="38" s="1"/>
  <c r="I318" i="38" a="1"/>
  <c r="I318" i="38" s="1"/>
  <c r="K317" i="38" a="1"/>
  <c r="K317" i="38" s="1"/>
  <c r="J317" i="38" a="1"/>
  <c r="J317" i="38" s="1"/>
  <c r="I317" i="38" a="1"/>
  <c r="I317" i="38" s="1"/>
  <c r="K316" i="38" a="1"/>
  <c r="K316" i="38" s="1"/>
  <c r="J316" i="38" a="1"/>
  <c r="J316" i="38" s="1"/>
  <c r="I316" i="38" a="1"/>
  <c r="I316" i="38" s="1"/>
  <c r="K315" i="38" a="1"/>
  <c r="K315" i="38" s="1"/>
  <c r="J315" i="38" a="1"/>
  <c r="J315" i="38" s="1"/>
  <c r="I315" i="38" a="1"/>
  <c r="I315" i="38" s="1"/>
  <c r="K314" i="38" a="1"/>
  <c r="K314" i="38" s="1"/>
  <c r="J314" i="38" a="1"/>
  <c r="J314" i="38" s="1"/>
  <c r="I314" i="38" a="1"/>
  <c r="I314" i="38" s="1"/>
  <c r="K313" i="38" a="1"/>
  <c r="K313" i="38" s="1"/>
  <c r="J313" i="38" a="1"/>
  <c r="J313" i="38" s="1"/>
  <c r="I313" i="38" a="1"/>
  <c r="I313" i="38" s="1"/>
  <c r="K312" i="38" a="1"/>
  <c r="K312" i="38" s="1"/>
  <c r="J312" i="38" a="1"/>
  <c r="J312" i="38" s="1"/>
  <c r="I312" i="38" a="1"/>
  <c r="I312" i="38" s="1"/>
  <c r="K311" i="38" a="1"/>
  <c r="K311" i="38" s="1"/>
  <c r="J311" i="38" a="1"/>
  <c r="J311" i="38" s="1"/>
  <c r="I311" i="38" a="1"/>
  <c r="I311" i="38" s="1"/>
  <c r="K310" i="38" a="1"/>
  <c r="K310" i="38" s="1"/>
  <c r="J310" i="38" a="1"/>
  <c r="J310" i="38" s="1"/>
  <c r="I310" i="38" a="1"/>
  <c r="I310" i="38" s="1"/>
  <c r="K309" i="38" a="1"/>
  <c r="K309" i="38" s="1"/>
  <c r="J309" i="38" a="1"/>
  <c r="J309" i="38" s="1"/>
  <c r="I309" i="38" a="1"/>
  <c r="I309" i="38" s="1"/>
  <c r="K308" i="38" a="1"/>
  <c r="K308" i="38" s="1"/>
  <c r="J308" i="38" a="1"/>
  <c r="J308" i="38" s="1"/>
  <c r="I308" i="38" a="1"/>
  <c r="I308" i="38" s="1"/>
  <c r="K307" i="38" a="1"/>
  <c r="K307" i="38" s="1"/>
  <c r="J307" i="38" a="1"/>
  <c r="J307" i="38" s="1"/>
  <c r="I307" i="38" a="1"/>
  <c r="I307" i="38" s="1"/>
  <c r="K306" i="38" a="1"/>
  <c r="K306" i="38" s="1"/>
  <c r="J306" i="38" a="1"/>
  <c r="J306" i="38" s="1"/>
  <c r="I306" i="38" a="1"/>
  <c r="I306" i="38" s="1"/>
  <c r="K305" i="38" a="1"/>
  <c r="K305" i="38" s="1"/>
  <c r="J305" i="38" a="1"/>
  <c r="J305" i="38" s="1"/>
  <c r="I305" i="38" a="1"/>
  <c r="I305" i="38" s="1"/>
  <c r="K304" i="38" a="1"/>
  <c r="K304" i="38" s="1"/>
  <c r="J304" i="38" a="1"/>
  <c r="J304" i="38" s="1"/>
  <c r="I304" i="38" a="1"/>
  <c r="I304" i="38" s="1"/>
  <c r="K303" i="38" a="1"/>
  <c r="K303" i="38" s="1"/>
  <c r="J303" i="38" a="1"/>
  <c r="J303" i="38" s="1"/>
  <c r="I303" i="38" a="1"/>
  <c r="I303" i="38" s="1"/>
  <c r="K302" i="38" a="1"/>
  <c r="K302" i="38" s="1"/>
  <c r="J302" i="38" a="1"/>
  <c r="J302" i="38" s="1"/>
  <c r="I302" i="38" a="1"/>
  <c r="I302" i="38" s="1"/>
  <c r="K301" i="38" a="1"/>
  <c r="K301" i="38" s="1"/>
  <c r="J301" i="38" a="1"/>
  <c r="J301" i="38" s="1"/>
  <c r="I301" i="38" a="1"/>
  <c r="I301" i="38" s="1"/>
  <c r="K300" i="38" a="1"/>
  <c r="K300" i="38" s="1"/>
  <c r="J300" i="38" a="1"/>
  <c r="J300" i="38" s="1"/>
  <c r="I300" i="38" a="1"/>
  <c r="I300" i="38" s="1"/>
  <c r="K299" i="38" a="1"/>
  <c r="K299" i="38" s="1"/>
  <c r="J299" i="38" a="1"/>
  <c r="J299" i="38" s="1"/>
  <c r="I299" i="38" a="1"/>
  <c r="I299" i="38" s="1"/>
  <c r="K298" i="38" a="1"/>
  <c r="K298" i="38" s="1"/>
  <c r="J298" i="38" a="1"/>
  <c r="J298" i="38" s="1"/>
  <c r="I298" i="38" a="1"/>
  <c r="I298" i="38" s="1"/>
  <c r="K297" i="38" a="1"/>
  <c r="K297" i="38" s="1"/>
  <c r="J297" i="38" a="1"/>
  <c r="J297" i="38" s="1"/>
  <c r="I297" i="38" a="1"/>
  <c r="I297" i="38" s="1"/>
  <c r="K296" i="38" a="1"/>
  <c r="K296" i="38" s="1"/>
  <c r="J296" i="38" a="1"/>
  <c r="J296" i="38" s="1"/>
  <c r="I296" i="38" a="1"/>
  <c r="I296" i="38" s="1"/>
  <c r="K295" i="38" a="1"/>
  <c r="K295" i="38" s="1"/>
  <c r="J295" i="38" a="1"/>
  <c r="J295" i="38" s="1"/>
  <c r="I295" i="38" a="1"/>
  <c r="I295" i="38" s="1"/>
  <c r="K294" i="38" a="1"/>
  <c r="K294" i="38" s="1"/>
  <c r="J294" i="38" a="1"/>
  <c r="J294" i="38" s="1"/>
  <c r="I294" i="38" a="1"/>
  <c r="I294" i="38" s="1"/>
  <c r="K293" i="38" a="1"/>
  <c r="K293" i="38" s="1"/>
  <c r="J293" i="38" a="1"/>
  <c r="J293" i="38" s="1"/>
  <c r="I293" i="38" a="1"/>
  <c r="I293" i="38" s="1"/>
  <c r="K292" i="38" a="1"/>
  <c r="K292" i="38" s="1"/>
  <c r="J292" i="38" a="1"/>
  <c r="J292" i="38" s="1"/>
  <c r="I292" i="38" a="1"/>
  <c r="I292" i="38" s="1"/>
  <c r="K291" i="38" a="1"/>
  <c r="K291" i="38" s="1"/>
  <c r="J291" i="38" a="1"/>
  <c r="J291" i="38" s="1"/>
  <c r="I291" i="38" a="1"/>
  <c r="I291" i="38" s="1"/>
  <c r="K290" i="38" a="1"/>
  <c r="K290" i="38" s="1"/>
  <c r="J290" i="38" a="1"/>
  <c r="J290" i="38" s="1"/>
  <c r="I290" i="38" a="1"/>
  <c r="I290" i="38" s="1"/>
  <c r="K289" i="38" a="1"/>
  <c r="K289" i="38" s="1"/>
  <c r="J289" i="38" a="1"/>
  <c r="J289" i="38" s="1"/>
  <c r="I289" i="38" a="1"/>
  <c r="I289" i="38" s="1"/>
  <c r="K288" i="38" a="1"/>
  <c r="K288" i="38" s="1"/>
  <c r="J288" i="38" a="1"/>
  <c r="J288" i="38" s="1"/>
  <c r="I288" i="38" a="1"/>
  <c r="I288" i="38" s="1"/>
  <c r="K287" i="38" a="1"/>
  <c r="K287" i="38" s="1"/>
  <c r="J287" i="38" a="1"/>
  <c r="J287" i="38" s="1"/>
  <c r="I287" i="38" a="1"/>
  <c r="I287" i="38" s="1"/>
  <c r="K286" i="38" a="1"/>
  <c r="K286" i="38" s="1"/>
  <c r="J286" i="38" a="1"/>
  <c r="J286" i="38" s="1"/>
  <c r="I286" i="38" a="1"/>
  <c r="I286" i="38" s="1"/>
  <c r="K285" i="38" a="1"/>
  <c r="K285" i="38" s="1"/>
  <c r="J285" i="38" a="1"/>
  <c r="J285" i="38" s="1"/>
  <c r="I285" i="38" a="1"/>
  <c r="I285" i="38" s="1"/>
  <c r="K284" i="38" a="1"/>
  <c r="K284" i="38" s="1"/>
  <c r="J284" i="38" a="1"/>
  <c r="J284" i="38" s="1"/>
  <c r="I284" i="38" a="1"/>
  <c r="I284" i="38" s="1"/>
  <c r="K283" i="38" a="1"/>
  <c r="K283" i="38" s="1"/>
  <c r="J283" i="38" a="1"/>
  <c r="J283" i="38" s="1"/>
  <c r="I283" i="38" a="1"/>
  <c r="I283" i="38" s="1"/>
  <c r="K282" i="38" a="1"/>
  <c r="K282" i="38" s="1"/>
  <c r="J282" i="38" a="1"/>
  <c r="J282" i="38" s="1"/>
  <c r="I282" i="38" a="1"/>
  <c r="I282" i="38" s="1"/>
  <c r="K281" i="38" a="1"/>
  <c r="K281" i="38" s="1"/>
  <c r="J281" i="38" a="1"/>
  <c r="J281" i="38" s="1"/>
  <c r="I281" i="38" a="1"/>
  <c r="I281" i="38" s="1"/>
  <c r="K280" i="38" a="1"/>
  <c r="K280" i="38" s="1"/>
  <c r="J280" i="38" a="1"/>
  <c r="J280" i="38" s="1"/>
  <c r="I280" i="38" a="1"/>
  <c r="I280" i="38" s="1"/>
  <c r="K279" i="38" a="1"/>
  <c r="K279" i="38" s="1"/>
  <c r="J279" i="38" a="1"/>
  <c r="J279" i="38" s="1"/>
  <c r="I279" i="38" a="1"/>
  <c r="I279" i="38" s="1"/>
  <c r="K278" i="38" a="1"/>
  <c r="K278" i="38" s="1"/>
  <c r="J278" i="38" a="1"/>
  <c r="J278" i="38" s="1"/>
  <c r="I278" i="38" a="1"/>
  <c r="I278" i="38" s="1"/>
  <c r="K277" i="38" a="1"/>
  <c r="K277" i="38" s="1"/>
  <c r="J277" i="38" a="1"/>
  <c r="J277" i="38" s="1"/>
  <c r="I277" i="38" a="1"/>
  <c r="I277" i="38" s="1"/>
  <c r="K276" i="38" a="1"/>
  <c r="K276" i="38" s="1"/>
  <c r="J276" i="38" a="1"/>
  <c r="J276" i="38" s="1"/>
  <c r="I276" i="38" a="1"/>
  <c r="I276" i="38" s="1"/>
  <c r="K275" i="38" a="1"/>
  <c r="K275" i="38" s="1"/>
  <c r="J275" i="38" a="1"/>
  <c r="J275" i="38" s="1"/>
  <c r="I275" i="38" a="1"/>
  <c r="I275" i="38" s="1"/>
  <c r="K274" i="38" a="1"/>
  <c r="K274" i="38" s="1"/>
  <c r="J274" i="38" a="1"/>
  <c r="J274" i="38" s="1"/>
  <c r="I274" i="38" a="1"/>
  <c r="I274" i="38" s="1"/>
  <c r="K273" i="38" a="1"/>
  <c r="K273" i="38" s="1"/>
  <c r="J273" i="38" a="1"/>
  <c r="J273" i="38" s="1"/>
  <c r="I273" i="38" a="1"/>
  <c r="I273" i="38" s="1"/>
  <c r="K272" i="38" a="1"/>
  <c r="K272" i="38" s="1"/>
  <c r="J272" i="38" a="1"/>
  <c r="J272" i="38" s="1"/>
  <c r="I272" i="38" a="1"/>
  <c r="I272" i="38" s="1"/>
  <c r="K271" i="38" a="1"/>
  <c r="K271" i="38" s="1"/>
  <c r="J271" i="38" a="1"/>
  <c r="J271" i="38" s="1"/>
  <c r="I271" i="38" a="1"/>
  <c r="I271" i="38" s="1"/>
  <c r="K270" i="38" a="1"/>
  <c r="K270" i="38" s="1"/>
  <c r="J270" i="38" a="1"/>
  <c r="J270" i="38" s="1"/>
  <c r="I270" i="38" a="1"/>
  <c r="I270" i="38" s="1"/>
  <c r="K269" i="38" a="1"/>
  <c r="K269" i="38" s="1"/>
  <c r="J269" i="38" a="1"/>
  <c r="J269" i="38" s="1"/>
  <c r="I269" i="38" a="1"/>
  <c r="I269" i="38" s="1"/>
  <c r="K268" i="38" a="1"/>
  <c r="K268" i="38" s="1"/>
  <c r="J268" i="38" a="1"/>
  <c r="J268" i="38" s="1"/>
  <c r="I268" i="38" a="1"/>
  <c r="I268" i="38" s="1"/>
  <c r="K267" i="38" a="1"/>
  <c r="K267" i="38" s="1"/>
  <c r="J267" i="38" a="1"/>
  <c r="J267" i="38" s="1"/>
  <c r="I267" i="38" a="1"/>
  <c r="I267" i="38" s="1"/>
  <c r="K266" i="38" a="1"/>
  <c r="K266" i="38" s="1"/>
  <c r="J266" i="38" a="1"/>
  <c r="J266" i="38" s="1"/>
  <c r="I266" i="38" a="1"/>
  <c r="I266" i="38" s="1"/>
  <c r="K265" i="38" a="1"/>
  <c r="K265" i="38" s="1"/>
  <c r="J265" i="38" a="1"/>
  <c r="J265" i="38" s="1"/>
  <c r="I265" i="38" a="1"/>
  <c r="I265" i="38" s="1"/>
  <c r="K264" i="38" a="1"/>
  <c r="K264" i="38" s="1"/>
  <c r="J264" i="38" a="1"/>
  <c r="J264" i="38" s="1"/>
  <c r="I264" i="38" a="1"/>
  <c r="I264" i="38" s="1"/>
  <c r="K263" i="38" a="1"/>
  <c r="K263" i="38" s="1"/>
  <c r="J263" i="38" a="1"/>
  <c r="J263" i="38" s="1"/>
  <c r="I263" i="38" a="1"/>
  <c r="I263" i="38" s="1"/>
  <c r="K262" i="38" a="1"/>
  <c r="K262" i="38" s="1"/>
  <c r="J262" i="38" a="1"/>
  <c r="J262" i="38" s="1"/>
  <c r="I262" i="38" a="1"/>
  <c r="I262" i="38" s="1"/>
  <c r="K261" i="38" a="1"/>
  <c r="K261" i="38" s="1"/>
  <c r="J261" i="38" a="1"/>
  <c r="J261" i="38" s="1"/>
  <c r="I261" i="38" a="1"/>
  <c r="I261" i="38" s="1"/>
  <c r="K260" i="38" a="1"/>
  <c r="K260" i="38" s="1"/>
  <c r="J260" i="38" a="1"/>
  <c r="J260" i="38" s="1"/>
  <c r="I260" i="38" a="1"/>
  <c r="I260" i="38" s="1"/>
  <c r="K259" i="38" a="1"/>
  <c r="K259" i="38" s="1"/>
  <c r="J259" i="38" a="1"/>
  <c r="J259" i="38" s="1"/>
  <c r="I259" i="38" a="1"/>
  <c r="I259" i="38" s="1"/>
  <c r="K258" i="38" a="1"/>
  <c r="K258" i="38" s="1"/>
  <c r="J258" i="38" a="1"/>
  <c r="J258" i="38" s="1"/>
  <c r="I258" i="38" a="1"/>
  <c r="I258" i="38" s="1"/>
  <c r="K257" i="38" a="1"/>
  <c r="K257" i="38" s="1"/>
  <c r="J257" i="38" a="1"/>
  <c r="J257" i="38" s="1"/>
  <c r="I257" i="38" a="1"/>
  <c r="I257" i="38" s="1"/>
  <c r="K256" i="38" a="1"/>
  <c r="K256" i="38" s="1"/>
  <c r="J256" i="38" a="1"/>
  <c r="J256" i="38" s="1"/>
  <c r="I256" i="38" a="1"/>
  <c r="I256" i="38" s="1"/>
  <c r="K255" i="38" a="1"/>
  <c r="K255" i="38" s="1"/>
  <c r="J255" i="38" a="1"/>
  <c r="J255" i="38" s="1"/>
  <c r="I255" i="38" a="1"/>
  <c r="I255" i="38" s="1"/>
  <c r="K254" i="38" a="1"/>
  <c r="K254" i="38" s="1"/>
  <c r="J254" i="38" a="1"/>
  <c r="J254" i="38" s="1"/>
  <c r="I254" i="38" a="1"/>
  <c r="I254" i="38" s="1"/>
  <c r="K253" i="38" a="1"/>
  <c r="K253" i="38" s="1"/>
  <c r="J253" i="38" a="1"/>
  <c r="J253" i="38" s="1"/>
  <c r="I253" i="38" a="1"/>
  <c r="I253" i="38" s="1"/>
  <c r="K252" i="38" a="1"/>
  <c r="K252" i="38" s="1"/>
  <c r="J252" i="38" a="1"/>
  <c r="J252" i="38" s="1"/>
  <c r="I252" i="38" a="1"/>
  <c r="I252" i="38" s="1"/>
  <c r="K251" i="38" a="1"/>
  <c r="K251" i="38" s="1"/>
  <c r="J251" i="38" a="1"/>
  <c r="J251" i="38" s="1"/>
  <c r="I251" i="38" a="1"/>
  <c r="I251" i="38" s="1"/>
  <c r="K250" i="38" a="1"/>
  <c r="K250" i="38" s="1"/>
  <c r="J250" i="38" a="1"/>
  <c r="J250" i="38" s="1"/>
  <c r="I250" i="38" a="1"/>
  <c r="I250" i="38" s="1"/>
  <c r="K249" i="38" a="1"/>
  <c r="K249" i="38" s="1"/>
  <c r="J249" i="38" a="1"/>
  <c r="J249" i="38" s="1"/>
  <c r="I249" i="38" a="1"/>
  <c r="I249" i="38" s="1"/>
  <c r="K248" i="38" a="1"/>
  <c r="K248" i="38" s="1"/>
  <c r="J248" i="38" a="1"/>
  <c r="J248" i="38" s="1"/>
  <c r="I248" i="38" a="1"/>
  <c r="I248" i="38" s="1"/>
  <c r="K247" i="38" a="1"/>
  <c r="K247" i="38" s="1"/>
  <c r="J247" i="38" a="1"/>
  <c r="J247" i="38" s="1"/>
  <c r="I247" i="38" a="1"/>
  <c r="I247" i="38" s="1"/>
  <c r="K246" i="38" a="1"/>
  <c r="K246" i="38" s="1"/>
  <c r="J246" i="38" a="1"/>
  <c r="J246" i="38" s="1"/>
  <c r="I246" i="38" a="1"/>
  <c r="I246" i="38" s="1"/>
  <c r="K245" i="38" a="1"/>
  <c r="K245" i="38" s="1"/>
  <c r="J245" i="38" a="1"/>
  <c r="J245" i="38" s="1"/>
  <c r="I245" i="38" a="1"/>
  <c r="I245" i="38" s="1"/>
  <c r="K244" i="38" a="1"/>
  <c r="K244" i="38" s="1"/>
  <c r="J244" i="38" a="1"/>
  <c r="J244" i="38" s="1"/>
  <c r="I244" i="38" a="1"/>
  <c r="I244" i="38" s="1"/>
  <c r="K243" i="38" a="1"/>
  <c r="K243" i="38" s="1"/>
  <c r="J243" i="38" a="1"/>
  <c r="J243" i="38" s="1"/>
  <c r="I243" i="38" a="1"/>
  <c r="I243" i="38" s="1"/>
  <c r="K242" i="38" a="1"/>
  <c r="K242" i="38" s="1"/>
  <c r="J242" i="38" a="1"/>
  <c r="J242" i="38" s="1"/>
  <c r="I242" i="38" a="1"/>
  <c r="I242" i="38" s="1"/>
  <c r="K241" i="38" a="1"/>
  <c r="K241" i="38" s="1"/>
  <c r="J241" i="38" a="1"/>
  <c r="J241" i="38" s="1"/>
  <c r="I241" i="38" a="1"/>
  <c r="I241" i="38" s="1"/>
  <c r="K240" i="38" a="1"/>
  <c r="K240" i="38" s="1"/>
  <c r="J240" i="38" a="1"/>
  <c r="J240" i="38" s="1"/>
  <c r="I240" i="38" a="1"/>
  <c r="I240" i="38" s="1"/>
  <c r="K239" i="38" a="1"/>
  <c r="K239" i="38" s="1"/>
  <c r="J239" i="38" a="1"/>
  <c r="J239" i="38" s="1"/>
  <c r="I239" i="38" a="1"/>
  <c r="I239" i="38" s="1"/>
  <c r="K238" i="38" a="1"/>
  <c r="K238" i="38" s="1"/>
  <c r="J238" i="38" a="1"/>
  <c r="J238" i="38" s="1"/>
  <c r="I238" i="38" a="1"/>
  <c r="I238" i="38" s="1"/>
  <c r="K237" i="38" a="1"/>
  <c r="K237" i="38" s="1"/>
  <c r="J237" i="38" a="1"/>
  <c r="J237" i="38" s="1"/>
  <c r="I237" i="38" a="1"/>
  <c r="I237" i="38" s="1"/>
  <c r="K236" i="38" a="1"/>
  <c r="K236" i="38" s="1"/>
  <c r="J236" i="38" a="1"/>
  <c r="J236" i="38" s="1"/>
  <c r="I236" i="38" a="1"/>
  <c r="I236" i="38" s="1"/>
  <c r="K235" i="38" a="1"/>
  <c r="K235" i="38" s="1"/>
  <c r="J235" i="38" a="1"/>
  <c r="J235" i="38" s="1"/>
  <c r="I235" i="38" a="1"/>
  <c r="I235" i="38" s="1"/>
  <c r="K234" i="38" a="1"/>
  <c r="K234" i="38" s="1"/>
  <c r="J234" i="38" a="1"/>
  <c r="J234" i="38" s="1"/>
  <c r="I234" i="38" a="1"/>
  <c r="I234" i="38" s="1"/>
  <c r="K233" i="38" a="1"/>
  <c r="K233" i="38" s="1"/>
  <c r="J233" i="38" a="1"/>
  <c r="J233" i="38" s="1"/>
  <c r="I233" i="38" a="1"/>
  <c r="I233" i="38" s="1"/>
  <c r="K232" i="38" a="1"/>
  <c r="K232" i="38" s="1"/>
  <c r="J232" i="38" a="1"/>
  <c r="J232" i="38" s="1"/>
  <c r="I232" i="38" a="1"/>
  <c r="I232" i="38" s="1"/>
  <c r="K231" i="38" a="1"/>
  <c r="K231" i="38" s="1"/>
  <c r="J231" i="38" a="1"/>
  <c r="J231" i="38" s="1"/>
  <c r="I231" i="38" a="1"/>
  <c r="I231" i="38" s="1"/>
  <c r="K230" i="38" a="1"/>
  <c r="K230" i="38" s="1"/>
  <c r="J230" i="38" a="1"/>
  <c r="J230" i="38" s="1"/>
  <c r="I230" i="38" a="1"/>
  <c r="I230" i="38" s="1"/>
  <c r="K229" i="38" a="1"/>
  <c r="K229" i="38" s="1"/>
  <c r="J229" i="38" a="1"/>
  <c r="J229" i="38" s="1"/>
  <c r="I229" i="38" a="1"/>
  <c r="I229" i="38" s="1"/>
  <c r="K228" i="38" a="1"/>
  <c r="K228" i="38" s="1"/>
  <c r="J228" i="38" a="1"/>
  <c r="J228" i="38" s="1"/>
  <c r="I228" i="38" a="1"/>
  <c r="I228" i="38" s="1"/>
  <c r="K227" i="38" a="1"/>
  <c r="K227" i="38" s="1"/>
  <c r="J227" i="38" a="1"/>
  <c r="J227" i="38" s="1"/>
  <c r="I227" i="38" a="1"/>
  <c r="I227" i="38" s="1"/>
  <c r="K226" i="38" a="1"/>
  <c r="K226" i="38" s="1"/>
  <c r="J226" i="38" a="1"/>
  <c r="J226" i="38" s="1"/>
  <c r="I226" i="38" a="1"/>
  <c r="I226" i="38" s="1"/>
  <c r="K225" i="38" a="1"/>
  <c r="K225" i="38" s="1"/>
  <c r="J225" i="38" a="1"/>
  <c r="J225" i="38" s="1"/>
  <c r="I225" i="38" a="1"/>
  <c r="I225" i="38" s="1"/>
  <c r="K224" i="38" a="1"/>
  <c r="K224" i="38" s="1"/>
  <c r="J224" i="38" a="1"/>
  <c r="J224" i="38" s="1"/>
  <c r="I224" i="38" a="1"/>
  <c r="I224" i="38" s="1"/>
  <c r="K223" i="38" a="1"/>
  <c r="K223" i="38" s="1"/>
  <c r="J223" i="38" a="1"/>
  <c r="J223" i="38" s="1"/>
  <c r="I223" i="38" a="1"/>
  <c r="I223" i="38" s="1"/>
  <c r="K222" i="38" a="1"/>
  <c r="K222" i="38" s="1"/>
  <c r="J222" i="38" a="1"/>
  <c r="J222" i="38" s="1"/>
  <c r="I222" i="38" a="1"/>
  <c r="I222" i="38" s="1"/>
  <c r="K221" i="38" a="1"/>
  <c r="K221" i="38" s="1"/>
  <c r="J221" i="38" a="1"/>
  <c r="J221" i="38" s="1"/>
  <c r="I221" i="38" a="1"/>
  <c r="I221" i="38" s="1"/>
  <c r="K220" i="38" a="1"/>
  <c r="K220" i="38" s="1"/>
  <c r="J220" i="38" a="1"/>
  <c r="J220" i="38" s="1"/>
  <c r="I220" i="38" a="1"/>
  <c r="I220" i="38" s="1"/>
  <c r="K219" i="38" a="1"/>
  <c r="K219" i="38" s="1"/>
  <c r="J219" i="38" a="1"/>
  <c r="J219" i="38" s="1"/>
  <c r="I219" i="38" a="1"/>
  <c r="I219" i="38" s="1"/>
  <c r="K218" i="38" a="1"/>
  <c r="K218" i="38" s="1"/>
  <c r="J218" i="38" a="1"/>
  <c r="J218" i="38" s="1"/>
  <c r="I218" i="38" a="1"/>
  <c r="I218" i="38" s="1"/>
  <c r="K217" i="38" a="1"/>
  <c r="K217" i="38" s="1"/>
  <c r="J217" i="38" a="1"/>
  <c r="J217" i="38" s="1"/>
  <c r="I217" i="38" a="1"/>
  <c r="I217" i="38" s="1"/>
  <c r="K216" i="38" a="1"/>
  <c r="K216" i="38" s="1"/>
  <c r="J216" i="38" a="1"/>
  <c r="J216" i="38" s="1"/>
  <c r="I216" i="38" a="1"/>
  <c r="I216" i="38" s="1"/>
  <c r="K215" i="38" a="1"/>
  <c r="K215" i="38" s="1"/>
  <c r="J215" i="38" a="1"/>
  <c r="J215" i="38" s="1"/>
  <c r="I215" i="38" a="1"/>
  <c r="I215" i="38" s="1"/>
  <c r="K214" i="38" a="1"/>
  <c r="K214" i="38" s="1"/>
  <c r="J214" i="38" a="1"/>
  <c r="J214" i="38" s="1"/>
  <c r="I214" i="38" a="1"/>
  <c r="I214" i="38" s="1"/>
  <c r="K213" i="38" a="1"/>
  <c r="K213" i="38" s="1"/>
  <c r="J213" i="38" a="1"/>
  <c r="J213" i="38" s="1"/>
  <c r="I213" i="38" a="1"/>
  <c r="I213" i="38" s="1"/>
  <c r="K212" i="38" a="1"/>
  <c r="K212" i="38" s="1"/>
  <c r="J212" i="38" a="1"/>
  <c r="J212" i="38" s="1"/>
  <c r="I212" i="38" a="1"/>
  <c r="I212" i="38" s="1"/>
  <c r="K211" i="38" a="1"/>
  <c r="K211" i="38" s="1"/>
  <c r="J211" i="38" a="1"/>
  <c r="J211" i="38" s="1"/>
  <c r="I211" i="38" a="1"/>
  <c r="I211" i="38" s="1"/>
  <c r="K210" i="38" a="1"/>
  <c r="K210" i="38" s="1"/>
  <c r="J210" i="38" a="1"/>
  <c r="J210" i="38" s="1"/>
  <c r="I210" i="38" a="1"/>
  <c r="I210" i="38" s="1"/>
  <c r="K209" i="38" a="1"/>
  <c r="K209" i="38" s="1"/>
  <c r="J209" i="38" a="1"/>
  <c r="J209" i="38" s="1"/>
  <c r="I209" i="38" a="1"/>
  <c r="I209" i="38" s="1"/>
  <c r="K208" i="38" a="1"/>
  <c r="K208" i="38" s="1"/>
  <c r="J208" i="38" a="1"/>
  <c r="J208" i="38" s="1"/>
  <c r="I208" i="38" a="1"/>
  <c r="I208" i="38" s="1"/>
  <c r="K207" i="38" a="1"/>
  <c r="K207" i="38" s="1"/>
  <c r="J207" i="38" a="1"/>
  <c r="J207" i="38" s="1"/>
  <c r="I207" i="38" a="1"/>
  <c r="I207" i="38" s="1"/>
  <c r="K206" i="38" a="1"/>
  <c r="K206" i="38" s="1"/>
  <c r="J206" i="38" a="1"/>
  <c r="J206" i="38" s="1"/>
  <c r="I206" i="38" a="1"/>
  <c r="I206" i="38" s="1"/>
  <c r="K205" i="38" a="1"/>
  <c r="K205" i="38" s="1"/>
  <c r="J205" i="38" a="1"/>
  <c r="J205" i="38" s="1"/>
  <c r="I205" i="38" a="1"/>
  <c r="I205" i="38" s="1"/>
  <c r="K204" i="38" a="1"/>
  <c r="K204" i="38" s="1"/>
  <c r="J204" i="38" a="1"/>
  <c r="J204" i="38" s="1"/>
  <c r="I204" i="38" a="1"/>
  <c r="I204" i="38" s="1"/>
  <c r="K203" i="38" a="1"/>
  <c r="K203" i="38" s="1"/>
  <c r="J203" i="38" a="1"/>
  <c r="J203" i="38" s="1"/>
  <c r="I203" i="38" a="1"/>
  <c r="I203" i="38" s="1"/>
  <c r="K202" i="38" a="1"/>
  <c r="K202" i="38" s="1"/>
  <c r="J202" i="38" a="1"/>
  <c r="J202" i="38" s="1"/>
  <c r="I202" i="38" a="1"/>
  <c r="I202" i="38" s="1"/>
  <c r="K201" i="38" a="1"/>
  <c r="K201" i="38" s="1"/>
  <c r="J201" i="38" a="1"/>
  <c r="J201" i="38" s="1"/>
  <c r="I201" i="38" a="1"/>
  <c r="I201" i="38" s="1"/>
  <c r="K200" i="38" a="1"/>
  <c r="K200" i="38" s="1"/>
  <c r="J200" i="38" a="1"/>
  <c r="J200" i="38" s="1"/>
  <c r="I200" i="38" a="1"/>
  <c r="I200" i="38" s="1"/>
  <c r="K199" i="38" a="1"/>
  <c r="K199" i="38" s="1"/>
  <c r="J199" i="38" a="1"/>
  <c r="J199" i="38" s="1"/>
  <c r="I199" i="38" a="1"/>
  <c r="I199" i="38" s="1"/>
  <c r="K198" i="38" a="1"/>
  <c r="K198" i="38" s="1"/>
  <c r="J198" i="38" a="1"/>
  <c r="J198" i="38" s="1"/>
  <c r="I198" i="38" a="1"/>
  <c r="I198" i="38" s="1"/>
  <c r="K197" i="38" a="1"/>
  <c r="K197" i="38" s="1"/>
  <c r="J197" i="38" a="1"/>
  <c r="J197" i="38" s="1"/>
  <c r="I197" i="38" a="1"/>
  <c r="I197" i="38" s="1"/>
  <c r="K196" i="38" a="1"/>
  <c r="K196" i="38" s="1"/>
  <c r="J196" i="38" a="1"/>
  <c r="J196" i="38" s="1"/>
  <c r="I196" i="38" a="1"/>
  <c r="I196" i="38" s="1"/>
  <c r="K195" i="38" a="1"/>
  <c r="K195" i="38" s="1"/>
  <c r="J195" i="38" a="1"/>
  <c r="J195" i="38" s="1"/>
  <c r="I195" i="38" a="1"/>
  <c r="I195" i="38" s="1"/>
  <c r="K194" i="38" a="1"/>
  <c r="K194" i="38" s="1"/>
  <c r="J194" i="38" a="1"/>
  <c r="J194" i="38" s="1"/>
  <c r="I194" i="38" a="1"/>
  <c r="I194" i="38" s="1"/>
  <c r="K193" i="38" a="1"/>
  <c r="K193" i="38" s="1"/>
  <c r="J193" i="38" a="1"/>
  <c r="J193" i="38" s="1"/>
  <c r="I193" i="38" a="1"/>
  <c r="I193" i="38" s="1"/>
  <c r="K192" i="38" a="1"/>
  <c r="K192" i="38" s="1"/>
  <c r="J192" i="38" a="1"/>
  <c r="J192" i="38" s="1"/>
  <c r="I192" i="38" a="1"/>
  <c r="I192" i="38" s="1"/>
  <c r="K191" i="38" a="1"/>
  <c r="K191" i="38" s="1"/>
  <c r="J191" i="38" a="1"/>
  <c r="J191" i="38" s="1"/>
  <c r="I191" i="38" a="1"/>
  <c r="I191" i="38" s="1"/>
  <c r="K190" i="38" a="1"/>
  <c r="K190" i="38" s="1"/>
  <c r="J190" i="38" a="1"/>
  <c r="J190" i="38" s="1"/>
  <c r="I190" i="38" a="1"/>
  <c r="I190" i="38" s="1"/>
  <c r="K189" i="38" a="1"/>
  <c r="K189" i="38" s="1"/>
  <c r="J189" i="38" a="1"/>
  <c r="J189" i="38" s="1"/>
  <c r="I189" i="38" a="1"/>
  <c r="I189" i="38" s="1"/>
  <c r="K188" i="38" a="1"/>
  <c r="K188" i="38" s="1"/>
  <c r="J188" i="38" a="1"/>
  <c r="J188" i="38" s="1"/>
  <c r="I188" i="38" a="1"/>
  <c r="I188" i="38" s="1"/>
  <c r="K187" i="38" a="1"/>
  <c r="K187" i="38" s="1"/>
  <c r="J187" i="38" a="1"/>
  <c r="J187" i="38" s="1"/>
  <c r="I187" i="38" a="1"/>
  <c r="I187" i="38" s="1"/>
  <c r="K186" i="38" a="1"/>
  <c r="K186" i="38" s="1"/>
  <c r="J186" i="38" a="1"/>
  <c r="J186" i="38" s="1"/>
  <c r="I186" i="38" a="1"/>
  <c r="I186" i="38" s="1"/>
  <c r="K185" i="38" a="1"/>
  <c r="K185" i="38" s="1"/>
  <c r="J185" i="38" a="1"/>
  <c r="J185" i="38" s="1"/>
  <c r="I185" i="38" a="1"/>
  <c r="I185" i="38" s="1"/>
  <c r="K184" i="38" a="1"/>
  <c r="K184" i="38" s="1"/>
  <c r="J184" i="38" a="1"/>
  <c r="J184" i="38" s="1"/>
  <c r="I184" i="38" a="1"/>
  <c r="I184" i="38" s="1"/>
  <c r="K183" i="38" a="1"/>
  <c r="K183" i="38" s="1"/>
  <c r="J183" i="38" a="1"/>
  <c r="J183" i="38" s="1"/>
  <c r="I183" i="38" a="1"/>
  <c r="I183" i="38" s="1"/>
  <c r="K182" i="38" a="1"/>
  <c r="K182" i="38" s="1"/>
  <c r="J182" i="38" a="1"/>
  <c r="J182" i="38" s="1"/>
  <c r="I182" i="38" a="1"/>
  <c r="I182" i="38" s="1"/>
  <c r="K181" i="38" a="1"/>
  <c r="K181" i="38" s="1"/>
  <c r="J181" i="38" a="1"/>
  <c r="J181" i="38" s="1"/>
  <c r="I181" i="38" a="1"/>
  <c r="I181" i="38" s="1"/>
  <c r="K180" i="38" a="1"/>
  <c r="K180" i="38" s="1"/>
  <c r="J180" i="38" a="1"/>
  <c r="J180" i="38" s="1"/>
  <c r="I180" i="38" a="1"/>
  <c r="I180" i="38" s="1"/>
  <c r="K179" i="38" a="1"/>
  <c r="K179" i="38" s="1"/>
  <c r="J179" i="38" a="1"/>
  <c r="J179" i="38" s="1"/>
  <c r="I179" i="38" a="1"/>
  <c r="I179" i="38" s="1"/>
  <c r="K178" i="38" a="1"/>
  <c r="K178" i="38" s="1"/>
  <c r="J178" i="38" a="1"/>
  <c r="J178" i="38" s="1"/>
  <c r="I178" i="38" a="1"/>
  <c r="I178" i="38" s="1"/>
  <c r="K177" i="38" a="1"/>
  <c r="K177" i="38" s="1"/>
  <c r="J177" i="38" a="1"/>
  <c r="J177" i="38" s="1"/>
  <c r="I177" i="38" a="1"/>
  <c r="I177" i="38" s="1"/>
  <c r="K176" i="38" a="1"/>
  <c r="K176" i="38" s="1"/>
  <c r="J176" i="38" a="1"/>
  <c r="J176" i="38" s="1"/>
  <c r="I176" i="38" a="1"/>
  <c r="I176" i="38" s="1"/>
  <c r="K175" i="38" a="1"/>
  <c r="K175" i="38" s="1"/>
  <c r="J175" i="38" a="1"/>
  <c r="J175" i="38" s="1"/>
  <c r="I175" i="38" a="1"/>
  <c r="I175" i="38" s="1"/>
  <c r="K174" i="38" a="1"/>
  <c r="K174" i="38" s="1"/>
  <c r="J174" i="38" a="1"/>
  <c r="J174" i="38" s="1"/>
  <c r="I174" i="38" a="1"/>
  <c r="I174" i="38" s="1"/>
  <c r="K173" i="38" a="1"/>
  <c r="K173" i="38" s="1"/>
  <c r="J173" i="38" a="1"/>
  <c r="J173" i="38" s="1"/>
  <c r="I173" i="38" a="1"/>
  <c r="I173" i="38" s="1"/>
  <c r="K172" i="38" a="1"/>
  <c r="K172" i="38" s="1"/>
  <c r="J172" i="38" a="1"/>
  <c r="J172" i="38" s="1"/>
  <c r="I172" i="38" a="1"/>
  <c r="I172" i="38" s="1"/>
  <c r="K171" i="38" a="1"/>
  <c r="K171" i="38" s="1"/>
  <c r="J171" i="38" a="1"/>
  <c r="J171" i="38" s="1"/>
  <c r="I171" i="38" a="1"/>
  <c r="I171" i="38" s="1"/>
  <c r="K170" i="38" a="1"/>
  <c r="K170" i="38" s="1"/>
  <c r="J170" i="38" a="1"/>
  <c r="J170" i="38" s="1"/>
  <c r="I170" i="38" a="1"/>
  <c r="I170" i="38" s="1"/>
  <c r="K169" i="38" a="1"/>
  <c r="K169" i="38" s="1"/>
  <c r="J169" i="38" a="1"/>
  <c r="J169" i="38" s="1"/>
  <c r="I169" i="38" a="1"/>
  <c r="I169" i="38" s="1"/>
  <c r="K168" i="38" a="1"/>
  <c r="K168" i="38" s="1"/>
  <c r="J168" i="38" a="1"/>
  <c r="J168" i="38" s="1"/>
  <c r="I168" i="38" a="1"/>
  <c r="I168" i="38" s="1"/>
  <c r="K167" i="38" a="1"/>
  <c r="K167" i="38" s="1"/>
  <c r="J167" i="38" a="1"/>
  <c r="J167" i="38" s="1"/>
  <c r="I167" i="38" a="1"/>
  <c r="I167" i="38" s="1"/>
  <c r="K166" i="38" a="1"/>
  <c r="K166" i="38" s="1"/>
  <c r="J166" i="38" a="1"/>
  <c r="J166" i="38" s="1"/>
  <c r="I166" i="38" a="1"/>
  <c r="I166" i="38" s="1"/>
  <c r="K165" i="38" a="1"/>
  <c r="K165" i="38" s="1"/>
  <c r="J165" i="38" a="1"/>
  <c r="J165" i="38" s="1"/>
  <c r="I165" i="38" a="1"/>
  <c r="I165" i="38" s="1"/>
  <c r="K164" i="38" a="1"/>
  <c r="K164" i="38" s="1"/>
  <c r="J164" i="38" a="1"/>
  <c r="J164" i="38" s="1"/>
  <c r="I164" i="38" a="1"/>
  <c r="I164" i="38" s="1"/>
  <c r="K163" i="38" a="1"/>
  <c r="K163" i="38" s="1"/>
  <c r="J163" i="38" a="1"/>
  <c r="J163" i="38" s="1"/>
  <c r="I163" i="38" a="1"/>
  <c r="I163" i="38" s="1"/>
  <c r="K162" i="38" a="1"/>
  <c r="K162" i="38" s="1"/>
  <c r="J162" i="38" a="1"/>
  <c r="J162" i="38" s="1"/>
  <c r="I162" i="38" a="1"/>
  <c r="I162" i="38" s="1"/>
  <c r="K161" i="38" a="1"/>
  <c r="K161" i="38" s="1"/>
  <c r="J161" i="38" a="1"/>
  <c r="J161" i="38" s="1"/>
  <c r="I161" i="38" a="1"/>
  <c r="I161" i="38" s="1"/>
  <c r="K160" i="38" a="1"/>
  <c r="K160" i="38" s="1"/>
  <c r="J160" i="38" a="1"/>
  <c r="J160" i="38" s="1"/>
  <c r="I160" i="38" a="1"/>
  <c r="I160" i="38" s="1"/>
  <c r="K159" i="38" a="1"/>
  <c r="K159" i="38" s="1"/>
  <c r="J159" i="38" a="1"/>
  <c r="J159" i="38" s="1"/>
  <c r="I159" i="38" a="1"/>
  <c r="I159" i="38" s="1"/>
  <c r="K158" i="38" a="1"/>
  <c r="K158" i="38" s="1"/>
  <c r="J158" i="38" a="1"/>
  <c r="J158" i="38" s="1"/>
  <c r="I158" i="38" a="1"/>
  <c r="I158" i="38" s="1"/>
  <c r="K157" i="38" a="1"/>
  <c r="K157" i="38" s="1"/>
  <c r="J157" i="38" a="1"/>
  <c r="J157" i="38" s="1"/>
  <c r="I157" i="38" a="1"/>
  <c r="I157" i="38" s="1"/>
  <c r="K156" i="38" a="1"/>
  <c r="K156" i="38" s="1"/>
  <c r="J156" i="38" a="1"/>
  <c r="J156" i="38" s="1"/>
  <c r="I156" i="38" a="1"/>
  <c r="I156" i="38" s="1"/>
  <c r="K155" i="38" a="1"/>
  <c r="K155" i="38" s="1"/>
  <c r="J155" i="38" a="1"/>
  <c r="J155" i="38" s="1"/>
  <c r="I155" i="38" a="1"/>
  <c r="I155" i="38" s="1"/>
  <c r="K154" i="38" a="1"/>
  <c r="K154" i="38" s="1"/>
  <c r="J154" i="38" a="1"/>
  <c r="J154" i="38" s="1"/>
  <c r="I154" i="38" a="1"/>
  <c r="I154" i="38" s="1"/>
  <c r="K153" i="38" a="1"/>
  <c r="K153" i="38" s="1"/>
  <c r="J153" i="38" a="1"/>
  <c r="J153" i="38" s="1"/>
  <c r="I153" i="38" a="1"/>
  <c r="I153" i="38" s="1"/>
  <c r="K152" i="38" a="1"/>
  <c r="K152" i="38" s="1"/>
  <c r="J152" i="38" a="1"/>
  <c r="J152" i="38" s="1"/>
  <c r="I152" i="38" a="1"/>
  <c r="I152" i="38" s="1"/>
  <c r="K151" i="38" a="1"/>
  <c r="K151" i="38" s="1"/>
  <c r="J151" i="38" a="1"/>
  <c r="J151" i="38" s="1"/>
  <c r="I151" i="38" a="1"/>
  <c r="I151" i="38" s="1"/>
  <c r="K150" i="38" a="1"/>
  <c r="K150" i="38" s="1"/>
  <c r="J150" i="38" a="1"/>
  <c r="J150" i="38" s="1"/>
  <c r="I150" i="38" a="1"/>
  <c r="I150" i="38" s="1"/>
  <c r="K149" i="38" a="1"/>
  <c r="K149" i="38" s="1"/>
  <c r="J149" i="38" a="1"/>
  <c r="J149" i="38" s="1"/>
  <c r="I149" i="38" a="1"/>
  <c r="I149" i="38" s="1"/>
  <c r="K148" i="38" a="1"/>
  <c r="K148" i="38" s="1"/>
  <c r="J148" i="38" a="1"/>
  <c r="J148" i="38" s="1"/>
  <c r="I148" i="38" a="1"/>
  <c r="I148" i="38" s="1"/>
  <c r="K147" i="38" a="1"/>
  <c r="K147" i="38" s="1"/>
  <c r="J147" i="38" a="1"/>
  <c r="J147" i="38" s="1"/>
  <c r="I147" i="38" a="1"/>
  <c r="I147" i="38" s="1"/>
  <c r="K146" i="38" a="1"/>
  <c r="K146" i="38" s="1"/>
  <c r="J146" i="38" a="1"/>
  <c r="J146" i="38" s="1"/>
  <c r="I146" i="38" a="1"/>
  <c r="I146" i="38" s="1"/>
  <c r="K145" i="38" a="1"/>
  <c r="K145" i="38" s="1"/>
  <c r="J145" i="38" a="1"/>
  <c r="J145" i="38" s="1"/>
  <c r="I145" i="38" a="1"/>
  <c r="I145" i="38" s="1"/>
  <c r="K144" i="38" a="1"/>
  <c r="K144" i="38" s="1"/>
  <c r="J144" i="38" a="1"/>
  <c r="J144" i="38" s="1"/>
  <c r="I144" i="38" a="1"/>
  <c r="I144" i="38" s="1"/>
  <c r="K143" i="38" a="1"/>
  <c r="K143" i="38" s="1"/>
  <c r="J143" i="38" a="1"/>
  <c r="J143" i="38" s="1"/>
  <c r="I143" i="38" a="1"/>
  <c r="I143" i="38" s="1"/>
  <c r="K142" i="38" a="1"/>
  <c r="K142" i="38" s="1"/>
  <c r="J142" i="38" a="1"/>
  <c r="J142" i="38" s="1"/>
  <c r="I142" i="38" a="1"/>
  <c r="I142" i="38" s="1"/>
  <c r="K141" i="38" a="1"/>
  <c r="K141" i="38" s="1"/>
  <c r="J141" i="38" a="1"/>
  <c r="J141" i="38" s="1"/>
  <c r="I141" i="38" a="1"/>
  <c r="I141" i="38" s="1"/>
  <c r="K140" i="38" a="1"/>
  <c r="K140" i="38" s="1"/>
  <c r="J140" i="38" a="1"/>
  <c r="J140" i="38" s="1"/>
  <c r="I140" i="38" a="1"/>
  <c r="I140" i="38" s="1"/>
  <c r="K139" i="38" a="1"/>
  <c r="K139" i="38" s="1"/>
  <c r="J139" i="38" a="1"/>
  <c r="J139" i="38" s="1"/>
  <c r="I139" i="38" a="1"/>
  <c r="I139" i="38" s="1"/>
  <c r="K138" i="38" a="1"/>
  <c r="K138" i="38" s="1"/>
  <c r="J138" i="38" a="1"/>
  <c r="J138" i="38" s="1"/>
  <c r="I138" i="38" a="1"/>
  <c r="I138" i="38" s="1"/>
  <c r="K137" i="38" a="1"/>
  <c r="K137" i="38" s="1"/>
  <c r="J137" i="38" a="1"/>
  <c r="J137" i="38" s="1"/>
  <c r="I137" i="38" a="1"/>
  <c r="I137" i="38" s="1"/>
  <c r="K136" i="38" a="1"/>
  <c r="K136" i="38" s="1"/>
  <c r="J136" i="38" a="1"/>
  <c r="J136" i="38" s="1"/>
  <c r="I136" i="38" a="1"/>
  <c r="I136" i="38" s="1"/>
  <c r="K135" i="38" a="1"/>
  <c r="K135" i="38" s="1"/>
  <c r="J135" i="38" a="1"/>
  <c r="J135" i="38" s="1"/>
  <c r="I135" i="38" a="1"/>
  <c r="I135" i="38" s="1"/>
  <c r="K134" i="38" a="1"/>
  <c r="K134" i="38" s="1"/>
  <c r="J134" i="38" a="1"/>
  <c r="J134" i="38" s="1"/>
  <c r="I134" i="38" a="1"/>
  <c r="I134" i="38" s="1"/>
  <c r="K133" i="38" a="1"/>
  <c r="K133" i="38" s="1"/>
  <c r="J133" i="38" a="1"/>
  <c r="J133" i="38" s="1"/>
  <c r="I133" i="38" a="1"/>
  <c r="I133" i="38" s="1"/>
  <c r="K132" i="38" a="1"/>
  <c r="K132" i="38" s="1"/>
  <c r="J132" i="38" a="1"/>
  <c r="J132" i="38" s="1"/>
  <c r="I132" i="38" a="1"/>
  <c r="I132" i="38" s="1"/>
  <c r="K131" i="38" a="1"/>
  <c r="K131" i="38" s="1"/>
  <c r="J131" i="38" a="1"/>
  <c r="J131" i="38" s="1"/>
  <c r="I131" i="38" a="1"/>
  <c r="I131" i="38" s="1"/>
  <c r="K130" i="38" a="1"/>
  <c r="K130" i="38" s="1"/>
  <c r="J130" i="38" a="1"/>
  <c r="J130" i="38" s="1"/>
  <c r="I130" i="38" a="1"/>
  <c r="I130" i="38" s="1"/>
  <c r="K129" i="38" a="1"/>
  <c r="K129" i="38" s="1"/>
  <c r="J129" i="38" a="1"/>
  <c r="J129" i="38" s="1"/>
  <c r="I129" i="38" a="1"/>
  <c r="I129" i="38" s="1"/>
  <c r="K128" i="38" a="1"/>
  <c r="K128" i="38" s="1"/>
  <c r="J128" i="38" a="1"/>
  <c r="J128" i="38" s="1"/>
  <c r="I128" i="38" a="1"/>
  <c r="I128" i="38" s="1"/>
  <c r="K127" i="38" a="1"/>
  <c r="K127" i="38" s="1"/>
  <c r="J127" i="38" a="1"/>
  <c r="J127" i="38" s="1"/>
  <c r="I127" i="38" a="1"/>
  <c r="I127" i="38" s="1"/>
  <c r="K126" i="38" a="1"/>
  <c r="K126" i="38" s="1"/>
  <c r="J126" i="38" a="1"/>
  <c r="J126" i="38" s="1"/>
  <c r="I126" i="38" a="1"/>
  <c r="I126" i="38" s="1"/>
  <c r="K125" i="38" a="1"/>
  <c r="K125" i="38" s="1"/>
  <c r="J125" i="38" a="1"/>
  <c r="J125" i="38" s="1"/>
  <c r="I125" i="38" a="1"/>
  <c r="I125" i="38" s="1"/>
  <c r="K124" i="38" a="1"/>
  <c r="K124" i="38" s="1"/>
  <c r="J124" i="38" a="1"/>
  <c r="J124" i="38" s="1"/>
  <c r="I124" i="38" a="1"/>
  <c r="I124" i="38" s="1"/>
  <c r="K123" i="38" a="1"/>
  <c r="K123" i="38" s="1"/>
  <c r="J123" i="38" a="1"/>
  <c r="J123" i="38" s="1"/>
  <c r="I123" i="38" a="1"/>
  <c r="I123" i="38" s="1"/>
  <c r="K122" i="38" a="1"/>
  <c r="K122" i="38" s="1"/>
  <c r="J122" i="38" a="1"/>
  <c r="J122" i="38" s="1"/>
  <c r="I122" i="38" a="1"/>
  <c r="I122" i="38" s="1"/>
  <c r="K121" i="38" a="1"/>
  <c r="K121" i="38" s="1"/>
  <c r="J121" i="38" a="1"/>
  <c r="J121" i="38" s="1"/>
  <c r="I121" i="38" a="1"/>
  <c r="I121" i="38" s="1"/>
  <c r="K120" i="38" a="1"/>
  <c r="K120" i="38" s="1"/>
  <c r="J120" i="38" a="1"/>
  <c r="J120" i="38" s="1"/>
  <c r="I120" i="38" a="1"/>
  <c r="I120" i="38" s="1"/>
  <c r="K119" i="38" a="1"/>
  <c r="K119" i="38" s="1"/>
  <c r="J119" i="38" a="1"/>
  <c r="J119" i="38" s="1"/>
  <c r="I119" i="38" a="1"/>
  <c r="I119" i="38" s="1"/>
  <c r="K118" i="38" a="1"/>
  <c r="K118" i="38" s="1"/>
  <c r="J118" i="38" a="1"/>
  <c r="J118" i="38" s="1"/>
  <c r="I118" i="38" a="1"/>
  <c r="I118" i="38" s="1"/>
  <c r="K117" i="38" a="1"/>
  <c r="K117" i="38" s="1"/>
  <c r="J117" i="38" a="1"/>
  <c r="J117" i="38" s="1"/>
  <c r="I117" i="38" a="1"/>
  <c r="I117" i="38" s="1"/>
  <c r="K116" i="38" a="1"/>
  <c r="K116" i="38" s="1"/>
  <c r="J116" i="38" a="1"/>
  <c r="J116" i="38" s="1"/>
  <c r="I116" i="38" a="1"/>
  <c r="I116" i="38" s="1"/>
  <c r="K115" i="38" a="1"/>
  <c r="K115" i="38" s="1"/>
  <c r="J115" i="38" a="1"/>
  <c r="J115" i="38" s="1"/>
  <c r="I115" i="38" a="1"/>
  <c r="I115" i="38" s="1"/>
  <c r="K114" i="38" a="1"/>
  <c r="K114" i="38" s="1"/>
  <c r="J114" i="38" a="1"/>
  <c r="J114" i="38" s="1"/>
  <c r="I114" i="38" a="1"/>
  <c r="I114" i="38" s="1"/>
  <c r="K113" i="38" a="1"/>
  <c r="K113" i="38" s="1"/>
  <c r="J113" i="38" a="1"/>
  <c r="J113" i="38" s="1"/>
  <c r="I113" i="38" a="1"/>
  <c r="I113" i="38" s="1"/>
  <c r="K112" i="38" a="1"/>
  <c r="K112" i="38" s="1"/>
  <c r="J112" i="38" a="1"/>
  <c r="J112" i="38" s="1"/>
  <c r="I112" i="38" a="1"/>
  <c r="I112" i="38" s="1"/>
  <c r="K111" i="38" a="1"/>
  <c r="K111" i="38" s="1"/>
  <c r="J111" i="38" a="1"/>
  <c r="J111" i="38" s="1"/>
  <c r="I111" i="38" a="1"/>
  <c r="I111" i="38" s="1"/>
  <c r="K110" i="38" a="1"/>
  <c r="K110" i="38" s="1"/>
  <c r="J110" i="38" a="1"/>
  <c r="J110" i="38" s="1"/>
  <c r="I110" i="38" a="1"/>
  <c r="I110" i="38" s="1"/>
  <c r="K109" i="38" a="1"/>
  <c r="K109" i="38" s="1"/>
  <c r="J109" i="38" a="1"/>
  <c r="J109" i="38" s="1"/>
  <c r="I109" i="38" a="1"/>
  <c r="I109" i="38" s="1"/>
  <c r="K108" i="38" a="1"/>
  <c r="K108" i="38" s="1"/>
  <c r="J108" i="38" a="1"/>
  <c r="J108" i="38" s="1"/>
  <c r="I108" i="38" a="1"/>
  <c r="I108" i="38" s="1"/>
  <c r="K107" i="38" a="1"/>
  <c r="K107" i="38" s="1"/>
  <c r="J107" i="38" a="1"/>
  <c r="J107" i="38" s="1"/>
  <c r="I107" i="38" a="1"/>
  <c r="I107" i="38" s="1"/>
  <c r="K106" i="38" a="1"/>
  <c r="K106" i="38" s="1"/>
  <c r="J106" i="38" a="1"/>
  <c r="J106" i="38" s="1"/>
  <c r="I106" i="38" a="1"/>
  <c r="I106" i="38" s="1"/>
  <c r="K105" i="38" a="1"/>
  <c r="K105" i="38" s="1"/>
  <c r="J105" i="38" a="1"/>
  <c r="J105" i="38" s="1"/>
  <c r="I105" i="38" a="1"/>
  <c r="I105" i="38" s="1"/>
  <c r="K104" i="38" a="1"/>
  <c r="K104" i="38" s="1"/>
  <c r="J104" i="38" a="1"/>
  <c r="J104" i="38" s="1"/>
  <c r="I104" i="38" a="1"/>
  <c r="I104" i="38" s="1"/>
  <c r="K103" i="38" a="1"/>
  <c r="K103" i="38" s="1"/>
  <c r="J103" i="38" a="1"/>
  <c r="J103" i="38" s="1"/>
  <c r="I103" i="38" a="1"/>
  <c r="I103" i="38" s="1"/>
  <c r="K102" i="38" a="1"/>
  <c r="K102" i="38" s="1"/>
  <c r="J102" i="38" a="1"/>
  <c r="J102" i="38" s="1"/>
  <c r="I102" i="38" a="1"/>
  <c r="I102" i="38" s="1"/>
  <c r="K101" i="38" a="1"/>
  <c r="K101" i="38" s="1"/>
  <c r="J101" i="38" a="1"/>
  <c r="J101" i="38" s="1"/>
  <c r="I101" i="38" a="1"/>
  <c r="I101" i="38" s="1"/>
  <c r="K100" i="38" a="1"/>
  <c r="K100" i="38" s="1"/>
  <c r="J100" i="38" a="1"/>
  <c r="J100" i="38" s="1"/>
  <c r="I100" i="38" a="1"/>
  <c r="I100" i="38" s="1"/>
  <c r="K99" i="38" a="1"/>
  <c r="K99" i="38" s="1"/>
  <c r="J99" i="38" a="1"/>
  <c r="J99" i="38" s="1"/>
  <c r="I99" i="38" a="1"/>
  <c r="I99" i="38" s="1"/>
  <c r="K98" i="38" a="1"/>
  <c r="K98" i="38" s="1"/>
  <c r="J98" i="38" a="1"/>
  <c r="J98" i="38" s="1"/>
  <c r="I98" i="38" a="1"/>
  <c r="I98" i="38" s="1"/>
  <c r="K97" i="38" a="1"/>
  <c r="K97" i="38" s="1"/>
  <c r="J97" i="38" a="1"/>
  <c r="J97" i="38" s="1"/>
  <c r="I97" i="38" a="1"/>
  <c r="I97" i="38" s="1"/>
  <c r="K96" i="38" a="1"/>
  <c r="K96" i="38" s="1"/>
  <c r="J96" i="38" a="1"/>
  <c r="J96" i="38" s="1"/>
  <c r="I96" i="38" a="1"/>
  <c r="I96" i="38" s="1"/>
  <c r="K95" i="38" a="1"/>
  <c r="K95" i="38" s="1"/>
  <c r="J95" i="38" a="1"/>
  <c r="J95" i="38" s="1"/>
  <c r="I95" i="38" a="1"/>
  <c r="I95" i="38" s="1"/>
  <c r="K94" i="38" a="1"/>
  <c r="K94" i="38" s="1"/>
  <c r="J94" i="38" a="1"/>
  <c r="J94" i="38" s="1"/>
  <c r="I94" i="38" a="1"/>
  <c r="I94" i="38" s="1"/>
  <c r="K93" i="38" a="1"/>
  <c r="K93" i="38" s="1"/>
  <c r="J93" i="38" a="1"/>
  <c r="J93" i="38" s="1"/>
  <c r="I93" i="38" a="1"/>
  <c r="I93" i="38" s="1"/>
  <c r="K92" i="38" a="1"/>
  <c r="K92" i="38" s="1"/>
  <c r="J92" i="38" a="1"/>
  <c r="J92" i="38" s="1"/>
  <c r="I92" i="38" a="1"/>
  <c r="I92" i="38" s="1"/>
  <c r="K91" i="38" a="1"/>
  <c r="K91" i="38" s="1"/>
  <c r="J91" i="38" a="1"/>
  <c r="J91" i="38" s="1"/>
  <c r="I91" i="38" a="1"/>
  <c r="I91" i="38" s="1"/>
  <c r="K90" i="38" a="1"/>
  <c r="K90" i="38" s="1"/>
  <c r="J90" i="38" a="1"/>
  <c r="J90" i="38" s="1"/>
  <c r="I90" i="38" a="1"/>
  <c r="I90" i="38" s="1"/>
  <c r="K89" i="38" a="1"/>
  <c r="K89" i="38" s="1"/>
  <c r="J89" i="38" a="1"/>
  <c r="J89" i="38" s="1"/>
  <c r="I89" i="38" a="1"/>
  <c r="I89" i="38" s="1"/>
  <c r="K88" i="38" a="1"/>
  <c r="K88" i="38" s="1"/>
  <c r="J88" i="38" a="1"/>
  <c r="J88" i="38" s="1"/>
  <c r="I88" i="38" a="1"/>
  <c r="I88" i="38" s="1"/>
  <c r="K87" i="38" a="1"/>
  <c r="K87" i="38" s="1"/>
  <c r="J87" i="38" a="1"/>
  <c r="J87" i="38" s="1"/>
  <c r="I87" i="38" a="1"/>
  <c r="I87" i="38" s="1"/>
  <c r="K86" i="38" a="1"/>
  <c r="K86" i="38" s="1"/>
  <c r="J86" i="38" a="1"/>
  <c r="J86" i="38" s="1"/>
  <c r="I86" i="38" a="1"/>
  <c r="I86" i="38" s="1"/>
  <c r="K85" i="38" a="1"/>
  <c r="K85" i="38" s="1"/>
  <c r="J85" i="38" a="1"/>
  <c r="J85" i="38" s="1"/>
  <c r="I85" i="38" a="1"/>
  <c r="I85" i="38" s="1"/>
  <c r="K84" i="38" a="1"/>
  <c r="K84" i="38" s="1"/>
  <c r="J84" i="38" a="1"/>
  <c r="J84" i="38" s="1"/>
  <c r="I84" i="38" a="1"/>
  <c r="I84" i="38" s="1"/>
  <c r="K83" i="38" a="1"/>
  <c r="K83" i="38" s="1"/>
  <c r="J83" i="38" a="1"/>
  <c r="J83" i="38" s="1"/>
  <c r="I83" i="38" a="1"/>
  <c r="I83" i="38" s="1"/>
  <c r="K82" i="38" a="1"/>
  <c r="K82" i="38" s="1"/>
  <c r="J82" i="38" a="1"/>
  <c r="J82" i="38" s="1"/>
  <c r="I82" i="38" a="1"/>
  <c r="I82" i="38" s="1"/>
  <c r="K81" i="38" a="1"/>
  <c r="K81" i="38" s="1"/>
  <c r="J81" i="38" a="1"/>
  <c r="J81" i="38" s="1"/>
  <c r="I81" i="38" a="1"/>
  <c r="I81" i="38" s="1"/>
  <c r="K80" i="38" a="1"/>
  <c r="K80" i="38" s="1"/>
  <c r="J80" i="38" a="1"/>
  <c r="J80" i="38" s="1"/>
  <c r="I80" i="38" a="1"/>
  <c r="I80" i="38" s="1"/>
  <c r="K79" i="38" a="1"/>
  <c r="K79" i="38" s="1"/>
  <c r="J79" i="38" a="1"/>
  <c r="J79" i="38" s="1"/>
  <c r="I79" i="38" a="1"/>
  <c r="I79" i="38" s="1"/>
  <c r="K78" i="38" a="1"/>
  <c r="K78" i="38" s="1"/>
  <c r="J78" i="38" a="1"/>
  <c r="J78" i="38" s="1"/>
  <c r="I78" i="38" a="1"/>
  <c r="I78" i="38" s="1"/>
  <c r="K77" i="38" a="1"/>
  <c r="K77" i="38" s="1"/>
  <c r="J77" i="38" a="1"/>
  <c r="J77" i="38" s="1"/>
  <c r="I77" i="38" a="1"/>
  <c r="I77" i="38" s="1"/>
  <c r="K76" i="38" a="1"/>
  <c r="K76" i="38" s="1"/>
  <c r="J76" i="38" a="1"/>
  <c r="J76" i="38" s="1"/>
  <c r="I76" i="38" a="1"/>
  <c r="I76" i="38" s="1"/>
  <c r="K75" i="38" a="1"/>
  <c r="K75" i="38" s="1"/>
  <c r="J75" i="38" a="1"/>
  <c r="J75" i="38" s="1"/>
  <c r="I75" i="38" a="1"/>
  <c r="I75" i="38" s="1"/>
  <c r="K74" i="38" a="1"/>
  <c r="K74" i="38" s="1"/>
  <c r="J74" i="38" a="1"/>
  <c r="J74" i="38" s="1"/>
  <c r="I74" i="38" a="1"/>
  <c r="I74" i="38" s="1"/>
  <c r="K73" i="38" a="1"/>
  <c r="K73" i="38" s="1"/>
  <c r="J73" i="38" a="1"/>
  <c r="J73" i="38" s="1"/>
  <c r="I73" i="38" a="1"/>
  <c r="I73" i="38" s="1"/>
  <c r="K72" i="38" a="1"/>
  <c r="K72" i="38" s="1"/>
  <c r="J72" i="38" a="1"/>
  <c r="J72" i="38" s="1"/>
  <c r="I72" i="38" a="1"/>
  <c r="I72" i="38" s="1"/>
  <c r="K71" i="38" a="1"/>
  <c r="K71" i="38" s="1"/>
  <c r="J71" i="38" a="1"/>
  <c r="J71" i="38" s="1"/>
  <c r="I71" i="38" a="1"/>
  <c r="I71" i="38" s="1"/>
  <c r="K70" i="38" a="1"/>
  <c r="K70" i="38" s="1"/>
  <c r="J70" i="38" a="1"/>
  <c r="J70" i="38" s="1"/>
  <c r="I70" i="38" a="1"/>
  <c r="I70" i="38" s="1"/>
  <c r="K69" i="38" a="1"/>
  <c r="K69" i="38" s="1"/>
  <c r="J69" i="38" a="1"/>
  <c r="J69" i="38" s="1"/>
  <c r="I69" i="38" a="1"/>
  <c r="I69" i="38" s="1"/>
  <c r="K68" i="38" a="1"/>
  <c r="K68" i="38" s="1"/>
  <c r="J68" i="38" a="1"/>
  <c r="J68" i="38" s="1"/>
  <c r="I68" i="38" a="1"/>
  <c r="I68" i="38" s="1"/>
  <c r="K67" i="38" a="1"/>
  <c r="K67" i="38" s="1"/>
  <c r="J67" i="38" a="1"/>
  <c r="J67" i="38" s="1"/>
  <c r="I67" i="38" a="1"/>
  <c r="I67" i="38" s="1"/>
  <c r="K66" i="38" a="1"/>
  <c r="K66" i="38" s="1"/>
  <c r="J66" i="38" a="1"/>
  <c r="J66" i="38" s="1"/>
  <c r="I66" i="38" a="1"/>
  <c r="I66" i="38" s="1"/>
  <c r="K65" i="38" a="1"/>
  <c r="K65" i="38" s="1"/>
  <c r="J65" i="38" a="1"/>
  <c r="J65" i="38" s="1"/>
  <c r="I65" i="38" a="1"/>
  <c r="I65" i="38" s="1"/>
  <c r="K64" i="38" a="1"/>
  <c r="K64" i="38" s="1"/>
  <c r="J64" i="38" a="1"/>
  <c r="J64" i="38" s="1"/>
  <c r="I64" i="38" a="1"/>
  <c r="I64" i="38" s="1"/>
  <c r="K63" i="38" a="1"/>
  <c r="K63" i="38" s="1"/>
  <c r="J63" i="38" a="1"/>
  <c r="J63" i="38" s="1"/>
  <c r="I63" i="38" a="1"/>
  <c r="I63" i="38" s="1"/>
  <c r="K62" i="38" a="1"/>
  <c r="K62" i="38" s="1"/>
  <c r="J62" i="38" a="1"/>
  <c r="J62" i="38" s="1"/>
  <c r="I62" i="38" a="1"/>
  <c r="I62" i="38" s="1"/>
  <c r="K61" i="38" a="1"/>
  <c r="K61" i="38" s="1"/>
  <c r="J61" i="38" a="1"/>
  <c r="J61" i="38" s="1"/>
  <c r="I61" i="38" a="1"/>
  <c r="I61" i="38" s="1"/>
  <c r="K60" i="38" a="1"/>
  <c r="K60" i="38" s="1"/>
  <c r="J60" i="38" a="1"/>
  <c r="J60" i="38" s="1"/>
  <c r="I60" i="38" a="1"/>
  <c r="I60" i="38" s="1"/>
  <c r="K59" i="38" a="1"/>
  <c r="K59" i="38" s="1"/>
  <c r="J59" i="38" a="1"/>
  <c r="J59" i="38" s="1"/>
  <c r="I59" i="38" a="1"/>
  <c r="I59" i="38" s="1"/>
  <c r="K58" i="38" a="1"/>
  <c r="K58" i="38" s="1"/>
  <c r="J58" i="38" a="1"/>
  <c r="J58" i="38" s="1"/>
  <c r="I58" i="38" a="1"/>
  <c r="I58" i="38" s="1"/>
  <c r="K57" i="38" a="1"/>
  <c r="K57" i="38" s="1"/>
  <c r="J57" i="38" a="1"/>
  <c r="J57" i="38" s="1"/>
  <c r="I57" i="38" a="1"/>
  <c r="I57" i="38" s="1"/>
  <c r="K56" i="38" a="1"/>
  <c r="K56" i="38" s="1"/>
  <c r="J56" i="38" a="1"/>
  <c r="J56" i="38" s="1"/>
  <c r="I56" i="38" a="1"/>
  <c r="I56" i="38" s="1"/>
  <c r="K55" i="38" a="1"/>
  <c r="K55" i="38" s="1"/>
  <c r="J55" i="38" a="1"/>
  <c r="J55" i="38" s="1"/>
  <c r="I55" i="38" a="1"/>
  <c r="I55" i="38" s="1"/>
  <c r="K54" i="38" a="1"/>
  <c r="K54" i="38" s="1"/>
  <c r="J54" i="38" a="1"/>
  <c r="J54" i="38" s="1"/>
  <c r="I54" i="38" a="1"/>
  <c r="I54" i="38" s="1"/>
  <c r="K53" i="38" a="1"/>
  <c r="K53" i="38" s="1"/>
  <c r="J53" i="38" a="1"/>
  <c r="J53" i="38" s="1"/>
  <c r="I53" i="38" a="1"/>
  <c r="I53" i="38" s="1"/>
  <c r="K52" i="38" a="1"/>
  <c r="K52" i="38" s="1"/>
  <c r="J52" i="38" a="1"/>
  <c r="J52" i="38" s="1"/>
  <c r="I52" i="38" a="1"/>
  <c r="I52" i="38" s="1"/>
  <c r="K51" i="38" a="1"/>
  <c r="K51" i="38" s="1"/>
  <c r="J51" i="38" a="1"/>
  <c r="J51" i="38" s="1"/>
  <c r="I51" i="38" a="1"/>
  <c r="I51" i="38" s="1"/>
  <c r="K50" i="38" a="1"/>
  <c r="K50" i="38" s="1"/>
  <c r="J50" i="38" a="1"/>
  <c r="J50" i="38" s="1"/>
  <c r="I50" i="38" a="1"/>
  <c r="I50" i="38" s="1"/>
  <c r="K49" i="38" a="1"/>
  <c r="K49" i="38" s="1"/>
  <c r="J49" i="38" a="1"/>
  <c r="J49" i="38" s="1"/>
  <c r="I49" i="38" a="1"/>
  <c r="I49" i="38" s="1"/>
  <c r="K48" i="38" a="1"/>
  <c r="K48" i="38" s="1"/>
  <c r="J48" i="38" a="1"/>
  <c r="J48" i="38" s="1"/>
  <c r="I48" i="38" a="1"/>
  <c r="I48" i="38" s="1"/>
  <c r="K47" i="38" a="1"/>
  <c r="K47" i="38" s="1"/>
  <c r="J47" i="38" a="1"/>
  <c r="J47" i="38" s="1"/>
  <c r="I47" i="38" a="1"/>
  <c r="I47" i="38" s="1"/>
  <c r="K46" i="38" a="1"/>
  <c r="K46" i="38" s="1"/>
  <c r="J46" i="38" a="1"/>
  <c r="J46" i="38" s="1"/>
  <c r="I46" i="38" a="1"/>
  <c r="I46" i="38" s="1"/>
  <c r="K45" i="38" a="1"/>
  <c r="K45" i="38" s="1"/>
  <c r="J45" i="38" a="1"/>
  <c r="J45" i="38" s="1"/>
  <c r="I45" i="38" a="1"/>
  <c r="I45" i="38" s="1"/>
  <c r="K44" i="38" a="1"/>
  <c r="K44" i="38" s="1"/>
  <c r="J44" i="38" a="1"/>
  <c r="J44" i="38" s="1"/>
  <c r="I44" i="38" a="1"/>
  <c r="I44" i="38" s="1"/>
  <c r="K43" i="38" a="1"/>
  <c r="K43" i="38" s="1"/>
  <c r="J43" i="38" a="1"/>
  <c r="J43" i="38" s="1"/>
  <c r="I43" i="38" a="1"/>
  <c r="I43" i="38" s="1"/>
  <c r="K42" i="38" a="1"/>
  <c r="K42" i="38" s="1"/>
  <c r="J42" i="38" a="1"/>
  <c r="J42" i="38" s="1"/>
  <c r="I42" i="38" a="1"/>
  <c r="I42" i="38" s="1"/>
  <c r="K41" i="38" a="1"/>
  <c r="K41" i="38" s="1"/>
  <c r="J41" i="38" a="1"/>
  <c r="J41" i="38" s="1"/>
  <c r="I41" i="38" a="1"/>
  <c r="I41" i="38" s="1"/>
  <c r="K40" i="38" a="1"/>
  <c r="K40" i="38" s="1"/>
  <c r="J40" i="38" a="1"/>
  <c r="J40" i="38" s="1"/>
  <c r="I40" i="38" a="1"/>
  <c r="I40" i="38" s="1"/>
  <c r="K39" i="38" a="1"/>
  <c r="K39" i="38" s="1"/>
  <c r="J39" i="38" a="1"/>
  <c r="J39" i="38" s="1"/>
  <c r="I39" i="38" a="1"/>
  <c r="I39" i="38" s="1"/>
  <c r="K38" i="38" a="1"/>
  <c r="K38" i="38" s="1"/>
  <c r="J38" i="38" a="1"/>
  <c r="J38" i="38" s="1"/>
  <c r="I38" i="38" a="1"/>
  <c r="I38" i="38" s="1"/>
  <c r="K37" i="38" a="1"/>
  <c r="K37" i="38" s="1"/>
  <c r="J37" i="38" a="1"/>
  <c r="J37" i="38" s="1"/>
  <c r="I37" i="38" a="1"/>
  <c r="I37" i="38" s="1"/>
  <c r="K36" i="38" a="1"/>
  <c r="K36" i="38" s="1"/>
  <c r="J36" i="38" a="1"/>
  <c r="J36" i="38" s="1"/>
  <c r="I36" i="38" a="1"/>
  <c r="I36" i="38" s="1"/>
  <c r="K35" i="38" a="1"/>
  <c r="K35" i="38" s="1"/>
  <c r="J35" i="38" a="1"/>
  <c r="J35" i="38" s="1"/>
  <c r="I35" i="38" a="1"/>
  <c r="I35" i="38" s="1"/>
  <c r="K34" i="38" a="1"/>
  <c r="K34" i="38" s="1"/>
  <c r="J34" i="38" a="1"/>
  <c r="J34" i="38" s="1"/>
  <c r="I34" i="38" a="1"/>
  <c r="I34" i="38" s="1"/>
  <c r="K33" i="38" a="1"/>
  <c r="K33" i="38" s="1"/>
  <c r="J33" i="38" a="1"/>
  <c r="J33" i="38" s="1"/>
  <c r="I33" i="38" a="1"/>
  <c r="I33" i="38" s="1"/>
  <c r="K32" i="38" a="1"/>
  <c r="K32" i="38" s="1"/>
  <c r="J32" i="38" a="1"/>
  <c r="J32" i="38" s="1"/>
  <c r="I32" i="38" a="1"/>
  <c r="I32" i="38" s="1"/>
  <c r="K31" i="38" a="1"/>
  <c r="K31" i="38" s="1"/>
  <c r="J31" i="38" a="1"/>
  <c r="J31" i="38" s="1"/>
  <c r="I31" i="38" a="1"/>
  <c r="I31" i="38" s="1"/>
  <c r="K30" i="38" a="1"/>
  <c r="K30" i="38" s="1"/>
  <c r="J30" i="38" a="1"/>
  <c r="J30" i="38" s="1"/>
  <c r="I30" i="38" a="1"/>
  <c r="I30" i="38" s="1"/>
  <c r="K29" i="38" a="1"/>
  <c r="K29" i="38" s="1"/>
  <c r="J29" i="38" a="1"/>
  <c r="J29" i="38" s="1"/>
  <c r="I29" i="38" a="1"/>
  <c r="I29" i="38" s="1"/>
  <c r="K28" i="38" a="1"/>
  <c r="K28" i="38" s="1"/>
  <c r="J28" i="38" a="1"/>
  <c r="J28" i="38" s="1"/>
  <c r="I28" i="38" a="1"/>
  <c r="I28" i="38" s="1"/>
  <c r="K27" i="38" a="1"/>
  <c r="K27" i="38" s="1"/>
  <c r="J27" i="38" a="1"/>
  <c r="J27" i="38" s="1"/>
  <c r="I27" i="38" a="1"/>
  <c r="I27" i="38" s="1"/>
  <c r="K26" i="38" a="1"/>
  <c r="K26" i="38" s="1"/>
  <c r="J26" i="38" a="1"/>
  <c r="J26" i="38" s="1"/>
  <c r="I26" i="38" a="1"/>
  <c r="I26" i="38" s="1"/>
  <c r="K25" i="38" a="1"/>
  <c r="K25" i="38" s="1"/>
  <c r="J25" i="38" a="1"/>
  <c r="J25" i="38" s="1"/>
  <c r="I25" i="38" a="1"/>
  <c r="I25" i="38" s="1"/>
  <c r="K24" i="38" a="1"/>
  <c r="K24" i="38" s="1"/>
  <c r="J24" i="38" a="1"/>
  <c r="J24" i="38" s="1"/>
  <c r="I24" i="38" a="1"/>
  <c r="I24" i="38" s="1"/>
  <c r="K23" i="38" a="1"/>
  <c r="K23" i="38" s="1"/>
  <c r="J23" i="38" a="1"/>
  <c r="J23" i="38" s="1"/>
  <c r="I23" i="38" a="1"/>
  <c r="I23" i="38" s="1"/>
  <c r="K22" i="38" a="1"/>
  <c r="K22" i="38" s="1"/>
  <c r="J22" i="38" a="1"/>
  <c r="J22" i="38" s="1"/>
  <c r="I22" i="38" a="1"/>
  <c r="I22" i="38" s="1"/>
  <c r="K21" i="38" a="1"/>
  <c r="K21" i="38" s="1"/>
  <c r="J21" i="38" a="1"/>
  <c r="J21" i="38" s="1"/>
  <c r="I21" i="38" a="1"/>
  <c r="I21" i="38" s="1"/>
  <c r="K20" i="38" a="1"/>
  <c r="K20" i="38" s="1"/>
  <c r="J20" i="38" a="1"/>
  <c r="J20" i="38" s="1"/>
  <c r="I20" i="38" a="1"/>
  <c r="I20" i="38" s="1"/>
  <c r="K19" i="38" a="1"/>
  <c r="K19" i="38" s="1"/>
  <c r="J19" i="38" a="1"/>
  <c r="J19" i="38" s="1"/>
  <c r="I19" i="38" a="1"/>
  <c r="I19" i="38" s="1"/>
  <c r="K18" i="38" a="1"/>
  <c r="K18" i="38" s="1"/>
  <c r="J18" i="38" a="1"/>
  <c r="J18" i="38" s="1"/>
  <c r="I18" i="38" a="1"/>
  <c r="I18" i="38" s="1"/>
  <c r="K17" i="38" a="1"/>
  <c r="K17" i="38" s="1"/>
  <c r="J17" i="38" a="1"/>
  <c r="J17" i="38" s="1"/>
  <c r="I17" i="38" a="1"/>
  <c r="I17" i="38" s="1"/>
  <c r="K16" i="38" a="1"/>
  <c r="K16" i="38" s="1"/>
  <c r="J16" i="38" a="1"/>
  <c r="J16" i="38" s="1"/>
  <c r="I16" i="38" a="1"/>
  <c r="I16" i="38" s="1"/>
  <c r="K15" i="38" a="1"/>
  <c r="K15" i="38" s="1"/>
  <c r="J15" i="38" a="1"/>
  <c r="J15" i="38" s="1"/>
  <c r="I15" i="38" a="1"/>
  <c r="I15" i="38" s="1"/>
  <c r="K14" i="38" a="1"/>
  <c r="K14" i="38" s="1"/>
  <c r="J14" i="38" a="1"/>
  <c r="J14" i="38" s="1"/>
  <c r="I14" i="38" a="1"/>
  <c r="I14" i="38" s="1"/>
  <c r="K13" i="38" a="1"/>
  <c r="K13" i="38" s="1"/>
  <c r="J13" i="38" a="1"/>
  <c r="J13" i="38" s="1"/>
  <c r="I13" i="38" a="1"/>
  <c r="I13" i="38" s="1"/>
  <c r="K12" i="38" a="1"/>
  <c r="K12" i="38" s="1"/>
  <c r="J12" i="38" a="1"/>
  <c r="J12" i="38" s="1"/>
  <c r="I12" i="38" a="1"/>
  <c r="I12" i="38" s="1"/>
  <c r="K11" i="38" a="1"/>
  <c r="K11" i="38" s="1"/>
  <c r="J11" i="38" a="1"/>
  <c r="J11" i="38" s="1"/>
  <c r="I11" i="38" a="1"/>
  <c r="I11" i="38" s="1"/>
  <c r="K10" i="38" a="1"/>
  <c r="K10" i="38" s="1"/>
  <c r="J10" i="38" a="1"/>
  <c r="J10" i="38" s="1"/>
  <c r="I10" i="38" a="1"/>
  <c r="I10" i="38" s="1"/>
  <c r="K9" i="38" a="1"/>
  <c r="K9" i="38" s="1"/>
  <c r="J9" i="38" a="1"/>
  <c r="J9" i="38" s="1"/>
  <c r="I9" i="38" a="1"/>
  <c r="I9" i="38" s="1"/>
  <c r="K8" i="38" a="1"/>
  <c r="K8" i="38" s="1"/>
  <c r="J8" i="38" a="1"/>
  <c r="J8" i="38" s="1"/>
  <c r="I8" i="38" a="1"/>
  <c r="I8" i="38" s="1"/>
  <c r="K7" i="38" a="1"/>
  <c r="K7" i="38" s="1"/>
  <c r="J7" i="38" a="1"/>
  <c r="J7" i="38" s="1"/>
  <c r="I7" i="38" a="1"/>
  <c r="I7" i="38" s="1"/>
  <c r="K6" i="38" a="1"/>
  <c r="K6" i="38" s="1"/>
  <c r="J6" i="38" a="1"/>
  <c r="J6" i="38" s="1"/>
  <c r="I6" i="38" a="1"/>
  <c r="I6" i="38" s="1"/>
  <c r="K5" i="38" a="1"/>
  <c r="K5" i="38" s="1"/>
  <c r="J5" i="38" a="1"/>
  <c r="J5" i="38" s="1"/>
  <c r="I5" i="38" a="1"/>
  <c r="I5" i="38" s="1"/>
  <c r="K4" i="38" a="1"/>
  <c r="K4" i="38" s="1"/>
  <c r="J4" i="38" a="1"/>
  <c r="J4" i="38" s="1"/>
  <c r="I4" i="38" a="1"/>
  <c r="I4" i="38" s="1"/>
  <c r="K3" i="38" a="1"/>
  <c r="K3" i="38" s="1"/>
  <c r="J3" i="38" a="1"/>
  <c r="J3" i="38" s="1"/>
  <c r="I3" i="38" a="1"/>
  <c r="I3" i="38" s="1"/>
  <c r="K2" i="38" a="1"/>
  <c r="K2" i="38" s="1"/>
  <c r="J2" i="38" a="1"/>
  <c r="J2" i="38" s="1"/>
  <c r="I2" i="38" a="1"/>
  <c r="I2" i="38" s="1"/>
  <c r="AO976" i="38" l="1"/>
  <c r="AO975" i="38"/>
  <c r="AO974" i="38"/>
  <c r="AO973" i="38"/>
  <c r="AO972" i="38"/>
  <c r="AO971" i="38"/>
  <c r="AO970" i="38"/>
  <c r="AO969" i="38"/>
  <c r="AO968" i="38"/>
  <c r="AO967" i="38"/>
  <c r="AO966" i="38"/>
  <c r="AO965" i="38"/>
  <c r="AO964" i="38"/>
  <c r="AO963" i="38"/>
  <c r="AO962" i="38"/>
  <c r="AO961" i="38"/>
  <c r="AO960" i="38"/>
  <c r="AO959" i="38"/>
  <c r="AO958" i="38"/>
  <c r="AO957" i="38"/>
  <c r="AO956" i="38"/>
  <c r="AO955" i="38"/>
  <c r="AO954" i="38"/>
  <c r="AO953" i="38"/>
  <c r="AO952" i="38"/>
  <c r="AO951" i="38"/>
  <c r="AO950" i="38"/>
  <c r="AO949" i="38"/>
  <c r="AO948" i="38"/>
  <c r="AO947" i="38"/>
  <c r="AO946" i="38"/>
  <c r="AO945" i="38"/>
  <c r="AO944" i="38"/>
  <c r="AO943" i="38"/>
  <c r="AO942" i="38"/>
  <c r="AO941" i="38"/>
  <c r="AO940" i="38"/>
  <c r="AO939" i="38"/>
  <c r="AO938" i="38"/>
  <c r="AO937" i="38"/>
  <c r="AO936" i="38"/>
  <c r="AO935" i="38"/>
  <c r="AO934" i="38"/>
  <c r="AO933" i="38"/>
  <c r="AO932" i="38"/>
  <c r="AO931" i="38"/>
  <c r="AO930" i="38"/>
  <c r="AO929" i="38"/>
  <c r="AO928" i="38"/>
  <c r="AO927" i="38"/>
  <c r="AO926" i="38"/>
  <c r="AO925" i="38"/>
  <c r="AO924" i="38"/>
  <c r="AO923" i="38"/>
  <c r="AO922" i="38"/>
  <c r="AO921" i="38"/>
  <c r="AO920" i="38"/>
  <c r="AO919" i="38"/>
  <c r="AO918" i="38"/>
  <c r="AO917" i="38"/>
  <c r="AO916" i="38"/>
  <c r="AO915" i="38"/>
  <c r="AO914" i="38"/>
  <c r="AO913" i="38"/>
  <c r="AO912" i="38"/>
  <c r="AO911" i="38"/>
  <c r="AO910" i="38"/>
  <c r="AO909" i="38"/>
  <c r="AO908" i="38"/>
  <c r="AO907" i="38"/>
  <c r="AO906" i="38"/>
  <c r="AO905" i="38"/>
  <c r="AO904" i="38"/>
  <c r="AO903" i="38"/>
  <c r="AO902" i="38"/>
  <c r="AO901" i="38"/>
  <c r="AO900" i="38"/>
  <c r="AO899" i="38"/>
  <c r="AO898" i="38"/>
  <c r="AO897" i="38"/>
  <c r="AO896" i="38"/>
  <c r="AO895" i="38"/>
  <c r="AO894" i="38"/>
  <c r="AO893" i="38"/>
  <c r="AO892" i="38"/>
  <c r="AO891" i="38"/>
  <c r="AO890" i="38"/>
  <c r="AO889" i="38"/>
  <c r="AO888" i="38"/>
  <c r="AO887" i="38"/>
  <c r="AO886" i="38"/>
  <c r="AO885" i="38"/>
  <c r="AO884" i="38"/>
  <c r="AO883" i="38"/>
  <c r="AO882" i="38"/>
  <c r="AO881" i="38"/>
  <c r="AO880" i="38"/>
  <c r="AO879" i="38"/>
  <c r="AO878" i="38"/>
  <c r="AO877" i="38"/>
  <c r="AO876" i="38"/>
  <c r="AO875" i="38"/>
  <c r="AO874" i="38"/>
  <c r="AO873" i="38"/>
  <c r="AO872" i="38"/>
  <c r="AO871" i="38"/>
  <c r="AO870" i="38"/>
  <c r="AO869" i="38"/>
  <c r="AO868" i="38"/>
  <c r="AO867" i="38"/>
  <c r="AO866" i="38"/>
  <c r="AO865" i="38"/>
  <c r="AO864" i="38"/>
  <c r="AO863" i="38"/>
  <c r="AO862" i="38"/>
  <c r="AO861" i="38"/>
  <c r="AO860" i="38"/>
  <c r="AO859" i="38"/>
  <c r="AO858" i="38"/>
  <c r="AO857" i="38"/>
  <c r="AO856" i="38"/>
  <c r="AO855" i="38"/>
  <c r="AO854" i="38"/>
  <c r="AO853" i="38"/>
  <c r="AO852" i="38"/>
  <c r="AO851" i="38"/>
  <c r="AO850" i="38"/>
  <c r="AO849" i="38"/>
  <c r="AO848" i="38"/>
  <c r="AO847" i="38"/>
  <c r="AO846" i="38"/>
  <c r="AO845" i="38"/>
  <c r="AO844" i="38"/>
  <c r="AO843" i="38"/>
  <c r="AO842" i="38"/>
  <c r="AO841" i="38"/>
  <c r="AO840" i="38"/>
  <c r="AO839" i="38"/>
  <c r="AO838" i="38"/>
  <c r="AO837" i="38"/>
  <c r="AO836" i="38"/>
  <c r="AO835" i="38"/>
  <c r="AO834" i="38"/>
  <c r="AO833" i="38"/>
  <c r="AO832" i="38"/>
  <c r="AO831" i="38"/>
  <c r="AO830" i="38"/>
  <c r="AO829" i="38"/>
  <c r="AO828" i="38"/>
  <c r="AO827" i="38"/>
  <c r="AO826" i="38"/>
  <c r="AO825" i="38"/>
  <c r="AO824" i="38"/>
  <c r="AO823" i="38"/>
  <c r="AO822" i="38"/>
  <c r="AO821" i="38"/>
  <c r="AO820" i="38"/>
  <c r="AO819" i="38"/>
  <c r="AO818" i="38"/>
  <c r="AO817" i="38"/>
  <c r="AO816" i="38"/>
  <c r="AO815" i="38"/>
  <c r="AO814" i="38"/>
  <c r="AO813" i="38"/>
  <c r="AO812" i="38"/>
  <c r="AO811" i="38"/>
  <c r="AO810" i="38"/>
  <c r="AO809" i="38"/>
  <c r="AO808" i="38"/>
  <c r="AO807" i="38"/>
  <c r="AO806" i="38"/>
  <c r="AO805" i="38"/>
  <c r="AO804" i="38"/>
  <c r="AO803" i="38"/>
  <c r="AO802" i="38"/>
  <c r="AO801" i="38"/>
  <c r="AO800" i="38"/>
  <c r="AO799" i="38"/>
  <c r="AO798" i="38"/>
  <c r="AO797" i="38"/>
  <c r="AO796" i="38"/>
  <c r="AO795" i="38"/>
  <c r="AO794" i="38"/>
  <c r="AO793" i="38"/>
  <c r="AO792" i="38"/>
  <c r="AO791" i="38"/>
  <c r="AO790" i="38"/>
  <c r="AO789" i="38"/>
  <c r="AO788" i="38"/>
  <c r="AO787" i="38"/>
  <c r="AO786" i="38"/>
  <c r="AO785" i="38"/>
  <c r="AO784" i="38"/>
  <c r="AO783" i="38"/>
  <c r="AO782" i="38"/>
  <c r="AO781" i="38"/>
  <c r="AO780" i="38"/>
  <c r="AO779" i="38"/>
  <c r="AO778" i="38"/>
  <c r="AO777" i="38"/>
  <c r="AO776" i="38"/>
  <c r="AO775" i="38"/>
  <c r="AO774" i="38"/>
  <c r="AO773" i="38"/>
  <c r="AO772" i="38"/>
  <c r="AO771" i="38"/>
  <c r="AO770" i="38"/>
  <c r="AO769" i="38"/>
  <c r="AO768" i="38"/>
  <c r="AO767" i="38"/>
  <c r="AO766" i="38"/>
  <c r="AO765" i="38"/>
  <c r="AO764" i="38"/>
  <c r="AO763" i="38"/>
  <c r="AO762" i="38"/>
  <c r="AO761" i="38"/>
  <c r="AO760" i="38"/>
  <c r="AO759" i="38"/>
  <c r="AO758" i="38"/>
  <c r="AO757" i="38"/>
  <c r="AO756" i="38"/>
  <c r="AO755" i="38"/>
  <c r="AO754" i="38"/>
  <c r="AO753" i="38"/>
  <c r="AO752" i="38"/>
  <c r="AO751" i="38"/>
  <c r="AO750" i="38"/>
  <c r="AO749" i="38"/>
  <c r="AO748" i="38"/>
  <c r="AO747" i="38"/>
  <c r="AO746" i="38"/>
  <c r="AO745" i="38"/>
  <c r="AO744" i="38"/>
  <c r="AO743" i="38"/>
  <c r="AO742" i="38"/>
  <c r="AO741" i="38"/>
  <c r="AO740" i="38"/>
  <c r="AO739" i="38"/>
  <c r="AO738" i="38"/>
  <c r="AO737" i="38"/>
  <c r="AO736" i="38"/>
  <c r="AO735" i="38"/>
  <c r="AO734" i="38"/>
  <c r="AO733" i="38"/>
  <c r="AO732" i="38"/>
  <c r="AO731" i="38"/>
  <c r="AO730" i="38"/>
  <c r="AO729" i="38"/>
  <c r="AO728" i="38"/>
  <c r="AO727" i="38"/>
  <c r="AO726" i="38"/>
  <c r="AO725" i="38"/>
  <c r="AO724" i="38"/>
  <c r="AO723" i="38"/>
  <c r="AO722" i="38"/>
  <c r="AO721" i="38"/>
  <c r="AO720" i="38"/>
  <c r="AO719" i="38"/>
  <c r="AO718" i="38"/>
  <c r="AO717" i="38"/>
  <c r="AO716" i="38"/>
  <c r="AO715" i="38"/>
  <c r="AO714" i="38"/>
  <c r="AO713" i="38"/>
  <c r="AO712" i="38"/>
  <c r="AO711" i="38"/>
  <c r="AO710" i="38"/>
  <c r="AO709" i="38"/>
  <c r="AO708" i="38"/>
  <c r="AO707" i="38"/>
  <c r="AO706" i="38"/>
  <c r="AO705" i="38"/>
  <c r="AO704" i="38"/>
  <c r="AO703" i="38"/>
  <c r="AO702" i="38"/>
  <c r="AO701" i="38"/>
  <c r="AO700" i="38"/>
  <c r="AO699" i="38"/>
  <c r="AO698" i="38"/>
  <c r="AO697" i="38"/>
  <c r="AO696" i="38"/>
  <c r="AO695" i="38"/>
  <c r="AO694" i="38"/>
  <c r="AO693" i="38"/>
  <c r="AO692" i="38"/>
  <c r="AO691" i="38"/>
  <c r="AO690" i="38"/>
  <c r="AO689" i="38"/>
  <c r="AO688" i="38"/>
  <c r="AO687" i="38"/>
  <c r="AO686" i="38"/>
  <c r="AO685" i="38"/>
  <c r="AO684" i="38"/>
  <c r="AO683" i="38"/>
  <c r="AO682" i="38"/>
  <c r="AO681" i="38"/>
  <c r="AO680" i="38"/>
  <c r="AO679" i="38"/>
  <c r="AO678" i="38"/>
  <c r="AO677" i="38"/>
  <c r="AO676" i="38"/>
  <c r="AO675" i="38"/>
  <c r="AO674" i="38"/>
  <c r="AO673" i="38"/>
  <c r="AO672" i="38"/>
  <c r="AO671" i="38"/>
  <c r="AO670" i="38"/>
  <c r="AO669" i="38"/>
  <c r="AO668" i="38"/>
  <c r="AO667" i="38"/>
  <c r="AO666" i="38"/>
  <c r="AO665" i="38"/>
  <c r="AO664" i="38"/>
  <c r="AO663" i="38"/>
  <c r="AO662" i="38"/>
  <c r="AO661" i="38"/>
  <c r="AO660" i="38"/>
  <c r="AO659" i="38"/>
  <c r="AO658" i="38"/>
  <c r="AO657" i="38"/>
  <c r="AO656" i="38"/>
  <c r="AO655" i="38"/>
  <c r="AO654" i="38"/>
  <c r="AO653" i="38"/>
  <c r="AO652" i="38"/>
  <c r="AO651" i="38"/>
  <c r="AO650" i="38"/>
  <c r="AO649" i="38"/>
  <c r="AO648" i="38"/>
  <c r="AO647" i="38"/>
  <c r="AO646" i="38"/>
  <c r="AO645" i="38"/>
  <c r="AO644" i="38"/>
  <c r="AO643" i="38"/>
  <c r="AO642" i="38"/>
  <c r="AO641" i="38"/>
  <c r="AO640" i="38"/>
  <c r="AO639" i="38"/>
  <c r="AO638" i="38"/>
  <c r="AO637" i="38"/>
  <c r="AO636" i="38"/>
  <c r="AO635" i="38"/>
  <c r="AO634" i="38"/>
  <c r="AO633" i="38"/>
  <c r="AO632" i="38"/>
  <c r="AO631" i="38"/>
  <c r="AO630" i="38"/>
  <c r="AO629" i="38"/>
  <c r="AO628" i="38"/>
  <c r="AO627" i="38"/>
  <c r="AO626" i="38"/>
  <c r="AO625" i="38"/>
  <c r="AO624" i="38"/>
  <c r="AO623" i="38"/>
  <c r="AO622" i="38"/>
  <c r="AO621" i="38"/>
  <c r="AO620" i="38"/>
  <c r="AO619" i="38"/>
  <c r="AO618" i="38"/>
  <c r="AO617" i="38"/>
  <c r="AO616" i="38"/>
  <c r="AO615" i="38"/>
  <c r="AO614" i="38"/>
  <c r="AO613" i="38"/>
  <c r="AO612" i="38"/>
  <c r="AO611" i="38"/>
  <c r="AO610" i="38"/>
  <c r="AO609" i="38"/>
  <c r="AO608" i="38"/>
  <c r="AO607" i="38"/>
  <c r="AO606" i="38"/>
  <c r="AO605" i="38"/>
  <c r="AO604" i="38"/>
  <c r="AO603" i="38"/>
  <c r="AO602" i="38"/>
  <c r="AO601" i="38"/>
  <c r="AO600" i="38"/>
  <c r="AO599" i="38"/>
  <c r="AO598" i="38"/>
  <c r="AO597" i="38"/>
  <c r="AO596" i="38"/>
  <c r="AO595" i="38"/>
  <c r="AO594" i="38"/>
  <c r="AO593" i="38"/>
  <c r="AO592" i="38"/>
  <c r="AO591" i="38"/>
  <c r="AO590" i="38"/>
  <c r="AO589" i="38"/>
  <c r="AO588" i="38"/>
  <c r="AO587" i="38"/>
  <c r="AO586" i="38"/>
  <c r="AO585" i="38"/>
  <c r="AO584" i="38"/>
  <c r="AO583" i="38"/>
  <c r="AO582" i="38"/>
  <c r="AO581" i="38"/>
  <c r="AO580" i="38"/>
  <c r="AO579" i="38"/>
  <c r="AO578" i="38"/>
  <c r="AO577" i="38"/>
  <c r="AO576" i="38"/>
  <c r="AO575" i="38"/>
  <c r="AO574" i="38"/>
  <c r="AO573" i="38"/>
  <c r="AO572" i="38"/>
  <c r="AO571" i="38"/>
  <c r="AO570" i="38"/>
  <c r="AO569" i="38"/>
  <c r="AO568" i="38"/>
  <c r="AO567" i="38"/>
  <c r="AO566" i="38"/>
  <c r="AO565" i="38"/>
  <c r="AO564" i="38"/>
  <c r="AO563" i="38"/>
  <c r="AO562" i="38"/>
  <c r="AO561" i="38"/>
  <c r="AO560" i="38"/>
  <c r="AO559" i="38"/>
  <c r="AO558" i="38"/>
  <c r="AO557" i="38"/>
  <c r="AO556" i="38"/>
  <c r="AO555" i="38"/>
  <c r="AO554" i="38"/>
  <c r="AO553" i="38"/>
  <c r="AO552" i="38"/>
  <c r="AO551" i="38"/>
  <c r="AO550" i="38"/>
  <c r="AO549" i="38"/>
  <c r="AO548" i="38"/>
  <c r="AO547" i="38"/>
  <c r="AO546" i="38"/>
  <c r="AO545" i="38"/>
  <c r="AO544" i="38"/>
  <c r="AO543" i="38"/>
  <c r="AO542" i="38"/>
  <c r="AO541" i="38"/>
  <c r="AO540" i="38"/>
  <c r="AO539" i="38"/>
  <c r="AO538" i="38"/>
  <c r="AO537" i="38"/>
  <c r="AO536" i="38"/>
  <c r="AO535" i="38"/>
  <c r="AO534" i="38"/>
  <c r="AO533" i="38"/>
  <c r="AO532" i="38"/>
  <c r="AO531" i="38"/>
  <c r="AO530" i="38"/>
  <c r="AO529" i="38"/>
  <c r="AO528" i="38"/>
  <c r="AO527" i="38"/>
  <c r="AO526" i="38"/>
  <c r="AO525" i="38"/>
  <c r="AO524" i="38"/>
  <c r="AO523" i="38"/>
  <c r="AO522" i="38"/>
  <c r="AO521" i="38"/>
  <c r="AO520" i="38"/>
  <c r="AO519" i="38"/>
  <c r="AO518" i="38"/>
  <c r="AO517" i="38"/>
  <c r="AO516" i="38"/>
  <c r="AO515" i="38"/>
  <c r="AO514" i="38"/>
  <c r="AO513" i="38"/>
  <c r="AO512" i="38"/>
  <c r="AO511" i="38"/>
  <c r="AO510" i="38"/>
  <c r="AO509" i="38"/>
  <c r="AO508" i="38"/>
  <c r="AO507" i="38"/>
  <c r="AO506" i="38"/>
  <c r="AO505" i="38"/>
  <c r="AO504" i="38"/>
  <c r="AO503" i="38"/>
  <c r="AO502" i="38"/>
  <c r="AO501" i="38"/>
  <c r="AO500" i="38"/>
  <c r="AO499" i="38"/>
  <c r="AO498" i="38"/>
  <c r="AO497" i="38"/>
  <c r="AO496" i="38"/>
  <c r="AO495" i="38"/>
  <c r="AO494" i="38"/>
  <c r="AO493" i="38"/>
  <c r="AO492" i="38"/>
  <c r="AO491" i="38"/>
  <c r="AO490" i="38"/>
  <c r="AO489" i="38"/>
  <c r="AO488" i="38"/>
  <c r="AO487" i="38"/>
  <c r="AO486" i="38"/>
  <c r="AO485" i="38"/>
  <c r="AO484" i="38"/>
  <c r="AO483" i="38"/>
  <c r="AO482" i="38"/>
  <c r="AO481" i="38"/>
  <c r="AO480" i="38"/>
  <c r="AO479" i="38"/>
  <c r="AO478" i="38"/>
  <c r="AO477" i="38"/>
  <c r="AO476" i="38"/>
  <c r="AO475" i="38"/>
  <c r="AO474" i="38"/>
  <c r="AO473" i="38"/>
  <c r="AO472" i="38"/>
  <c r="AO471" i="38"/>
  <c r="AO470" i="38"/>
  <c r="AO469" i="38"/>
  <c r="AO468" i="38"/>
  <c r="AO467" i="38"/>
  <c r="AO466" i="38"/>
  <c r="AO465" i="38"/>
  <c r="AO464" i="38"/>
  <c r="AO463" i="38"/>
  <c r="AO462" i="38"/>
  <c r="AO461" i="38"/>
  <c r="AO460" i="38"/>
  <c r="AO459" i="38"/>
  <c r="AO458" i="38"/>
  <c r="AO457" i="38"/>
  <c r="AO456" i="38"/>
  <c r="AO455" i="38"/>
  <c r="AO454" i="38"/>
  <c r="AO453" i="38"/>
  <c r="AO452" i="38"/>
  <c r="AO451" i="38"/>
  <c r="AO450" i="38"/>
  <c r="AO449" i="38"/>
  <c r="AO448" i="38"/>
  <c r="AO447" i="38"/>
  <c r="AO446" i="38"/>
  <c r="AO445" i="38"/>
  <c r="AO444" i="38"/>
  <c r="AO443" i="38"/>
  <c r="AO442" i="38"/>
  <c r="AO441" i="38"/>
  <c r="AO440" i="38"/>
  <c r="AO439" i="38"/>
  <c r="AO438" i="38"/>
  <c r="AO437" i="38"/>
  <c r="AO436" i="38"/>
  <c r="AO435" i="38"/>
  <c r="AO434" i="38"/>
  <c r="AO433" i="38"/>
  <c r="AO432" i="38"/>
  <c r="AO431" i="38"/>
  <c r="AO430" i="38"/>
  <c r="AO429" i="38"/>
  <c r="AO428" i="38"/>
  <c r="AO427" i="38"/>
  <c r="AO426" i="38"/>
  <c r="AO425" i="38"/>
  <c r="AO424" i="38"/>
  <c r="AO423" i="38"/>
  <c r="AO422" i="38"/>
  <c r="AO421" i="38"/>
  <c r="AO420" i="38"/>
  <c r="AO419" i="38"/>
  <c r="AO418" i="38"/>
  <c r="AO417" i="38"/>
  <c r="AO416" i="38"/>
  <c r="AO415" i="38"/>
  <c r="AO414" i="38"/>
  <c r="AO413" i="38"/>
  <c r="AO412" i="38"/>
  <c r="AO411" i="38"/>
  <c r="AO410" i="38"/>
  <c r="AO409" i="38"/>
  <c r="AO408" i="38"/>
  <c r="AO407" i="38"/>
  <c r="AO406" i="38"/>
  <c r="AO405" i="38"/>
  <c r="AO404" i="38"/>
  <c r="AO403" i="38"/>
  <c r="AO402" i="38"/>
  <c r="AO401" i="38"/>
  <c r="AO400" i="38"/>
  <c r="AO399" i="38"/>
  <c r="AO398" i="38"/>
  <c r="AO397" i="38"/>
  <c r="AO396" i="38"/>
  <c r="AO395" i="38"/>
  <c r="AO394" i="38"/>
  <c r="AO393" i="38"/>
  <c r="AO392" i="38"/>
  <c r="AO391" i="38"/>
  <c r="AO390" i="38"/>
  <c r="AO389" i="38"/>
  <c r="AO388" i="38"/>
  <c r="AO387" i="38"/>
  <c r="AO386" i="38"/>
  <c r="AO385" i="38"/>
  <c r="AO384" i="38"/>
  <c r="AO383" i="38"/>
  <c r="AO382" i="38"/>
  <c r="AO381" i="38"/>
  <c r="AO380" i="38"/>
  <c r="AO379" i="38"/>
  <c r="AO378" i="38"/>
  <c r="AO377" i="38"/>
  <c r="AO376" i="38"/>
  <c r="AO375" i="38"/>
  <c r="AO374" i="38"/>
  <c r="AO373" i="38"/>
  <c r="AO372" i="38"/>
  <c r="AO371" i="38"/>
  <c r="AO370" i="38"/>
  <c r="AO369" i="38"/>
  <c r="AO368" i="38"/>
  <c r="AO367" i="38"/>
  <c r="AO366" i="38"/>
  <c r="AO365" i="38"/>
  <c r="AO364" i="38"/>
  <c r="AO363" i="38"/>
  <c r="AO362" i="38"/>
  <c r="AO361" i="38"/>
  <c r="AO360" i="38"/>
  <c r="AO359" i="38"/>
  <c r="AO358" i="38"/>
  <c r="AO357" i="38"/>
  <c r="AO356" i="38"/>
  <c r="AO355" i="38"/>
  <c r="AO354" i="38"/>
  <c r="AO353" i="38"/>
  <c r="AO352" i="38"/>
  <c r="AO351" i="38"/>
  <c r="AO350" i="38"/>
  <c r="AO349" i="38"/>
  <c r="AO348" i="38"/>
  <c r="AO347" i="38"/>
  <c r="AO346" i="38"/>
  <c r="AO345" i="38"/>
  <c r="AO344" i="38"/>
  <c r="AO343" i="38"/>
  <c r="AO342" i="38"/>
  <c r="AO341" i="38"/>
  <c r="AO340" i="38"/>
  <c r="AO339" i="38"/>
  <c r="AO338" i="38"/>
  <c r="AO337" i="38"/>
  <c r="AO336" i="38"/>
  <c r="AO335" i="38"/>
  <c r="AO334" i="38"/>
  <c r="AO333" i="38"/>
  <c r="AO332" i="38"/>
  <c r="AO331" i="38"/>
  <c r="AO330" i="38"/>
  <c r="AO329" i="38"/>
  <c r="AO328" i="38"/>
  <c r="AO327" i="38"/>
  <c r="AO326" i="38"/>
  <c r="AO325" i="38"/>
  <c r="AO324" i="38"/>
  <c r="AO323" i="38"/>
  <c r="AO322" i="38"/>
  <c r="AO321" i="38"/>
  <c r="AO320" i="38"/>
  <c r="AO319" i="38"/>
  <c r="AO318" i="38"/>
  <c r="AO317" i="38"/>
  <c r="AO316" i="38"/>
  <c r="AO315" i="38"/>
  <c r="AO314" i="38"/>
  <c r="AO313" i="38"/>
  <c r="AO312" i="38"/>
  <c r="AO311" i="38"/>
  <c r="AO310" i="38"/>
  <c r="AO309" i="38"/>
  <c r="AO308" i="38"/>
  <c r="AO307" i="38"/>
  <c r="AO306" i="38"/>
  <c r="AO305" i="38"/>
  <c r="AO304" i="38"/>
  <c r="AO303" i="38"/>
  <c r="AO302" i="38"/>
  <c r="AO301" i="38"/>
  <c r="AO300" i="38"/>
  <c r="AO299" i="38"/>
  <c r="AO298" i="38"/>
  <c r="AO297" i="38"/>
  <c r="AO296" i="38"/>
  <c r="AO295" i="38"/>
  <c r="AO294" i="38"/>
  <c r="AO293" i="38"/>
  <c r="AO292" i="38"/>
  <c r="AO291" i="38"/>
  <c r="AO290" i="38"/>
  <c r="AO289" i="38"/>
  <c r="AO288" i="38"/>
  <c r="AO287" i="38"/>
  <c r="AO286" i="38"/>
  <c r="AO285" i="38"/>
  <c r="AO284" i="38"/>
  <c r="AO283" i="38"/>
  <c r="AO282" i="38"/>
  <c r="AO281" i="38"/>
  <c r="AO280" i="38"/>
  <c r="AO279" i="38"/>
  <c r="AO278" i="38"/>
  <c r="AO277" i="38"/>
  <c r="AO276" i="38"/>
  <c r="AO275" i="38"/>
  <c r="AO274" i="38"/>
  <c r="AO273" i="38"/>
  <c r="AO272" i="38"/>
  <c r="AO271" i="38"/>
  <c r="AO270" i="38"/>
  <c r="AO269" i="38"/>
  <c r="AO268" i="38"/>
  <c r="AO267" i="38"/>
  <c r="AO266" i="38"/>
  <c r="AO265" i="38"/>
  <c r="AO264" i="38"/>
  <c r="AO263" i="38"/>
  <c r="AO262" i="38"/>
  <c r="AO261" i="38"/>
  <c r="AO260" i="38"/>
  <c r="AO259" i="38"/>
  <c r="AO258" i="38"/>
  <c r="AO257" i="38"/>
  <c r="AO256" i="38"/>
  <c r="AO255" i="38"/>
  <c r="AO254" i="38"/>
  <c r="AO253" i="38"/>
  <c r="AO252" i="38"/>
  <c r="AO251" i="38"/>
  <c r="AO250" i="38"/>
  <c r="AO249" i="38"/>
  <c r="AO248" i="38"/>
  <c r="AO247" i="38"/>
  <c r="AO246" i="38"/>
  <c r="AO245" i="38"/>
  <c r="AO244" i="38"/>
  <c r="AO243" i="38"/>
  <c r="AO242" i="38"/>
  <c r="AO241" i="38"/>
  <c r="AO240" i="38"/>
  <c r="AO239" i="38"/>
  <c r="AO238" i="38"/>
  <c r="AO237" i="38"/>
  <c r="AO236" i="38"/>
  <c r="AO235" i="38"/>
  <c r="AO234" i="38"/>
  <c r="AO233" i="38"/>
  <c r="AO232" i="38"/>
  <c r="AO231" i="38"/>
  <c r="AO230" i="38"/>
  <c r="AO229" i="38"/>
  <c r="AO228" i="38"/>
  <c r="AO227" i="38"/>
  <c r="AO226" i="38"/>
  <c r="AO225" i="38"/>
  <c r="AO224" i="38"/>
  <c r="AO223" i="38"/>
  <c r="AO222" i="38"/>
  <c r="AO221" i="38"/>
  <c r="AO220" i="38"/>
  <c r="AO219" i="38"/>
  <c r="AO218" i="38"/>
  <c r="AO217" i="38"/>
  <c r="AO216" i="38"/>
  <c r="AO215" i="38"/>
  <c r="AO214" i="38"/>
  <c r="AO213" i="38"/>
  <c r="AO212" i="38"/>
  <c r="AO211" i="38"/>
  <c r="AO210" i="38"/>
  <c r="AO209" i="38"/>
  <c r="AO208" i="38"/>
  <c r="AO207" i="38"/>
  <c r="AO206" i="38"/>
  <c r="AO205" i="38"/>
  <c r="AO204" i="38"/>
  <c r="AO203" i="38"/>
  <c r="AO202" i="38"/>
  <c r="AO201" i="38"/>
  <c r="AO200" i="38"/>
  <c r="AO199" i="38"/>
  <c r="AO198" i="38"/>
  <c r="AO197" i="38"/>
  <c r="AO196" i="38"/>
  <c r="AO195" i="38"/>
  <c r="AO194" i="38"/>
  <c r="AO193" i="38"/>
  <c r="AO192" i="38"/>
  <c r="AO191" i="38"/>
  <c r="AO190" i="38"/>
  <c r="AO189" i="38"/>
  <c r="AO188" i="38"/>
  <c r="AO187" i="38"/>
  <c r="AO186" i="38"/>
  <c r="AO185" i="38"/>
  <c r="AO184" i="38"/>
  <c r="AO183" i="38"/>
  <c r="AO182" i="38"/>
  <c r="AO181" i="38"/>
  <c r="AO180" i="38"/>
  <c r="AO179" i="38"/>
  <c r="AO178" i="38"/>
  <c r="AO177" i="38"/>
  <c r="AO176" i="38"/>
  <c r="AO175" i="38"/>
  <c r="AO174" i="38"/>
  <c r="AO173" i="38"/>
  <c r="AO172" i="38"/>
  <c r="AO171" i="38"/>
  <c r="AO170" i="38"/>
  <c r="AO169" i="38"/>
  <c r="AO168" i="38"/>
  <c r="AO167" i="38"/>
  <c r="AO166" i="38"/>
  <c r="AO165" i="38"/>
  <c r="AO164" i="38"/>
  <c r="AO163" i="38"/>
  <c r="AO162" i="38"/>
  <c r="AO161" i="38"/>
  <c r="AO160" i="38"/>
  <c r="AO159" i="38"/>
  <c r="AO158" i="38"/>
  <c r="AO157" i="38"/>
  <c r="AO156" i="38"/>
  <c r="AO155" i="38"/>
  <c r="AO154" i="38"/>
  <c r="AO153" i="38"/>
  <c r="AO152" i="38"/>
  <c r="AO151" i="38"/>
  <c r="AO150" i="38"/>
  <c r="AO149" i="38"/>
  <c r="AO148" i="38"/>
  <c r="AO147" i="38"/>
  <c r="AO146" i="38"/>
  <c r="AO145" i="38"/>
  <c r="AO144" i="38"/>
  <c r="AO143" i="38"/>
  <c r="AO142" i="38"/>
  <c r="AO141" i="38"/>
  <c r="AO140" i="38"/>
  <c r="AO139" i="38"/>
  <c r="AO138" i="38"/>
  <c r="AO137" i="38"/>
  <c r="AO136" i="38"/>
  <c r="AO135" i="38"/>
  <c r="AO134" i="38"/>
  <c r="AO133" i="38"/>
  <c r="AO132" i="38"/>
  <c r="AO131" i="38"/>
  <c r="AO130" i="38"/>
  <c r="AO129" i="38"/>
  <c r="AO128" i="38"/>
  <c r="AO127" i="38"/>
  <c r="AO126" i="38"/>
  <c r="AO125" i="38"/>
  <c r="AO124" i="38"/>
  <c r="AO123" i="38"/>
  <c r="AO122" i="38"/>
  <c r="AO121" i="38"/>
  <c r="AO120" i="38"/>
  <c r="AO119" i="38"/>
  <c r="AO118" i="38"/>
  <c r="AO117" i="38"/>
  <c r="AO116" i="38"/>
  <c r="AO115" i="38"/>
  <c r="AO114" i="38"/>
  <c r="AO113" i="38"/>
  <c r="AO112" i="38"/>
  <c r="AO111" i="38"/>
  <c r="AO110" i="38"/>
  <c r="AO109" i="38"/>
  <c r="AO108" i="38"/>
  <c r="AO107" i="38"/>
  <c r="AO106" i="38"/>
  <c r="AO105" i="38"/>
  <c r="AO104" i="38"/>
  <c r="AO103" i="38"/>
  <c r="AO102" i="38"/>
  <c r="AO101" i="38"/>
  <c r="AO100" i="38"/>
  <c r="AO99" i="38"/>
  <c r="AO98" i="38"/>
  <c r="AO97" i="38"/>
  <c r="AO96" i="38"/>
  <c r="AO95" i="38"/>
  <c r="AO94" i="38"/>
  <c r="AO93" i="38"/>
  <c r="AO92" i="38"/>
  <c r="AO91" i="38"/>
  <c r="AO90" i="38"/>
  <c r="AO89" i="38"/>
  <c r="AO88" i="38"/>
  <c r="AO87" i="38"/>
  <c r="AO86" i="38"/>
  <c r="AO85" i="38"/>
  <c r="AO84" i="38"/>
  <c r="AO83" i="38"/>
  <c r="AO82" i="38"/>
  <c r="AO81" i="38"/>
  <c r="AO80" i="38"/>
  <c r="AO79" i="38"/>
  <c r="AO78" i="38"/>
  <c r="AO77" i="38"/>
  <c r="AO76" i="38"/>
  <c r="AO75" i="38"/>
  <c r="AO74" i="38"/>
  <c r="AO73" i="38"/>
  <c r="AO72" i="38"/>
  <c r="AO71" i="38"/>
  <c r="AO70" i="38"/>
  <c r="AO69" i="38"/>
  <c r="AO68" i="38"/>
  <c r="AO67" i="38"/>
  <c r="AO66" i="38"/>
  <c r="AO65" i="38"/>
  <c r="AO64" i="38"/>
  <c r="AO63" i="38"/>
  <c r="AO62" i="38"/>
  <c r="AO61" i="38"/>
  <c r="AO60" i="38"/>
  <c r="AO59" i="38"/>
  <c r="AO58" i="38"/>
  <c r="AO57" i="38"/>
  <c r="AO56" i="38"/>
  <c r="AO55" i="38"/>
  <c r="AO54" i="38"/>
  <c r="AO53" i="38"/>
  <c r="AO52" i="38"/>
  <c r="AO51" i="38"/>
  <c r="AO50" i="38"/>
  <c r="AO49" i="38"/>
  <c r="AO48" i="38"/>
  <c r="AO47" i="38"/>
  <c r="AO46" i="38"/>
  <c r="AO45" i="38"/>
  <c r="AO44" i="38"/>
  <c r="AO43" i="38"/>
  <c r="AO42" i="38"/>
  <c r="AO41" i="38"/>
  <c r="AO40" i="38"/>
  <c r="AO39" i="38"/>
  <c r="AO38" i="38"/>
  <c r="AO37" i="38"/>
  <c r="AO36" i="38"/>
  <c r="AO35" i="38"/>
  <c r="AO34" i="38"/>
  <c r="AO33" i="38"/>
  <c r="AO32" i="38"/>
  <c r="AO31" i="38"/>
  <c r="AO30" i="38"/>
  <c r="AO29" i="38"/>
  <c r="AO28" i="38"/>
  <c r="AO27" i="38"/>
  <c r="AO26" i="38"/>
  <c r="AO25" i="38"/>
  <c r="AO24" i="38"/>
  <c r="AO23" i="38"/>
  <c r="AO22" i="38"/>
  <c r="AO21" i="38"/>
  <c r="AO20" i="38"/>
  <c r="AO19" i="38"/>
  <c r="AO18" i="38"/>
  <c r="AO17" i="38"/>
  <c r="AO16" i="38"/>
  <c r="AO15" i="38"/>
  <c r="AO14" i="38"/>
  <c r="AO13" i="38"/>
  <c r="AO12" i="38"/>
  <c r="AO11" i="38"/>
  <c r="AO10" i="38"/>
  <c r="AO9" i="38"/>
  <c r="AO8" i="38"/>
  <c r="AO7" i="38"/>
  <c r="AO6" i="38"/>
  <c r="AO5" i="38"/>
  <c r="AO4" i="38"/>
  <c r="AO3" i="38"/>
  <c r="AO2" i="38"/>
  <c r="E976" i="38"/>
  <c r="E975" i="38"/>
  <c r="E974" i="38"/>
  <c r="E973" i="38"/>
  <c r="E972" i="38"/>
  <c r="E971" i="38"/>
  <c r="E970" i="38"/>
  <c r="E969" i="38"/>
  <c r="E968" i="38"/>
  <c r="E967" i="38"/>
  <c r="E966" i="38"/>
  <c r="E965" i="38"/>
  <c r="E964" i="38"/>
  <c r="E963" i="38"/>
  <c r="E962" i="38"/>
  <c r="E961" i="38"/>
  <c r="E960" i="38"/>
  <c r="E959" i="38"/>
  <c r="E958" i="38"/>
  <c r="E957" i="38"/>
  <c r="E956" i="38"/>
  <c r="E955" i="38"/>
  <c r="E954" i="38"/>
  <c r="E953" i="38"/>
  <c r="E952" i="38"/>
  <c r="E951" i="38"/>
  <c r="E950" i="38"/>
  <c r="E949" i="38"/>
  <c r="E948" i="38"/>
  <c r="E947" i="38"/>
  <c r="E946" i="38"/>
  <c r="E945" i="38"/>
  <c r="E944" i="38"/>
  <c r="E943" i="38"/>
  <c r="E942" i="38"/>
  <c r="E941" i="38"/>
  <c r="E940" i="38"/>
  <c r="E939" i="38"/>
  <c r="E938" i="38"/>
  <c r="E937" i="38"/>
  <c r="E936" i="38"/>
  <c r="E935" i="38"/>
  <c r="E934" i="38"/>
  <c r="E933" i="38"/>
  <c r="E932" i="38"/>
  <c r="E931" i="38"/>
  <c r="E930" i="38"/>
  <c r="E929" i="38"/>
  <c r="E928" i="38"/>
  <c r="E927" i="38"/>
  <c r="E926" i="38"/>
  <c r="E925" i="38"/>
  <c r="E924" i="38"/>
  <c r="E923" i="38"/>
  <c r="E922" i="38"/>
  <c r="E921" i="38"/>
  <c r="E920" i="38"/>
  <c r="E919" i="38"/>
  <c r="E918" i="38"/>
  <c r="E917" i="38"/>
  <c r="E916" i="38"/>
  <c r="E915" i="38"/>
  <c r="E914" i="38"/>
  <c r="E913" i="38"/>
  <c r="E912" i="38"/>
  <c r="E911" i="38"/>
  <c r="E910" i="38"/>
  <c r="E909" i="38"/>
  <c r="E908" i="38"/>
  <c r="E907" i="38"/>
  <c r="E906" i="38"/>
  <c r="E905" i="38"/>
  <c r="E904" i="38"/>
  <c r="E903" i="38"/>
  <c r="E902" i="38"/>
  <c r="E901" i="38"/>
  <c r="E900" i="38"/>
  <c r="E899" i="38"/>
  <c r="E898" i="38"/>
  <c r="E897" i="38"/>
  <c r="E896" i="38"/>
  <c r="E895" i="38"/>
  <c r="E894" i="38"/>
  <c r="E893" i="38"/>
  <c r="E892" i="38"/>
  <c r="E891" i="38"/>
  <c r="E890" i="38"/>
  <c r="E889" i="38"/>
  <c r="E888" i="38"/>
  <c r="E887" i="38"/>
  <c r="E886" i="38"/>
  <c r="E885" i="38"/>
  <c r="E884" i="38"/>
  <c r="E883" i="38"/>
  <c r="E882" i="38"/>
  <c r="E881" i="38"/>
  <c r="E880" i="38"/>
  <c r="E879" i="38"/>
  <c r="E878" i="38"/>
  <c r="E877" i="38"/>
  <c r="E876" i="38"/>
  <c r="E875" i="38"/>
  <c r="E874" i="38"/>
  <c r="E873" i="38"/>
  <c r="E872" i="38"/>
  <c r="E871" i="38"/>
  <c r="E870" i="38"/>
  <c r="E869" i="38"/>
  <c r="E868" i="38"/>
  <c r="E867" i="38"/>
  <c r="E866" i="38"/>
  <c r="E865" i="38"/>
  <c r="E864" i="38"/>
  <c r="E863" i="38"/>
  <c r="E862" i="38"/>
  <c r="E861" i="38"/>
  <c r="E860" i="38"/>
  <c r="E859" i="38"/>
  <c r="E858" i="38"/>
  <c r="E857" i="38"/>
  <c r="E856" i="38"/>
  <c r="E855" i="38"/>
  <c r="E854" i="38"/>
  <c r="E853" i="38"/>
  <c r="E852" i="38"/>
  <c r="E851" i="38"/>
  <c r="E850" i="38"/>
  <c r="E849" i="38"/>
  <c r="E848" i="38"/>
  <c r="E847" i="38"/>
  <c r="E846" i="38"/>
  <c r="E845" i="38"/>
  <c r="E844" i="38"/>
  <c r="E843" i="38"/>
  <c r="E842" i="38"/>
  <c r="E841" i="38"/>
  <c r="E840" i="38"/>
  <c r="E839" i="38"/>
  <c r="E838" i="38"/>
  <c r="E837" i="38"/>
  <c r="E836" i="38"/>
  <c r="E835" i="38"/>
  <c r="E834" i="38"/>
  <c r="E833" i="38"/>
  <c r="E832" i="38"/>
  <c r="E831" i="38"/>
  <c r="E830" i="38"/>
  <c r="E829" i="38"/>
  <c r="E828" i="38"/>
  <c r="E827" i="38"/>
  <c r="E826" i="38"/>
  <c r="E825" i="38"/>
  <c r="E824" i="38"/>
  <c r="E823" i="38"/>
  <c r="E822" i="38"/>
  <c r="E821" i="38"/>
  <c r="E820" i="38"/>
  <c r="E819" i="38"/>
  <c r="E818" i="38"/>
  <c r="E817" i="38"/>
  <c r="E816" i="38"/>
  <c r="E815" i="38"/>
  <c r="E814" i="38"/>
  <c r="E813" i="38"/>
  <c r="E812" i="38"/>
  <c r="E811" i="38"/>
  <c r="E810" i="38"/>
  <c r="E809" i="38"/>
  <c r="E808" i="38"/>
  <c r="E807" i="38"/>
  <c r="E806" i="38"/>
  <c r="E805" i="38"/>
  <c r="E804" i="38"/>
  <c r="E803" i="38"/>
  <c r="E802" i="38"/>
  <c r="E801" i="38"/>
  <c r="E800" i="38"/>
  <c r="E799" i="38"/>
  <c r="E798" i="38"/>
  <c r="E797" i="38"/>
  <c r="E796" i="38"/>
  <c r="E795" i="38"/>
  <c r="E794" i="38"/>
  <c r="E793" i="38"/>
  <c r="E792" i="38"/>
  <c r="E791" i="38"/>
  <c r="E790" i="38"/>
  <c r="E789" i="38"/>
  <c r="E788" i="38"/>
  <c r="E787" i="38"/>
  <c r="E786" i="38"/>
  <c r="E785" i="38"/>
  <c r="E784" i="38"/>
  <c r="E783" i="38"/>
  <c r="E782" i="38"/>
  <c r="E781" i="38"/>
  <c r="E780" i="38"/>
  <c r="E779" i="38"/>
  <c r="E778" i="38"/>
  <c r="E777" i="38"/>
  <c r="E776" i="38"/>
  <c r="E775" i="38"/>
  <c r="E774" i="38"/>
  <c r="E773" i="38"/>
  <c r="E772" i="38"/>
  <c r="E771" i="38"/>
  <c r="E770" i="38"/>
  <c r="E769" i="38"/>
  <c r="E768" i="38"/>
  <c r="E767" i="38"/>
  <c r="E766" i="38"/>
  <c r="E765" i="38"/>
  <c r="E764" i="38"/>
  <c r="E763" i="38"/>
  <c r="E762" i="38"/>
  <c r="E761" i="38"/>
  <c r="E760" i="38"/>
  <c r="E759" i="38"/>
  <c r="E758" i="38"/>
  <c r="E757" i="38"/>
  <c r="E756" i="38"/>
  <c r="E755" i="38"/>
  <c r="E754" i="38"/>
  <c r="E753" i="38"/>
  <c r="E752" i="38"/>
  <c r="E751" i="38"/>
  <c r="E750" i="38"/>
  <c r="E749" i="38"/>
  <c r="E748" i="38"/>
  <c r="E747" i="38"/>
  <c r="E746" i="38"/>
  <c r="E745" i="38"/>
  <c r="E744" i="38"/>
  <c r="E743" i="38"/>
  <c r="E742" i="38"/>
  <c r="E741" i="38"/>
  <c r="E740" i="38"/>
  <c r="E739" i="38"/>
  <c r="E738" i="38"/>
  <c r="E737" i="38"/>
  <c r="E736" i="38"/>
  <c r="E735" i="38"/>
  <c r="E734" i="38"/>
  <c r="E733" i="38"/>
  <c r="E732" i="38"/>
  <c r="E731" i="38"/>
  <c r="E730" i="38"/>
  <c r="E729" i="38"/>
  <c r="E728" i="38"/>
  <c r="E727" i="38"/>
  <c r="E726" i="38"/>
  <c r="E725" i="38"/>
  <c r="E724" i="38"/>
  <c r="E723" i="38"/>
  <c r="E722" i="38"/>
  <c r="E721" i="38"/>
  <c r="E720" i="38"/>
  <c r="E719" i="38"/>
  <c r="E718" i="38"/>
  <c r="E717" i="38"/>
  <c r="E716" i="38"/>
  <c r="E715" i="38"/>
  <c r="E714" i="38"/>
  <c r="E713" i="38"/>
  <c r="E712" i="38"/>
  <c r="E711" i="38"/>
  <c r="E710" i="38"/>
  <c r="E709" i="38"/>
  <c r="E708" i="38"/>
  <c r="E707" i="38"/>
  <c r="E706" i="38"/>
  <c r="E705" i="38"/>
  <c r="E704" i="38"/>
  <c r="E703" i="38"/>
  <c r="E702" i="38"/>
  <c r="E701" i="38"/>
  <c r="E700" i="38"/>
  <c r="E699" i="38"/>
  <c r="E698" i="38"/>
  <c r="E697" i="38"/>
  <c r="E696" i="38"/>
  <c r="E695" i="38"/>
  <c r="E694" i="38"/>
  <c r="E693" i="38"/>
  <c r="E692" i="38"/>
  <c r="E691" i="38"/>
  <c r="E690" i="38"/>
  <c r="E689" i="38"/>
  <c r="E688" i="38"/>
  <c r="E687" i="38"/>
  <c r="E686" i="38"/>
  <c r="E685" i="38"/>
  <c r="E684" i="38"/>
  <c r="E683" i="38"/>
  <c r="E682" i="38"/>
  <c r="E681" i="38"/>
  <c r="E680" i="38"/>
  <c r="E679" i="38"/>
  <c r="E678" i="38"/>
  <c r="E677" i="38"/>
  <c r="E676" i="38"/>
  <c r="E675" i="38"/>
  <c r="E674" i="38"/>
  <c r="E673" i="38"/>
  <c r="E672" i="38"/>
  <c r="E671" i="38"/>
  <c r="E670" i="38"/>
  <c r="E669" i="38"/>
  <c r="E668" i="38"/>
  <c r="E667" i="38"/>
  <c r="E666" i="38"/>
  <c r="E665" i="38"/>
  <c r="E664" i="38"/>
  <c r="E663" i="38"/>
  <c r="E662" i="38"/>
  <c r="E661" i="38"/>
  <c r="E660" i="38"/>
  <c r="E659" i="38"/>
  <c r="E658" i="38"/>
  <c r="E657" i="38"/>
  <c r="E656" i="38"/>
  <c r="E655" i="38"/>
  <c r="E654" i="38"/>
  <c r="E653" i="38"/>
  <c r="E652" i="38"/>
  <c r="E651" i="38"/>
  <c r="E650" i="38"/>
  <c r="E649" i="38"/>
  <c r="E648" i="38"/>
  <c r="E647" i="38"/>
  <c r="E646" i="38"/>
  <c r="E645" i="38"/>
  <c r="E644" i="38"/>
  <c r="E643" i="38"/>
  <c r="E642" i="38"/>
  <c r="E641" i="38"/>
  <c r="E640" i="38"/>
  <c r="E639" i="38"/>
  <c r="E638" i="38"/>
  <c r="E637" i="38"/>
  <c r="E636" i="38"/>
  <c r="E635" i="38"/>
  <c r="E634" i="38"/>
  <c r="E633" i="38"/>
  <c r="E632" i="38"/>
  <c r="E631" i="38"/>
  <c r="E630" i="38"/>
  <c r="E629" i="38"/>
  <c r="E628" i="38"/>
  <c r="E627" i="38"/>
  <c r="E626" i="38"/>
  <c r="E625" i="38"/>
  <c r="E624" i="38"/>
  <c r="E623" i="38"/>
  <c r="E622" i="38"/>
  <c r="E621" i="38"/>
  <c r="E620" i="38"/>
  <c r="E619" i="38"/>
  <c r="E618" i="38"/>
  <c r="E617" i="38"/>
  <c r="E616" i="38"/>
  <c r="E615" i="38"/>
  <c r="E614" i="38"/>
  <c r="E613" i="38"/>
  <c r="E612" i="38"/>
  <c r="E611" i="38"/>
  <c r="E610" i="38"/>
  <c r="E609" i="38"/>
  <c r="E608" i="38"/>
  <c r="E607" i="38"/>
  <c r="E606" i="38"/>
  <c r="E605" i="38"/>
  <c r="E604" i="38"/>
  <c r="E603" i="38"/>
  <c r="E602" i="38"/>
  <c r="E601" i="38"/>
  <c r="E600" i="38"/>
  <c r="E599" i="38"/>
  <c r="E598" i="38"/>
  <c r="E597" i="38"/>
  <c r="E596" i="38"/>
  <c r="E595" i="38"/>
  <c r="E594" i="38"/>
  <c r="E593" i="38"/>
  <c r="E592" i="38"/>
  <c r="E591" i="38"/>
  <c r="E590" i="38"/>
  <c r="E589" i="38"/>
  <c r="E588" i="38"/>
  <c r="E587" i="38"/>
  <c r="E586" i="38"/>
  <c r="E585" i="38"/>
  <c r="E584" i="38"/>
  <c r="E583" i="38"/>
  <c r="E582" i="38"/>
  <c r="E581" i="38"/>
  <c r="E580" i="38"/>
  <c r="E579" i="38"/>
  <c r="E578" i="38"/>
  <c r="E577" i="38"/>
  <c r="E576" i="38"/>
  <c r="E575" i="38"/>
  <c r="E574" i="38"/>
  <c r="E573" i="38"/>
  <c r="E572" i="38"/>
  <c r="E571" i="38"/>
  <c r="E570" i="38"/>
  <c r="E569" i="38"/>
  <c r="E568" i="38"/>
  <c r="E567" i="38"/>
  <c r="E566" i="38"/>
  <c r="E565" i="38"/>
  <c r="E564" i="38"/>
  <c r="E563" i="38"/>
  <c r="E562" i="38"/>
  <c r="E561" i="38"/>
  <c r="E560" i="38"/>
  <c r="E559" i="38"/>
  <c r="E558" i="38"/>
  <c r="E557" i="38"/>
  <c r="E556" i="38"/>
  <c r="E555" i="38"/>
  <c r="E554" i="38"/>
  <c r="E553" i="38"/>
  <c r="E552" i="38"/>
  <c r="E551" i="38"/>
  <c r="E550" i="38"/>
  <c r="E549" i="38"/>
  <c r="E548" i="38"/>
  <c r="E547" i="38"/>
  <c r="E546" i="38"/>
  <c r="E545" i="38"/>
  <c r="E544" i="38"/>
  <c r="E543" i="38"/>
  <c r="E542" i="38"/>
  <c r="E541" i="38"/>
  <c r="E540" i="38"/>
  <c r="E539" i="38"/>
  <c r="E538" i="38"/>
  <c r="E537" i="38"/>
  <c r="E536" i="38"/>
  <c r="E535" i="38"/>
  <c r="E534" i="38"/>
  <c r="E533" i="38"/>
  <c r="E532" i="38"/>
  <c r="E531" i="38"/>
  <c r="E530" i="38"/>
  <c r="E529" i="38"/>
  <c r="E528" i="38"/>
  <c r="E527" i="38"/>
  <c r="E526" i="38"/>
  <c r="E525" i="38"/>
  <c r="E524" i="38"/>
  <c r="E523" i="38"/>
  <c r="E522" i="38"/>
  <c r="E521" i="38"/>
  <c r="E520" i="38"/>
  <c r="E519" i="38"/>
  <c r="E518" i="38"/>
  <c r="E517" i="38"/>
  <c r="E516" i="38"/>
  <c r="E515" i="38"/>
  <c r="E514" i="38"/>
  <c r="E513" i="38"/>
  <c r="E512" i="38"/>
  <c r="E511" i="38"/>
  <c r="E510" i="38"/>
  <c r="E509" i="38"/>
  <c r="E508" i="38"/>
  <c r="E507" i="38"/>
  <c r="E506" i="38"/>
  <c r="E505" i="38"/>
  <c r="E504" i="38"/>
  <c r="E503" i="38"/>
  <c r="E502" i="38"/>
  <c r="E501" i="38"/>
  <c r="E500" i="38"/>
  <c r="E499" i="38"/>
  <c r="E498" i="38"/>
  <c r="E497" i="38"/>
  <c r="E496" i="38"/>
  <c r="E495" i="38"/>
  <c r="E494" i="38"/>
  <c r="E493" i="38"/>
  <c r="E492" i="38"/>
  <c r="E491" i="38"/>
  <c r="E490" i="38"/>
  <c r="E489" i="38"/>
  <c r="E488" i="38"/>
  <c r="E487" i="38"/>
  <c r="E486" i="38"/>
  <c r="E485" i="38"/>
  <c r="E484" i="38"/>
  <c r="E483" i="38"/>
  <c r="E482" i="38"/>
  <c r="E481" i="38"/>
  <c r="E480" i="38"/>
  <c r="E479" i="38"/>
  <c r="E478" i="38"/>
  <c r="E477" i="38"/>
  <c r="E476" i="38"/>
  <c r="E475" i="38"/>
  <c r="E474" i="38"/>
  <c r="E473" i="38"/>
  <c r="E472" i="38"/>
  <c r="E471" i="38"/>
  <c r="E470" i="38"/>
  <c r="E469" i="38"/>
  <c r="E468" i="38"/>
  <c r="E467" i="38"/>
  <c r="E466" i="38"/>
  <c r="E465" i="38"/>
  <c r="E464" i="38"/>
  <c r="E463" i="38"/>
  <c r="E462" i="38"/>
  <c r="E461" i="38"/>
  <c r="E460" i="38"/>
  <c r="E459" i="38"/>
  <c r="E458" i="38"/>
  <c r="E457" i="38"/>
  <c r="E456" i="38"/>
  <c r="E455" i="38"/>
  <c r="E454" i="38"/>
  <c r="E453" i="38"/>
  <c r="E452" i="38"/>
  <c r="E451" i="38"/>
  <c r="E450" i="38"/>
  <c r="E449" i="38"/>
  <c r="E448" i="38"/>
  <c r="E447" i="38"/>
  <c r="E446" i="38"/>
  <c r="E445" i="38"/>
  <c r="E444" i="38"/>
  <c r="E443" i="38"/>
  <c r="E442" i="38"/>
  <c r="E441" i="38"/>
  <c r="E440" i="38"/>
  <c r="E439" i="38"/>
  <c r="E438" i="38"/>
  <c r="E437" i="38"/>
  <c r="E436" i="38"/>
  <c r="E435" i="38"/>
  <c r="E434" i="38"/>
  <c r="E433" i="38"/>
  <c r="E432" i="38"/>
  <c r="E431" i="38"/>
  <c r="E430" i="38"/>
  <c r="E429" i="38"/>
  <c r="E428" i="38"/>
  <c r="E427" i="38"/>
  <c r="E426" i="38"/>
  <c r="E425" i="38"/>
  <c r="E424" i="38"/>
  <c r="E423" i="38"/>
  <c r="E422" i="38"/>
  <c r="E421" i="38"/>
  <c r="E420" i="38"/>
  <c r="E419" i="38"/>
  <c r="E418" i="38"/>
  <c r="E417" i="38"/>
  <c r="E416" i="38"/>
  <c r="E415" i="38"/>
  <c r="E414" i="38"/>
  <c r="E413" i="38"/>
  <c r="E412" i="38"/>
  <c r="E411" i="38"/>
  <c r="E410" i="38"/>
  <c r="E409" i="38"/>
  <c r="E408" i="38"/>
  <c r="E407" i="38"/>
  <c r="E406" i="38"/>
  <c r="E405" i="38"/>
  <c r="E404" i="38"/>
  <c r="E403" i="38"/>
  <c r="E402" i="38"/>
  <c r="E401" i="38"/>
  <c r="E400" i="38"/>
  <c r="E399" i="38"/>
  <c r="E398" i="38"/>
  <c r="E397" i="38"/>
  <c r="E396" i="38"/>
  <c r="E395" i="38"/>
  <c r="E394" i="38"/>
  <c r="E393" i="38"/>
  <c r="E392" i="38"/>
  <c r="E391" i="38"/>
  <c r="E390" i="38"/>
  <c r="E389" i="38"/>
  <c r="E388" i="38"/>
  <c r="E387" i="38"/>
  <c r="E386" i="38"/>
  <c r="E385" i="38"/>
  <c r="E384" i="38"/>
  <c r="E383" i="38"/>
  <c r="E382" i="38"/>
  <c r="E381" i="38"/>
  <c r="E380" i="38"/>
  <c r="E379" i="38"/>
  <c r="E378" i="38"/>
  <c r="E377" i="38"/>
  <c r="E376" i="38"/>
  <c r="E375" i="38"/>
  <c r="E374" i="38"/>
  <c r="E373" i="38"/>
  <c r="E372" i="38"/>
  <c r="E371" i="38"/>
  <c r="E370" i="38"/>
  <c r="E369" i="38"/>
  <c r="E368" i="38"/>
  <c r="E367" i="38"/>
  <c r="E366" i="38"/>
  <c r="E365" i="38"/>
  <c r="E364" i="38"/>
  <c r="E363" i="38"/>
  <c r="E362" i="38"/>
  <c r="E361" i="38"/>
  <c r="E360" i="38"/>
  <c r="E359" i="38"/>
  <c r="E358" i="38"/>
  <c r="E357" i="38"/>
  <c r="E356" i="38"/>
  <c r="E355" i="38"/>
  <c r="E354" i="38"/>
  <c r="E353" i="38"/>
  <c r="E352" i="38"/>
  <c r="E351" i="38"/>
  <c r="E350" i="38"/>
  <c r="E349" i="38"/>
  <c r="E348" i="38"/>
  <c r="E347" i="38"/>
  <c r="E346" i="38"/>
  <c r="E345" i="38"/>
  <c r="E344" i="38"/>
  <c r="E343" i="38"/>
  <c r="E342" i="38"/>
  <c r="E341" i="38"/>
  <c r="E340" i="38"/>
  <c r="E339" i="38"/>
  <c r="E338" i="38"/>
  <c r="E337" i="38"/>
  <c r="E336" i="38"/>
  <c r="E335" i="38"/>
  <c r="E334" i="38"/>
  <c r="E333" i="38"/>
  <c r="E332" i="38"/>
  <c r="E331" i="38"/>
  <c r="E330" i="38"/>
  <c r="E329" i="38"/>
  <c r="E328" i="38"/>
  <c r="E327" i="38"/>
  <c r="E326" i="38"/>
  <c r="E325" i="38"/>
  <c r="E324" i="38"/>
  <c r="E323" i="38"/>
  <c r="E322" i="38"/>
  <c r="E321" i="38"/>
  <c r="E320" i="38"/>
  <c r="E319" i="38"/>
  <c r="E318" i="38"/>
  <c r="E317" i="38"/>
  <c r="E316" i="38"/>
  <c r="E315" i="38"/>
  <c r="E314" i="38"/>
  <c r="E313" i="38"/>
  <c r="E312" i="38"/>
  <c r="E311" i="38"/>
  <c r="E310" i="38"/>
  <c r="E309" i="38"/>
  <c r="E308" i="38"/>
  <c r="E307" i="38"/>
  <c r="E306" i="38"/>
  <c r="E305" i="38"/>
  <c r="E304" i="38"/>
  <c r="E303" i="38"/>
  <c r="E302" i="38"/>
  <c r="E301" i="38"/>
  <c r="E300" i="38"/>
  <c r="E299" i="38"/>
  <c r="E298" i="38"/>
  <c r="E297" i="38"/>
  <c r="E296" i="38"/>
  <c r="E295" i="38"/>
  <c r="E294" i="38"/>
  <c r="E293" i="38"/>
  <c r="E292" i="38"/>
  <c r="E291" i="38"/>
  <c r="E290" i="38"/>
  <c r="E289" i="38"/>
  <c r="E288" i="38"/>
  <c r="E287" i="38"/>
  <c r="E286" i="38"/>
  <c r="E285" i="38"/>
  <c r="E284" i="38"/>
  <c r="E283" i="38"/>
  <c r="E282" i="38"/>
  <c r="E281" i="38"/>
  <c r="E280" i="38"/>
  <c r="E279" i="38"/>
  <c r="E278" i="38"/>
  <c r="E277" i="38"/>
  <c r="E276" i="38"/>
  <c r="E275" i="38"/>
  <c r="E274" i="38"/>
  <c r="E273" i="38"/>
  <c r="E272" i="38"/>
  <c r="E271" i="38"/>
  <c r="E270" i="38"/>
  <c r="E269" i="38"/>
  <c r="E268" i="38"/>
  <c r="E267" i="38"/>
  <c r="E266" i="38"/>
  <c r="E265" i="38"/>
  <c r="E264" i="38"/>
  <c r="E263" i="38"/>
  <c r="E262" i="38"/>
  <c r="E261" i="38"/>
  <c r="E260" i="38"/>
  <c r="E259" i="38"/>
  <c r="E258" i="38"/>
  <c r="E257" i="38"/>
  <c r="E256" i="38"/>
  <c r="E255" i="38"/>
  <c r="E254" i="38"/>
  <c r="E253" i="38"/>
  <c r="E252" i="38"/>
  <c r="E251" i="38"/>
  <c r="E250" i="38"/>
  <c r="E249" i="38"/>
  <c r="E248" i="38"/>
  <c r="E247" i="38"/>
  <c r="E246" i="38"/>
  <c r="E245" i="38"/>
  <c r="E244" i="38"/>
  <c r="E243" i="38"/>
  <c r="E242" i="38"/>
  <c r="E241" i="38"/>
  <c r="E240" i="38"/>
  <c r="E239" i="38"/>
  <c r="E238" i="38"/>
  <c r="E237" i="38"/>
  <c r="E236" i="38"/>
  <c r="E235" i="38"/>
  <c r="E234" i="38"/>
  <c r="E233" i="38"/>
  <c r="E232" i="38"/>
  <c r="E231" i="38"/>
  <c r="E230" i="38"/>
  <c r="E229" i="38"/>
  <c r="E228" i="38"/>
  <c r="E227" i="38"/>
  <c r="E226" i="38"/>
  <c r="E225" i="38"/>
  <c r="E224" i="38"/>
  <c r="E223" i="38"/>
  <c r="E222" i="38"/>
  <c r="E221" i="38"/>
  <c r="E220" i="38"/>
  <c r="E219" i="38"/>
  <c r="E218" i="38"/>
  <c r="E217" i="38"/>
  <c r="E216" i="38"/>
  <c r="E215" i="38"/>
  <c r="E214" i="38"/>
  <c r="E213" i="38"/>
  <c r="E212" i="38"/>
  <c r="E211" i="38"/>
  <c r="E210" i="38"/>
  <c r="E209" i="38"/>
  <c r="E208" i="38"/>
  <c r="E207" i="38"/>
  <c r="E206" i="38"/>
  <c r="E205" i="38"/>
  <c r="E204" i="38"/>
  <c r="E203" i="38"/>
  <c r="E202" i="38"/>
  <c r="E201" i="38"/>
  <c r="E200" i="38"/>
  <c r="E199" i="38"/>
  <c r="E198" i="38"/>
  <c r="E197" i="38"/>
  <c r="E196" i="38"/>
  <c r="E195" i="38"/>
  <c r="E194" i="38"/>
  <c r="E193" i="38"/>
  <c r="E192" i="38"/>
  <c r="E191" i="38"/>
  <c r="E190" i="38"/>
  <c r="E189" i="38"/>
  <c r="E188" i="38"/>
  <c r="E187" i="38"/>
  <c r="E186" i="38"/>
  <c r="E185" i="38"/>
  <c r="E184" i="38"/>
  <c r="E183" i="38"/>
  <c r="E182" i="38"/>
  <c r="E181" i="38"/>
  <c r="E180" i="38"/>
  <c r="E179" i="38"/>
  <c r="E178" i="38"/>
  <c r="E177" i="38"/>
  <c r="E176" i="38"/>
  <c r="E175" i="38"/>
  <c r="E174" i="38"/>
  <c r="E173" i="38"/>
  <c r="E172" i="38"/>
  <c r="E171" i="38"/>
  <c r="E170" i="38"/>
  <c r="E169" i="38"/>
  <c r="E168" i="38"/>
  <c r="E167" i="38"/>
  <c r="E166" i="38"/>
  <c r="E165" i="38"/>
  <c r="E164" i="38"/>
  <c r="E163" i="38"/>
  <c r="E162" i="38"/>
  <c r="E161" i="38"/>
  <c r="E160" i="38"/>
  <c r="E159" i="38"/>
  <c r="E158" i="38"/>
  <c r="E157" i="38"/>
  <c r="E156" i="38"/>
  <c r="E155" i="38"/>
  <c r="E154" i="38"/>
  <c r="E153" i="38"/>
  <c r="E152" i="38"/>
  <c r="E151" i="38"/>
  <c r="E150" i="38"/>
  <c r="E149" i="38"/>
  <c r="E148" i="38"/>
  <c r="E147" i="38"/>
  <c r="E146" i="38"/>
  <c r="E145" i="38"/>
  <c r="E144" i="38"/>
  <c r="E143" i="38"/>
  <c r="E142" i="38"/>
  <c r="E141" i="38"/>
  <c r="E140" i="38"/>
  <c r="E139" i="38"/>
  <c r="E138" i="38"/>
  <c r="E137" i="38"/>
  <c r="E136" i="38"/>
  <c r="E135" i="38"/>
  <c r="E134" i="38"/>
  <c r="E133" i="38"/>
  <c r="E132" i="38"/>
  <c r="E131" i="38"/>
  <c r="E130" i="38"/>
  <c r="E129" i="38"/>
  <c r="E128" i="38"/>
  <c r="E127" i="38"/>
  <c r="E126" i="38"/>
  <c r="E125" i="38"/>
  <c r="E124" i="38"/>
  <c r="E123" i="38"/>
  <c r="E122" i="38"/>
  <c r="E121" i="38"/>
  <c r="E120" i="38"/>
  <c r="E119" i="38"/>
  <c r="E118" i="38"/>
  <c r="E117" i="38"/>
  <c r="E116" i="38"/>
  <c r="E115" i="38"/>
  <c r="E114" i="38"/>
  <c r="E113" i="38"/>
  <c r="E112" i="38"/>
  <c r="E111" i="38"/>
  <c r="E110" i="38"/>
  <c r="E109" i="38"/>
  <c r="E108" i="38"/>
  <c r="E107" i="38"/>
  <c r="E106" i="38"/>
  <c r="E105" i="38"/>
  <c r="E104" i="38"/>
  <c r="E103" i="38"/>
  <c r="E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7" i="38"/>
  <c r="E56"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20" i="38"/>
  <c r="E19" i="38"/>
  <c r="E18" i="38"/>
  <c r="E17" i="38"/>
  <c r="E16" i="38"/>
  <c r="E15" i="38"/>
  <c r="E14" i="38"/>
  <c r="E13" i="38"/>
  <c r="E12" i="38"/>
  <c r="E11" i="38"/>
  <c r="E10" i="38"/>
  <c r="E9" i="38"/>
  <c r="E8" i="38"/>
  <c r="E7" i="38"/>
  <c r="E6" i="38"/>
  <c r="E5" i="38"/>
  <c r="E4" i="38"/>
  <c r="E3" i="38"/>
  <c r="E2" i="38"/>
  <c r="AE976" i="38"/>
  <c r="Z11" i="13" l="1"/>
  <c r="AQ24" i="9"/>
  <c r="AB24" i="9"/>
  <c r="AQ21" i="9"/>
  <c r="AN22" i="9"/>
  <c r="AN20" i="9"/>
  <c r="AK21" i="9"/>
  <c r="AH21" i="9"/>
  <c r="AE22" i="9"/>
  <c r="AE21" i="9"/>
  <c r="AE20" i="9"/>
  <c r="AB21" i="9"/>
  <c r="AP34" i="8"/>
  <c r="AM34" i="8"/>
  <c r="AG34" i="8"/>
  <c r="AA34" i="8"/>
  <c r="Y34" i="8"/>
  <c r="AA26" i="8"/>
  <c r="X26" i="8"/>
  <c r="AK21" i="42"/>
  <c r="AH21" i="42"/>
  <c r="AB21" i="42"/>
  <c r="AR10" i="42"/>
  <c r="AQ10" i="42"/>
  <c r="AP10" i="42"/>
  <c r="AS90" i="44" l="1"/>
  <c r="AS89" i="44"/>
  <c r="AS88" i="44"/>
  <c r="AS87" i="44"/>
  <c r="AS86" i="44"/>
  <c r="AS85" i="44"/>
  <c r="AS84" i="44"/>
  <c r="AS83" i="44"/>
  <c r="AS82" i="44"/>
  <c r="AS81" i="44"/>
  <c r="AS80" i="44"/>
  <c r="AS79" i="44"/>
  <c r="AS78" i="44"/>
  <c r="AS77" i="44"/>
  <c r="AS76" i="44"/>
  <c r="AS75" i="44"/>
  <c r="AS74" i="44"/>
  <c r="AS73" i="44"/>
  <c r="AS72" i="44"/>
  <c r="AS71" i="44"/>
  <c r="AS70" i="44"/>
  <c r="AS69" i="44"/>
  <c r="AS68" i="44"/>
  <c r="AS67" i="44"/>
  <c r="AS66" i="44"/>
  <c r="AS65" i="44"/>
  <c r="AS64" i="44"/>
  <c r="AS63" i="44"/>
  <c r="AS62" i="44"/>
  <c r="AS61" i="44"/>
  <c r="AS60" i="44"/>
  <c r="AS59" i="44"/>
  <c r="AS58" i="44"/>
  <c r="AS57" i="44"/>
  <c r="AS56" i="44"/>
  <c r="AS55" i="44"/>
  <c r="AS54" i="44"/>
  <c r="AS53" i="44"/>
  <c r="AS52" i="44"/>
  <c r="AS51" i="44"/>
  <c r="AS50" i="44"/>
  <c r="AS49" i="44"/>
  <c r="AS48" i="44"/>
  <c r="AS47" i="44"/>
  <c r="AS46" i="44"/>
  <c r="AS45" i="44"/>
  <c r="AS44" i="44"/>
  <c r="AS43" i="44"/>
  <c r="AS42" i="44"/>
  <c r="AS41" i="44"/>
  <c r="AS40" i="44"/>
  <c r="AS39" i="44"/>
  <c r="AS38" i="44"/>
  <c r="AS37" i="44"/>
  <c r="AS36" i="44"/>
  <c r="AS35" i="44"/>
  <c r="AS34" i="44"/>
  <c r="AS33" i="44"/>
  <c r="AS32" i="44"/>
  <c r="AS31" i="44"/>
  <c r="AS30" i="44"/>
  <c r="AS29" i="44"/>
  <c r="AS28" i="44"/>
  <c r="AS27" i="44"/>
  <c r="AS26" i="44"/>
  <c r="AS25" i="44"/>
  <c r="L936" i="37" l="1"/>
  <c r="S936" i="37" s="1"/>
  <c r="G936" i="37"/>
  <c r="C936" i="37"/>
  <c r="L935" i="37"/>
  <c r="S935" i="37" s="1"/>
  <c r="G935" i="37"/>
  <c r="C935" i="37"/>
  <c r="L934" i="37"/>
  <c r="S934" i="37" s="1"/>
  <c r="G934" i="37"/>
  <c r="C934" i="37"/>
  <c r="L933" i="37"/>
  <c r="S933" i="37" s="1"/>
  <c r="G933" i="37"/>
  <c r="C933" i="37"/>
  <c r="L932" i="37"/>
  <c r="S932" i="37" s="1"/>
  <c r="G932" i="37"/>
  <c r="C932" i="37"/>
  <c r="L931" i="37"/>
  <c r="S931" i="37" s="1"/>
  <c r="G931" i="37"/>
  <c r="C931" i="37"/>
  <c r="L930" i="37"/>
  <c r="S930" i="37" s="1"/>
  <c r="G930" i="37"/>
  <c r="C930" i="37"/>
  <c r="L929" i="37"/>
  <c r="S929" i="37" s="1"/>
  <c r="G929" i="37"/>
  <c r="C929" i="37"/>
  <c r="L928" i="37"/>
  <c r="S928" i="37" s="1"/>
  <c r="G928" i="37"/>
  <c r="C928" i="37"/>
  <c r="L927" i="37"/>
  <c r="S927" i="37" s="1"/>
  <c r="G927" i="37"/>
  <c r="C927" i="37"/>
  <c r="L926" i="37"/>
  <c r="S926" i="37" s="1"/>
  <c r="G926" i="37"/>
  <c r="C926" i="37"/>
  <c r="L925" i="37"/>
  <c r="S925" i="37" s="1"/>
  <c r="G925" i="37"/>
  <c r="C925" i="37"/>
  <c r="L924" i="37"/>
  <c r="S924" i="37" s="1"/>
  <c r="G924" i="37"/>
  <c r="C924" i="37"/>
  <c r="L923" i="37"/>
  <c r="S923" i="37" s="1"/>
  <c r="G923" i="37"/>
  <c r="C923" i="37"/>
  <c r="L922" i="37"/>
  <c r="S922" i="37" s="1"/>
  <c r="G922" i="37"/>
  <c r="C922" i="37"/>
  <c r="L921" i="37"/>
  <c r="S921" i="37" s="1"/>
  <c r="G921" i="37"/>
  <c r="C921" i="37"/>
  <c r="L920" i="37"/>
  <c r="S920" i="37" s="1"/>
  <c r="G920" i="37"/>
  <c r="C920" i="37"/>
  <c r="L919" i="37"/>
  <c r="S919" i="37" s="1"/>
  <c r="G919" i="37"/>
  <c r="C919" i="37"/>
  <c r="L918" i="37"/>
  <c r="S918" i="37" s="1"/>
  <c r="G918" i="37"/>
  <c r="C918" i="37"/>
  <c r="L917" i="37"/>
  <c r="S917" i="37" s="1"/>
  <c r="G917" i="37"/>
  <c r="C917" i="37"/>
  <c r="L916" i="37"/>
  <c r="S916" i="37" s="1"/>
  <c r="G916" i="37"/>
  <c r="C916" i="37"/>
  <c r="L915" i="37"/>
  <c r="S915" i="37" s="1"/>
  <c r="G915" i="37"/>
  <c r="C915" i="37"/>
  <c r="L914" i="37"/>
  <c r="S914" i="37" s="1"/>
  <c r="G914" i="37"/>
  <c r="C914" i="37"/>
  <c r="L913" i="37"/>
  <c r="S913" i="37" s="1"/>
  <c r="G913" i="37"/>
  <c r="C913" i="37"/>
  <c r="L912" i="37"/>
  <c r="S912" i="37" s="1"/>
  <c r="G912" i="37"/>
  <c r="C912" i="37"/>
  <c r="L911" i="37"/>
  <c r="S911" i="37" s="1"/>
  <c r="G911" i="37"/>
  <c r="C911" i="37"/>
  <c r="L910" i="37"/>
  <c r="S910" i="37" s="1"/>
  <c r="G910" i="37"/>
  <c r="C910" i="37"/>
  <c r="L909" i="37"/>
  <c r="S909" i="37" s="1"/>
  <c r="G909" i="37"/>
  <c r="C909" i="37"/>
  <c r="L908" i="37"/>
  <c r="S908" i="37" s="1"/>
  <c r="G908" i="37"/>
  <c r="C908" i="37"/>
  <c r="L907" i="37"/>
  <c r="S907" i="37" s="1"/>
  <c r="G907" i="37"/>
  <c r="C907" i="37"/>
  <c r="L906" i="37"/>
  <c r="S906" i="37" s="1"/>
  <c r="G906" i="37"/>
  <c r="C906" i="37"/>
  <c r="L905" i="37"/>
  <c r="S905" i="37" s="1"/>
  <c r="G905" i="37"/>
  <c r="C905" i="37"/>
  <c r="L904" i="37"/>
  <c r="S904" i="37" s="1"/>
  <c r="G904" i="37"/>
  <c r="C904" i="37"/>
  <c r="L903" i="37"/>
  <c r="S903" i="37" s="1"/>
  <c r="G903" i="37"/>
  <c r="C903" i="37"/>
  <c r="L902" i="37"/>
  <c r="S902" i="37" s="1"/>
  <c r="G902" i="37"/>
  <c r="C902" i="37"/>
  <c r="L901" i="37"/>
  <c r="S901" i="37" s="1"/>
  <c r="G901" i="37"/>
  <c r="C901" i="37"/>
  <c r="L900" i="37"/>
  <c r="S900" i="37" s="1"/>
  <c r="G900" i="37"/>
  <c r="C900" i="37"/>
  <c r="L899" i="37"/>
  <c r="S899" i="37" s="1"/>
  <c r="G899" i="37"/>
  <c r="C899" i="37"/>
  <c r="L898" i="37"/>
  <c r="S898" i="37" s="1"/>
  <c r="G898" i="37"/>
  <c r="C898" i="37"/>
  <c r="L897" i="37"/>
  <c r="S897" i="37" s="1"/>
  <c r="G897" i="37"/>
  <c r="C897" i="37"/>
  <c r="L896" i="37"/>
  <c r="S896" i="37" s="1"/>
  <c r="G896" i="37"/>
  <c r="C896" i="37"/>
  <c r="L895" i="37"/>
  <c r="S895" i="37" s="1"/>
  <c r="G895" i="37"/>
  <c r="C895" i="37"/>
  <c r="L894" i="37"/>
  <c r="S894" i="37" s="1"/>
  <c r="G894" i="37"/>
  <c r="C894" i="37"/>
  <c r="L893" i="37"/>
  <c r="S893" i="37" s="1"/>
  <c r="G893" i="37"/>
  <c r="C893" i="37"/>
  <c r="L892" i="37"/>
  <c r="S892" i="37" s="1"/>
  <c r="G892" i="37"/>
  <c r="C892" i="37"/>
  <c r="L891" i="37"/>
  <c r="S891" i="37" s="1"/>
  <c r="G891" i="37"/>
  <c r="C891" i="37"/>
  <c r="L890" i="37"/>
  <c r="S890" i="37" s="1"/>
  <c r="G890" i="37"/>
  <c r="C890" i="37"/>
  <c r="L889" i="37"/>
  <c r="S889" i="37" s="1"/>
  <c r="G889" i="37"/>
  <c r="C889" i="37"/>
  <c r="L888" i="37"/>
  <c r="S888" i="37" s="1"/>
  <c r="G888" i="37"/>
  <c r="C888" i="37"/>
  <c r="L887" i="37"/>
  <c r="S887" i="37" s="1"/>
  <c r="G887" i="37"/>
  <c r="C887" i="37"/>
  <c r="L886" i="37"/>
  <c r="S886" i="37" s="1"/>
  <c r="G886" i="37"/>
  <c r="C886" i="37"/>
  <c r="L885" i="37"/>
  <c r="S885" i="37" s="1"/>
  <c r="G885" i="37"/>
  <c r="C885" i="37"/>
  <c r="L884" i="37"/>
  <c r="S884" i="37" s="1"/>
  <c r="G884" i="37"/>
  <c r="C884" i="37"/>
  <c r="L883" i="37"/>
  <c r="S883" i="37" s="1"/>
  <c r="G883" i="37"/>
  <c r="C883" i="37"/>
  <c r="L882" i="37"/>
  <c r="S882" i="37" s="1"/>
  <c r="G882" i="37"/>
  <c r="C882" i="37"/>
  <c r="L881" i="37"/>
  <c r="S881" i="37" s="1"/>
  <c r="G881" i="37"/>
  <c r="C881" i="37"/>
  <c r="L880" i="37"/>
  <c r="S880" i="37" s="1"/>
  <c r="G880" i="37"/>
  <c r="C880" i="37"/>
  <c r="L879" i="37"/>
  <c r="S879" i="37" s="1"/>
  <c r="G879" i="37"/>
  <c r="C879" i="37"/>
  <c r="L878" i="37"/>
  <c r="S878" i="37" s="1"/>
  <c r="G878" i="37"/>
  <c r="C878" i="37"/>
  <c r="L877" i="37"/>
  <c r="S877" i="37" s="1"/>
  <c r="G877" i="37"/>
  <c r="C877" i="37"/>
  <c r="L876" i="37"/>
  <c r="S876" i="37" s="1"/>
  <c r="G876" i="37"/>
  <c r="C876" i="37"/>
  <c r="L875" i="37"/>
  <c r="S875" i="37" s="1"/>
  <c r="G875" i="37"/>
  <c r="C875" i="37"/>
  <c r="L874" i="37"/>
  <c r="S874" i="37" s="1"/>
  <c r="G874" i="37"/>
  <c r="C874" i="37"/>
  <c r="L873" i="37"/>
  <c r="S873" i="37" s="1"/>
  <c r="G873" i="37"/>
  <c r="C873" i="37"/>
  <c r="L872" i="37"/>
  <c r="S872" i="37" s="1"/>
  <c r="G872" i="37"/>
  <c r="C872" i="37"/>
  <c r="L871" i="37"/>
  <c r="S871" i="37" s="1"/>
  <c r="G871" i="37"/>
  <c r="C871" i="37"/>
  <c r="L870" i="37"/>
  <c r="S870" i="37" s="1"/>
  <c r="G870" i="37"/>
  <c r="C870" i="37"/>
  <c r="L869" i="37"/>
  <c r="S869" i="37" s="1"/>
  <c r="G869" i="37"/>
  <c r="C869" i="37"/>
  <c r="L868" i="37"/>
  <c r="S868" i="37" s="1"/>
  <c r="G868" i="37"/>
  <c r="C868" i="37"/>
  <c r="L867" i="37"/>
  <c r="S867" i="37" s="1"/>
  <c r="G867" i="37"/>
  <c r="C867" i="37"/>
  <c r="L866" i="37"/>
  <c r="S866" i="37" s="1"/>
  <c r="G866" i="37"/>
  <c r="C866" i="37"/>
  <c r="L865" i="37"/>
  <c r="S865" i="37" s="1"/>
  <c r="G865" i="37"/>
  <c r="C865" i="37"/>
  <c r="L864" i="37"/>
  <c r="S864" i="37" s="1"/>
  <c r="G864" i="37"/>
  <c r="C864" i="37"/>
  <c r="L863" i="37"/>
  <c r="S863" i="37" s="1"/>
  <c r="G863" i="37"/>
  <c r="C863" i="37"/>
  <c r="L862" i="37"/>
  <c r="S862" i="37" s="1"/>
  <c r="G862" i="37"/>
  <c r="C862" i="37"/>
  <c r="L861" i="37"/>
  <c r="S861" i="37" s="1"/>
  <c r="G861" i="37"/>
  <c r="C861" i="37"/>
  <c r="L860" i="37"/>
  <c r="S860" i="37" s="1"/>
  <c r="G860" i="37"/>
  <c r="C860" i="37"/>
  <c r="L859" i="37"/>
  <c r="S859" i="37" s="1"/>
  <c r="G859" i="37"/>
  <c r="C859" i="37"/>
  <c r="L858" i="37"/>
  <c r="S858" i="37" s="1"/>
  <c r="G858" i="37"/>
  <c r="C858" i="37"/>
  <c r="L857" i="37"/>
  <c r="S857" i="37" s="1"/>
  <c r="G857" i="37"/>
  <c r="C857" i="37"/>
  <c r="L856" i="37"/>
  <c r="S856" i="37" s="1"/>
  <c r="G856" i="37"/>
  <c r="C856" i="37"/>
  <c r="L855" i="37"/>
  <c r="S855" i="37" s="1"/>
  <c r="G855" i="37"/>
  <c r="C855" i="37"/>
  <c r="L854" i="37"/>
  <c r="S854" i="37" s="1"/>
  <c r="G854" i="37"/>
  <c r="C854" i="37"/>
  <c r="L853" i="37"/>
  <c r="S853" i="37" s="1"/>
  <c r="G853" i="37"/>
  <c r="C853" i="37"/>
  <c r="L852" i="37"/>
  <c r="S852" i="37" s="1"/>
  <c r="G852" i="37"/>
  <c r="C852" i="37"/>
  <c r="L851" i="37"/>
  <c r="S851" i="37" s="1"/>
  <c r="G851" i="37"/>
  <c r="C851" i="37"/>
  <c r="L850" i="37"/>
  <c r="S850" i="37" s="1"/>
  <c r="G850" i="37"/>
  <c r="C850" i="37"/>
  <c r="L849" i="37"/>
  <c r="S849" i="37" s="1"/>
  <c r="G849" i="37"/>
  <c r="C849" i="37"/>
  <c r="L848" i="37"/>
  <c r="S848" i="37" s="1"/>
  <c r="G848" i="37"/>
  <c r="C848" i="37"/>
  <c r="L847" i="37"/>
  <c r="S847" i="37" s="1"/>
  <c r="G847" i="37"/>
  <c r="C847" i="37"/>
  <c r="L846" i="37"/>
  <c r="S846" i="37" s="1"/>
  <c r="G846" i="37"/>
  <c r="C846" i="37"/>
  <c r="L845" i="37"/>
  <c r="S845" i="37" s="1"/>
  <c r="G845" i="37"/>
  <c r="C845" i="37"/>
  <c r="L844" i="37"/>
  <c r="S844" i="37" s="1"/>
  <c r="G844" i="37"/>
  <c r="C844" i="37"/>
  <c r="L843" i="37"/>
  <c r="S843" i="37" s="1"/>
  <c r="G843" i="37"/>
  <c r="C843" i="37"/>
  <c r="L842" i="37"/>
  <c r="S842" i="37" s="1"/>
  <c r="G842" i="37"/>
  <c r="C842" i="37"/>
  <c r="L841" i="37"/>
  <c r="S841" i="37" s="1"/>
  <c r="G841" i="37"/>
  <c r="C841" i="37"/>
  <c r="L840" i="37"/>
  <c r="S840" i="37" s="1"/>
  <c r="G840" i="37"/>
  <c r="C840" i="37"/>
  <c r="L839" i="37"/>
  <c r="S839" i="37" s="1"/>
  <c r="G839" i="37"/>
  <c r="C839" i="37"/>
  <c r="L544" i="37"/>
  <c r="S544" i="37" s="1"/>
  <c r="G544" i="37"/>
  <c r="C544" i="37"/>
  <c r="L543" i="37"/>
  <c r="S543" i="37" s="1"/>
  <c r="G543" i="37"/>
  <c r="C543" i="37"/>
  <c r="L542" i="37"/>
  <c r="S542" i="37" s="1"/>
  <c r="G542" i="37"/>
  <c r="C542" i="37"/>
  <c r="L541" i="37"/>
  <c r="S541" i="37" s="1"/>
  <c r="G541" i="37"/>
  <c r="C541" i="37"/>
  <c r="L540" i="37"/>
  <c r="S540" i="37" s="1"/>
  <c r="G540" i="37"/>
  <c r="C540" i="37"/>
  <c r="L539" i="37"/>
  <c r="S539" i="37" s="1"/>
  <c r="G539" i="37"/>
  <c r="C539" i="37"/>
  <c r="L538" i="37"/>
  <c r="S538" i="37" s="1"/>
  <c r="G538" i="37"/>
  <c r="C538" i="37"/>
  <c r="L537" i="37"/>
  <c r="S537" i="37" s="1"/>
  <c r="G537" i="37"/>
  <c r="C537" i="37"/>
  <c r="L536" i="37"/>
  <c r="S536" i="37" s="1"/>
  <c r="G536" i="37"/>
  <c r="C536" i="37"/>
  <c r="L535" i="37"/>
  <c r="S535" i="37" s="1"/>
  <c r="G535" i="37"/>
  <c r="C535" i="37"/>
  <c r="L534" i="37"/>
  <c r="S534" i="37" s="1"/>
  <c r="G534" i="37"/>
  <c r="C534" i="37"/>
  <c r="L533" i="37"/>
  <c r="S533" i="37" s="1"/>
  <c r="G533" i="37"/>
  <c r="C533" i="37"/>
  <c r="L532" i="37"/>
  <c r="S532" i="37" s="1"/>
  <c r="G532" i="37"/>
  <c r="C532" i="37"/>
  <c r="L531" i="37"/>
  <c r="S531" i="37" s="1"/>
  <c r="G531" i="37"/>
  <c r="C531" i="37"/>
  <c r="L530" i="37"/>
  <c r="S530" i="37" s="1"/>
  <c r="G530" i="37"/>
  <c r="C530" i="37"/>
  <c r="L529" i="37"/>
  <c r="S529" i="37" s="1"/>
  <c r="G529" i="37"/>
  <c r="C529" i="37"/>
  <c r="L528" i="37"/>
  <c r="S528" i="37" s="1"/>
  <c r="G528" i="37"/>
  <c r="C528" i="37"/>
  <c r="L527" i="37"/>
  <c r="S527" i="37" s="1"/>
  <c r="G527" i="37"/>
  <c r="C527" i="37"/>
  <c r="L526" i="37"/>
  <c r="S526" i="37" s="1"/>
  <c r="G526" i="37"/>
  <c r="C526" i="37"/>
  <c r="L525" i="37"/>
  <c r="S525" i="37" s="1"/>
  <c r="G525" i="37"/>
  <c r="C525" i="37"/>
  <c r="L524" i="37"/>
  <c r="S524" i="37" s="1"/>
  <c r="G524" i="37"/>
  <c r="C524" i="37"/>
  <c r="L523" i="37"/>
  <c r="S523" i="37" s="1"/>
  <c r="G523" i="37"/>
  <c r="C523" i="37"/>
  <c r="L522" i="37"/>
  <c r="S522" i="37" s="1"/>
  <c r="G522" i="37"/>
  <c r="C522" i="37"/>
  <c r="L521" i="37"/>
  <c r="S521" i="37" s="1"/>
  <c r="G521" i="37"/>
  <c r="C521" i="37"/>
  <c r="L520" i="37"/>
  <c r="S520" i="37" s="1"/>
  <c r="G520" i="37"/>
  <c r="C520" i="37"/>
  <c r="L519" i="37"/>
  <c r="S519" i="37" s="1"/>
  <c r="G519" i="37"/>
  <c r="C519" i="37"/>
  <c r="L518" i="37"/>
  <c r="S518" i="37" s="1"/>
  <c r="G518" i="37"/>
  <c r="C518" i="37"/>
  <c r="L517" i="37"/>
  <c r="S517" i="37" s="1"/>
  <c r="G517" i="37"/>
  <c r="C517" i="37"/>
  <c r="L516" i="37"/>
  <c r="S516" i="37" s="1"/>
  <c r="G516" i="37"/>
  <c r="C516" i="37"/>
  <c r="L515" i="37"/>
  <c r="S515" i="37" s="1"/>
  <c r="G515" i="37"/>
  <c r="C515" i="37"/>
  <c r="L514" i="37"/>
  <c r="S514" i="37" s="1"/>
  <c r="G514" i="37"/>
  <c r="C514" i="37"/>
  <c r="L513" i="37"/>
  <c r="S513" i="37" s="1"/>
  <c r="G513" i="37"/>
  <c r="C513" i="37"/>
  <c r="L512" i="37"/>
  <c r="S512" i="37" s="1"/>
  <c r="G512" i="37"/>
  <c r="C512" i="37"/>
  <c r="L511" i="37"/>
  <c r="S511" i="37" s="1"/>
  <c r="G511" i="37"/>
  <c r="C511" i="37"/>
  <c r="L510" i="37"/>
  <c r="S510" i="37" s="1"/>
  <c r="G510" i="37"/>
  <c r="C510" i="37"/>
  <c r="L509" i="37"/>
  <c r="S509" i="37" s="1"/>
  <c r="G509" i="37"/>
  <c r="C509" i="37"/>
  <c r="L508" i="37"/>
  <c r="S508" i="37" s="1"/>
  <c r="G508" i="37"/>
  <c r="C508" i="37"/>
  <c r="L507" i="37"/>
  <c r="S507" i="37" s="1"/>
  <c r="G507" i="37"/>
  <c r="C507" i="37"/>
  <c r="L506" i="37"/>
  <c r="S506" i="37" s="1"/>
  <c r="G506" i="37"/>
  <c r="C506" i="37"/>
  <c r="L505" i="37"/>
  <c r="S505" i="37" s="1"/>
  <c r="G505" i="37"/>
  <c r="C505" i="37"/>
  <c r="L504" i="37"/>
  <c r="S504" i="37" s="1"/>
  <c r="G504" i="37"/>
  <c r="C504" i="37"/>
  <c r="L503" i="37"/>
  <c r="S503" i="37" s="1"/>
  <c r="G503" i="37"/>
  <c r="C503" i="37"/>
  <c r="L502" i="37"/>
  <c r="S502" i="37" s="1"/>
  <c r="G502" i="37"/>
  <c r="C502" i="37"/>
  <c r="L501" i="37"/>
  <c r="S501" i="37" s="1"/>
  <c r="G501" i="37"/>
  <c r="C501" i="37"/>
  <c r="L500" i="37"/>
  <c r="S500" i="37" s="1"/>
  <c r="G500" i="37"/>
  <c r="C500" i="37"/>
  <c r="L499" i="37"/>
  <c r="S499" i="37" s="1"/>
  <c r="G499" i="37"/>
  <c r="C499" i="37"/>
  <c r="L498" i="37"/>
  <c r="S498" i="37" s="1"/>
  <c r="G498" i="37"/>
  <c r="C498" i="37"/>
  <c r="L497" i="37"/>
  <c r="S497" i="37" s="1"/>
  <c r="G497" i="37"/>
  <c r="C497" i="37"/>
  <c r="L496" i="37"/>
  <c r="S496" i="37" s="1"/>
  <c r="G496" i="37"/>
  <c r="C496" i="37"/>
  <c r="L495" i="37"/>
  <c r="S495" i="37" s="1"/>
  <c r="G495" i="37"/>
  <c r="C495" i="37"/>
  <c r="L494" i="37"/>
  <c r="S494" i="37" s="1"/>
  <c r="G494" i="37"/>
  <c r="C494" i="37"/>
  <c r="L493" i="37"/>
  <c r="S493" i="37" s="1"/>
  <c r="G493" i="37"/>
  <c r="C493" i="37"/>
  <c r="L492" i="37"/>
  <c r="S492" i="37" s="1"/>
  <c r="G492" i="37"/>
  <c r="C492" i="37"/>
  <c r="L491" i="37"/>
  <c r="S491" i="37" s="1"/>
  <c r="G491" i="37"/>
  <c r="C491" i="37"/>
  <c r="L490" i="37"/>
  <c r="S490" i="37" s="1"/>
  <c r="G490" i="37"/>
  <c r="C490" i="37"/>
  <c r="L489" i="37"/>
  <c r="S489" i="37" s="1"/>
  <c r="G489" i="37"/>
  <c r="C489" i="37"/>
  <c r="L488" i="37"/>
  <c r="S488" i="37" s="1"/>
  <c r="G488" i="37"/>
  <c r="C488" i="37"/>
  <c r="L487" i="37"/>
  <c r="S487" i="37" s="1"/>
  <c r="G487" i="37"/>
  <c r="C487" i="37"/>
  <c r="L486" i="37"/>
  <c r="S486" i="37" s="1"/>
  <c r="G486" i="37"/>
  <c r="C486" i="37"/>
  <c r="L485" i="37"/>
  <c r="S485" i="37" s="1"/>
  <c r="G485" i="37"/>
  <c r="C485" i="37"/>
  <c r="L484" i="37"/>
  <c r="S484" i="37" s="1"/>
  <c r="G484" i="37"/>
  <c r="C484" i="37"/>
  <c r="L483" i="37"/>
  <c r="S483" i="37" s="1"/>
  <c r="G483" i="37"/>
  <c r="C483" i="37"/>
  <c r="L482" i="37"/>
  <c r="S482" i="37" s="1"/>
  <c r="G482" i="37"/>
  <c r="C482" i="37"/>
  <c r="L481" i="37"/>
  <c r="S481" i="37" s="1"/>
  <c r="G481" i="37"/>
  <c r="C481" i="37"/>
  <c r="L480" i="37"/>
  <c r="S480" i="37" s="1"/>
  <c r="G480" i="37"/>
  <c r="C480" i="37"/>
  <c r="L479" i="37"/>
  <c r="S479" i="37" s="1"/>
  <c r="G479" i="37"/>
  <c r="C479" i="37"/>
  <c r="L478" i="37"/>
  <c r="S478" i="37" s="1"/>
  <c r="G478" i="37"/>
  <c r="C478" i="37"/>
  <c r="L477" i="37"/>
  <c r="S477" i="37" s="1"/>
  <c r="G477" i="37"/>
  <c r="C477" i="37"/>
  <c r="L476" i="37"/>
  <c r="S476" i="37" s="1"/>
  <c r="G476" i="37"/>
  <c r="C476" i="37"/>
  <c r="L475" i="37"/>
  <c r="S475" i="37" s="1"/>
  <c r="G475" i="37"/>
  <c r="C475" i="37"/>
  <c r="L474" i="37"/>
  <c r="S474" i="37" s="1"/>
  <c r="G474" i="37"/>
  <c r="C474" i="37"/>
  <c r="L473" i="37"/>
  <c r="S473" i="37" s="1"/>
  <c r="G473" i="37"/>
  <c r="C473" i="37"/>
  <c r="L472" i="37"/>
  <c r="S472" i="37" s="1"/>
  <c r="G472" i="37"/>
  <c r="C472" i="37"/>
  <c r="L471" i="37"/>
  <c r="S471" i="37" s="1"/>
  <c r="G471" i="37"/>
  <c r="C471" i="37"/>
  <c r="L470" i="37"/>
  <c r="S470" i="37" s="1"/>
  <c r="G470" i="37"/>
  <c r="C470" i="37"/>
  <c r="L469" i="37"/>
  <c r="S469" i="37" s="1"/>
  <c r="G469" i="37"/>
  <c r="C469" i="37"/>
  <c r="L468" i="37"/>
  <c r="S468" i="37" s="1"/>
  <c r="G468" i="37"/>
  <c r="C468" i="37"/>
  <c r="L467" i="37"/>
  <c r="S467" i="37" s="1"/>
  <c r="G467" i="37"/>
  <c r="C467" i="37"/>
  <c r="L466" i="37"/>
  <c r="S466" i="37" s="1"/>
  <c r="G466" i="37"/>
  <c r="C466" i="37"/>
  <c r="L465" i="37"/>
  <c r="S465" i="37" s="1"/>
  <c r="G465" i="37"/>
  <c r="C465" i="37"/>
  <c r="L464" i="37"/>
  <c r="S464" i="37" s="1"/>
  <c r="G464" i="37"/>
  <c r="C464" i="37"/>
  <c r="L463" i="37"/>
  <c r="S463" i="37" s="1"/>
  <c r="G463" i="37"/>
  <c r="C463" i="37"/>
  <c r="L462" i="37"/>
  <c r="S462" i="37" s="1"/>
  <c r="G462" i="37"/>
  <c r="C462" i="37"/>
  <c r="L461" i="37"/>
  <c r="S461" i="37" s="1"/>
  <c r="G461" i="37"/>
  <c r="C461" i="37"/>
  <c r="L460" i="37"/>
  <c r="S460" i="37" s="1"/>
  <c r="G460" i="37"/>
  <c r="C460" i="37"/>
  <c r="L459" i="37"/>
  <c r="S459" i="37" s="1"/>
  <c r="G459" i="37"/>
  <c r="C459" i="37"/>
  <c r="L458" i="37"/>
  <c r="S458" i="37" s="1"/>
  <c r="G458" i="37"/>
  <c r="C458" i="37"/>
  <c r="L457" i="37"/>
  <c r="S457" i="37" s="1"/>
  <c r="G457" i="37"/>
  <c r="C457" i="37"/>
  <c r="L456" i="37"/>
  <c r="S456" i="37" s="1"/>
  <c r="G456" i="37"/>
  <c r="C456" i="37"/>
  <c r="L455" i="37"/>
  <c r="S455" i="37" s="1"/>
  <c r="G455" i="37"/>
  <c r="C455" i="37"/>
  <c r="L454" i="37"/>
  <c r="S454" i="37" s="1"/>
  <c r="G454" i="37"/>
  <c r="C454" i="37"/>
  <c r="L453" i="37"/>
  <c r="S453" i="37" s="1"/>
  <c r="G453" i="37"/>
  <c r="C453" i="37"/>
  <c r="L452" i="37"/>
  <c r="S452" i="37" s="1"/>
  <c r="G452" i="37"/>
  <c r="C452" i="37"/>
  <c r="L451" i="37"/>
  <c r="S451" i="37" s="1"/>
  <c r="G451" i="37"/>
  <c r="C451" i="37"/>
  <c r="L450" i="37"/>
  <c r="S450" i="37" s="1"/>
  <c r="G450" i="37"/>
  <c r="C450" i="37"/>
  <c r="L449" i="37"/>
  <c r="S449" i="37" s="1"/>
  <c r="G449" i="37"/>
  <c r="C449" i="37"/>
  <c r="L448" i="37"/>
  <c r="S448" i="37" s="1"/>
  <c r="G448" i="37"/>
  <c r="C448" i="37"/>
  <c r="L447" i="37"/>
  <c r="S447" i="37" s="1"/>
  <c r="G447" i="37"/>
  <c r="C447" i="37"/>
  <c r="L152" i="37"/>
  <c r="S152" i="37" s="1"/>
  <c r="G152" i="37"/>
  <c r="C152" i="37"/>
  <c r="L151" i="37"/>
  <c r="S151" i="37" s="1"/>
  <c r="G151" i="37"/>
  <c r="C151" i="37"/>
  <c r="L150" i="37"/>
  <c r="S150" i="37" s="1"/>
  <c r="G150" i="37"/>
  <c r="C150" i="37"/>
  <c r="L149" i="37"/>
  <c r="S149" i="37" s="1"/>
  <c r="G149" i="37"/>
  <c r="C149" i="37"/>
  <c r="L148" i="37"/>
  <c r="S148" i="37" s="1"/>
  <c r="G148" i="37"/>
  <c r="C148" i="37"/>
  <c r="L147" i="37"/>
  <c r="S147" i="37" s="1"/>
  <c r="G147" i="37"/>
  <c r="C147" i="37"/>
  <c r="L146" i="37"/>
  <c r="S146" i="37" s="1"/>
  <c r="G146" i="37"/>
  <c r="C146" i="37"/>
  <c r="L145" i="37"/>
  <c r="S145" i="37" s="1"/>
  <c r="G145" i="37"/>
  <c r="C145" i="37"/>
  <c r="L144" i="37"/>
  <c r="S144" i="37" s="1"/>
  <c r="G144" i="37"/>
  <c r="C144" i="37"/>
  <c r="L143" i="37"/>
  <c r="S143" i="37" s="1"/>
  <c r="G143" i="37"/>
  <c r="C143" i="37"/>
  <c r="L142" i="37"/>
  <c r="S142" i="37" s="1"/>
  <c r="G142" i="37"/>
  <c r="C142" i="37"/>
  <c r="L141" i="37"/>
  <c r="S141" i="37" s="1"/>
  <c r="G141" i="37"/>
  <c r="C141" i="37"/>
  <c r="L140" i="37"/>
  <c r="S140" i="37" s="1"/>
  <c r="G140" i="37"/>
  <c r="C140" i="37"/>
  <c r="L139" i="37"/>
  <c r="S139" i="37" s="1"/>
  <c r="G139" i="37"/>
  <c r="C139" i="37"/>
  <c r="L138" i="37"/>
  <c r="S138" i="37" s="1"/>
  <c r="G138" i="37"/>
  <c r="C138" i="37"/>
  <c r="L137" i="37"/>
  <c r="S137" i="37" s="1"/>
  <c r="G137" i="37"/>
  <c r="C137" i="37"/>
  <c r="L136" i="37"/>
  <c r="S136" i="37" s="1"/>
  <c r="G136" i="37"/>
  <c r="C136" i="37"/>
  <c r="L135" i="37"/>
  <c r="S135" i="37" s="1"/>
  <c r="G135" i="37"/>
  <c r="C135" i="37"/>
  <c r="L134" i="37"/>
  <c r="S134" i="37" s="1"/>
  <c r="G134" i="37"/>
  <c r="C134" i="37"/>
  <c r="L133" i="37"/>
  <c r="S133" i="37" s="1"/>
  <c r="G133" i="37"/>
  <c r="C133" i="37"/>
  <c r="L132" i="37"/>
  <c r="S132" i="37" s="1"/>
  <c r="G132" i="37"/>
  <c r="C132" i="37"/>
  <c r="L131" i="37"/>
  <c r="S131" i="37" s="1"/>
  <c r="G131" i="37"/>
  <c r="C131" i="37"/>
  <c r="L130" i="37"/>
  <c r="S130" i="37" s="1"/>
  <c r="G130" i="37"/>
  <c r="C130" i="37"/>
  <c r="L129" i="37"/>
  <c r="S129" i="37" s="1"/>
  <c r="G129" i="37"/>
  <c r="C129" i="37"/>
  <c r="L128" i="37"/>
  <c r="S128" i="37" s="1"/>
  <c r="G128" i="37"/>
  <c r="C128" i="37"/>
  <c r="L127" i="37"/>
  <c r="S127" i="37" s="1"/>
  <c r="G127" i="37"/>
  <c r="C127" i="37"/>
  <c r="L126" i="37"/>
  <c r="S126" i="37" s="1"/>
  <c r="G126" i="37"/>
  <c r="C126" i="37"/>
  <c r="L125" i="37"/>
  <c r="S125" i="37" s="1"/>
  <c r="G125" i="37"/>
  <c r="C125" i="37"/>
  <c r="L124" i="37"/>
  <c r="S124" i="37" s="1"/>
  <c r="G124" i="37"/>
  <c r="C124" i="37"/>
  <c r="L123" i="37"/>
  <c r="S123" i="37" s="1"/>
  <c r="G123" i="37"/>
  <c r="C123" i="37"/>
  <c r="L122" i="37"/>
  <c r="S122" i="37" s="1"/>
  <c r="G122" i="37"/>
  <c r="C122" i="37"/>
  <c r="L121" i="37"/>
  <c r="S121" i="37" s="1"/>
  <c r="G121" i="37"/>
  <c r="C121" i="37"/>
  <c r="L120" i="37"/>
  <c r="S120" i="37" s="1"/>
  <c r="G120" i="37"/>
  <c r="C120" i="37"/>
  <c r="L119" i="37"/>
  <c r="S119" i="37" s="1"/>
  <c r="G119" i="37"/>
  <c r="C119" i="37"/>
  <c r="L118" i="37"/>
  <c r="S118" i="37" s="1"/>
  <c r="G118" i="37"/>
  <c r="C118" i="37"/>
  <c r="L117" i="37"/>
  <c r="S117" i="37" s="1"/>
  <c r="G117" i="37"/>
  <c r="C117" i="37"/>
  <c r="L116" i="37"/>
  <c r="S116" i="37" s="1"/>
  <c r="G116" i="37"/>
  <c r="C116" i="37"/>
  <c r="L115" i="37"/>
  <c r="S115" i="37" s="1"/>
  <c r="G115" i="37"/>
  <c r="C115" i="37"/>
  <c r="L114" i="37"/>
  <c r="S114" i="37" s="1"/>
  <c r="G114" i="37"/>
  <c r="C114" i="37"/>
  <c r="L113" i="37"/>
  <c r="S113" i="37" s="1"/>
  <c r="G113" i="37"/>
  <c r="C113" i="37"/>
  <c r="L112" i="37"/>
  <c r="S112" i="37" s="1"/>
  <c r="G112" i="37"/>
  <c r="C112" i="37"/>
  <c r="L111" i="37"/>
  <c r="S111" i="37" s="1"/>
  <c r="G111" i="37"/>
  <c r="C111" i="37"/>
  <c r="L110" i="37"/>
  <c r="S110" i="37" s="1"/>
  <c r="G110" i="37"/>
  <c r="C110" i="37"/>
  <c r="L109" i="37"/>
  <c r="S109" i="37" s="1"/>
  <c r="G109" i="37"/>
  <c r="C109" i="37"/>
  <c r="L108" i="37"/>
  <c r="S108" i="37" s="1"/>
  <c r="G108" i="37"/>
  <c r="C108" i="37"/>
  <c r="L107" i="37"/>
  <c r="S107" i="37" s="1"/>
  <c r="G107" i="37"/>
  <c r="C107" i="37"/>
  <c r="L106" i="37"/>
  <c r="S106" i="37" s="1"/>
  <c r="G106" i="37"/>
  <c r="C106" i="37"/>
  <c r="L105" i="37"/>
  <c r="S105" i="37" s="1"/>
  <c r="G105" i="37"/>
  <c r="C105" i="37"/>
  <c r="L104" i="37"/>
  <c r="S104" i="37" s="1"/>
  <c r="G104" i="37"/>
  <c r="C104" i="37"/>
  <c r="L103" i="37"/>
  <c r="S103" i="37" s="1"/>
  <c r="G103" i="37"/>
  <c r="C103" i="37"/>
  <c r="L102" i="37"/>
  <c r="S102" i="37" s="1"/>
  <c r="G102" i="37"/>
  <c r="C102" i="37"/>
  <c r="L101" i="37"/>
  <c r="S101" i="37" s="1"/>
  <c r="G101" i="37"/>
  <c r="C101" i="37"/>
  <c r="L100" i="37"/>
  <c r="S100" i="37" s="1"/>
  <c r="G100" i="37"/>
  <c r="C100" i="37"/>
  <c r="L99" i="37"/>
  <c r="S99" i="37" s="1"/>
  <c r="G99" i="37"/>
  <c r="C99" i="37"/>
  <c r="L98" i="37"/>
  <c r="S98" i="37" s="1"/>
  <c r="G98" i="37"/>
  <c r="C98" i="37"/>
  <c r="L97" i="37"/>
  <c r="S97" i="37" s="1"/>
  <c r="G97" i="37"/>
  <c r="C97" i="37"/>
  <c r="L96" i="37"/>
  <c r="S96" i="37" s="1"/>
  <c r="G96" i="37"/>
  <c r="C96" i="37"/>
  <c r="L95" i="37"/>
  <c r="S95" i="37" s="1"/>
  <c r="G95" i="37"/>
  <c r="C95" i="37"/>
  <c r="L94" i="37"/>
  <c r="S94" i="37" s="1"/>
  <c r="G94" i="37"/>
  <c r="C94" i="37"/>
  <c r="L93" i="37"/>
  <c r="S93" i="37" s="1"/>
  <c r="G93" i="37"/>
  <c r="C93" i="37"/>
  <c r="L92" i="37"/>
  <c r="S92" i="37" s="1"/>
  <c r="G92" i="37"/>
  <c r="C92" i="37"/>
  <c r="L91" i="37"/>
  <c r="S91" i="37" s="1"/>
  <c r="G91" i="37"/>
  <c r="C91" i="37"/>
  <c r="L90" i="37"/>
  <c r="S90" i="37" s="1"/>
  <c r="G90" i="37"/>
  <c r="C90" i="37"/>
  <c r="L89" i="37"/>
  <c r="S89" i="37" s="1"/>
  <c r="G89" i="37"/>
  <c r="C89" i="37"/>
  <c r="L88" i="37"/>
  <c r="S88" i="37" s="1"/>
  <c r="G88" i="37"/>
  <c r="C88" i="37"/>
  <c r="L87" i="37"/>
  <c r="S87" i="37" s="1"/>
  <c r="G87" i="37"/>
  <c r="C87" i="37"/>
  <c r="L86" i="37"/>
  <c r="S86" i="37" s="1"/>
  <c r="G86" i="37"/>
  <c r="C86" i="37"/>
  <c r="L85" i="37"/>
  <c r="S85" i="37" s="1"/>
  <c r="G85" i="37"/>
  <c r="C85" i="37"/>
  <c r="L84" i="37"/>
  <c r="S84" i="37" s="1"/>
  <c r="G84" i="37"/>
  <c r="C84" i="37"/>
  <c r="L83" i="37"/>
  <c r="S83" i="37" s="1"/>
  <c r="G83" i="37"/>
  <c r="C83" i="37"/>
  <c r="L82" i="37"/>
  <c r="S82" i="37" s="1"/>
  <c r="G82" i="37"/>
  <c r="C82" i="37"/>
  <c r="L81" i="37"/>
  <c r="S81" i="37" s="1"/>
  <c r="G81" i="37"/>
  <c r="C81" i="37"/>
  <c r="L80" i="37"/>
  <c r="S80" i="37" s="1"/>
  <c r="G80" i="37"/>
  <c r="C80" i="37"/>
  <c r="L79" i="37"/>
  <c r="S79" i="37" s="1"/>
  <c r="G79" i="37"/>
  <c r="C79" i="37"/>
  <c r="L78" i="37"/>
  <c r="S78" i="37" s="1"/>
  <c r="G78" i="37"/>
  <c r="C78" i="37"/>
  <c r="L77" i="37"/>
  <c r="S77" i="37" s="1"/>
  <c r="G77" i="37"/>
  <c r="C77" i="37"/>
  <c r="L76" i="37"/>
  <c r="S76" i="37" s="1"/>
  <c r="G76" i="37"/>
  <c r="C76" i="37"/>
  <c r="L75" i="37"/>
  <c r="S75" i="37" s="1"/>
  <c r="G75" i="37"/>
  <c r="C75" i="37"/>
  <c r="L74" i="37"/>
  <c r="S74" i="37" s="1"/>
  <c r="G74" i="37"/>
  <c r="C74" i="37"/>
  <c r="L73" i="37"/>
  <c r="S73" i="37" s="1"/>
  <c r="G73" i="37"/>
  <c r="C73" i="37"/>
  <c r="L72" i="37"/>
  <c r="S72" i="37" s="1"/>
  <c r="G72" i="37"/>
  <c r="C72" i="37"/>
  <c r="L71" i="37"/>
  <c r="S71" i="37" s="1"/>
  <c r="G71" i="37"/>
  <c r="C71" i="37"/>
  <c r="L70" i="37"/>
  <c r="S70" i="37" s="1"/>
  <c r="G70" i="37"/>
  <c r="C70" i="37"/>
  <c r="L69" i="37"/>
  <c r="S69" i="37" s="1"/>
  <c r="G69" i="37"/>
  <c r="C69" i="37"/>
  <c r="L68" i="37"/>
  <c r="S68" i="37" s="1"/>
  <c r="G68" i="37"/>
  <c r="C68" i="37"/>
  <c r="L67" i="37"/>
  <c r="S67" i="37" s="1"/>
  <c r="G67" i="37"/>
  <c r="C67" i="37"/>
  <c r="L66" i="37"/>
  <c r="S66" i="37" s="1"/>
  <c r="G66" i="37"/>
  <c r="C66" i="37"/>
  <c r="L65" i="37"/>
  <c r="S65" i="37" s="1"/>
  <c r="G65" i="37"/>
  <c r="C65" i="37"/>
  <c r="L64" i="37"/>
  <c r="S64" i="37" s="1"/>
  <c r="G64" i="37"/>
  <c r="C64" i="37"/>
  <c r="L63" i="37"/>
  <c r="S63" i="37" s="1"/>
  <c r="G63" i="37"/>
  <c r="C63" i="37"/>
  <c r="L62" i="37"/>
  <c r="S62" i="37" s="1"/>
  <c r="G62" i="37"/>
  <c r="C62" i="37"/>
  <c r="L61" i="37"/>
  <c r="S61" i="37" s="1"/>
  <c r="G61" i="37"/>
  <c r="C61" i="37"/>
  <c r="L60" i="37"/>
  <c r="S60" i="37" s="1"/>
  <c r="G60" i="37"/>
  <c r="C60" i="37"/>
  <c r="L59" i="37"/>
  <c r="S59" i="37" s="1"/>
  <c r="G59" i="37"/>
  <c r="C59" i="37"/>
  <c r="L58" i="37"/>
  <c r="S58" i="37" s="1"/>
  <c r="G58" i="37"/>
  <c r="C58" i="37"/>
  <c r="L57" i="37"/>
  <c r="S57" i="37" s="1"/>
  <c r="G57" i="37"/>
  <c r="C57" i="37"/>
  <c r="L56" i="37"/>
  <c r="S56" i="37" s="1"/>
  <c r="G56" i="37"/>
  <c r="C56" i="37"/>
  <c r="L55" i="37"/>
  <c r="S55" i="37" s="1"/>
  <c r="G55" i="37"/>
  <c r="C55" i="37"/>
  <c r="AS24" i="44"/>
  <c r="V976" i="38" l="1"/>
  <c r="V975" i="38"/>
  <c r="V974" i="38"/>
  <c r="V973" i="38"/>
  <c r="V972" i="38"/>
  <c r="V971" i="38"/>
  <c r="V970" i="38"/>
  <c r="V969" i="38"/>
  <c r="V968" i="38"/>
  <c r="V967" i="38"/>
  <c r="V966" i="38"/>
  <c r="V965" i="38"/>
  <c r="V964" i="38"/>
  <c r="V963" i="38"/>
  <c r="V962" i="38"/>
  <c r="V961" i="38"/>
  <c r="V960" i="38"/>
  <c r="V959" i="38"/>
  <c r="V958" i="38"/>
  <c r="V957" i="38"/>
  <c r="V956" i="38"/>
  <c r="V955" i="38"/>
  <c r="V954" i="38"/>
  <c r="V953" i="38"/>
  <c r="V952" i="38"/>
  <c r="V951" i="38"/>
  <c r="V950" i="38"/>
  <c r="V949" i="38"/>
  <c r="V948" i="38"/>
  <c r="V947" i="38"/>
  <c r="V946" i="38"/>
  <c r="V945" i="38"/>
  <c r="V944" i="38"/>
  <c r="V943" i="38"/>
  <c r="V942" i="38"/>
  <c r="V941" i="38"/>
  <c r="V940" i="38"/>
  <c r="V939" i="38"/>
  <c r="V938" i="38"/>
  <c r="V937" i="38"/>
  <c r="V936" i="38"/>
  <c r="V935" i="38"/>
  <c r="V934" i="38"/>
  <c r="V933" i="38"/>
  <c r="V932" i="38"/>
  <c r="V931" i="38"/>
  <c r="V930" i="38"/>
  <c r="V929" i="38"/>
  <c r="V928" i="38"/>
  <c r="V927" i="38"/>
  <c r="V926" i="38"/>
  <c r="V925" i="38"/>
  <c r="V924" i="38"/>
  <c r="V923" i="38"/>
  <c r="V922" i="38"/>
  <c r="V921" i="38"/>
  <c r="V920" i="38"/>
  <c r="V919" i="38"/>
  <c r="V918" i="38"/>
  <c r="V917" i="38"/>
  <c r="V916" i="38"/>
  <c r="V915" i="38"/>
  <c r="V914" i="38"/>
  <c r="V913" i="38"/>
  <c r="V912" i="38"/>
  <c r="V911" i="38"/>
  <c r="V910" i="38"/>
  <c r="V909" i="38"/>
  <c r="V908" i="38"/>
  <c r="V907" i="38"/>
  <c r="V906" i="38"/>
  <c r="V905" i="38"/>
  <c r="V904" i="38"/>
  <c r="V903" i="38"/>
  <c r="V902" i="38"/>
  <c r="V901" i="38"/>
  <c r="V900" i="38"/>
  <c r="V899" i="38"/>
  <c r="V898" i="38"/>
  <c r="V897" i="38"/>
  <c r="V896" i="38"/>
  <c r="V895" i="38"/>
  <c r="V894" i="38"/>
  <c r="V893" i="38"/>
  <c r="V892" i="38"/>
  <c r="V891" i="38"/>
  <c r="V890" i="38"/>
  <c r="V889" i="38"/>
  <c r="V888" i="38"/>
  <c r="V887" i="38"/>
  <c r="V886" i="38"/>
  <c r="V885" i="38"/>
  <c r="V884" i="38"/>
  <c r="V883" i="38"/>
  <c r="V882" i="38"/>
  <c r="V881" i="38"/>
  <c r="V880" i="38"/>
  <c r="V879" i="38"/>
  <c r="V878" i="38"/>
  <c r="V877" i="38"/>
  <c r="V876" i="38"/>
  <c r="V875" i="38"/>
  <c r="V874" i="38"/>
  <c r="V873" i="38"/>
  <c r="V872" i="38"/>
  <c r="V871" i="38"/>
  <c r="V870" i="38"/>
  <c r="V869" i="38"/>
  <c r="V868" i="38"/>
  <c r="V867" i="38"/>
  <c r="V866" i="38"/>
  <c r="V865" i="38"/>
  <c r="V864" i="38"/>
  <c r="V863" i="38"/>
  <c r="V862" i="38"/>
  <c r="V861" i="38"/>
  <c r="V860" i="38"/>
  <c r="V859" i="38"/>
  <c r="V858" i="38"/>
  <c r="V857" i="38"/>
  <c r="V856" i="38"/>
  <c r="V855" i="38"/>
  <c r="V854" i="38"/>
  <c r="V853" i="38"/>
  <c r="V852" i="38"/>
  <c r="V851" i="38"/>
  <c r="V850" i="38"/>
  <c r="V849" i="38"/>
  <c r="V848" i="38"/>
  <c r="V847" i="38"/>
  <c r="V846" i="38"/>
  <c r="V845" i="38"/>
  <c r="V844" i="38"/>
  <c r="V843" i="38"/>
  <c r="V842" i="38"/>
  <c r="V841" i="38"/>
  <c r="V840" i="38"/>
  <c r="V839" i="38"/>
  <c r="V838" i="38"/>
  <c r="V837" i="38"/>
  <c r="V836" i="38"/>
  <c r="V835" i="38"/>
  <c r="V834" i="38"/>
  <c r="V833" i="38"/>
  <c r="V832" i="38"/>
  <c r="V831" i="38"/>
  <c r="V830" i="38"/>
  <c r="V829" i="38"/>
  <c r="V828" i="38"/>
  <c r="V827" i="38"/>
  <c r="V826" i="38"/>
  <c r="V825" i="38"/>
  <c r="V824" i="38"/>
  <c r="V823" i="38"/>
  <c r="V822" i="38"/>
  <c r="V821" i="38"/>
  <c r="V820" i="38"/>
  <c r="V819" i="38"/>
  <c r="V818" i="38"/>
  <c r="V817" i="38"/>
  <c r="V816" i="38"/>
  <c r="V815" i="38"/>
  <c r="V814" i="38"/>
  <c r="V813" i="38"/>
  <c r="V812" i="38"/>
  <c r="V811" i="38"/>
  <c r="V810" i="38"/>
  <c r="V809" i="38"/>
  <c r="V808" i="38"/>
  <c r="V807" i="38"/>
  <c r="V806" i="38"/>
  <c r="V805" i="38"/>
  <c r="V804" i="38"/>
  <c r="V803" i="38"/>
  <c r="V802" i="38"/>
  <c r="V801" i="38"/>
  <c r="V800" i="38"/>
  <c r="V799" i="38"/>
  <c r="V798" i="38"/>
  <c r="V797" i="38"/>
  <c r="V796" i="38"/>
  <c r="V795" i="38"/>
  <c r="V794" i="38"/>
  <c r="V793" i="38"/>
  <c r="V792" i="38"/>
  <c r="V791" i="38"/>
  <c r="V790" i="38"/>
  <c r="V789" i="38"/>
  <c r="V788" i="38"/>
  <c r="V787" i="38"/>
  <c r="V786" i="38"/>
  <c r="V785" i="38"/>
  <c r="V784" i="38"/>
  <c r="V783" i="38"/>
  <c r="V782" i="38"/>
  <c r="V781" i="38"/>
  <c r="V780" i="38"/>
  <c r="V779" i="38"/>
  <c r="V778" i="38"/>
  <c r="V777" i="38"/>
  <c r="V776" i="38"/>
  <c r="V775" i="38"/>
  <c r="V774" i="38"/>
  <c r="V773" i="38"/>
  <c r="V772" i="38"/>
  <c r="V771" i="38"/>
  <c r="V770" i="38"/>
  <c r="V769" i="38"/>
  <c r="V768" i="38"/>
  <c r="V767" i="38"/>
  <c r="V766" i="38"/>
  <c r="V765" i="38"/>
  <c r="V764" i="38"/>
  <c r="V763" i="38"/>
  <c r="V762" i="38"/>
  <c r="V761" i="38"/>
  <c r="V760" i="38"/>
  <c r="V759" i="38"/>
  <c r="V758" i="38"/>
  <c r="V757" i="38"/>
  <c r="V756" i="38"/>
  <c r="V755" i="38"/>
  <c r="V754" i="38"/>
  <c r="V753" i="38"/>
  <c r="V752" i="38"/>
  <c r="V751" i="38"/>
  <c r="V750" i="38"/>
  <c r="V749" i="38"/>
  <c r="V748" i="38"/>
  <c r="V747" i="38"/>
  <c r="V746" i="38"/>
  <c r="V745" i="38"/>
  <c r="V744" i="38"/>
  <c r="V743" i="38"/>
  <c r="V742" i="38"/>
  <c r="V741" i="38"/>
  <c r="V740" i="38"/>
  <c r="V739" i="38"/>
  <c r="V738" i="38"/>
  <c r="V737" i="38"/>
  <c r="V736" i="38"/>
  <c r="V735" i="38"/>
  <c r="V734" i="38"/>
  <c r="V733" i="38"/>
  <c r="V732" i="38"/>
  <c r="V731" i="38"/>
  <c r="V730" i="38"/>
  <c r="V729" i="38"/>
  <c r="V728" i="38"/>
  <c r="V727" i="38"/>
  <c r="V726" i="38"/>
  <c r="V725" i="38"/>
  <c r="V724" i="38"/>
  <c r="V723" i="38"/>
  <c r="V722" i="38"/>
  <c r="V721" i="38"/>
  <c r="V720" i="38"/>
  <c r="V719" i="38"/>
  <c r="V718" i="38"/>
  <c r="V717" i="38"/>
  <c r="V716" i="38"/>
  <c r="V715" i="38"/>
  <c r="V714" i="38"/>
  <c r="V713" i="38"/>
  <c r="V712" i="38"/>
  <c r="V711" i="38"/>
  <c r="V710" i="38"/>
  <c r="V709" i="38"/>
  <c r="V708" i="38"/>
  <c r="V707" i="38"/>
  <c r="V706" i="38"/>
  <c r="V705" i="38"/>
  <c r="V704" i="38"/>
  <c r="V703" i="38"/>
  <c r="V702" i="38"/>
  <c r="V701" i="38"/>
  <c r="V700" i="38"/>
  <c r="V699" i="38"/>
  <c r="V698" i="38"/>
  <c r="V697" i="38"/>
  <c r="V696" i="38"/>
  <c r="V695" i="38"/>
  <c r="V694" i="38"/>
  <c r="V693" i="38"/>
  <c r="V692" i="38"/>
  <c r="V691" i="38"/>
  <c r="V690" i="38"/>
  <c r="V689" i="38"/>
  <c r="V688" i="38"/>
  <c r="V687" i="38"/>
  <c r="V686" i="38"/>
  <c r="V685" i="38"/>
  <c r="V684" i="38"/>
  <c r="V683" i="38"/>
  <c r="V682" i="38"/>
  <c r="V681" i="38"/>
  <c r="V680" i="38"/>
  <c r="V679" i="38"/>
  <c r="V678" i="38"/>
  <c r="V677" i="38"/>
  <c r="V676" i="38"/>
  <c r="V675" i="38"/>
  <c r="V674" i="38"/>
  <c r="V673" i="38"/>
  <c r="V672" i="38"/>
  <c r="V671" i="38"/>
  <c r="V670" i="38"/>
  <c r="V669" i="38"/>
  <c r="V668" i="38"/>
  <c r="V667" i="38"/>
  <c r="V666" i="38"/>
  <c r="V665" i="38"/>
  <c r="V664" i="38"/>
  <c r="V663" i="38"/>
  <c r="V662" i="38"/>
  <c r="V661" i="38"/>
  <c r="V660" i="38"/>
  <c r="V659" i="38"/>
  <c r="V658" i="38"/>
  <c r="V657" i="38"/>
  <c r="V656" i="38"/>
  <c r="V655" i="38"/>
  <c r="V654" i="38"/>
  <c r="V653" i="38"/>
  <c r="V652" i="38"/>
  <c r="V651" i="38"/>
  <c r="V650" i="38"/>
  <c r="V649" i="38"/>
  <c r="V648" i="38"/>
  <c r="V647" i="38"/>
  <c r="V646" i="38"/>
  <c r="V645" i="38"/>
  <c r="V644" i="38"/>
  <c r="V643" i="38"/>
  <c r="V642" i="38"/>
  <c r="V641" i="38"/>
  <c r="V640" i="38"/>
  <c r="V639" i="38"/>
  <c r="V638" i="38"/>
  <c r="V637" i="38"/>
  <c r="V636" i="38"/>
  <c r="V635" i="38"/>
  <c r="V634" i="38"/>
  <c r="V633" i="38"/>
  <c r="V632" i="38"/>
  <c r="V631" i="38"/>
  <c r="V630" i="38"/>
  <c r="V629" i="38"/>
  <c r="V628" i="38"/>
  <c r="V627" i="38"/>
  <c r="V626" i="38"/>
  <c r="V625" i="38"/>
  <c r="V624" i="38"/>
  <c r="V623" i="38"/>
  <c r="V622" i="38"/>
  <c r="V621" i="38"/>
  <c r="V620" i="38"/>
  <c r="V619" i="38"/>
  <c r="V618" i="38"/>
  <c r="V617" i="38"/>
  <c r="V616" i="38"/>
  <c r="V615" i="38"/>
  <c r="V614" i="38"/>
  <c r="V613" i="38"/>
  <c r="V612" i="38"/>
  <c r="V611" i="38"/>
  <c r="V610" i="38"/>
  <c r="V609" i="38"/>
  <c r="V608" i="38"/>
  <c r="V607" i="38"/>
  <c r="V606" i="38"/>
  <c r="V605" i="38"/>
  <c r="V604" i="38"/>
  <c r="V603" i="38"/>
  <c r="V602" i="38"/>
  <c r="V601" i="38"/>
  <c r="V600" i="38"/>
  <c r="V599" i="38"/>
  <c r="V598" i="38"/>
  <c r="V597" i="38"/>
  <c r="V596" i="38"/>
  <c r="V595" i="38"/>
  <c r="V594" i="38"/>
  <c r="V593" i="38"/>
  <c r="V592" i="38"/>
  <c r="V591" i="38"/>
  <c r="V590" i="38"/>
  <c r="V589" i="38"/>
  <c r="V588" i="38"/>
  <c r="V587" i="38"/>
  <c r="V586" i="38"/>
  <c r="V585" i="38"/>
  <c r="V584" i="38"/>
  <c r="V583" i="38"/>
  <c r="V582" i="38"/>
  <c r="V581" i="38"/>
  <c r="V580" i="38"/>
  <c r="V579" i="38"/>
  <c r="V578" i="38"/>
  <c r="V577" i="38"/>
  <c r="V576" i="38"/>
  <c r="V575" i="38"/>
  <c r="V574" i="38"/>
  <c r="V573" i="38"/>
  <c r="V572" i="38"/>
  <c r="V571" i="38"/>
  <c r="V570" i="38"/>
  <c r="V569" i="38"/>
  <c r="V568" i="38"/>
  <c r="V567" i="38"/>
  <c r="V566" i="38"/>
  <c r="V565" i="38"/>
  <c r="V564" i="38"/>
  <c r="V563" i="38"/>
  <c r="V562" i="38"/>
  <c r="V561" i="38"/>
  <c r="V560" i="38"/>
  <c r="V559" i="38"/>
  <c r="V558" i="38"/>
  <c r="V557" i="38"/>
  <c r="V556" i="38"/>
  <c r="V555" i="38"/>
  <c r="V554" i="38"/>
  <c r="V553" i="38"/>
  <c r="V552" i="38"/>
  <c r="V551" i="38"/>
  <c r="V550" i="38"/>
  <c r="V549" i="38"/>
  <c r="V548" i="38"/>
  <c r="V547" i="38"/>
  <c r="V546" i="38"/>
  <c r="V545" i="38"/>
  <c r="V544" i="38"/>
  <c r="V543" i="38"/>
  <c r="V542" i="38"/>
  <c r="V541" i="38"/>
  <c r="V540" i="38"/>
  <c r="V539" i="38"/>
  <c r="V538" i="38"/>
  <c r="V537" i="38"/>
  <c r="V536" i="38"/>
  <c r="V535" i="38"/>
  <c r="V534" i="38"/>
  <c r="V533" i="38"/>
  <c r="V532" i="38"/>
  <c r="V531" i="38"/>
  <c r="V530" i="38"/>
  <c r="V529" i="38"/>
  <c r="V528" i="38"/>
  <c r="V527" i="38"/>
  <c r="V526" i="38"/>
  <c r="V525" i="38"/>
  <c r="V524" i="38"/>
  <c r="V523" i="38"/>
  <c r="V522" i="38"/>
  <c r="V521" i="38"/>
  <c r="V520" i="38"/>
  <c r="V519" i="38"/>
  <c r="V518" i="38"/>
  <c r="V517" i="38"/>
  <c r="V516" i="38"/>
  <c r="V515" i="38"/>
  <c r="V514" i="38"/>
  <c r="V513" i="38"/>
  <c r="V512" i="38"/>
  <c r="V511" i="38"/>
  <c r="V510" i="38"/>
  <c r="V509" i="38"/>
  <c r="V508" i="38"/>
  <c r="V507" i="38"/>
  <c r="V506" i="38"/>
  <c r="V505" i="38"/>
  <c r="V504" i="38"/>
  <c r="V503" i="38"/>
  <c r="V502" i="38"/>
  <c r="V501" i="38"/>
  <c r="V500" i="38"/>
  <c r="V499" i="38"/>
  <c r="V498" i="38"/>
  <c r="V497" i="38"/>
  <c r="V496" i="38"/>
  <c r="V495" i="38"/>
  <c r="V494" i="38"/>
  <c r="V493" i="38"/>
  <c r="V492" i="38"/>
  <c r="V491" i="38"/>
  <c r="V490" i="38"/>
  <c r="V489" i="38"/>
  <c r="V488" i="38"/>
  <c r="V487" i="38"/>
  <c r="V486" i="38"/>
  <c r="V485" i="38"/>
  <c r="V484" i="38"/>
  <c r="V483" i="38"/>
  <c r="V482" i="38"/>
  <c r="V481" i="38"/>
  <c r="V480" i="38"/>
  <c r="V479" i="38"/>
  <c r="V478" i="38"/>
  <c r="V477" i="38"/>
  <c r="V476" i="38"/>
  <c r="V475" i="38"/>
  <c r="V474" i="38"/>
  <c r="V473" i="38"/>
  <c r="V472" i="38"/>
  <c r="V471" i="38"/>
  <c r="V470" i="38"/>
  <c r="V469" i="38"/>
  <c r="V468" i="38"/>
  <c r="V467" i="38"/>
  <c r="V466" i="38"/>
  <c r="V465" i="38"/>
  <c r="V464" i="38"/>
  <c r="V463" i="38"/>
  <c r="V462" i="38"/>
  <c r="V461" i="38"/>
  <c r="V460" i="38"/>
  <c r="V459" i="38"/>
  <c r="V458" i="38"/>
  <c r="V457" i="38"/>
  <c r="V456" i="38"/>
  <c r="V455" i="38"/>
  <c r="V454" i="38"/>
  <c r="V453" i="38"/>
  <c r="V452" i="38"/>
  <c r="V451" i="38"/>
  <c r="V450" i="38"/>
  <c r="V449" i="38"/>
  <c r="V448" i="38"/>
  <c r="V447" i="38"/>
  <c r="V446" i="38"/>
  <c r="V445" i="38"/>
  <c r="V444" i="38"/>
  <c r="V443" i="38"/>
  <c r="V442" i="38"/>
  <c r="V441" i="38"/>
  <c r="V440" i="38"/>
  <c r="V439" i="38"/>
  <c r="V438" i="38"/>
  <c r="V437" i="38"/>
  <c r="V436" i="38"/>
  <c r="V435" i="38"/>
  <c r="V434" i="38"/>
  <c r="V433" i="38"/>
  <c r="V432" i="38"/>
  <c r="V431" i="38"/>
  <c r="V430" i="38"/>
  <c r="V429" i="38"/>
  <c r="V428" i="38"/>
  <c r="V427" i="38"/>
  <c r="V426" i="38"/>
  <c r="V425" i="38"/>
  <c r="V424" i="38"/>
  <c r="V423" i="38"/>
  <c r="V422" i="38"/>
  <c r="V421" i="38"/>
  <c r="V420" i="38"/>
  <c r="V419" i="38"/>
  <c r="V418" i="38"/>
  <c r="V417" i="38"/>
  <c r="V416" i="38"/>
  <c r="V415" i="38"/>
  <c r="V414" i="38"/>
  <c r="V413" i="38"/>
  <c r="V412" i="38"/>
  <c r="V411" i="38"/>
  <c r="V410" i="38"/>
  <c r="V409" i="38"/>
  <c r="V408" i="38"/>
  <c r="V407" i="38"/>
  <c r="V406" i="38"/>
  <c r="V405" i="38"/>
  <c r="V404" i="38"/>
  <c r="V403" i="38"/>
  <c r="V402" i="38"/>
  <c r="V401" i="38"/>
  <c r="V400" i="38"/>
  <c r="V399" i="38"/>
  <c r="V398" i="38"/>
  <c r="V397" i="38"/>
  <c r="V396" i="38"/>
  <c r="V395" i="38"/>
  <c r="V394" i="38"/>
  <c r="V393" i="38"/>
  <c r="V392" i="38"/>
  <c r="V391" i="38"/>
  <c r="V390" i="38"/>
  <c r="V389" i="38"/>
  <c r="V388" i="38"/>
  <c r="V387" i="38"/>
  <c r="V386" i="38"/>
  <c r="V385" i="38"/>
  <c r="V384" i="38"/>
  <c r="V383" i="38"/>
  <c r="V382" i="38"/>
  <c r="V381" i="38"/>
  <c r="V380" i="38"/>
  <c r="V379" i="38"/>
  <c r="V378" i="38"/>
  <c r="V377" i="38"/>
  <c r="V376" i="38"/>
  <c r="V375" i="38"/>
  <c r="V374" i="38"/>
  <c r="V373" i="38"/>
  <c r="V372" i="38"/>
  <c r="V371" i="38"/>
  <c r="V370" i="38"/>
  <c r="V369" i="38"/>
  <c r="V368" i="38"/>
  <c r="V367" i="38"/>
  <c r="V366" i="38"/>
  <c r="V365" i="38"/>
  <c r="V364" i="38"/>
  <c r="V363" i="38"/>
  <c r="V362" i="38"/>
  <c r="V361" i="38"/>
  <c r="V360" i="38"/>
  <c r="V359" i="38"/>
  <c r="V358" i="38"/>
  <c r="V357" i="38"/>
  <c r="V356" i="38"/>
  <c r="V355" i="38"/>
  <c r="V354" i="38"/>
  <c r="V353" i="38"/>
  <c r="V352" i="38"/>
  <c r="V351" i="38"/>
  <c r="V350" i="38"/>
  <c r="V349" i="38"/>
  <c r="V348" i="38"/>
  <c r="V347" i="38"/>
  <c r="V346" i="38"/>
  <c r="V345" i="38"/>
  <c r="V344" i="38"/>
  <c r="V343" i="38"/>
  <c r="V342" i="38"/>
  <c r="V341" i="38"/>
  <c r="V340" i="38"/>
  <c r="V339" i="38"/>
  <c r="V338" i="38"/>
  <c r="V337" i="38"/>
  <c r="V336" i="38"/>
  <c r="V335" i="38"/>
  <c r="V334" i="38"/>
  <c r="V333" i="38"/>
  <c r="V332" i="38"/>
  <c r="V331" i="38"/>
  <c r="V330" i="38"/>
  <c r="V329" i="38"/>
  <c r="V328" i="38"/>
  <c r="V327" i="38"/>
  <c r="V326" i="38"/>
  <c r="V325" i="38"/>
  <c r="V324" i="38"/>
  <c r="V323" i="38"/>
  <c r="V322" i="38"/>
  <c r="V321" i="38"/>
  <c r="V320" i="38"/>
  <c r="V319" i="38"/>
  <c r="V318" i="38"/>
  <c r="V317" i="38"/>
  <c r="V316" i="38"/>
  <c r="V315" i="38"/>
  <c r="V314" i="38"/>
  <c r="V313" i="38"/>
  <c r="V312" i="38"/>
  <c r="V311" i="38"/>
  <c r="V310" i="38"/>
  <c r="V309" i="38"/>
  <c r="V308" i="38"/>
  <c r="V307" i="38"/>
  <c r="V306" i="38"/>
  <c r="V305" i="38"/>
  <c r="V304" i="38"/>
  <c r="V303" i="38"/>
  <c r="V302" i="38"/>
  <c r="V301" i="38"/>
  <c r="V300" i="38"/>
  <c r="V299" i="38"/>
  <c r="V298" i="38"/>
  <c r="V297" i="38"/>
  <c r="V296" i="38"/>
  <c r="V295" i="38"/>
  <c r="V294" i="38"/>
  <c r="V293" i="38"/>
  <c r="V292" i="38"/>
  <c r="V291" i="38"/>
  <c r="V290" i="38"/>
  <c r="V289" i="38"/>
  <c r="V288" i="38"/>
  <c r="V287" i="38"/>
  <c r="V286" i="38"/>
  <c r="V285" i="38"/>
  <c r="V284" i="38"/>
  <c r="V283" i="38"/>
  <c r="V282" i="38"/>
  <c r="V281" i="38"/>
  <c r="V280" i="38"/>
  <c r="V279" i="38"/>
  <c r="V278" i="38"/>
  <c r="V277" i="38"/>
  <c r="V276" i="38"/>
  <c r="V275" i="38"/>
  <c r="V274" i="38"/>
  <c r="V273" i="38"/>
  <c r="V272" i="38"/>
  <c r="V271" i="38"/>
  <c r="V270" i="38"/>
  <c r="V269" i="38"/>
  <c r="V268" i="38"/>
  <c r="V267" i="38"/>
  <c r="V266" i="38"/>
  <c r="V265" i="38"/>
  <c r="V264" i="38"/>
  <c r="V263" i="38"/>
  <c r="V262" i="38"/>
  <c r="V261" i="38"/>
  <c r="V260" i="38"/>
  <c r="V259" i="38"/>
  <c r="V258" i="38"/>
  <c r="V257" i="38"/>
  <c r="V256" i="38"/>
  <c r="V255" i="38"/>
  <c r="V254" i="38"/>
  <c r="V253" i="38"/>
  <c r="V252" i="38"/>
  <c r="V251" i="38"/>
  <c r="V250" i="38"/>
  <c r="V249" i="38"/>
  <c r="V248" i="38"/>
  <c r="V247" i="38"/>
  <c r="V246" i="38"/>
  <c r="V245" i="38"/>
  <c r="V244" i="38"/>
  <c r="V243" i="38"/>
  <c r="V242" i="38"/>
  <c r="V241" i="38"/>
  <c r="V240" i="38"/>
  <c r="V239" i="38"/>
  <c r="V238" i="38"/>
  <c r="V237" i="38"/>
  <c r="V236" i="38"/>
  <c r="V235" i="38"/>
  <c r="V234" i="38"/>
  <c r="V233" i="38"/>
  <c r="V232" i="38"/>
  <c r="V231" i="38"/>
  <c r="V230" i="38"/>
  <c r="V229" i="38"/>
  <c r="V228" i="38"/>
  <c r="V227" i="38"/>
  <c r="V226" i="38"/>
  <c r="V225" i="38"/>
  <c r="V224" i="38"/>
  <c r="V223" i="38"/>
  <c r="V222" i="38"/>
  <c r="V221" i="38"/>
  <c r="V220" i="38"/>
  <c r="V219" i="38"/>
  <c r="V218" i="38"/>
  <c r="V217" i="38"/>
  <c r="V216" i="38"/>
  <c r="V215" i="38"/>
  <c r="V214" i="38"/>
  <c r="V213" i="38"/>
  <c r="V212" i="38"/>
  <c r="V211" i="38"/>
  <c r="V210" i="38"/>
  <c r="V209" i="38"/>
  <c r="V208" i="38"/>
  <c r="V207" i="38"/>
  <c r="V206" i="38"/>
  <c r="V205" i="38"/>
  <c r="V204" i="38"/>
  <c r="V203" i="38"/>
  <c r="V202" i="38"/>
  <c r="V201" i="38"/>
  <c r="V200" i="38"/>
  <c r="V199" i="38"/>
  <c r="V198" i="38"/>
  <c r="V197" i="38"/>
  <c r="V196" i="38"/>
  <c r="V195" i="38"/>
  <c r="V194" i="38"/>
  <c r="V193" i="38"/>
  <c r="V192" i="38"/>
  <c r="V191" i="38"/>
  <c r="V190" i="38"/>
  <c r="V189" i="38"/>
  <c r="V188" i="38"/>
  <c r="V187" i="38"/>
  <c r="V186" i="38"/>
  <c r="V185" i="38"/>
  <c r="V184" i="38"/>
  <c r="V183" i="38"/>
  <c r="V182" i="38"/>
  <c r="V181" i="38"/>
  <c r="V180" i="38"/>
  <c r="V179" i="38"/>
  <c r="V178" i="38"/>
  <c r="V177" i="38"/>
  <c r="V176" i="38"/>
  <c r="V175" i="38"/>
  <c r="V174" i="38"/>
  <c r="V173" i="38"/>
  <c r="V172" i="38"/>
  <c r="V171" i="38"/>
  <c r="V170" i="38"/>
  <c r="V169" i="38"/>
  <c r="V168" i="38"/>
  <c r="V167" i="38"/>
  <c r="V166" i="38"/>
  <c r="V165" i="38"/>
  <c r="V164" i="38"/>
  <c r="V163" i="38"/>
  <c r="V162" i="38"/>
  <c r="V161" i="38"/>
  <c r="V160" i="38"/>
  <c r="V159" i="38"/>
  <c r="V158" i="38"/>
  <c r="V157" i="38"/>
  <c r="V156" i="38"/>
  <c r="V155" i="38"/>
  <c r="V154" i="38"/>
  <c r="V153" i="38"/>
  <c r="V152" i="38"/>
  <c r="V151" i="38"/>
  <c r="V150" i="38"/>
  <c r="V149" i="38"/>
  <c r="V148" i="38"/>
  <c r="V147" i="38"/>
  <c r="V146" i="38"/>
  <c r="V145" i="38"/>
  <c r="V144" i="38"/>
  <c r="V143" i="38"/>
  <c r="V142" i="38"/>
  <c r="V141" i="38"/>
  <c r="V140" i="38"/>
  <c r="V139" i="38"/>
  <c r="V138" i="38"/>
  <c r="V137" i="38"/>
  <c r="V136" i="38"/>
  <c r="V135" i="38"/>
  <c r="V134" i="38"/>
  <c r="V133" i="38"/>
  <c r="V132" i="38"/>
  <c r="V131" i="38"/>
  <c r="V130" i="38"/>
  <c r="V129" i="38"/>
  <c r="V128" i="38"/>
  <c r="V127" i="38"/>
  <c r="V126" i="38"/>
  <c r="V125" i="38"/>
  <c r="V124" i="38"/>
  <c r="V123" i="38"/>
  <c r="V122" i="38"/>
  <c r="V121" i="38"/>
  <c r="V120" i="38"/>
  <c r="V119" i="38"/>
  <c r="V118" i="38"/>
  <c r="V117" i="38"/>
  <c r="V116" i="38"/>
  <c r="V115" i="38"/>
  <c r="V114" i="38"/>
  <c r="V113" i="38"/>
  <c r="V112" i="38"/>
  <c r="V111" i="38"/>
  <c r="V110" i="38"/>
  <c r="V109" i="38"/>
  <c r="V108" i="38"/>
  <c r="V107" i="38"/>
  <c r="V106" i="38"/>
  <c r="V105" i="38"/>
  <c r="V104" i="38"/>
  <c r="V103" i="38"/>
  <c r="V102" i="38"/>
  <c r="V101" i="38"/>
  <c r="V100" i="38"/>
  <c r="V99" i="38"/>
  <c r="V98" i="38"/>
  <c r="V97" i="38"/>
  <c r="V96" i="38"/>
  <c r="V95" i="38"/>
  <c r="V94" i="38"/>
  <c r="V93" i="38"/>
  <c r="V92" i="38"/>
  <c r="V91" i="38"/>
  <c r="V90" i="38"/>
  <c r="V89" i="38"/>
  <c r="V88" i="38"/>
  <c r="V87" i="38"/>
  <c r="V86" i="38"/>
  <c r="V85" i="38"/>
  <c r="V84" i="38"/>
  <c r="V83" i="38"/>
  <c r="V82" i="38"/>
  <c r="V81" i="38"/>
  <c r="V80" i="38"/>
  <c r="V79" i="38"/>
  <c r="V78" i="38"/>
  <c r="V77" i="38"/>
  <c r="V76" i="38"/>
  <c r="V75" i="38"/>
  <c r="V74" i="38"/>
  <c r="V73" i="38"/>
  <c r="V72" i="38"/>
  <c r="V71" i="38"/>
  <c r="V70" i="38"/>
  <c r="V69" i="38"/>
  <c r="V68" i="38"/>
  <c r="V67" i="38"/>
  <c r="V66" i="38"/>
  <c r="V65" i="38"/>
  <c r="V64" i="38"/>
  <c r="V63" i="38"/>
  <c r="V62" i="38"/>
  <c r="V61" i="38"/>
  <c r="V60" i="38"/>
  <c r="V59" i="38"/>
  <c r="V58" i="38"/>
  <c r="V57" i="38"/>
  <c r="V56" i="38"/>
  <c r="V55" i="38"/>
  <c r="V54" i="38"/>
  <c r="V53" i="38"/>
  <c r="V52" i="38"/>
  <c r="V51" i="38"/>
  <c r="V50" i="38"/>
  <c r="V49" i="38"/>
  <c r="V48" i="38"/>
  <c r="V47" i="38"/>
  <c r="V46" i="38"/>
  <c r="V45" i="38"/>
  <c r="V44" i="38"/>
  <c r="V43" i="38"/>
  <c r="V42" i="38"/>
  <c r="V41" i="38"/>
  <c r="V40" i="38"/>
  <c r="V39" i="38"/>
  <c r="V38" i="38"/>
  <c r="V37" i="38"/>
  <c r="V36" i="38"/>
  <c r="V35" i="38"/>
  <c r="V34" i="38"/>
  <c r="V33" i="38"/>
  <c r="V32" i="38"/>
  <c r="V31" i="38"/>
  <c r="V30" i="38"/>
  <c r="V29" i="38"/>
  <c r="V28" i="38"/>
  <c r="V27" i="38"/>
  <c r="V26" i="38"/>
  <c r="V25" i="38"/>
  <c r="V24" i="38"/>
  <c r="V23" i="38"/>
  <c r="V22" i="38"/>
  <c r="V21" i="38"/>
  <c r="V20" i="38"/>
  <c r="V19" i="38"/>
  <c r="V18" i="38"/>
  <c r="V17" i="38"/>
  <c r="V16" i="38"/>
  <c r="V15" i="38"/>
  <c r="V14" i="38"/>
  <c r="V13" i="38"/>
  <c r="V12" i="38"/>
  <c r="V11" i="38"/>
  <c r="V10" i="38"/>
  <c r="V9" i="38"/>
  <c r="V8" i="38"/>
  <c r="V7" i="38"/>
  <c r="V6" i="38"/>
  <c r="V5" i="38"/>
  <c r="V4" i="38"/>
  <c r="V3" i="38"/>
  <c r="V2" i="38"/>
  <c r="AS23" i="44"/>
  <c r="AS22" i="44"/>
  <c r="AS21" i="44"/>
  <c r="AS20" i="44"/>
  <c r="AS19" i="44"/>
  <c r="AS18" i="44"/>
  <c r="AS17" i="44"/>
  <c r="AS16" i="44"/>
  <c r="AS15" i="44"/>
  <c r="AS14" i="44"/>
  <c r="AS13" i="44"/>
  <c r="AS12" i="44"/>
  <c r="AS11" i="44"/>
  <c r="AS10" i="44"/>
  <c r="AS9" i="44"/>
  <c r="AS8" i="44"/>
  <c r="AP14" i="14"/>
  <c r="AP13" i="14"/>
  <c r="AM14" i="14"/>
  <c r="AM13" i="14"/>
  <c r="AM11" i="14"/>
  <c r="AM10" i="14"/>
  <c r="AM9" i="14"/>
  <c r="AM8" i="14"/>
  <c r="AJ14" i="14"/>
  <c r="AG14" i="14"/>
  <c r="AD14" i="14"/>
  <c r="AD13" i="14"/>
  <c r="AD12" i="14"/>
  <c r="AD11" i="14"/>
  <c r="AD10" i="14"/>
  <c r="AD9" i="14"/>
  <c r="AD8" i="14"/>
  <c r="AA14" i="14"/>
  <c r="X14" i="14"/>
  <c r="X13" i="14"/>
  <c r="X10" i="14"/>
  <c r="X9" i="14"/>
  <c r="X8" i="14"/>
  <c r="AC14" i="14"/>
  <c r="AB14" i="14"/>
  <c r="AR14" i="14"/>
  <c r="AQ14" i="14"/>
  <c r="AR13" i="14"/>
  <c r="AQ13" i="14"/>
  <c r="AO14" i="14"/>
  <c r="AN14" i="14"/>
  <c r="AO13" i="14"/>
  <c r="AN13" i="14"/>
  <c r="AO12" i="14"/>
  <c r="AN12" i="14"/>
  <c r="AO11" i="14"/>
  <c r="AN11" i="14"/>
  <c r="AO10" i="14"/>
  <c r="AN10" i="14"/>
  <c r="AO9" i="14"/>
  <c r="AN9" i="14"/>
  <c r="AO8" i="14"/>
  <c r="AN8" i="14"/>
  <c r="AL14" i="14"/>
  <c r="AK14" i="14"/>
  <c r="AI14" i="14"/>
  <c r="AH14" i="14"/>
  <c r="AF14" i="14"/>
  <c r="AE14" i="14"/>
  <c r="AF13" i="14"/>
  <c r="AE13" i="14"/>
  <c r="AF12" i="14"/>
  <c r="AE12" i="14"/>
  <c r="AF11" i="14"/>
  <c r="AE11" i="14"/>
  <c r="AF10" i="14"/>
  <c r="AE10" i="14"/>
  <c r="AF9" i="14"/>
  <c r="AE9" i="14"/>
  <c r="AF8" i="14"/>
  <c r="AE8" i="14"/>
  <c r="Z14" i="14"/>
  <c r="Y14" i="14"/>
  <c r="Z13" i="14"/>
  <c r="Y13" i="14"/>
  <c r="Z10" i="14"/>
  <c r="Y10" i="14"/>
  <c r="Z9" i="14"/>
  <c r="Y9" i="14"/>
  <c r="Z8" i="14"/>
  <c r="Y8" i="14"/>
  <c r="AR8" i="13"/>
  <c r="AO13" i="13"/>
  <c r="AO12" i="13"/>
  <c r="AO11" i="13"/>
  <c r="AO10" i="13"/>
  <c r="AO9" i="13"/>
  <c r="AO8" i="13"/>
  <c r="AL13" i="13"/>
  <c r="AL12" i="13"/>
  <c r="AL11" i="13"/>
  <c r="AL10" i="13"/>
  <c r="AL9" i="13"/>
  <c r="AL8" i="13"/>
  <c r="AI13" i="13"/>
  <c r="AI12" i="13"/>
  <c r="AI11" i="13"/>
  <c r="AI10" i="13"/>
  <c r="AI9" i="13"/>
  <c r="AI8" i="13"/>
  <c r="AF10" i="13"/>
  <c r="AF12" i="13"/>
  <c r="AF11" i="13"/>
  <c r="AF9" i="13"/>
  <c r="AF8" i="13"/>
  <c r="AC13" i="13"/>
  <c r="AC12" i="13"/>
  <c r="AC11" i="13"/>
  <c r="AC10" i="13"/>
  <c r="AC9" i="13"/>
  <c r="AC8" i="13"/>
  <c r="Z29" i="13"/>
  <c r="Z28" i="13"/>
  <c r="Z27" i="13"/>
  <c r="Z22" i="13"/>
  <c r="Z26" i="13"/>
  <c r="Z25" i="13"/>
  <c r="Z24" i="13"/>
  <c r="Z23" i="13"/>
  <c r="Z21" i="13"/>
  <c r="Z20" i="13"/>
  <c r="Z19" i="13"/>
  <c r="Z13" i="13"/>
  <c r="Z12" i="13"/>
  <c r="Z10" i="13"/>
  <c r="Z9" i="13"/>
  <c r="Z8" i="13"/>
  <c r="AQ8" i="13"/>
  <c r="AP8" i="13"/>
  <c r="AN13" i="13"/>
  <c r="AM13" i="13"/>
  <c r="AN12" i="13"/>
  <c r="AM12" i="13"/>
  <c r="AN11" i="13"/>
  <c r="AM11" i="13"/>
  <c r="AN10" i="13"/>
  <c r="AM10" i="13"/>
  <c r="AN9" i="13"/>
  <c r="AM9" i="13"/>
  <c r="AN8" i="13"/>
  <c r="AM8" i="13"/>
  <c r="AK13" i="13"/>
  <c r="AJ13" i="13"/>
  <c r="AK12" i="13"/>
  <c r="AJ12" i="13"/>
  <c r="AK11" i="13"/>
  <c r="AJ11" i="13"/>
  <c r="AK10" i="13"/>
  <c r="AJ10" i="13"/>
  <c r="AK9" i="13"/>
  <c r="AJ9" i="13"/>
  <c r="AK8" i="13"/>
  <c r="AJ8" i="13"/>
  <c r="AH13" i="13"/>
  <c r="AG13" i="13"/>
  <c r="AH12" i="13"/>
  <c r="AG12" i="13"/>
  <c r="AH11" i="13"/>
  <c r="AG11" i="13"/>
  <c r="AH10" i="13"/>
  <c r="AG10" i="13"/>
  <c r="AH9" i="13"/>
  <c r="AG9" i="13"/>
  <c r="AH8" i="13"/>
  <c r="AG8" i="13"/>
  <c r="AE12" i="13"/>
  <c r="AD12" i="13"/>
  <c r="AE11" i="13"/>
  <c r="AD11" i="13"/>
  <c r="AE10" i="13"/>
  <c r="AD10" i="13"/>
  <c r="AE9" i="13"/>
  <c r="AD9" i="13"/>
  <c r="AE8" i="13"/>
  <c r="AD8" i="13"/>
  <c r="AB13" i="13"/>
  <c r="AA13" i="13"/>
  <c r="AB12" i="13"/>
  <c r="AA12" i="13"/>
  <c r="AB11" i="13"/>
  <c r="AA11" i="13"/>
  <c r="AB10" i="13"/>
  <c r="AA10" i="13"/>
  <c r="AB9" i="13"/>
  <c r="AA9" i="13"/>
  <c r="AB8" i="13"/>
  <c r="AA8" i="13"/>
  <c r="Y29" i="13"/>
  <c r="X29" i="13"/>
  <c r="Y28" i="13"/>
  <c r="X28" i="13"/>
  <c r="Y27" i="13"/>
  <c r="X27" i="13"/>
  <c r="Y22" i="13"/>
  <c r="X22" i="13"/>
  <c r="Y26" i="13"/>
  <c r="X26" i="13"/>
  <c r="Y25" i="13"/>
  <c r="X25" i="13"/>
  <c r="Y24" i="13"/>
  <c r="X24" i="13"/>
  <c r="Y23" i="13"/>
  <c r="X23" i="13"/>
  <c r="Y21" i="13"/>
  <c r="X21" i="13"/>
  <c r="Y20" i="13"/>
  <c r="X20" i="13"/>
  <c r="Y19" i="13"/>
  <c r="X19" i="13"/>
  <c r="Y13" i="13"/>
  <c r="X13" i="13"/>
  <c r="Y12" i="13"/>
  <c r="X12" i="13"/>
  <c r="Y11" i="13"/>
  <c r="X11" i="13"/>
  <c r="Y10" i="13"/>
  <c r="X10" i="13"/>
  <c r="Y9" i="13"/>
  <c r="X9" i="13"/>
  <c r="Y8" i="13"/>
  <c r="X8" i="13"/>
  <c r="AR21" i="12"/>
  <c r="AR29" i="12"/>
  <c r="AO29" i="12"/>
  <c r="AO23" i="12"/>
  <c r="AO22" i="12"/>
  <c r="AO20" i="12"/>
  <c r="AO13" i="12"/>
  <c r="AO12" i="12"/>
  <c r="AO11" i="12"/>
  <c r="AO10" i="12"/>
  <c r="AO9" i="12"/>
  <c r="AO8" i="12"/>
  <c r="AL29" i="12"/>
  <c r="AL21" i="12"/>
  <c r="AI29" i="12"/>
  <c r="AI21" i="12"/>
  <c r="AF29" i="12"/>
  <c r="AF25" i="12"/>
  <c r="AF24" i="12"/>
  <c r="AF23" i="12"/>
  <c r="AF22" i="12"/>
  <c r="AF21" i="12"/>
  <c r="AF13" i="12"/>
  <c r="AF12" i="12"/>
  <c r="AF11" i="12"/>
  <c r="AF10" i="12"/>
  <c r="AF9" i="12"/>
  <c r="AF8" i="12"/>
  <c r="AC29" i="12"/>
  <c r="AC21" i="12"/>
  <c r="AC13" i="12"/>
  <c r="Z29" i="12"/>
  <c r="AO28" i="12"/>
  <c r="Z28" i="12"/>
  <c r="AO27" i="12"/>
  <c r="Z27" i="12"/>
  <c r="AC25" i="12"/>
  <c r="AI25" i="12"/>
  <c r="AL25" i="12"/>
  <c r="AR25" i="12"/>
  <c r="AR24" i="12"/>
  <c r="AL24" i="12"/>
  <c r="AI24" i="12"/>
  <c r="AC24" i="12"/>
  <c r="Z24" i="12"/>
  <c r="AR26" i="12"/>
  <c r="AO26" i="12"/>
  <c r="AL26" i="12"/>
  <c r="AI26" i="12"/>
  <c r="AF26" i="12"/>
  <c r="AC26" i="12"/>
  <c r="Z26" i="12"/>
  <c r="AR23" i="12"/>
  <c r="AL23" i="12"/>
  <c r="AI23" i="12"/>
  <c r="AC23" i="12"/>
  <c r="AR22" i="12"/>
  <c r="AL22" i="12"/>
  <c r="AI22" i="12"/>
  <c r="AC22" i="12"/>
  <c r="Z22" i="12"/>
  <c r="Z21" i="12"/>
  <c r="AR20" i="12"/>
  <c r="AL20" i="12"/>
  <c r="AI20" i="12"/>
  <c r="AF20" i="12"/>
  <c r="AC20" i="12"/>
  <c r="Z20" i="12"/>
  <c r="AR12" i="12"/>
  <c r="AL12" i="12"/>
  <c r="AI12" i="12"/>
  <c r="AC12" i="12"/>
  <c r="AR15" i="12"/>
  <c r="AO15" i="12"/>
  <c r="AL15" i="12"/>
  <c r="AI15" i="12"/>
  <c r="AF15" i="12"/>
  <c r="AC15" i="12"/>
  <c r="AR14" i="12"/>
  <c r="AO14" i="12"/>
  <c r="AL14" i="12"/>
  <c r="AI14" i="12"/>
  <c r="AF14" i="12"/>
  <c r="AC14" i="12"/>
  <c r="AR13" i="12"/>
  <c r="AL13" i="12"/>
  <c r="AI13" i="12"/>
  <c r="AR11" i="12"/>
  <c r="AL11" i="12"/>
  <c r="AI11" i="12"/>
  <c r="AC11" i="12"/>
  <c r="AR10" i="12"/>
  <c r="AL10" i="12"/>
  <c r="AI10" i="12"/>
  <c r="AC10" i="12"/>
  <c r="AR9" i="12"/>
  <c r="AL9" i="12"/>
  <c r="AI9" i="12"/>
  <c r="AC9" i="12"/>
  <c r="AR8" i="12"/>
  <c r="AL8" i="12"/>
  <c r="AI8" i="12"/>
  <c r="AC8" i="12"/>
  <c r="Z15" i="12"/>
  <c r="Z14" i="12"/>
  <c r="Z13" i="12"/>
  <c r="Z12" i="12"/>
  <c r="Z11" i="12"/>
  <c r="Z10" i="12"/>
  <c r="Z9" i="12"/>
  <c r="Z8" i="12"/>
  <c r="Y9" i="12"/>
  <c r="Y8" i="12"/>
  <c r="AQ29" i="12"/>
  <c r="AP29" i="12"/>
  <c r="AQ26" i="12"/>
  <c r="AP26" i="12"/>
  <c r="AQ25" i="12"/>
  <c r="AP25" i="12"/>
  <c r="AQ24" i="12"/>
  <c r="AP24" i="12"/>
  <c r="AQ23" i="12"/>
  <c r="AP23" i="12"/>
  <c r="AQ22" i="12"/>
  <c r="AP22" i="12"/>
  <c r="AQ21" i="12"/>
  <c r="AP21" i="12"/>
  <c r="AQ20" i="12"/>
  <c r="AP20" i="12"/>
  <c r="AQ15" i="12"/>
  <c r="AP15" i="12"/>
  <c r="AQ14" i="12"/>
  <c r="AP14" i="12"/>
  <c r="AQ13" i="12"/>
  <c r="AP13" i="12"/>
  <c r="AQ12" i="12"/>
  <c r="AP12" i="12"/>
  <c r="AQ11" i="12"/>
  <c r="AP11" i="12"/>
  <c r="AQ10" i="12"/>
  <c r="AP10" i="12"/>
  <c r="AQ9" i="12"/>
  <c r="AP9" i="12"/>
  <c r="AQ8" i="12"/>
  <c r="AP8" i="12"/>
  <c r="AN29" i="12"/>
  <c r="AM29" i="12"/>
  <c r="AN28" i="12"/>
  <c r="AM28" i="12"/>
  <c r="AN27" i="12"/>
  <c r="AM27" i="12"/>
  <c r="AN26" i="12"/>
  <c r="AM26" i="12"/>
  <c r="AN23" i="12"/>
  <c r="AM23" i="12"/>
  <c r="AN22" i="12"/>
  <c r="AM22" i="12"/>
  <c r="AN20" i="12"/>
  <c r="AM20" i="12"/>
  <c r="AN15" i="12"/>
  <c r="AM15" i="12"/>
  <c r="AN14" i="12"/>
  <c r="AM14" i="12"/>
  <c r="AN13" i="12"/>
  <c r="AM13" i="12"/>
  <c r="AN12" i="12"/>
  <c r="AM12" i="12"/>
  <c r="AN11" i="12"/>
  <c r="AM11" i="12"/>
  <c r="AN10" i="12"/>
  <c r="AM10" i="12"/>
  <c r="AN9" i="12"/>
  <c r="AM9" i="12"/>
  <c r="AN8" i="12"/>
  <c r="AM8" i="12"/>
  <c r="AK29" i="12"/>
  <c r="AJ29" i="12"/>
  <c r="AK26" i="12"/>
  <c r="AJ26" i="12"/>
  <c r="AK25" i="12"/>
  <c r="AJ25" i="12"/>
  <c r="AK24" i="12"/>
  <c r="AJ24" i="12"/>
  <c r="AK23" i="12"/>
  <c r="AJ23" i="12"/>
  <c r="AK22" i="12"/>
  <c r="AJ22" i="12"/>
  <c r="AK21" i="12"/>
  <c r="AJ21" i="12"/>
  <c r="AK20" i="12"/>
  <c r="AJ20" i="12"/>
  <c r="AK15" i="12"/>
  <c r="AJ15" i="12"/>
  <c r="AK14" i="12"/>
  <c r="AJ14" i="12"/>
  <c r="AK13" i="12"/>
  <c r="AJ13" i="12"/>
  <c r="AK12" i="12"/>
  <c r="AJ12" i="12"/>
  <c r="AK11" i="12"/>
  <c r="AJ11" i="12"/>
  <c r="AK10" i="12"/>
  <c r="AJ10" i="12"/>
  <c r="AK9" i="12"/>
  <c r="AJ9" i="12"/>
  <c r="AK8" i="12"/>
  <c r="AJ8" i="12"/>
  <c r="AH29" i="12"/>
  <c r="AG29" i="12"/>
  <c r="AH26" i="12"/>
  <c r="AG26" i="12"/>
  <c r="AH25" i="12"/>
  <c r="AG25" i="12"/>
  <c r="AH24" i="12"/>
  <c r="AG24" i="12"/>
  <c r="AH23" i="12"/>
  <c r="AG23" i="12"/>
  <c r="AH22" i="12"/>
  <c r="AG22" i="12"/>
  <c r="AH21" i="12"/>
  <c r="AG21" i="12"/>
  <c r="AH20" i="12"/>
  <c r="AG20" i="12"/>
  <c r="AH15" i="12"/>
  <c r="AG15" i="12"/>
  <c r="AH14" i="12"/>
  <c r="AG14" i="12"/>
  <c r="AH13" i="12"/>
  <c r="AG13" i="12"/>
  <c r="AH12" i="12"/>
  <c r="AG12" i="12"/>
  <c r="AH11" i="12"/>
  <c r="AG11" i="12"/>
  <c r="AH10" i="12"/>
  <c r="AG10" i="12"/>
  <c r="AH9" i="12"/>
  <c r="AG9" i="12"/>
  <c r="AH8" i="12"/>
  <c r="AG8" i="12"/>
  <c r="AE29" i="12"/>
  <c r="AD29" i="12"/>
  <c r="AE26" i="12"/>
  <c r="AD26" i="12"/>
  <c r="AE25" i="12"/>
  <c r="AD25" i="12"/>
  <c r="AE24" i="12"/>
  <c r="AD24" i="12"/>
  <c r="AE23" i="12"/>
  <c r="AD23" i="12"/>
  <c r="AE22" i="12"/>
  <c r="AD22" i="12"/>
  <c r="AE21" i="12"/>
  <c r="AD21" i="12"/>
  <c r="AE20" i="12"/>
  <c r="AD20" i="12"/>
  <c r="AE15" i="12"/>
  <c r="AD15" i="12"/>
  <c r="AE14" i="12"/>
  <c r="AD14" i="12"/>
  <c r="AE13" i="12"/>
  <c r="AD13" i="12"/>
  <c r="AE12" i="12"/>
  <c r="AD12" i="12"/>
  <c r="AE11" i="12"/>
  <c r="AD11" i="12"/>
  <c r="AE10" i="12"/>
  <c r="AD10" i="12"/>
  <c r="AE9" i="12"/>
  <c r="AD9" i="12"/>
  <c r="AE8" i="12"/>
  <c r="AD8" i="12"/>
  <c r="AB29" i="12"/>
  <c r="AA29" i="12"/>
  <c r="AB26" i="12"/>
  <c r="AA26" i="12"/>
  <c r="AB25" i="12"/>
  <c r="AA25" i="12"/>
  <c r="AB24" i="12"/>
  <c r="AA24" i="12"/>
  <c r="AB23" i="12"/>
  <c r="AA23" i="12"/>
  <c r="AB22" i="12"/>
  <c r="AA22" i="12"/>
  <c r="AB21" i="12"/>
  <c r="AA21" i="12"/>
  <c r="AB20" i="12"/>
  <c r="AA20" i="12"/>
  <c r="AB15" i="12"/>
  <c r="AA15" i="12"/>
  <c r="AB14" i="12"/>
  <c r="AA14" i="12"/>
  <c r="AB13" i="12"/>
  <c r="AA13" i="12"/>
  <c r="AB12" i="12"/>
  <c r="AA12" i="12"/>
  <c r="AB11" i="12"/>
  <c r="AA11" i="12"/>
  <c r="AB10" i="12"/>
  <c r="AA10" i="12"/>
  <c r="AB9" i="12"/>
  <c r="AA9" i="12"/>
  <c r="AB8" i="12"/>
  <c r="AA8" i="12"/>
  <c r="Y29" i="12"/>
  <c r="Y28" i="12"/>
  <c r="Y27" i="12"/>
  <c r="Y26" i="12"/>
  <c r="Y24" i="12"/>
  <c r="Y22" i="12"/>
  <c r="Y21" i="12"/>
  <c r="Y20" i="12"/>
  <c r="Y15" i="12"/>
  <c r="Y14" i="12"/>
  <c r="Y13" i="12"/>
  <c r="Y12" i="12"/>
  <c r="Y11" i="12"/>
  <c r="Y10" i="12"/>
  <c r="X29" i="12"/>
  <c r="X28" i="12"/>
  <c r="X27" i="12"/>
  <c r="X26" i="12"/>
  <c r="X24" i="12"/>
  <c r="X22" i="12"/>
  <c r="X21" i="12"/>
  <c r="X20" i="12"/>
  <c r="X15" i="12"/>
  <c r="X14" i="12"/>
  <c r="X13" i="12"/>
  <c r="X12" i="12"/>
  <c r="X11" i="12"/>
  <c r="X10" i="12"/>
  <c r="X9" i="12"/>
  <c r="X8" i="12"/>
  <c r="AO29" i="11"/>
  <c r="AO27" i="11"/>
  <c r="AO25" i="11"/>
  <c r="AO23" i="11"/>
  <c r="AO22" i="11"/>
  <c r="AO11" i="11"/>
  <c r="AO8" i="11"/>
  <c r="AF29" i="11"/>
  <c r="AF27" i="11"/>
  <c r="AF26" i="11"/>
  <c r="AF25" i="11"/>
  <c r="AF24" i="11"/>
  <c r="AF23" i="11"/>
  <c r="AF22" i="11"/>
  <c r="AF12" i="11"/>
  <c r="AF11" i="11"/>
  <c r="AF10" i="11"/>
  <c r="AF9" i="11"/>
  <c r="AF8" i="11"/>
  <c r="AR29" i="11"/>
  <c r="AR28" i="11"/>
  <c r="AR27" i="11"/>
  <c r="AL29" i="11"/>
  <c r="AL28" i="11"/>
  <c r="AL27" i="11"/>
  <c r="AI29" i="11"/>
  <c r="AI28" i="11"/>
  <c r="AI27" i="11"/>
  <c r="AC29" i="11"/>
  <c r="AC28" i="11"/>
  <c r="AC27" i="11"/>
  <c r="Z29" i="11"/>
  <c r="Z28" i="11"/>
  <c r="Z27" i="11"/>
  <c r="Z26" i="11"/>
  <c r="Z25" i="11"/>
  <c r="Z24" i="11"/>
  <c r="Z23" i="11"/>
  <c r="Z22" i="11"/>
  <c r="Z20" i="11"/>
  <c r="Z18" i="11"/>
  <c r="Z17" i="11"/>
  <c r="Z16" i="11"/>
  <c r="Z15" i="11"/>
  <c r="Z14" i="11"/>
  <c r="Z13" i="11"/>
  <c r="Z10" i="11"/>
  <c r="Z9" i="11"/>
  <c r="Z8" i="11"/>
  <c r="AR22" i="11"/>
  <c r="AR11" i="11"/>
  <c r="AR10" i="11"/>
  <c r="AR9" i="11"/>
  <c r="AR8" i="11"/>
  <c r="AL10" i="11"/>
  <c r="AL9" i="11"/>
  <c r="AL8" i="11"/>
  <c r="AI11" i="11"/>
  <c r="AI8" i="11"/>
  <c r="AC26" i="11"/>
  <c r="AC25" i="11"/>
  <c r="AC24" i="11"/>
  <c r="AC23" i="11"/>
  <c r="AC22" i="11"/>
  <c r="AC12" i="11"/>
  <c r="AC11" i="11"/>
  <c r="AC10" i="11"/>
  <c r="AC9" i="11"/>
  <c r="AC8" i="11"/>
  <c r="AQ29" i="11"/>
  <c r="AQ28" i="11"/>
  <c r="AQ27" i="11"/>
  <c r="AQ22" i="11"/>
  <c r="AQ11" i="11"/>
  <c r="AQ10" i="11"/>
  <c r="AQ9" i="11"/>
  <c r="AQ8" i="11"/>
  <c r="AN29" i="11"/>
  <c r="AN27" i="11"/>
  <c r="AN25" i="11"/>
  <c r="AN23" i="11"/>
  <c r="AN22" i="11"/>
  <c r="AN11" i="11"/>
  <c r="AN8" i="11"/>
  <c r="AK29" i="11"/>
  <c r="AK28" i="11"/>
  <c r="AK27" i="11"/>
  <c r="AK10" i="11"/>
  <c r="AK9" i="11"/>
  <c r="AK8" i="11"/>
  <c r="AH29" i="11"/>
  <c r="AH28" i="11"/>
  <c r="AH27" i="11"/>
  <c r="AH11" i="11"/>
  <c r="AH8" i="11"/>
  <c r="AE29" i="11"/>
  <c r="AE27" i="11"/>
  <c r="AE26" i="11"/>
  <c r="AE25" i="11"/>
  <c r="AE24" i="11"/>
  <c r="AE23" i="11"/>
  <c r="AE22" i="11"/>
  <c r="AE12" i="11"/>
  <c r="AE11" i="11"/>
  <c r="AE10" i="11"/>
  <c r="AE9" i="11"/>
  <c r="AE8" i="11"/>
  <c r="AB29" i="11"/>
  <c r="AB28" i="11"/>
  <c r="AB27" i="11"/>
  <c r="AB26" i="11"/>
  <c r="AB25" i="11"/>
  <c r="AB24" i="11"/>
  <c r="AB23" i="11"/>
  <c r="AB22" i="11"/>
  <c r="AB12" i="11"/>
  <c r="AB11" i="11"/>
  <c r="AB10" i="11"/>
  <c r="AB9" i="11"/>
  <c r="AB8" i="11"/>
  <c r="Y29" i="11"/>
  <c r="Y28" i="11"/>
  <c r="Y27" i="11"/>
  <c r="Y26" i="11"/>
  <c r="Y25" i="11"/>
  <c r="Y24" i="11"/>
  <c r="Y23" i="11"/>
  <c r="Y22" i="11"/>
  <c r="Y20" i="11"/>
  <c r="Y19" i="11"/>
  <c r="Y18" i="11"/>
  <c r="Y17" i="11"/>
  <c r="Y16" i="11"/>
  <c r="Y15" i="11"/>
  <c r="Y14" i="11"/>
  <c r="Y13" i="11"/>
  <c r="Y10" i="11"/>
  <c r="Y9" i="11"/>
  <c r="Y8" i="11"/>
  <c r="AP29" i="11"/>
  <c r="AP28" i="11"/>
  <c r="AP27" i="11"/>
  <c r="AP22" i="11"/>
  <c r="AP11" i="11"/>
  <c r="AP10" i="11"/>
  <c r="AP9" i="11"/>
  <c r="AP8" i="11"/>
  <c r="AM29" i="11"/>
  <c r="AM27" i="11"/>
  <c r="AM25" i="11"/>
  <c r="AM23" i="11"/>
  <c r="AM22" i="11"/>
  <c r="AM11" i="11"/>
  <c r="AM8" i="11"/>
  <c r="AJ29" i="11"/>
  <c r="AJ28" i="11"/>
  <c r="AJ27" i="11"/>
  <c r="AJ10" i="11"/>
  <c r="AJ9" i="11"/>
  <c r="AJ8" i="11"/>
  <c r="AG29" i="11"/>
  <c r="AG28" i="11"/>
  <c r="AG27" i="11"/>
  <c r="AG11" i="11"/>
  <c r="AG8" i="11"/>
  <c r="AD29" i="11"/>
  <c r="AD27" i="11"/>
  <c r="AD26" i="11"/>
  <c r="AD25" i="11"/>
  <c r="AD24" i="11"/>
  <c r="AD23" i="11"/>
  <c r="AD22" i="11"/>
  <c r="AD12" i="11"/>
  <c r="AD11" i="11"/>
  <c r="AD10" i="11"/>
  <c r="AD9" i="11"/>
  <c r="AD8" i="11"/>
  <c r="AA29" i="11"/>
  <c r="AA28" i="11"/>
  <c r="AA27" i="11"/>
  <c r="AA26" i="11"/>
  <c r="AA25" i="11"/>
  <c r="AA24" i="11"/>
  <c r="AA23" i="11"/>
  <c r="AA22" i="11"/>
  <c r="AA12" i="11"/>
  <c r="AA11" i="11"/>
  <c r="AA10" i="11"/>
  <c r="AA9" i="11"/>
  <c r="AA8" i="11"/>
  <c r="X29" i="11"/>
  <c r="X28" i="11"/>
  <c r="X27" i="11"/>
  <c r="X26" i="11"/>
  <c r="X25" i="11"/>
  <c r="X24" i="11"/>
  <c r="X23" i="11"/>
  <c r="X22" i="11"/>
  <c r="X20" i="11"/>
  <c r="X19" i="11"/>
  <c r="X18" i="11"/>
  <c r="X17" i="11"/>
  <c r="X16" i="11"/>
  <c r="X15" i="11"/>
  <c r="X14" i="11"/>
  <c r="X13" i="11"/>
  <c r="X10" i="11"/>
  <c r="X9" i="11"/>
  <c r="X8" i="11"/>
  <c r="AQ18" i="42"/>
  <c r="AK20" i="42"/>
  <c r="AH20" i="42"/>
  <c r="AK27" i="42"/>
  <c r="AH27" i="42"/>
  <c r="AQ26" i="42"/>
  <c r="AK26" i="42"/>
  <c r="AH26" i="42"/>
  <c r="AB26" i="42"/>
  <c r="AQ25" i="42"/>
  <c r="AB25" i="42"/>
  <c r="AQ23" i="42"/>
  <c r="AB23" i="42"/>
  <c r="AQ27" i="42"/>
  <c r="AQ24" i="42"/>
  <c r="AQ22" i="42"/>
  <c r="AQ21" i="42"/>
  <c r="AQ20" i="42"/>
  <c r="AQ13" i="42"/>
  <c r="AQ9" i="42"/>
  <c r="AQ8" i="42"/>
  <c r="AN27" i="42"/>
  <c r="AN26" i="42"/>
  <c r="AN24" i="42"/>
  <c r="AN23" i="42"/>
  <c r="AN22" i="42"/>
  <c r="AN20" i="42"/>
  <c r="AN18" i="42"/>
  <c r="AN8" i="42"/>
  <c r="AK25" i="42"/>
  <c r="AK24" i="42"/>
  <c r="AK23" i="42"/>
  <c r="AK22" i="42"/>
  <c r="AK18" i="42"/>
  <c r="AK13" i="42"/>
  <c r="AK9" i="42"/>
  <c r="AK8" i="42"/>
  <c r="AH25" i="42"/>
  <c r="AH24" i="42"/>
  <c r="AH23" i="42"/>
  <c r="AH22" i="42"/>
  <c r="AH18" i="42"/>
  <c r="AH13" i="42"/>
  <c r="AH9" i="42"/>
  <c r="AH8" i="42"/>
  <c r="AE27" i="42"/>
  <c r="AE26" i="42"/>
  <c r="AE25" i="42"/>
  <c r="AE24" i="42"/>
  <c r="AE23" i="42"/>
  <c r="AE22" i="42"/>
  <c r="AE21" i="42"/>
  <c r="AE20" i="42"/>
  <c r="AE18" i="42"/>
  <c r="AE13" i="42"/>
  <c r="AE9" i="42"/>
  <c r="AE8" i="42"/>
  <c r="AB27" i="42"/>
  <c r="AB24" i="42"/>
  <c r="AB22" i="42"/>
  <c r="AB20" i="42"/>
  <c r="AB19" i="42"/>
  <c r="AB18" i="42"/>
  <c r="AB13" i="42"/>
  <c r="AB9" i="42"/>
  <c r="AB8" i="42"/>
  <c r="Y33" i="42"/>
  <c r="Y32" i="42"/>
  <c r="Y31" i="42"/>
  <c r="Y27" i="42"/>
  <c r="Y26" i="42"/>
  <c r="Y25" i="42"/>
  <c r="Y24" i="42"/>
  <c r="Y23" i="42"/>
  <c r="Y22" i="42"/>
  <c r="Y21" i="42"/>
  <c r="Y20" i="42"/>
  <c r="Y19" i="42"/>
  <c r="Y18" i="42"/>
  <c r="Y14" i="42"/>
  <c r="Y13" i="42"/>
  <c r="Y12" i="42"/>
  <c r="Y11" i="42"/>
  <c r="Y10" i="42"/>
  <c r="Y9" i="42"/>
  <c r="Y8" i="42"/>
  <c r="AR27" i="42"/>
  <c r="AR26" i="42"/>
  <c r="AR25" i="42"/>
  <c r="AR24" i="42"/>
  <c r="AR23" i="42"/>
  <c r="AR22" i="42"/>
  <c r="AR21" i="42"/>
  <c r="AR20" i="42"/>
  <c r="AR18" i="42"/>
  <c r="AR13" i="42"/>
  <c r="AR9" i="42"/>
  <c r="AR8" i="42"/>
  <c r="AO27" i="42"/>
  <c r="AO26" i="42"/>
  <c r="AO24" i="42"/>
  <c r="AO23" i="42"/>
  <c r="AO22" i="42"/>
  <c r="AO20" i="42"/>
  <c r="AO18" i="42"/>
  <c r="AO8" i="42"/>
  <c r="AL27" i="42"/>
  <c r="AL26" i="42"/>
  <c r="AL25" i="42"/>
  <c r="AL24" i="42"/>
  <c r="AL23" i="42"/>
  <c r="AL22" i="42"/>
  <c r="AL21" i="42"/>
  <c r="AL20" i="42"/>
  <c r="AL18" i="42"/>
  <c r="AL13" i="42"/>
  <c r="AL9" i="42"/>
  <c r="AL8" i="42"/>
  <c r="AI27" i="42"/>
  <c r="AI26" i="42"/>
  <c r="AI25" i="42"/>
  <c r="AI24" i="42"/>
  <c r="AI23" i="42"/>
  <c r="AI22" i="42"/>
  <c r="AI21" i="42"/>
  <c r="AI20" i="42"/>
  <c r="AI18" i="42"/>
  <c r="AI13" i="42"/>
  <c r="AI9" i="42"/>
  <c r="AI8" i="42"/>
  <c r="AF27" i="42"/>
  <c r="AF26" i="42"/>
  <c r="AF25" i="42"/>
  <c r="AF24" i="42"/>
  <c r="AF23" i="42"/>
  <c r="AF22" i="42"/>
  <c r="AF21" i="42"/>
  <c r="AF20" i="42"/>
  <c r="AF18" i="42"/>
  <c r="AF13" i="42"/>
  <c r="AF9" i="42"/>
  <c r="AF8" i="42"/>
  <c r="AC27" i="42"/>
  <c r="AC26" i="42"/>
  <c r="AC25" i="42"/>
  <c r="AC24" i="42"/>
  <c r="AC23" i="42"/>
  <c r="AC22" i="42"/>
  <c r="AC21" i="42"/>
  <c r="AC20" i="42"/>
  <c r="AC19" i="42"/>
  <c r="AC18" i="42"/>
  <c r="AC13" i="42"/>
  <c r="AC9" i="42"/>
  <c r="AC8" i="42"/>
  <c r="Z33" i="42"/>
  <c r="Z32" i="42"/>
  <c r="Z31" i="42"/>
  <c r="Z27" i="42"/>
  <c r="Z26" i="42"/>
  <c r="Z25" i="42"/>
  <c r="Z24" i="42"/>
  <c r="Z23" i="42"/>
  <c r="Z22" i="42"/>
  <c r="Z21" i="42"/>
  <c r="Z20" i="42"/>
  <c r="Z19" i="42"/>
  <c r="Z18" i="42"/>
  <c r="Z14" i="42"/>
  <c r="Z13" i="42"/>
  <c r="Z12" i="42"/>
  <c r="Z11" i="42"/>
  <c r="Z10" i="42"/>
  <c r="Z9" i="42"/>
  <c r="Z8" i="42"/>
  <c r="AP27" i="42"/>
  <c r="AP26" i="42"/>
  <c r="AP25" i="42"/>
  <c r="AP24" i="42"/>
  <c r="AP23" i="42"/>
  <c r="AP22" i="42"/>
  <c r="AP21" i="42"/>
  <c r="AP20" i="42"/>
  <c r="AP18" i="42"/>
  <c r="AP13" i="42"/>
  <c r="AP9" i="42"/>
  <c r="AP8" i="42"/>
  <c r="AM27" i="42"/>
  <c r="AM26" i="42"/>
  <c r="AM24" i="42"/>
  <c r="AM23" i="42"/>
  <c r="AM22" i="42"/>
  <c r="AM20" i="42"/>
  <c r="AM18" i="42"/>
  <c r="AM8" i="42"/>
  <c r="AJ27" i="42"/>
  <c r="AJ26" i="42"/>
  <c r="AJ25" i="42"/>
  <c r="AJ24" i="42"/>
  <c r="AJ23" i="42"/>
  <c r="AJ22" i="42"/>
  <c r="AJ21" i="42"/>
  <c r="AJ20" i="42"/>
  <c r="AJ18" i="42"/>
  <c r="AJ13" i="42"/>
  <c r="AJ9" i="42"/>
  <c r="AJ8" i="42"/>
  <c r="AG27" i="42"/>
  <c r="AG26" i="42"/>
  <c r="AG25" i="42"/>
  <c r="AG24" i="42"/>
  <c r="AG23" i="42"/>
  <c r="AG22" i="42"/>
  <c r="AG21" i="42"/>
  <c r="AG20" i="42"/>
  <c r="AG18" i="42"/>
  <c r="AG13" i="42"/>
  <c r="AG9" i="42"/>
  <c r="AG8" i="42"/>
  <c r="AD27" i="42"/>
  <c r="AD26" i="42"/>
  <c r="AD25" i="42"/>
  <c r="AD24" i="42"/>
  <c r="AD23" i="42"/>
  <c r="AD22" i="42"/>
  <c r="AD21" i="42"/>
  <c r="AD20" i="42"/>
  <c r="AD18" i="42"/>
  <c r="AD13" i="42"/>
  <c r="AD9" i="42"/>
  <c r="AD8" i="42"/>
  <c r="AA27" i="42"/>
  <c r="AA26" i="42"/>
  <c r="AA25" i="42"/>
  <c r="AA24" i="42"/>
  <c r="AA23" i="42"/>
  <c r="AA22" i="42"/>
  <c r="AA21" i="42"/>
  <c r="AA20" i="42"/>
  <c r="AA19" i="42"/>
  <c r="AA18" i="42"/>
  <c r="AA13" i="42"/>
  <c r="AA9" i="42"/>
  <c r="AA8" i="42"/>
  <c r="X33" i="42"/>
  <c r="X32" i="42"/>
  <c r="X31" i="42"/>
  <c r="X27" i="42"/>
  <c r="X26" i="42"/>
  <c r="X25" i="42"/>
  <c r="X24" i="42"/>
  <c r="X23" i="42"/>
  <c r="X22" i="42"/>
  <c r="X21" i="42"/>
  <c r="X20" i="42"/>
  <c r="X19" i="42"/>
  <c r="X18" i="42"/>
  <c r="X14" i="42"/>
  <c r="X13" i="42"/>
  <c r="X12" i="42"/>
  <c r="X11" i="42"/>
  <c r="X10" i="42"/>
  <c r="X9" i="42"/>
  <c r="X8" i="42"/>
  <c r="AN8" i="9"/>
  <c r="AN27" i="9"/>
  <c r="AN26" i="9"/>
  <c r="AK27" i="9"/>
  <c r="AH27" i="9"/>
  <c r="AK26" i="9"/>
  <c r="AH26" i="9"/>
  <c r="AQ27" i="9"/>
  <c r="AQ26" i="9"/>
  <c r="AQ25" i="9"/>
  <c r="AQ23" i="9"/>
  <c r="AQ18" i="9"/>
  <c r="AK20" i="9"/>
  <c r="AH20" i="9"/>
  <c r="AE27" i="9"/>
  <c r="AK25" i="9"/>
  <c r="AH25" i="9"/>
  <c r="AE26" i="9"/>
  <c r="AE25" i="9"/>
  <c r="AN24" i="9"/>
  <c r="AN23" i="9"/>
  <c r="AK24" i="9"/>
  <c r="AK23" i="9"/>
  <c r="AH24" i="9"/>
  <c r="AH23" i="9"/>
  <c r="AE24" i="9"/>
  <c r="AE23" i="9"/>
  <c r="AN18" i="9"/>
  <c r="AK18" i="9"/>
  <c r="AE18" i="9"/>
  <c r="AE13" i="9"/>
  <c r="AQ10" i="9"/>
  <c r="AE9" i="9"/>
  <c r="AE8" i="9"/>
  <c r="AB27" i="9"/>
  <c r="AB26" i="9"/>
  <c r="AB25" i="9"/>
  <c r="AB23" i="9"/>
  <c r="AK22" i="9"/>
  <c r="AH22" i="9"/>
  <c r="AQ22" i="9"/>
  <c r="AQ20" i="9"/>
  <c r="AH18" i="9"/>
  <c r="AQ13" i="9"/>
  <c r="AK13" i="9"/>
  <c r="AH13" i="9"/>
  <c r="AB22" i="9"/>
  <c r="AB20" i="9"/>
  <c r="AB19" i="9"/>
  <c r="AB18" i="9"/>
  <c r="AB13" i="9"/>
  <c r="AQ9" i="9"/>
  <c r="AQ8" i="9"/>
  <c r="AH8" i="9"/>
  <c r="AH9" i="9"/>
  <c r="AK9" i="9"/>
  <c r="AK8" i="9"/>
  <c r="AB9" i="9"/>
  <c r="AB8" i="9"/>
  <c r="Y33" i="9"/>
  <c r="Y32" i="9"/>
  <c r="Y31" i="9"/>
  <c r="Y27" i="9"/>
  <c r="Y26" i="9"/>
  <c r="Y25" i="9"/>
  <c r="Y24" i="9"/>
  <c r="Y23" i="9"/>
  <c r="Y22" i="9"/>
  <c r="Y21" i="9"/>
  <c r="Y20" i="9"/>
  <c r="Y19" i="9"/>
  <c r="Y18" i="9"/>
  <c r="Y14" i="9"/>
  <c r="Y13" i="9"/>
  <c r="Y12" i="9"/>
  <c r="Y11" i="9"/>
  <c r="Y10" i="9"/>
  <c r="Y9" i="9"/>
  <c r="Y8" i="9"/>
  <c r="AR27" i="9"/>
  <c r="AR26" i="9"/>
  <c r="AR25" i="9"/>
  <c r="AR24" i="9"/>
  <c r="AR23" i="9"/>
  <c r="AR22" i="9"/>
  <c r="AR21" i="9"/>
  <c r="AR20" i="9"/>
  <c r="AR18" i="9"/>
  <c r="AR13" i="9"/>
  <c r="AR10" i="9"/>
  <c r="AR9" i="9"/>
  <c r="AR8" i="9"/>
  <c r="AP27" i="9"/>
  <c r="AP26" i="9"/>
  <c r="AP25" i="9"/>
  <c r="AP24" i="9"/>
  <c r="AP23" i="9"/>
  <c r="AP22" i="9"/>
  <c r="AP21" i="9"/>
  <c r="AP20" i="9"/>
  <c r="AP18" i="9"/>
  <c r="AP13" i="9"/>
  <c r="AP10" i="9"/>
  <c r="AP9" i="9"/>
  <c r="AP8" i="9"/>
  <c r="AO27" i="9"/>
  <c r="AO26" i="9"/>
  <c r="AO24" i="9"/>
  <c r="AO23" i="9"/>
  <c r="AO22" i="9"/>
  <c r="AO20" i="9"/>
  <c r="AO18" i="9"/>
  <c r="AO8" i="9"/>
  <c r="AM27" i="9"/>
  <c r="AM26" i="9"/>
  <c r="AM24" i="9"/>
  <c r="AM23" i="9"/>
  <c r="AM22" i="9"/>
  <c r="AM20" i="9"/>
  <c r="AM18" i="9"/>
  <c r="AM8" i="9"/>
  <c r="AL27" i="9"/>
  <c r="AL26" i="9"/>
  <c r="AL25" i="9"/>
  <c r="AL24" i="9"/>
  <c r="AL23" i="9"/>
  <c r="AL22" i="9"/>
  <c r="AL21" i="9"/>
  <c r="AL20" i="9"/>
  <c r="AL18" i="9"/>
  <c r="AL13" i="9"/>
  <c r="AL9" i="9"/>
  <c r="AL8" i="9"/>
  <c r="AJ27" i="9"/>
  <c r="AJ26" i="9"/>
  <c r="AJ25" i="9"/>
  <c r="AJ24" i="9"/>
  <c r="AJ23" i="9"/>
  <c r="AJ22" i="9"/>
  <c r="AJ21" i="9"/>
  <c r="AJ20" i="9"/>
  <c r="AJ18" i="9"/>
  <c r="AJ13" i="9"/>
  <c r="AJ9" i="9"/>
  <c r="AJ8" i="9"/>
  <c r="AI27" i="9"/>
  <c r="AI26" i="9"/>
  <c r="AI25" i="9"/>
  <c r="AI24" i="9"/>
  <c r="AI23" i="9"/>
  <c r="AI22" i="9"/>
  <c r="AI21" i="9"/>
  <c r="AI20" i="9"/>
  <c r="AI18" i="9"/>
  <c r="AI13" i="9"/>
  <c r="AI9" i="9"/>
  <c r="AI8" i="9"/>
  <c r="AG27" i="9"/>
  <c r="AG26" i="9"/>
  <c r="AG25" i="9"/>
  <c r="AG24" i="9"/>
  <c r="AG23" i="9"/>
  <c r="AG22" i="9"/>
  <c r="AG21" i="9"/>
  <c r="AG20" i="9"/>
  <c r="AG18" i="9"/>
  <c r="AG13" i="9"/>
  <c r="AG9" i="9"/>
  <c r="AG8" i="9"/>
  <c r="AF27" i="9"/>
  <c r="AF26" i="9"/>
  <c r="AF25" i="9"/>
  <c r="AF24" i="9"/>
  <c r="AF23" i="9"/>
  <c r="AF22" i="9"/>
  <c r="AF21" i="9"/>
  <c r="AF20" i="9"/>
  <c r="AF18" i="9"/>
  <c r="AF13" i="9"/>
  <c r="AF9" i="9"/>
  <c r="AF8" i="9"/>
  <c r="AD27" i="9"/>
  <c r="AD26" i="9"/>
  <c r="AD25" i="9"/>
  <c r="AD24" i="9"/>
  <c r="AD23" i="9"/>
  <c r="AD22" i="9"/>
  <c r="AD21" i="9"/>
  <c r="AD20" i="9"/>
  <c r="AD18" i="9"/>
  <c r="AD13" i="9"/>
  <c r="AD9" i="9"/>
  <c r="AD8" i="9"/>
  <c r="AC27" i="9"/>
  <c r="AC26" i="9"/>
  <c r="AC25" i="9"/>
  <c r="AC24" i="9"/>
  <c r="AC23" i="9"/>
  <c r="AC22" i="9"/>
  <c r="AC21" i="9"/>
  <c r="AC20" i="9"/>
  <c r="AC19" i="9"/>
  <c r="AC18" i="9"/>
  <c r="AC13" i="9"/>
  <c r="AC9" i="9"/>
  <c r="AC8" i="9"/>
  <c r="AA27" i="9"/>
  <c r="AA26" i="9"/>
  <c r="AA25" i="9"/>
  <c r="AA24" i="9"/>
  <c r="AA23" i="9"/>
  <c r="AA22" i="9"/>
  <c r="AA21" i="9"/>
  <c r="AA20" i="9"/>
  <c r="AA19" i="9"/>
  <c r="AA18" i="9"/>
  <c r="AA13" i="9"/>
  <c r="AA9" i="9"/>
  <c r="AA8" i="9"/>
  <c r="Z33" i="9"/>
  <c r="Z32" i="9"/>
  <c r="Z31" i="9"/>
  <c r="Z27" i="9"/>
  <c r="Z26" i="9"/>
  <c r="Z25" i="9"/>
  <c r="Z24" i="9"/>
  <c r="Z23" i="9"/>
  <c r="Z22" i="9"/>
  <c r="Z21" i="9"/>
  <c r="Z20" i="9"/>
  <c r="Z19" i="9"/>
  <c r="Z18" i="9"/>
  <c r="Z14" i="9"/>
  <c r="Z13" i="9"/>
  <c r="Z12" i="9"/>
  <c r="Z11" i="9"/>
  <c r="Z10" i="9"/>
  <c r="Z9" i="9"/>
  <c r="Z8" i="9"/>
  <c r="X33" i="9"/>
  <c r="X32" i="9"/>
  <c r="X31" i="9"/>
  <c r="X27" i="9"/>
  <c r="X26" i="9"/>
  <c r="X25" i="9"/>
  <c r="X24" i="9"/>
  <c r="X23" i="9"/>
  <c r="X22" i="9"/>
  <c r="X21" i="9"/>
  <c r="X20" i="9"/>
  <c r="X19" i="9"/>
  <c r="X18" i="9"/>
  <c r="X14" i="9"/>
  <c r="X13" i="9"/>
  <c r="X12" i="9"/>
  <c r="X11" i="9"/>
  <c r="X10" i="9"/>
  <c r="X9" i="9"/>
  <c r="X8" i="9"/>
  <c r="AJ11" i="8"/>
  <c r="AG11" i="8"/>
  <c r="AJ10" i="8"/>
  <c r="AG10" i="8"/>
  <c r="AJ9" i="8"/>
  <c r="AG9" i="8"/>
  <c r="AM8" i="8"/>
  <c r="AJ8" i="8"/>
  <c r="AG8" i="8"/>
  <c r="AJ34" i="8"/>
  <c r="AD34" i="8"/>
  <c r="AM33" i="8"/>
  <c r="AD33" i="8"/>
  <c r="AM32" i="8"/>
  <c r="AJ32" i="8"/>
  <c r="AG32" i="8"/>
  <c r="AD32" i="8"/>
  <c r="AD31" i="8"/>
  <c r="AJ18" i="8"/>
  <c r="AG18" i="8"/>
  <c r="AD18" i="8"/>
  <c r="AD17" i="8"/>
  <c r="AD16" i="8"/>
  <c r="AD15" i="8"/>
  <c r="AP15" i="8"/>
  <c r="AP14" i="8"/>
  <c r="AD14" i="8"/>
  <c r="AP11" i="8"/>
  <c r="AD11" i="8"/>
  <c r="AP10" i="8"/>
  <c r="AD10" i="8"/>
  <c r="AP9" i="8"/>
  <c r="AD9" i="8"/>
  <c r="AP8" i="8"/>
  <c r="AD8" i="8"/>
  <c r="AP26" i="8"/>
  <c r="AJ26" i="8"/>
  <c r="AG26" i="8"/>
  <c r="AD26" i="8"/>
  <c r="AP18" i="8"/>
  <c r="AA18" i="8"/>
  <c r="AP33" i="8"/>
  <c r="AJ33" i="8"/>
  <c r="AG33" i="8"/>
  <c r="AA33" i="8"/>
  <c r="AP32" i="8"/>
  <c r="AA32" i="8"/>
  <c r="AP31" i="8"/>
  <c r="AM31" i="8"/>
  <c r="AJ31" i="8"/>
  <c r="AG31" i="8"/>
  <c r="AA31" i="8"/>
  <c r="AP27" i="8"/>
  <c r="AJ27" i="8"/>
  <c r="AG27" i="8"/>
  <c r="AA27" i="8"/>
  <c r="AP25" i="8"/>
  <c r="AJ25" i="8"/>
  <c r="AG25" i="8"/>
  <c r="AD25" i="8"/>
  <c r="AA25" i="8"/>
  <c r="AP17" i="8"/>
  <c r="AJ17" i="8"/>
  <c r="AG17" i="8"/>
  <c r="AA17" i="8"/>
  <c r="AP16" i="8"/>
  <c r="AJ16" i="8"/>
  <c r="AG16" i="8"/>
  <c r="AA16" i="8"/>
  <c r="AJ15" i="8"/>
  <c r="AG15" i="8"/>
  <c r="AA15" i="8"/>
  <c r="AJ14" i="8"/>
  <c r="AG14" i="8"/>
  <c r="AA14" i="8"/>
  <c r="AA11" i="8"/>
  <c r="AA10" i="8"/>
  <c r="AA9" i="8"/>
  <c r="AA8" i="8"/>
  <c r="X34" i="8"/>
  <c r="X33" i="8"/>
  <c r="X32" i="8"/>
  <c r="X31" i="8"/>
  <c r="X27" i="8"/>
  <c r="X25" i="8"/>
  <c r="X17" i="8"/>
  <c r="X16" i="8"/>
  <c r="X15" i="8"/>
  <c r="X14" i="8"/>
  <c r="X11" i="8"/>
  <c r="X10" i="8"/>
  <c r="X9" i="8"/>
  <c r="X8" i="8"/>
  <c r="AR34" i="8"/>
  <c r="AQ34" i="8"/>
  <c r="AR33" i="8"/>
  <c r="AQ33" i="8"/>
  <c r="AR32" i="8"/>
  <c r="AQ32" i="8"/>
  <c r="AR31" i="8"/>
  <c r="AQ31" i="8"/>
  <c r="AR27" i="8"/>
  <c r="AQ27" i="8"/>
  <c r="AR26" i="8"/>
  <c r="AQ26" i="8"/>
  <c r="AR25" i="8"/>
  <c r="AQ25" i="8"/>
  <c r="AR18" i="8"/>
  <c r="AQ18" i="8"/>
  <c r="AR17" i="8"/>
  <c r="AQ17" i="8"/>
  <c r="AR16" i="8"/>
  <c r="AQ16" i="8"/>
  <c r="AR15" i="8"/>
  <c r="AQ15" i="8"/>
  <c r="AR14" i="8"/>
  <c r="AQ14" i="8"/>
  <c r="AR11" i="8"/>
  <c r="AQ11" i="8"/>
  <c r="AR10" i="8"/>
  <c r="AQ10" i="8"/>
  <c r="AR9" i="8"/>
  <c r="AQ9" i="8"/>
  <c r="AR8" i="8"/>
  <c r="AQ8" i="8"/>
  <c r="AO34" i="8"/>
  <c r="AN34" i="8"/>
  <c r="AO33" i="8"/>
  <c r="AN33" i="8"/>
  <c r="AO32" i="8"/>
  <c r="AN32" i="8"/>
  <c r="AO31" i="8"/>
  <c r="AN31" i="8"/>
  <c r="AO8" i="8"/>
  <c r="AN8" i="8"/>
  <c r="AL34" i="8"/>
  <c r="AK34" i="8"/>
  <c r="AL33" i="8"/>
  <c r="AK33" i="8"/>
  <c r="AL32" i="8"/>
  <c r="AK32" i="8"/>
  <c r="AL31" i="8"/>
  <c r="AK31" i="8"/>
  <c r="AL27" i="8"/>
  <c r="AK27" i="8"/>
  <c r="AL26" i="8"/>
  <c r="AK26" i="8"/>
  <c r="AL25" i="8"/>
  <c r="AK25" i="8"/>
  <c r="AL18" i="8"/>
  <c r="AK18" i="8"/>
  <c r="AL17" i="8"/>
  <c r="AK17" i="8"/>
  <c r="AL16" i="8"/>
  <c r="AK16" i="8"/>
  <c r="AL15" i="8"/>
  <c r="AK15" i="8"/>
  <c r="AL14" i="8"/>
  <c r="AK14" i="8"/>
  <c r="AL11" i="8"/>
  <c r="AK11" i="8"/>
  <c r="AL10" i="8"/>
  <c r="AK10" i="8"/>
  <c r="AL9" i="8"/>
  <c r="AK9" i="8"/>
  <c r="AL8" i="8"/>
  <c r="AK8" i="8"/>
  <c r="AI10" i="8"/>
  <c r="AH10" i="8"/>
  <c r="AI9" i="8"/>
  <c r="AH9" i="8"/>
  <c r="AI8" i="8"/>
  <c r="AH8" i="8"/>
  <c r="AF10" i="8"/>
  <c r="AE10" i="8"/>
  <c r="AF9" i="8"/>
  <c r="AE9" i="8"/>
  <c r="AF8" i="8"/>
  <c r="AE8" i="8"/>
  <c r="AC10" i="8"/>
  <c r="AB10" i="8"/>
  <c r="AC9" i="8"/>
  <c r="AB9" i="8"/>
  <c r="AC8" i="8"/>
  <c r="AB8" i="8"/>
  <c r="AI34" i="8"/>
  <c r="AH34" i="8"/>
  <c r="AI33" i="8"/>
  <c r="AH33" i="8"/>
  <c r="AI32" i="8"/>
  <c r="AH32" i="8"/>
  <c r="AI31" i="8"/>
  <c r="AH31" i="8"/>
  <c r="AI27" i="8"/>
  <c r="AH27" i="8"/>
  <c r="AI26" i="8"/>
  <c r="AH26" i="8"/>
  <c r="AI25" i="8"/>
  <c r="AH25" i="8"/>
  <c r="AI18" i="8"/>
  <c r="AH18" i="8"/>
  <c r="AI17" i="8"/>
  <c r="AH17" i="8"/>
  <c r="AI16" i="8"/>
  <c r="AH16" i="8"/>
  <c r="AI15" i="8"/>
  <c r="AH15" i="8"/>
  <c r="AI14" i="8"/>
  <c r="AH14" i="8"/>
  <c r="AI11" i="8"/>
  <c r="AH11" i="8"/>
  <c r="AF34" i="8"/>
  <c r="AE34" i="8"/>
  <c r="AF33" i="8"/>
  <c r="AE33" i="8"/>
  <c r="AF32" i="8"/>
  <c r="AE32" i="8"/>
  <c r="AF31" i="8"/>
  <c r="AE31" i="8"/>
  <c r="AF26" i="8"/>
  <c r="AE26" i="8"/>
  <c r="AF25" i="8"/>
  <c r="AE25" i="8"/>
  <c r="AF18" i="8"/>
  <c r="AE18" i="8"/>
  <c r="AF17" i="8"/>
  <c r="AE17" i="8"/>
  <c r="AF16" i="8"/>
  <c r="AE16" i="8"/>
  <c r="AF15" i="8"/>
  <c r="AE15" i="8"/>
  <c r="AF14" i="8"/>
  <c r="AE14" i="8"/>
  <c r="AF11" i="8"/>
  <c r="AE11" i="8"/>
  <c r="AC34" i="8"/>
  <c r="AB34" i="8"/>
  <c r="AC33" i="8"/>
  <c r="AB33" i="8"/>
  <c r="AC32" i="8"/>
  <c r="AB32" i="8"/>
  <c r="AC31" i="8"/>
  <c r="AB31" i="8"/>
  <c r="AC27" i="8"/>
  <c r="AB27" i="8"/>
  <c r="AC26" i="8"/>
  <c r="AB26" i="8"/>
  <c r="AC25" i="8"/>
  <c r="AB25" i="8"/>
  <c r="AC18" i="8"/>
  <c r="AB18" i="8"/>
  <c r="AC17" i="8"/>
  <c r="AB17" i="8"/>
  <c r="AC16" i="8"/>
  <c r="AB16" i="8"/>
  <c r="AC15" i="8"/>
  <c r="AB15" i="8"/>
  <c r="AC14" i="8"/>
  <c r="AB14" i="8"/>
  <c r="AC11" i="8"/>
  <c r="AB11" i="8"/>
  <c r="Z34" i="8"/>
  <c r="Z33" i="8"/>
  <c r="Y33" i="8"/>
  <c r="Z32" i="8"/>
  <c r="Y32" i="8"/>
  <c r="Z31" i="8"/>
  <c r="Y31" i="8"/>
  <c r="Z27" i="8"/>
  <c r="Y27" i="8"/>
  <c r="Z26" i="8"/>
  <c r="Y26" i="8"/>
  <c r="Z25" i="8"/>
  <c r="Y25" i="8"/>
  <c r="Z18" i="8"/>
  <c r="Y18" i="8"/>
  <c r="Z17" i="8"/>
  <c r="Y17" i="8"/>
  <c r="Z16" i="8"/>
  <c r="Y16" i="8"/>
  <c r="Z15" i="8"/>
  <c r="Y15" i="8"/>
  <c r="Z14" i="8"/>
  <c r="Y14" i="8"/>
  <c r="Z11" i="8"/>
  <c r="Y11" i="8"/>
  <c r="Z10" i="8"/>
  <c r="Y10" i="8"/>
  <c r="Z9" i="8"/>
  <c r="Y9" i="8"/>
  <c r="Z8" i="8"/>
  <c r="Y8" i="8"/>
  <c r="AP12" i="7"/>
  <c r="AP11" i="7"/>
  <c r="AP9" i="7"/>
  <c r="AP8" i="7"/>
  <c r="AM22" i="7"/>
  <c r="AM15" i="7"/>
  <c r="AM8" i="7"/>
  <c r="AJ8" i="7"/>
  <c r="AJ16" i="7"/>
  <c r="AG19" i="7"/>
  <c r="AG16" i="7"/>
  <c r="AG8" i="7"/>
  <c r="AD24" i="7"/>
  <c r="AD25" i="7"/>
  <c r="AD22" i="7"/>
  <c r="AD21" i="7"/>
  <c r="AD16" i="7"/>
  <c r="AD8" i="7"/>
  <c r="AP28" i="7"/>
  <c r="AP27" i="7"/>
  <c r="AJ28" i="7"/>
  <c r="AJ27" i="7"/>
  <c r="AG28" i="7"/>
  <c r="AG27" i="7"/>
  <c r="AA28" i="7"/>
  <c r="AA27" i="7"/>
  <c r="AP26" i="7"/>
  <c r="AJ26" i="7"/>
  <c r="AG26" i="7"/>
  <c r="AA26" i="7"/>
  <c r="AP10" i="7"/>
  <c r="AP24" i="7"/>
  <c r="AP22" i="7"/>
  <c r="AJ22" i="7"/>
  <c r="AG25" i="7"/>
  <c r="AG24" i="7"/>
  <c r="AG22" i="7"/>
  <c r="AG21" i="7"/>
  <c r="AA25" i="7"/>
  <c r="AA24" i="7"/>
  <c r="AA22" i="7"/>
  <c r="AA21" i="7"/>
  <c r="AA16" i="7"/>
  <c r="AA8" i="7"/>
  <c r="AR28" i="7"/>
  <c r="AQ28" i="7"/>
  <c r="AR27" i="7"/>
  <c r="AQ27" i="7"/>
  <c r="AR26" i="7"/>
  <c r="AQ26" i="7"/>
  <c r="AR24" i="7"/>
  <c r="AQ24" i="7"/>
  <c r="AR22" i="7"/>
  <c r="AQ22" i="7"/>
  <c r="AR12" i="7"/>
  <c r="AQ12" i="7"/>
  <c r="AR11" i="7"/>
  <c r="AQ11" i="7"/>
  <c r="AR10" i="7"/>
  <c r="AQ10" i="7"/>
  <c r="AR9" i="7"/>
  <c r="AQ9" i="7"/>
  <c r="AR8" i="7"/>
  <c r="AQ8" i="7"/>
  <c r="AO22" i="7"/>
  <c r="AN22" i="7"/>
  <c r="AO15" i="7"/>
  <c r="AN15" i="7"/>
  <c r="AO8" i="7"/>
  <c r="AN8" i="7"/>
  <c r="AL28" i="7"/>
  <c r="AK28" i="7"/>
  <c r="AL27" i="7"/>
  <c r="AK27" i="7"/>
  <c r="AL26" i="7"/>
  <c r="AK26" i="7"/>
  <c r="AL22" i="7"/>
  <c r="AK22" i="7"/>
  <c r="AL16" i="7"/>
  <c r="AK16" i="7"/>
  <c r="AL8" i="7"/>
  <c r="AK8" i="7"/>
  <c r="AI28" i="7"/>
  <c r="AH28" i="7"/>
  <c r="AI27" i="7"/>
  <c r="AH27" i="7"/>
  <c r="AI26" i="7"/>
  <c r="AH26" i="7"/>
  <c r="AI25" i="7"/>
  <c r="AH25" i="7"/>
  <c r="AI24" i="7"/>
  <c r="AH24" i="7"/>
  <c r="AI22" i="7"/>
  <c r="AH22" i="7"/>
  <c r="AI21" i="7"/>
  <c r="AH21" i="7"/>
  <c r="AI19" i="7"/>
  <c r="AH19" i="7"/>
  <c r="AI16" i="7"/>
  <c r="AH16" i="7"/>
  <c r="AI8" i="7"/>
  <c r="AH8" i="7"/>
  <c r="AF25" i="7"/>
  <c r="AE25" i="7"/>
  <c r="AF24" i="7"/>
  <c r="AE24" i="7"/>
  <c r="AF22" i="7"/>
  <c r="AE22" i="7"/>
  <c r="AF21" i="7"/>
  <c r="AE21" i="7"/>
  <c r="AF16" i="7"/>
  <c r="AE16" i="7"/>
  <c r="AF8" i="7"/>
  <c r="AE8" i="7"/>
  <c r="AC28" i="7"/>
  <c r="AC27" i="7"/>
  <c r="AC26" i="7"/>
  <c r="AC25" i="7"/>
  <c r="AC24" i="7"/>
  <c r="AC22" i="7"/>
  <c r="AC21" i="7"/>
  <c r="AC16" i="7"/>
  <c r="AC8" i="7"/>
  <c r="AB28" i="7"/>
  <c r="AB27" i="7"/>
  <c r="AB26" i="7"/>
  <c r="AB25" i="7"/>
  <c r="AB24" i="7"/>
  <c r="AB22" i="7"/>
  <c r="AB21" i="7"/>
  <c r="AB16" i="7"/>
  <c r="AB8" i="7"/>
  <c r="X29" i="7"/>
  <c r="X28" i="7"/>
  <c r="X27" i="7"/>
  <c r="X26" i="7"/>
  <c r="X25" i="7"/>
  <c r="X24" i="7"/>
  <c r="X23" i="7"/>
  <c r="X22" i="7"/>
  <c r="X21" i="7"/>
  <c r="X20" i="7"/>
  <c r="X19" i="7"/>
  <c r="X18" i="7"/>
  <c r="X17" i="7"/>
  <c r="X16" i="7"/>
  <c r="X15" i="7"/>
  <c r="X14" i="7"/>
  <c r="X13" i="7"/>
  <c r="X12" i="7"/>
  <c r="X11" i="7"/>
  <c r="X10" i="7"/>
  <c r="X9" i="7"/>
  <c r="Z29" i="7"/>
  <c r="Z28" i="7"/>
  <c r="Z27" i="7"/>
  <c r="Z26" i="7"/>
  <c r="Z25" i="7"/>
  <c r="Z24" i="7"/>
  <c r="Z23" i="7"/>
  <c r="Z22" i="7"/>
  <c r="Z21" i="7"/>
  <c r="Z20" i="7"/>
  <c r="Z19" i="7"/>
  <c r="Z18" i="7"/>
  <c r="Z17" i="7"/>
  <c r="Z16" i="7"/>
  <c r="Z15" i="7"/>
  <c r="Z14" i="7"/>
  <c r="Z13" i="7"/>
  <c r="Z12" i="7"/>
  <c r="Z11" i="7"/>
  <c r="Z10" i="7"/>
  <c r="Z9" i="7"/>
  <c r="Z8" i="7"/>
  <c r="Y29" i="7"/>
  <c r="Y28" i="7"/>
  <c r="Y27" i="7"/>
  <c r="Y26" i="7"/>
  <c r="Y25" i="7"/>
  <c r="Y24" i="7"/>
  <c r="Y23" i="7"/>
  <c r="Y22" i="7"/>
  <c r="Y21" i="7"/>
  <c r="Y20" i="7"/>
  <c r="Y19" i="7"/>
  <c r="Y18" i="7"/>
  <c r="Y17" i="7"/>
  <c r="Y16" i="7"/>
  <c r="Y15" i="7"/>
  <c r="Y14" i="7"/>
  <c r="Y13" i="7"/>
  <c r="Y12" i="7"/>
  <c r="Y11" i="7"/>
  <c r="Y10" i="7"/>
  <c r="Y9" i="7"/>
  <c r="Y8" i="7"/>
  <c r="X8" i="7"/>
  <c r="E86" i="39"/>
  <c r="E85" i="39"/>
  <c r="E84" i="39"/>
  <c r="E83" i="39"/>
  <c r="E82" i="39"/>
  <c r="E81" i="39"/>
  <c r="E80" i="39"/>
  <c r="E79" i="39"/>
  <c r="E78" i="39"/>
  <c r="E77" i="39"/>
  <c r="E76" i="39"/>
  <c r="E75" i="39"/>
  <c r="E74" i="39"/>
  <c r="E73" i="39"/>
  <c r="E72" i="39"/>
  <c r="E71" i="39"/>
  <c r="E70" i="39"/>
  <c r="E69" i="39"/>
  <c r="E68" i="39"/>
  <c r="E67" i="39"/>
  <c r="E66" i="39"/>
  <c r="E65" i="39"/>
  <c r="E64" i="39"/>
  <c r="E63" i="39"/>
  <c r="E62" i="39"/>
  <c r="E61" i="39"/>
  <c r="E60" i="39"/>
  <c r="E59" i="39"/>
  <c r="E58" i="39"/>
  <c r="E57" i="39"/>
  <c r="E56" i="39"/>
  <c r="E55" i="39"/>
  <c r="E54" i="39"/>
  <c r="E53" i="39"/>
  <c r="E52" i="39"/>
  <c r="E51" i="39"/>
  <c r="E50" i="39"/>
  <c r="E49" i="39"/>
  <c r="E48" i="39"/>
  <c r="E47" i="39"/>
  <c r="E46" i="39"/>
  <c r="E45" i="39"/>
  <c r="E44" i="39"/>
  <c r="E43" i="39"/>
  <c r="E42" i="39"/>
  <c r="E41" i="39"/>
  <c r="E40" i="39"/>
  <c r="E39" i="39"/>
  <c r="E38" i="39"/>
  <c r="E37" i="39"/>
  <c r="E36" i="39"/>
  <c r="E35" i="39"/>
  <c r="E34" i="39"/>
  <c r="E33" i="39"/>
  <c r="E32" i="39"/>
  <c r="E31" i="39"/>
  <c r="E30" i="39"/>
  <c r="E29" i="39"/>
  <c r="E28" i="39"/>
  <c r="E27" i="39"/>
  <c r="E26" i="39"/>
  <c r="E25" i="39"/>
  <c r="E24" i="39"/>
  <c r="E23" i="39"/>
  <c r="E22" i="39"/>
  <c r="E21" i="39"/>
  <c r="E20" i="39"/>
  <c r="E19" i="39"/>
  <c r="E18" i="39"/>
  <c r="E17" i="39"/>
  <c r="E16" i="39"/>
  <c r="E15" i="39"/>
  <c r="E14" i="39"/>
  <c r="E13" i="39"/>
  <c r="E12" i="39"/>
  <c r="E11" i="39"/>
  <c r="E10" i="39"/>
  <c r="E9" i="39"/>
  <c r="E8" i="39"/>
  <c r="E7" i="39"/>
  <c r="E6" i="39"/>
  <c r="E5" i="39"/>
  <c r="E4" i="39"/>
  <c r="E3" i="39"/>
  <c r="E2" i="39"/>
  <c r="Q348" i="41"/>
  <c r="Q347" i="41"/>
  <c r="Q346" i="41"/>
  <c r="Q345" i="41"/>
  <c r="Q344" i="41"/>
  <c r="Q343" i="41"/>
  <c r="Q342" i="41"/>
  <c r="Q341" i="41"/>
  <c r="Q340" i="41"/>
  <c r="Q339" i="41"/>
  <c r="Q338" i="41"/>
  <c r="Q337" i="41"/>
  <c r="Q336" i="41"/>
  <c r="Q335" i="41"/>
  <c r="Q334" i="41"/>
  <c r="Q333" i="41"/>
  <c r="Q332" i="41"/>
  <c r="Q331" i="41"/>
  <c r="Q330" i="41"/>
  <c r="Q329" i="41"/>
  <c r="Q328" i="41"/>
  <c r="Q327" i="41"/>
  <c r="Q326" i="41"/>
  <c r="Q325" i="41"/>
  <c r="Q324" i="41"/>
  <c r="Q323" i="41"/>
  <c r="Q322" i="41"/>
  <c r="Q321" i="41"/>
  <c r="Q320" i="41"/>
  <c r="Q319" i="41"/>
  <c r="Q318" i="41"/>
  <c r="Q317" i="41"/>
  <c r="Q316" i="41"/>
  <c r="Q315" i="41"/>
  <c r="Q314" i="41"/>
  <c r="Q313" i="41"/>
  <c r="Q312" i="41"/>
  <c r="Q311" i="41"/>
  <c r="Q310" i="41"/>
  <c r="Q309" i="41"/>
  <c r="Q308" i="41"/>
  <c r="Q307" i="41"/>
  <c r="Q306" i="41"/>
  <c r="Q305" i="41"/>
  <c r="Q304" i="41"/>
  <c r="Q303" i="41"/>
  <c r="Q302" i="41"/>
  <c r="Q301" i="41"/>
  <c r="Q300" i="41"/>
  <c r="Q299" i="41"/>
  <c r="Q298" i="41"/>
  <c r="Q297" i="41"/>
  <c r="Q296" i="41"/>
  <c r="Q295" i="41"/>
  <c r="Q294" i="41"/>
  <c r="Q293" i="41"/>
  <c r="Q292" i="41"/>
  <c r="Q291" i="41"/>
  <c r="Q290" i="41"/>
  <c r="Q289" i="41"/>
  <c r="Q288" i="41"/>
  <c r="Q287" i="41"/>
  <c r="Q286" i="41"/>
  <c r="Q285" i="41"/>
  <c r="Q284" i="41"/>
  <c r="Q283" i="41"/>
  <c r="Q282" i="41"/>
  <c r="Q281" i="41"/>
  <c r="Q280" i="41"/>
  <c r="Q279" i="41"/>
  <c r="Q278" i="41"/>
  <c r="Q277" i="41"/>
  <c r="Q276" i="41"/>
  <c r="Q275" i="41"/>
  <c r="Q274" i="41"/>
  <c r="Q273" i="41"/>
  <c r="Q272" i="41"/>
  <c r="Q271" i="41"/>
  <c r="Q270" i="41"/>
  <c r="Q269" i="41"/>
  <c r="Q268" i="41"/>
  <c r="Q267" i="41"/>
  <c r="Q266" i="41"/>
  <c r="Q265" i="41"/>
  <c r="Q264" i="41"/>
  <c r="Q263" i="41"/>
  <c r="Q262" i="41"/>
  <c r="Q261" i="41"/>
  <c r="Q260" i="41"/>
  <c r="Q259" i="41"/>
  <c r="Q258" i="41"/>
  <c r="Q257" i="41"/>
  <c r="Q256" i="41"/>
  <c r="Q255" i="41"/>
  <c r="Q254" i="41"/>
  <c r="Q253" i="41"/>
  <c r="Q252" i="41"/>
  <c r="Q251" i="41"/>
  <c r="Q250" i="41"/>
  <c r="Q249" i="41"/>
  <c r="Q248" i="41"/>
  <c r="Q247" i="41"/>
  <c r="Q246" i="41"/>
  <c r="Q245" i="41"/>
  <c r="Q244" i="41"/>
  <c r="Q243" i="41"/>
  <c r="Q242" i="41"/>
  <c r="Q241" i="41"/>
  <c r="Q240" i="41"/>
  <c r="Q239" i="41"/>
  <c r="Q238" i="41"/>
  <c r="Q237" i="41"/>
  <c r="Q236" i="41"/>
  <c r="Q235" i="41"/>
  <c r="Q234" i="41"/>
  <c r="Q233" i="41"/>
  <c r="Q232" i="41"/>
  <c r="Q231" i="41"/>
  <c r="Q230" i="41"/>
  <c r="Q229" i="41"/>
  <c r="Q228" i="41"/>
  <c r="Q227" i="41"/>
  <c r="Q226" i="41"/>
  <c r="Q225" i="41"/>
  <c r="Q224" i="41"/>
  <c r="Q223" i="41"/>
  <c r="Q222" i="41"/>
  <c r="Q221" i="41"/>
  <c r="Q220" i="41"/>
  <c r="Q219" i="41"/>
  <c r="Q218" i="41"/>
  <c r="Q217" i="41"/>
  <c r="Q216" i="41"/>
  <c r="Q215" i="41"/>
  <c r="Q214" i="41"/>
  <c r="Q213" i="41"/>
  <c r="Q212" i="41"/>
  <c r="Q211" i="41"/>
  <c r="Q210" i="41"/>
  <c r="Q209" i="41"/>
  <c r="Q208" i="41"/>
  <c r="Q207" i="41"/>
  <c r="Q206" i="41"/>
  <c r="Q205" i="41"/>
  <c r="Q204" i="41"/>
  <c r="Q203" i="41"/>
  <c r="Q202" i="41"/>
  <c r="Q201" i="41"/>
  <c r="Q200" i="41"/>
  <c r="Q199" i="41"/>
  <c r="Q198" i="41"/>
  <c r="Q197" i="41"/>
  <c r="Q196" i="41"/>
  <c r="Q195" i="41"/>
  <c r="Q194" i="41"/>
  <c r="Q193" i="41"/>
  <c r="Q192" i="41"/>
  <c r="Q191" i="41"/>
  <c r="Q190" i="41"/>
  <c r="Q189" i="41"/>
  <c r="Q188" i="41"/>
  <c r="Q187" i="41"/>
  <c r="Q186" i="41"/>
  <c r="Q185" i="41"/>
  <c r="Q184" i="41"/>
  <c r="Q183" i="41"/>
  <c r="Q182" i="41"/>
  <c r="Q181" i="41"/>
  <c r="Q180" i="41"/>
  <c r="Q179" i="41"/>
  <c r="Q178" i="41"/>
  <c r="Q177" i="41"/>
  <c r="Q176" i="41"/>
  <c r="Q175" i="41"/>
  <c r="Q174" i="41"/>
  <c r="Q173" i="41"/>
  <c r="Q172" i="41"/>
  <c r="Q171" i="41"/>
  <c r="Q170" i="41"/>
  <c r="Q169" i="41"/>
  <c r="Q168" i="41"/>
  <c r="Q167" i="41"/>
  <c r="Q166" i="41"/>
  <c r="Q165" i="41"/>
  <c r="Q164" i="41"/>
  <c r="Q163" i="41"/>
  <c r="Q162" i="41"/>
  <c r="Q161" i="41"/>
  <c r="Q160" i="41"/>
  <c r="Q159" i="41"/>
  <c r="Q158" i="41"/>
  <c r="Q157" i="41"/>
  <c r="Q156" i="41"/>
  <c r="Q155" i="41"/>
  <c r="Q154" i="41"/>
  <c r="Q153" i="41"/>
  <c r="Q152" i="41"/>
  <c r="Q151" i="41"/>
  <c r="Q150" i="41"/>
  <c r="Q149" i="41"/>
  <c r="Q148" i="41"/>
  <c r="Q147" i="41"/>
  <c r="Q146" i="41"/>
  <c r="Q145" i="41"/>
  <c r="Q144" i="41"/>
  <c r="Q143" i="41"/>
  <c r="Q142" i="41"/>
  <c r="Q141" i="41"/>
  <c r="Q140" i="41"/>
  <c r="Q139" i="41"/>
  <c r="Q138" i="41"/>
  <c r="Q137" i="41"/>
  <c r="Q136" i="41"/>
  <c r="Q135" i="41"/>
  <c r="Q134" i="41"/>
  <c r="Q133" i="41"/>
  <c r="Q132" i="41"/>
  <c r="Q131" i="41"/>
  <c r="Q130" i="41"/>
  <c r="Q129" i="41"/>
  <c r="Q128" i="41"/>
  <c r="Q127" i="41"/>
  <c r="Q126" i="41"/>
  <c r="Q125" i="41"/>
  <c r="Q124" i="41"/>
  <c r="Q123" i="41"/>
  <c r="Q122" i="41"/>
  <c r="Q121" i="41"/>
  <c r="Q120" i="41"/>
  <c r="Q119" i="41"/>
  <c r="Q118" i="41"/>
  <c r="Q117" i="41"/>
  <c r="Q116" i="41"/>
  <c r="Q115" i="41"/>
  <c r="Q114" i="41"/>
  <c r="Q113" i="41"/>
  <c r="Q112" i="41"/>
  <c r="Q111" i="41"/>
  <c r="Q110" i="41"/>
  <c r="Q109" i="41"/>
  <c r="Q108" i="41"/>
  <c r="Q107" i="41"/>
  <c r="Q106" i="41"/>
  <c r="Q105" i="41"/>
  <c r="Q104" i="41"/>
  <c r="Q103" i="41"/>
  <c r="Q102" i="41"/>
  <c r="Q101" i="41"/>
  <c r="Q100" i="41"/>
  <c r="Q99" i="41"/>
  <c r="Q98" i="41"/>
  <c r="Q97" i="41"/>
  <c r="Q96" i="41"/>
  <c r="Q95" i="41"/>
  <c r="Q94" i="41"/>
  <c r="Q93" i="41"/>
  <c r="Q92" i="41"/>
  <c r="Q91" i="41"/>
  <c r="Q90" i="41"/>
  <c r="Q89" i="41"/>
  <c r="Q88" i="41"/>
  <c r="Q87" i="41"/>
  <c r="Q86" i="41"/>
  <c r="Q85" i="41"/>
  <c r="Q84" i="41"/>
  <c r="Q83" i="41"/>
  <c r="Q82" i="4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Q10" i="41"/>
  <c r="Q9" i="41"/>
  <c r="Q8" i="41"/>
  <c r="Q7" i="41"/>
  <c r="Q6" i="41"/>
  <c r="AM976" i="38"/>
  <c r="AM975" i="38"/>
  <c r="AM974" i="38"/>
  <c r="AM973" i="38"/>
  <c r="AM972" i="38"/>
  <c r="AM971" i="38"/>
  <c r="AM970" i="38"/>
  <c r="AM969" i="38"/>
  <c r="AM968" i="38"/>
  <c r="AM967" i="38"/>
  <c r="AM966" i="38"/>
  <c r="AM965" i="38"/>
  <c r="AM964" i="38"/>
  <c r="AM963" i="38"/>
  <c r="AM962" i="38"/>
  <c r="AM961" i="38"/>
  <c r="AM960" i="38"/>
  <c r="AM959" i="38"/>
  <c r="AM958" i="38"/>
  <c r="AM957" i="38"/>
  <c r="AM956" i="38"/>
  <c r="AM955" i="38"/>
  <c r="AM954" i="38"/>
  <c r="AM953" i="38"/>
  <c r="AM952" i="38"/>
  <c r="AM951" i="38"/>
  <c r="AM950" i="38"/>
  <c r="AM949" i="38"/>
  <c r="AM948" i="38"/>
  <c r="AM947" i="38"/>
  <c r="AM946" i="38"/>
  <c r="AM945" i="38"/>
  <c r="AM944" i="38"/>
  <c r="AM943" i="38"/>
  <c r="AM942" i="38"/>
  <c r="AM941" i="38"/>
  <c r="AM940" i="38"/>
  <c r="AM939" i="38"/>
  <c r="AM938" i="38"/>
  <c r="AM937" i="38"/>
  <c r="AM936" i="38"/>
  <c r="AM935" i="38"/>
  <c r="AM934" i="38"/>
  <c r="AM933" i="38"/>
  <c r="AM932" i="38"/>
  <c r="AM931" i="38"/>
  <c r="AM930" i="38"/>
  <c r="AM929" i="38"/>
  <c r="AM928" i="38"/>
  <c r="AM927" i="38"/>
  <c r="AM926" i="38"/>
  <c r="AM925" i="38"/>
  <c r="AM924" i="38"/>
  <c r="AM923" i="38"/>
  <c r="AM922" i="38"/>
  <c r="AM921" i="38"/>
  <c r="AM920" i="38"/>
  <c r="AM919" i="38"/>
  <c r="AM918" i="38"/>
  <c r="AM917" i="38"/>
  <c r="AM916" i="38"/>
  <c r="AM915" i="38"/>
  <c r="AM914" i="38"/>
  <c r="AM913" i="38"/>
  <c r="AM912" i="38"/>
  <c r="AM911" i="38"/>
  <c r="AM910" i="38"/>
  <c r="AM909" i="38"/>
  <c r="AM908" i="38"/>
  <c r="AM907" i="38"/>
  <c r="AM906" i="38"/>
  <c r="AM905" i="38"/>
  <c r="AM904" i="38"/>
  <c r="AM903" i="38"/>
  <c r="AM902" i="38"/>
  <c r="AM901" i="38"/>
  <c r="AM900" i="38"/>
  <c r="AM899" i="38"/>
  <c r="AM898" i="38"/>
  <c r="AM897" i="38"/>
  <c r="AM896" i="38"/>
  <c r="AM895" i="38"/>
  <c r="AM894" i="38"/>
  <c r="AM893" i="38"/>
  <c r="AM892" i="38"/>
  <c r="AM891" i="38"/>
  <c r="AM890" i="38"/>
  <c r="AM889" i="38"/>
  <c r="AM888" i="38"/>
  <c r="AM887" i="38"/>
  <c r="AM886" i="38"/>
  <c r="AM885" i="38"/>
  <c r="AM884" i="38"/>
  <c r="AM883" i="38"/>
  <c r="AM882" i="38"/>
  <c r="AM881" i="38"/>
  <c r="AM880" i="38"/>
  <c r="AM879" i="38"/>
  <c r="AM878" i="38"/>
  <c r="AM877" i="38"/>
  <c r="AM876" i="38"/>
  <c r="AM875" i="38"/>
  <c r="AM874" i="38"/>
  <c r="AM873" i="38"/>
  <c r="AM872" i="38"/>
  <c r="AM871" i="38"/>
  <c r="AM870" i="38"/>
  <c r="AM869" i="38"/>
  <c r="AM868" i="38"/>
  <c r="AM867" i="38"/>
  <c r="AM866" i="38"/>
  <c r="AM865" i="38"/>
  <c r="AM864" i="38"/>
  <c r="AM863" i="38"/>
  <c r="AM862" i="38"/>
  <c r="AM861" i="38"/>
  <c r="AM860" i="38"/>
  <c r="AM859" i="38"/>
  <c r="AM858" i="38"/>
  <c r="AM857" i="38"/>
  <c r="AM856" i="38"/>
  <c r="AM855" i="38"/>
  <c r="AM854" i="38"/>
  <c r="AM853" i="38"/>
  <c r="AM852" i="38"/>
  <c r="AM851" i="38"/>
  <c r="AM850" i="38"/>
  <c r="AM849" i="38"/>
  <c r="AM848" i="38"/>
  <c r="AM847" i="38"/>
  <c r="AM846" i="38"/>
  <c r="AM845" i="38"/>
  <c r="AM844" i="38"/>
  <c r="AM843" i="38"/>
  <c r="AM842" i="38"/>
  <c r="AM841" i="38"/>
  <c r="AM840" i="38"/>
  <c r="AM839" i="38"/>
  <c r="AM838" i="38"/>
  <c r="AM837" i="38"/>
  <c r="AM836" i="38"/>
  <c r="AM835" i="38"/>
  <c r="AM834" i="38"/>
  <c r="AM833" i="38"/>
  <c r="AM832" i="38"/>
  <c r="AM831" i="38"/>
  <c r="AM830" i="38"/>
  <c r="AM829" i="38"/>
  <c r="AM828" i="38"/>
  <c r="AM827" i="38"/>
  <c r="AM826" i="38"/>
  <c r="AM825" i="38"/>
  <c r="AM824" i="38"/>
  <c r="AM823" i="38"/>
  <c r="AM822" i="38"/>
  <c r="AM821" i="38"/>
  <c r="AM820" i="38"/>
  <c r="AM819" i="38"/>
  <c r="AM818" i="38"/>
  <c r="AM817" i="38"/>
  <c r="AM816" i="38"/>
  <c r="AM815" i="38"/>
  <c r="AM814" i="38"/>
  <c r="AM813" i="38"/>
  <c r="AM812" i="38"/>
  <c r="AM811" i="38"/>
  <c r="AM810" i="38"/>
  <c r="AM809" i="38"/>
  <c r="AM808" i="38"/>
  <c r="AM807" i="38"/>
  <c r="AM806" i="38"/>
  <c r="AM805" i="38"/>
  <c r="AM804" i="38"/>
  <c r="AM803" i="38"/>
  <c r="AM802" i="38"/>
  <c r="AM801" i="38"/>
  <c r="AM800" i="38"/>
  <c r="AM799" i="38"/>
  <c r="AM798" i="38"/>
  <c r="AM797" i="38"/>
  <c r="AM796" i="38"/>
  <c r="AM795" i="38"/>
  <c r="AM794" i="38"/>
  <c r="AM793" i="38"/>
  <c r="AM792" i="38"/>
  <c r="AM791" i="38"/>
  <c r="AM790" i="38"/>
  <c r="AM789" i="38"/>
  <c r="AM788" i="38"/>
  <c r="AM787" i="38"/>
  <c r="AM786" i="38"/>
  <c r="AM785" i="38"/>
  <c r="AM784" i="38"/>
  <c r="AM783" i="38"/>
  <c r="AM782" i="38"/>
  <c r="AM781" i="38"/>
  <c r="AM780" i="38"/>
  <c r="AM779" i="38"/>
  <c r="AM778" i="38"/>
  <c r="AM777" i="38"/>
  <c r="AM776" i="38"/>
  <c r="AM775" i="38"/>
  <c r="AM774" i="38"/>
  <c r="AM773" i="38"/>
  <c r="AM772" i="38"/>
  <c r="AM771" i="38"/>
  <c r="AM770" i="38"/>
  <c r="AM769" i="38"/>
  <c r="AM768" i="38"/>
  <c r="AM767" i="38"/>
  <c r="AM766" i="38"/>
  <c r="AM765" i="38"/>
  <c r="AM764" i="38"/>
  <c r="AM763" i="38"/>
  <c r="AM762" i="38"/>
  <c r="AM761" i="38"/>
  <c r="AM760" i="38"/>
  <c r="AM759" i="38"/>
  <c r="AM758" i="38"/>
  <c r="AM757" i="38"/>
  <c r="AM756" i="38"/>
  <c r="AM755" i="38"/>
  <c r="AM754" i="38"/>
  <c r="AM753" i="38"/>
  <c r="AM752" i="38"/>
  <c r="AM751" i="38"/>
  <c r="AM750" i="38"/>
  <c r="AM749" i="38"/>
  <c r="AM748" i="38"/>
  <c r="AM747" i="38"/>
  <c r="AM746" i="38"/>
  <c r="AM745" i="38"/>
  <c r="AM744" i="38"/>
  <c r="AM743" i="38"/>
  <c r="AM742" i="38"/>
  <c r="AM741" i="38"/>
  <c r="AM740" i="38"/>
  <c r="AM739" i="38"/>
  <c r="AM738" i="38"/>
  <c r="AM737" i="38"/>
  <c r="AM736" i="38"/>
  <c r="AM735" i="38"/>
  <c r="AM734" i="38"/>
  <c r="AM733" i="38"/>
  <c r="AM732" i="38"/>
  <c r="AM731" i="38"/>
  <c r="AM730" i="38"/>
  <c r="AM729" i="38"/>
  <c r="AM728" i="38"/>
  <c r="AM727" i="38"/>
  <c r="AM726" i="38"/>
  <c r="AM725" i="38"/>
  <c r="AM724" i="38"/>
  <c r="AM723" i="38"/>
  <c r="AM722" i="38"/>
  <c r="AM721" i="38"/>
  <c r="AM720" i="38"/>
  <c r="AM719" i="38"/>
  <c r="AM718" i="38"/>
  <c r="AM717" i="38"/>
  <c r="AM716" i="38"/>
  <c r="AM715" i="38"/>
  <c r="AM714" i="38"/>
  <c r="AM713" i="38"/>
  <c r="AM712" i="38"/>
  <c r="AM711" i="38"/>
  <c r="AM710" i="38"/>
  <c r="AM709" i="38"/>
  <c r="AM708" i="38"/>
  <c r="AM707" i="38"/>
  <c r="AM706" i="38"/>
  <c r="AM705" i="38"/>
  <c r="AM704" i="38"/>
  <c r="AM703" i="38"/>
  <c r="AM702" i="38"/>
  <c r="AM701" i="38"/>
  <c r="AM700" i="38"/>
  <c r="AM699" i="38"/>
  <c r="AM698" i="38"/>
  <c r="AM697" i="38"/>
  <c r="AM696" i="38"/>
  <c r="AM695" i="38"/>
  <c r="AM694" i="38"/>
  <c r="AM693" i="38"/>
  <c r="AM692" i="38"/>
  <c r="AM691" i="38"/>
  <c r="AM690" i="38"/>
  <c r="AM689" i="38"/>
  <c r="AM688" i="38"/>
  <c r="AM687" i="38"/>
  <c r="AM686" i="38"/>
  <c r="AM685" i="38"/>
  <c r="AM684" i="38"/>
  <c r="AM683" i="38"/>
  <c r="AM682" i="38"/>
  <c r="AM681" i="38"/>
  <c r="AM680" i="38"/>
  <c r="AM679" i="38"/>
  <c r="AM678" i="38"/>
  <c r="AM677" i="38"/>
  <c r="AM676" i="38"/>
  <c r="AM675" i="38"/>
  <c r="AM674" i="38"/>
  <c r="AM673" i="38"/>
  <c r="AM672" i="38"/>
  <c r="AM671" i="38"/>
  <c r="AM670" i="38"/>
  <c r="AM669" i="38"/>
  <c r="AM668" i="38"/>
  <c r="AM667" i="38"/>
  <c r="AM666" i="38"/>
  <c r="AM665" i="38"/>
  <c r="AM664" i="38"/>
  <c r="AM663" i="38"/>
  <c r="AM662" i="38"/>
  <c r="AM661" i="38"/>
  <c r="AM660" i="38"/>
  <c r="AM659" i="38"/>
  <c r="AM658" i="38"/>
  <c r="AM657" i="38"/>
  <c r="AM656" i="38"/>
  <c r="AM655" i="38"/>
  <c r="AM654" i="38"/>
  <c r="AM653" i="38"/>
  <c r="AM652" i="38"/>
  <c r="AM651" i="38"/>
  <c r="AM650" i="38"/>
  <c r="AM649" i="38"/>
  <c r="AM648" i="38"/>
  <c r="AM647" i="38"/>
  <c r="AM646" i="38"/>
  <c r="AM645" i="38"/>
  <c r="AM644" i="38"/>
  <c r="AM643" i="38"/>
  <c r="AM642" i="38"/>
  <c r="AM641" i="38"/>
  <c r="AM640" i="38"/>
  <c r="AM639" i="38"/>
  <c r="AM638" i="38"/>
  <c r="AM637" i="38"/>
  <c r="AM636" i="38"/>
  <c r="AM635" i="38"/>
  <c r="AM634" i="38"/>
  <c r="AM633" i="38"/>
  <c r="AM632" i="38"/>
  <c r="AM631" i="38"/>
  <c r="AM630" i="38"/>
  <c r="AM629" i="38"/>
  <c r="AM628" i="38"/>
  <c r="AM627" i="38"/>
  <c r="AM626" i="38"/>
  <c r="AM625" i="38"/>
  <c r="AM624" i="38"/>
  <c r="AM623" i="38"/>
  <c r="AM622" i="38"/>
  <c r="AM621" i="38"/>
  <c r="AM620" i="38"/>
  <c r="AM619" i="38"/>
  <c r="AM618" i="38"/>
  <c r="AM617" i="38"/>
  <c r="AM616" i="38"/>
  <c r="AM615" i="38"/>
  <c r="AM614" i="38"/>
  <c r="AM613" i="38"/>
  <c r="AM612" i="38"/>
  <c r="AM611" i="38"/>
  <c r="AM610" i="38"/>
  <c r="AM609" i="38"/>
  <c r="AM608" i="38"/>
  <c r="AM607" i="38"/>
  <c r="AM606" i="38"/>
  <c r="AM605" i="38"/>
  <c r="AM604" i="38"/>
  <c r="AM603" i="38"/>
  <c r="AM602" i="38"/>
  <c r="AM601" i="38"/>
  <c r="AM600" i="38"/>
  <c r="AM599" i="38"/>
  <c r="AM598" i="38"/>
  <c r="AM597" i="38"/>
  <c r="AM596" i="38"/>
  <c r="AM595" i="38"/>
  <c r="AM594" i="38"/>
  <c r="AM593" i="38"/>
  <c r="AM592" i="38"/>
  <c r="AM591" i="38"/>
  <c r="AM590" i="38"/>
  <c r="AM589" i="38"/>
  <c r="AM588" i="38"/>
  <c r="AM587" i="38"/>
  <c r="AM586" i="38"/>
  <c r="AM585" i="38"/>
  <c r="AM584" i="38"/>
  <c r="AM583" i="38"/>
  <c r="AM582" i="38"/>
  <c r="AM581" i="38"/>
  <c r="AM580" i="38"/>
  <c r="AM579" i="38"/>
  <c r="AM578" i="38"/>
  <c r="AM577" i="38"/>
  <c r="AM576" i="38"/>
  <c r="AM575" i="38"/>
  <c r="AM574" i="38"/>
  <c r="AM573" i="38"/>
  <c r="AM572" i="38"/>
  <c r="AM571" i="38"/>
  <c r="AM570" i="38"/>
  <c r="AM569" i="38"/>
  <c r="AM568" i="38"/>
  <c r="AM567" i="38"/>
  <c r="AM566" i="38"/>
  <c r="AM565" i="38"/>
  <c r="AM564" i="38"/>
  <c r="AM563" i="38"/>
  <c r="AM562" i="38"/>
  <c r="AM561" i="38"/>
  <c r="AM560" i="38"/>
  <c r="AM559" i="38"/>
  <c r="AM558" i="38"/>
  <c r="AM557" i="38"/>
  <c r="AM556" i="38"/>
  <c r="AM555" i="38"/>
  <c r="AM554" i="38"/>
  <c r="AM553" i="38"/>
  <c r="AM552" i="38"/>
  <c r="AM551" i="38"/>
  <c r="AM550" i="38"/>
  <c r="AM549" i="38"/>
  <c r="AM548" i="38"/>
  <c r="AM547" i="38"/>
  <c r="AM546" i="38"/>
  <c r="AM545" i="38"/>
  <c r="AM544" i="38"/>
  <c r="AM543" i="38"/>
  <c r="AM542" i="38"/>
  <c r="AM541" i="38"/>
  <c r="AM540" i="38"/>
  <c r="AM539" i="38"/>
  <c r="AM538" i="38"/>
  <c r="AM537" i="38"/>
  <c r="AM536" i="38"/>
  <c r="AM535" i="38"/>
  <c r="AM534" i="38"/>
  <c r="AM533" i="38"/>
  <c r="AM532" i="38"/>
  <c r="AM531" i="38"/>
  <c r="AM530" i="38"/>
  <c r="AM529" i="38"/>
  <c r="AM528" i="38"/>
  <c r="AM527" i="38"/>
  <c r="AM526" i="38"/>
  <c r="AM525" i="38"/>
  <c r="AM524" i="38"/>
  <c r="AM523" i="38"/>
  <c r="AM522" i="38"/>
  <c r="AM521" i="38"/>
  <c r="AM520" i="38"/>
  <c r="AM519" i="38"/>
  <c r="AM518" i="38"/>
  <c r="AM517" i="38"/>
  <c r="AM516" i="38"/>
  <c r="AM515" i="38"/>
  <c r="AM514" i="38"/>
  <c r="AM513" i="38"/>
  <c r="AM512" i="38"/>
  <c r="AM511" i="38"/>
  <c r="AM510" i="38"/>
  <c r="AM509" i="38"/>
  <c r="AM508" i="38"/>
  <c r="AM507" i="38"/>
  <c r="AM506" i="38"/>
  <c r="AM505" i="38"/>
  <c r="AM504" i="38"/>
  <c r="AM503" i="38"/>
  <c r="AM502" i="38"/>
  <c r="AM501" i="38"/>
  <c r="AM500" i="38"/>
  <c r="AM499" i="38"/>
  <c r="AM498" i="38"/>
  <c r="AM497" i="38"/>
  <c r="AM496" i="38"/>
  <c r="AM495" i="38"/>
  <c r="AM494" i="38"/>
  <c r="AM493" i="38"/>
  <c r="AM492" i="38"/>
  <c r="AM491" i="38"/>
  <c r="AM490" i="38"/>
  <c r="AM489" i="38"/>
  <c r="AM488" i="38"/>
  <c r="AM487" i="38"/>
  <c r="AM486" i="38"/>
  <c r="AM485" i="38"/>
  <c r="AM484" i="38"/>
  <c r="AM483" i="38"/>
  <c r="AM482" i="38"/>
  <c r="AM481" i="38"/>
  <c r="AM480" i="38"/>
  <c r="AM479" i="38"/>
  <c r="AM478" i="38"/>
  <c r="AM477" i="38"/>
  <c r="AM476" i="38"/>
  <c r="AM475" i="38"/>
  <c r="AM474" i="38"/>
  <c r="AM473" i="38"/>
  <c r="AM472" i="38"/>
  <c r="AM471" i="38"/>
  <c r="AM470" i="38"/>
  <c r="AM469" i="38"/>
  <c r="AM468" i="38"/>
  <c r="AM467" i="38"/>
  <c r="AM466" i="38"/>
  <c r="AM465" i="38"/>
  <c r="AM464" i="38"/>
  <c r="AM463" i="38"/>
  <c r="AM462" i="38"/>
  <c r="AM461" i="38"/>
  <c r="AM460" i="38"/>
  <c r="AM459" i="38"/>
  <c r="AM458" i="38"/>
  <c r="AM457" i="38"/>
  <c r="AM456" i="38"/>
  <c r="AM455" i="38"/>
  <c r="AM454" i="38"/>
  <c r="AM453" i="38"/>
  <c r="AM452" i="38"/>
  <c r="AM451" i="38"/>
  <c r="AM450" i="38"/>
  <c r="AM449" i="38"/>
  <c r="AM448" i="38"/>
  <c r="AM447" i="38"/>
  <c r="AM446" i="38"/>
  <c r="AM445" i="38"/>
  <c r="AM444" i="38"/>
  <c r="AM443" i="38"/>
  <c r="AM442" i="38"/>
  <c r="AM441" i="38"/>
  <c r="AM440" i="38"/>
  <c r="AM439" i="38"/>
  <c r="AM438" i="38"/>
  <c r="AM437" i="38"/>
  <c r="AM436" i="38"/>
  <c r="AM435" i="38"/>
  <c r="AM434" i="38"/>
  <c r="AM433" i="38"/>
  <c r="AM432" i="38"/>
  <c r="AM431" i="38"/>
  <c r="AM430" i="38"/>
  <c r="AM429" i="38"/>
  <c r="AM428" i="38"/>
  <c r="AM427" i="38"/>
  <c r="AM426" i="38"/>
  <c r="AM425" i="38"/>
  <c r="AM424" i="38"/>
  <c r="AM423" i="38"/>
  <c r="AM422" i="38"/>
  <c r="AM421" i="38"/>
  <c r="AM420" i="38"/>
  <c r="AM419" i="38"/>
  <c r="AM418" i="38"/>
  <c r="AM417" i="38"/>
  <c r="AM416" i="38"/>
  <c r="AM415" i="38"/>
  <c r="AM414" i="38"/>
  <c r="AM413" i="38"/>
  <c r="AM412" i="38"/>
  <c r="AM411" i="38"/>
  <c r="AM410" i="38"/>
  <c r="AM409" i="38"/>
  <c r="AM408" i="38"/>
  <c r="AM407" i="38"/>
  <c r="AM406" i="38"/>
  <c r="AM405" i="38"/>
  <c r="AM404" i="38"/>
  <c r="AM403" i="38"/>
  <c r="AM402" i="38"/>
  <c r="AM401" i="38"/>
  <c r="AM400" i="38"/>
  <c r="AM399" i="38"/>
  <c r="AM398" i="38"/>
  <c r="AM397" i="38"/>
  <c r="AM396" i="38"/>
  <c r="AM395" i="38"/>
  <c r="AM394" i="38"/>
  <c r="AM393" i="38"/>
  <c r="AM392" i="38"/>
  <c r="AM391" i="38"/>
  <c r="AM390" i="38"/>
  <c r="AM389" i="38"/>
  <c r="AM388" i="38"/>
  <c r="AM387" i="38"/>
  <c r="AM386" i="38"/>
  <c r="AM385" i="38"/>
  <c r="AM384" i="38"/>
  <c r="AM383" i="38"/>
  <c r="AM382" i="38"/>
  <c r="AM381" i="38"/>
  <c r="AM380" i="38"/>
  <c r="AM379" i="38"/>
  <c r="AM378" i="38"/>
  <c r="AM377" i="38"/>
  <c r="AM376" i="38"/>
  <c r="AM375" i="38"/>
  <c r="AM374" i="38"/>
  <c r="AM373" i="38"/>
  <c r="AM372" i="38"/>
  <c r="AM371" i="38"/>
  <c r="AM370" i="38"/>
  <c r="AM369" i="38"/>
  <c r="AM368" i="38"/>
  <c r="AM367" i="38"/>
  <c r="AM366" i="38"/>
  <c r="AM365" i="38"/>
  <c r="AM364" i="38"/>
  <c r="AM363" i="38"/>
  <c r="AM362" i="38"/>
  <c r="AM361" i="38"/>
  <c r="AM360" i="38"/>
  <c r="AM359" i="38"/>
  <c r="AM358" i="38"/>
  <c r="AM357" i="38"/>
  <c r="AM356" i="38"/>
  <c r="AM355" i="38"/>
  <c r="AM354" i="38"/>
  <c r="AM353" i="38"/>
  <c r="AM352" i="38"/>
  <c r="AM351" i="38"/>
  <c r="AM350" i="38"/>
  <c r="AM349" i="38"/>
  <c r="AM348" i="38"/>
  <c r="AM347" i="38"/>
  <c r="AM346" i="38"/>
  <c r="AM345" i="38"/>
  <c r="AM344" i="38"/>
  <c r="AM343" i="38"/>
  <c r="AM342" i="38"/>
  <c r="AM341" i="38"/>
  <c r="AM340" i="38"/>
  <c r="AM339" i="38"/>
  <c r="AM338" i="38"/>
  <c r="AM337" i="38"/>
  <c r="AM336" i="38"/>
  <c r="AM335" i="38"/>
  <c r="AM334" i="38"/>
  <c r="AM333" i="38"/>
  <c r="AM332" i="38"/>
  <c r="AM331" i="38"/>
  <c r="AM330" i="38"/>
  <c r="AM329" i="38"/>
  <c r="AM328" i="38"/>
  <c r="AM327" i="38"/>
  <c r="AM326" i="38"/>
  <c r="AM325" i="38"/>
  <c r="AM324" i="38"/>
  <c r="AM323" i="38"/>
  <c r="AM322" i="38"/>
  <c r="AM321" i="38"/>
  <c r="AM320" i="38"/>
  <c r="AM319" i="38"/>
  <c r="AM318" i="38"/>
  <c r="AM317" i="38"/>
  <c r="AM316" i="38"/>
  <c r="AM315" i="38"/>
  <c r="AM314" i="38"/>
  <c r="AM313" i="38"/>
  <c r="AM312" i="38"/>
  <c r="AM311" i="38"/>
  <c r="AM310" i="38"/>
  <c r="AM309" i="38"/>
  <c r="AM308" i="38"/>
  <c r="AM307" i="38"/>
  <c r="AM306" i="38"/>
  <c r="AM305" i="38"/>
  <c r="AM304" i="38"/>
  <c r="AM303" i="38"/>
  <c r="AM302" i="38"/>
  <c r="AM301" i="38"/>
  <c r="AM300" i="38"/>
  <c r="AM299" i="38"/>
  <c r="AM298" i="38"/>
  <c r="AM297" i="38"/>
  <c r="AM296" i="38"/>
  <c r="AM295" i="38"/>
  <c r="AM294" i="38"/>
  <c r="AM293" i="38"/>
  <c r="AM292" i="38"/>
  <c r="AM291" i="38"/>
  <c r="AM290" i="38"/>
  <c r="AM289" i="38"/>
  <c r="AM288" i="38"/>
  <c r="AM287" i="38"/>
  <c r="AM286" i="38"/>
  <c r="AM285" i="38"/>
  <c r="AM284" i="38"/>
  <c r="AM283" i="38"/>
  <c r="AM282" i="38"/>
  <c r="AM281" i="38"/>
  <c r="AM280" i="38"/>
  <c r="AM279" i="38"/>
  <c r="AM278" i="38"/>
  <c r="AM277" i="38"/>
  <c r="AM276" i="38"/>
  <c r="AM275" i="38"/>
  <c r="AM274" i="38"/>
  <c r="AM273" i="38"/>
  <c r="AM272" i="38"/>
  <c r="AM271" i="38"/>
  <c r="AM270" i="38"/>
  <c r="AM269" i="38"/>
  <c r="AM268" i="38"/>
  <c r="AM267" i="38"/>
  <c r="AM266" i="38"/>
  <c r="AM265" i="38"/>
  <c r="AM264" i="38"/>
  <c r="AM263" i="38"/>
  <c r="AM262" i="38"/>
  <c r="AM261" i="38"/>
  <c r="AM260" i="38"/>
  <c r="AM259" i="38"/>
  <c r="AM258" i="38"/>
  <c r="AM257" i="38"/>
  <c r="AM256" i="38"/>
  <c r="AM255" i="38"/>
  <c r="AM254" i="38"/>
  <c r="AM253" i="38"/>
  <c r="AM252" i="38"/>
  <c r="AM251" i="38"/>
  <c r="AM250" i="38"/>
  <c r="AM249" i="38"/>
  <c r="AM248" i="38"/>
  <c r="AM247" i="38"/>
  <c r="AM246" i="38"/>
  <c r="AM245" i="38"/>
  <c r="AM244" i="38"/>
  <c r="AM243" i="38"/>
  <c r="AM242" i="38"/>
  <c r="AM241" i="38"/>
  <c r="AM240" i="38"/>
  <c r="AM239" i="38"/>
  <c r="AM238" i="38"/>
  <c r="AM237" i="38"/>
  <c r="AM236" i="38"/>
  <c r="AM235" i="38"/>
  <c r="AM234" i="38"/>
  <c r="AM233" i="38"/>
  <c r="AM232" i="38"/>
  <c r="AM231" i="38"/>
  <c r="AM230" i="38"/>
  <c r="AM229" i="38"/>
  <c r="AM228" i="38"/>
  <c r="AM227" i="38"/>
  <c r="AM226" i="38"/>
  <c r="AM225" i="38"/>
  <c r="AM224" i="38"/>
  <c r="AM223" i="38"/>
  <c r="AM222" i="38"/>
  <c r="AM221" i="38"/>
  <c r="AM220" i="38"/>
  <c r="AM219" i="38"/>
  <c r="AM218" i="38"/>
  <c r="AM217" i="38"/>
  <c r="AM216" i="38"/>
  <c r="AM215" i="38"/>
  <c r="AM214" i="38"/>
  <c r="AM213" i="38"/>
  <c r="AM212" i="38"/>
  <c r="AM211" i="38"/>
  <c r="AM210" i="38"/>
  <c r="AM209" i="38"/>
  <c r="AM208" i="38"/>
  <c r="AM207" i="38"/>
  <c r="AM206" i="38"/>
  <c r="AM205" i="38"/>
  <c r="AM204" i="38"/>
  <c r="AM203" i="38"/>
  <c r="AM202" i="38"/>
  <c r="AM201" i="38"/>
  <c r="AM200" i="38"/>
  <c r="AM199" i="38"/>
  <c r="AM198" i="38"/>
  <c r="AM197" i="38"/>
  <c r="AM196" i="38"/>
  <c r="AM195" i="38"/>
  <c r="AM194" i="38"/>
  <c r="AM193" i="38"/>
  <c r="AM192" i="38"/>
  <c r="AM191" i="38"/>
  <c r="AM190" i="38"/>
  <c r="AM189" i="38"/>
  <c r="AM188" i="38"/>
  <c r="AM187" i="38"/>
  <c r="AM186" i="38"/>
  <c r="AM185" i="38"/>
  <c r="AM184" i="38"/>
  <c r="AM183" i="38"/>
  <c r="AM182" i="38"/>
  <c r="AM181" i="38"/>
  <c r="AM180" i="38"/>
  <c r="AM179" i="38"/>
  <c r="AM178" i="38"/>
  <c r="AM177" i="38"/>
  <c r="AM176" i="38"/>
  <c r="AM175" i="38"/>
  <c r="AM174" i="38"/>
  <c r="AM173" i="38"/>
  <c r="AM172" i="38"/>
  <c r="AM171" i="38"/>
  <c r="AM170" i="38"/>
  <c r="AM169" i="38"/>
  <c r="AM168" i="38"/>
  <c r="AM167" i="38"/>
  <c r="AM166" i="38"/>
  <c r="AM165" i="38"/>
  <c r="AM164" i="38"/>
  <c r="AM163" i="38"/>
  <c r="AM162" i="38"/>
  <c r="AM161" i="38"/>
  <c r="AM160" i="38"/>
  <c r="AM159" i="38"/>
  <c r="AM158" i="38"/>
  <c r="AM157" i="38"/>
  <c r="AM156" i="38"/>
  <c r="AM155" i="38"/>
  <c r="AM154" i="38"/>
  <c r="AM153" i="38"/>
  <c r="AM152" i="38"/>
  <c r="AM151" i="38"/>
  <c r="AM150" i="38"/>
  <c r="AM149" i="38"/>
  <c r="AM148" i="38"/>
  <c r="AM147" i="38"/>
  <c r="AM146" i="38"/>
  <c r="AM145" i="38"/>
  <c r="AM144" i="38"/>
  <c r="AM143" i="38"/>
  <c r="AM142" i="38"/>
  <c r="AM141" i="38"/>
  <c r="AM140" i="38"/>
  <c r="AM139" i="38"/>
  <c r="AM138" i="38"/>
  <c r="AM137" i="38"/>
  <c r="AM136" i="38"/>
  <c r="AM135" i="38"/>
  <c r="AM134" i="38"/>
  <c r="AM133" i="38"/>
  <c r="AM132" i="38"/>
  <c r="AM131" i="38"/>
  <c r="AM130" i="38"/>
  <c r="AM129" i="38"/>
  <c r="AM128" i="38"/>
  <c r="AM127" i="38"/>
  <c r="AM126" i="38"/>
  <c r="AM125" i="38"/>
  <c r="AM124" i="38"/>
  <c r="AM123" i="38"/>
  <c r="AM122" i="38"/>
  <c r="AM121" i="38"/>
  <c r="AM120" i="38"/>
  <c r="AM119" i="38"/>
  <c r="AM118" i="38"/>
  <c r="AM117" i="38"/>
  <c r="AM116" i="38"/>
  <c r="AM115" i="38"/>
  <c r="AM114" i="38"/>
  <c r="AM113" i="38"/>
  <c r="AM112" i="38"/>
  <c r="AM111" i="38"/>
  <c r="AM110" i="38"/>
  <c r="AM109" i="38"/>
  <c r="AM108" i="38"/>
  <c r="AM107" i="38"/>
  <c r="AM106" i="38"/>
  <c r="AM105" i="38"/>
  <c r="AM104" i="38"/>
  <c r="AM103" i="38"/>
  <c r="AM102" i="38"/>
  <c r="AM101" i="38"/>
  <c r="AM100" i="38"/>
  <c r="AM99" i="38"/>
  <c r="AM98" i="38"/>
  <c r="AM97" i="38"/>
  <c r="AM96" i="38"/>
  <c r="AM95" i="38"/>
  <c r="AM94" i="38"/>
  <c r="AM93" i="38"/>
  <c r="AM92" i="38"/>
  <c r="AM91" i="38"/>
  <c r="AM90" i="38"/>
  <c r="AM89" i="38"/>
  <c r="AM88" i="38"/>
  <c r="AM87" i="38"/>
  <c r="AM86" i="38"/>
  <c r="AM85" i="38"/>
  <c r="AM84" i="38"/>
  <c r="AM83" i="38"/>
  <c r="AM82" i="38"/>
  <c r="AM81" i="38"/>
  <c r="AM80" i="38"/>
  <c r="AM79" i="38"/>
  <c r="AM78" i="38"/>
  <c r="AM77" i="38"/>
  <c r="AM76" i="38"/>
  <c r="AM75" i="38"/>
  <c r="AM74" i="38"/>
  <c r="AM73" i="38"/>
  <c r="AM72" i="38"/>
  <c r="AM71" i="38"/>
  <c r="AM70" i="38"/>
  <c r="AM69" i="38"/>
  <c r="AM68" i="38"/>
  <c r="AM67" i="38"/>
  <c r="AM66" i="38"/>
  <c r="AM65" i="38"/>
  <c r="AM64" i="38"/>
  <c r="AM63" i="38"/>
  <c r="AM62" i="38"/>
  <c r="AM61" i="38"/>
  <c r="AM60" i="38"/>
  <c r="AM59" i="38"/>
  <c r="AM58" i="38"/>
  <c r="AM57" i="38"/>
  <c r="AM56" i="38"/>
  <c r="AM55" i="38"/>
  <c r="AM54" i="38"/>
  <c r="AM53" i="38"/>
  <c r="AM52" i="38"/>
  <c r="AM51" i="38"/>
  <c r="AM50" i="38"/>
  <c r="AM49" i="38"/>
  <c r="AM48" i="38"/>
  <c r="AM47" i="38"/>
  <c r="AM46" i="38"/>
  <c r="AM45" i="38"/>
  <c r="AM44" i="38"/>
  <c r="AM43" i="38"/>
  <c r="AM42" i="38"/>
  <c r="AM41" i="38"/>
  <c r="AM40" i="38"/>
  <c r="AM39" i="38"/>
  <c r="AM38" i="38"/>
  <c r="AM37" i="38"/>
  <c r="AM36" i="38"/>
  <c r="AM35" i="38"/>
  <c r="AM34" i="38"/>
  <c r="AM33" i="38"/>
  <c r="AM32" i="38"/>
  <c r="AM31" i="38"/>
  <c r="AM30" i="38"/>
  <c r="AM29" i="38"/>
  <c r="AM28" i="38"/>
  <c r="AM27" i="38"/>
  <c r="AM26" i="38"/>
  <c r="AM25" i="38"/>
  <c r="AM24" i="38"/>
  <c r="AM23" i="38"/>
  <c r="AM22" i="38"/>
  <c r="AM21" i="38"/>
  <c r="AM20" i="38"/>
  <c r="AM19" i="38"/>
  <c r="AM18" i="38"/>
  <c r="AM17" i="38"/>
  <c r="AM16" i="38"/>
  <c r="AM15" i="38"/>
  <c r="AM14" i="38"/>
  <c r="AM13" i="38"/>
  <c r="AM12" i="38"/>
  <c r="AM11" i="38"/>
  <c r="AM10" i="38"/>
  <c r="AM9" i="38"/>
  <c r="AM8" i="38"/>
  <c r="AM7" i="38"/>
  <c r="AM6" i="38"/>
  <c r="AM5" i="38"/>
  <c r="AM4" i="38"/>
  <c r="AM3" i="38"/>
  <c r="AM2" i="38" l="1"/>
  <c r="B2" i="38"/>
  <c r="U2" i="38" s="1"/>
  <c r="D18" i="34"/>
  <c r="D17" i="34"/>
  <c r="E18" i="34"/>
  <c r="E17" i="34"/>
  <c r="A5" i="34"/>
  <c r="A6" i="34" s="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U1" i="44"/>
  <c r="AL976" i="38"/>
  <c r="Q976" i="38"/>
  <c r="P976" i="38"/>
  <c r="AL975" i="38"/>
  <c r="Q975" i="38"/>
  <c r="P975" i="38"/>
  <c r="AL974" i="38"/>
  <c r="Q974" i="38"/>
  <c r="P974" i="38"/>
  <c r="AL973" i="38"/>
  <c r="Q973" i="38"/>
  <c r="P973" i="38"/>
  <c r="AL972" i="38"/>
  <c r="Q972" i="38"/>
  <c r="P972" i="38"/>
  <c r="AL971" i="38"/>
  <c r="Q971" i="38"/>
  <c r="P971" i="38"/>
  <c r="AL970" i="38"/>
  <c r="Q970" i="38"/>
  <c r="P970" i="38"/>
  <c r="AL969" i="38"/>
  <c r="Q969" i="38"/>
  <c r="P969" i="38"/>
  <c r="AL968" i="38"/>
  <c r="Q968" i="38"/>
  <c r="P968" i="38"/>
  <c r="AL967" i="38"/>
  <c r="Q967" i="38"/>
  <c r="P967" i="38"/>
  <c r="AL966" i="38"/>
  <c r="Q966" i="38"/>
  <c r="P966" i="38"/>
  <c r="AL965" i="38"/>
  <c r="Q965" i="38"/>
  <c r="P965" i="38"/>
  <c r="AL964" i="38"/>
  <c r="Q964" i="38"/>
  <c r="P964" i="38"/>
  <c r="AL963" i="38"/>
  <c r="Q963" i="38"/>
  <c r="P963" i="38"/>
  <c r="AL962" i="38"/>
  <c r="Q962" i="38"/>
  <c r="P962" i="38"/>
  <c r="AL961" i="38"/>
  <c r="Q961" i="38"/>
  <c r="P961" i="38"/>
  <c r="AL960" i="38"/>
  <c r="Q960" i="38"/>
  <c r="P960" i="38"/>
  <c r="AL959" i="38"/>
  <c r="Q959" i="38"/>
  <c r="P959" i="38"/>
  <c r="AL958" i="38"/>
  <c r="Q958" i="38"/>
  <c r="P958" i="38"/>
  <c r="AL957" i="38"/>
  <c r="Q957" i="38"/>
  <c r="P957" i="38"/>
  <c r="AL956" i="38"/>
  <c r="Q956" i="38"/>
  <c r="P956" i="38"/>
  <c r="AL955" i="38"/>
  <c r="Q955" i="38"/>
  <c r="P955" i="38"/>
  <c r="AL954" i="38"/>
  <c r="Q954" i="38"/>
  <c r="P954" i="38"/>
  <c r="AL953" i="38"/>
  <c r="Q953" i="38"/>
  <c r="P953" i="38"/>
  <c r="AL952" i="38"/>
  <c r="Q952" i="38"/>
  <c r="P952" i="38"/>
  <c r="AL951" i="38"/>
  <c r="Q951" i="38"/>
  <c r="P951" i="38"/>
  <c r="AL950" i="38"/>
  <c r="Q950" i="38"/>
  <c r="P950" i="38"/>
  <c r="AL949" i="38"/>
  <c r="Q949" i="38"/>
  <c r="P949" i="38"/>
  <c r="AL948" i="38"/>
  <c r="Q948" i="38"/>
  <c r="P948" i="38"/>
  <c r="AL947" i="38"/>
  <c r="Q947" i="38"/>
  <c r="P947" i="38"/>
  <c r="AL946" i="38"/>
  <c r="Q946" i="38"/>
  <c r="P946" i="38"/>
  <c r="AL945" i="38"/>
  <c r="Q945" i="38"/>
  <c r="P945" i="38"/>
  <c r="AL944" i="38"/>
  <c r="Q944" i="38"/>
  <c r="P944" i="38"/>
  <c r="AL943" i="38"/>
  <c r="Q943" i="38"/>
  <c r="P943" i="38"/>
  <c r="AL942" i="38"/>
  <c r="Q942" i="38"/>
  <c r="P942" i="38"/>
  <c r="AL941" i="38"/>
  <c r="Q941" i="38"/>
  <c r="P941" i="38"/>
  <c r="AL940" i="38"/>
  <c r="Q940" i="38"/>
  <c r="P940" i="38"/>
  <c r="AL939" i="38"/>
  <c r="Q939" i="38"/>
  <c r="P939" i="38"/>
  <c r="AL938" i="38"/>
  <c r="Q938" i="38"/>
  <c r="P938" i="38"/>
  <c r="AL937" i="38"/>
  <c r="Q937" i="38"/>
  <c r="P937" i="38"/>
  <c r="AL936" i="38"/>
  <c r="Q936" i="38"/>
  <c r="P936" i="38"/>
  <c r="AL935" i="38"/>
  <c r="Q935" i="38"/>
  <c r="P935" i="38"/>
  <c r="AL934" i="38"/>
  <c r="Q934" i="38"/>
  <c r="P934" i="38"/>
  <c r="AL933" i="38"/>
  <c r="Q933" i="38"/>
  <c r="P933" i="38"/>
  <c r="AL932" i="38"/>
  <c r="Q932" i="38"/>
  <c r="P932" i="38"/>
  <c r="AL931" i="38"/>
  <c r="Q931" i="38"/>
  <c r="P931" i="38"/>
  <c r="AL930" i="38"/>
  <c r="Q930" i="38"/>
  <c r="P930" i="38"/>
  <c r="AL929" i="38"/>
  <c r="Q929" i="38"/>
  <c r="P929" i="38"/>
  <c r="AL928" i="38"/>
  <c r="Q928" i="38"/>
  <c r="P928" i="38"/>
  <c r="AL927" i="38"/>
  <c r="Q927" i="38"/>
  <c r="P927" i="38"/>
  <c r="AL926" i="38"/>
  <c r="Q926" i="38"/>
  <c r="P926" i="38"/>
  <c r="AL925" i="38"/>
  <c r="Q925" i="38"/>
  <c r="P925" i="38"/>
  <c r="AL924" i="38"/>
  <c r="Q924" i="38"/>
  <c r="P924" i="38"/>
  <c r="AL923" i="38"/>
  <c r="Q923" i="38"/>
  <c r="P923" i="38"/>
  <c r="AL922" i="38"/>
  <c r="Q922" i="38"/>
  <c r="P922" i="38"/>
  <c r="AL921" i="38"/>
  <c r="Q921" i="38"/>
  <c r="P921" i="38"/>
  <c r="AL920" i="38"/>
  <c r="Q920" i="38"/>
  <c r="P920" i="38"/>
  <c r="AL919" i="38"/>
  <c r="Q919" i="38"/>
  <c r="P919" i="38"/>
  <c r="AL918" i="38"/>
  <c r="Q918" i="38"/>
  <c r="P918" i="38"/>
  <c r="AL917" i="38"/>
  <c r="Q917" i="38"/>
  <c r="P917" i="38"/>
  <c r="AL916" i="38"/>
  <c r="Q916" i="38"/>
  <c r="P916" i="38"/>
  <c r="AL915" i="38"/>
  <c r="Q915" i="38"/>
  <c r="P915" i="38"/>
  <c r="AL914" i="38"/>
  <c r="Q914" i="38"/>
  <c r="P914" i="38"/>
  <c r="AL913" i="38"/>
  <c r="Q913" i="38"/>
  <c r="P913" i="38"/>
  <c r="AL912" i="38"/>
  <c r="Q912" i="38"/>
  <c r="P912" i="38"/>
  <c r="AL911" i="38"/>
  <c r="Q911" i="38"/>
  <c r="P911" i="38"/>
  <c r="AL910" i="38"/>
  <c r="Q910" i="38"/>
  <c r="P910" i="38"/>
  <c r="AL909" i="38"/>
  <c r="Q909" i="38"/>
  <c r="P909" i="38"/>
  <c r="AL908" i="38"/>
  <c r="Q908" i="38"/>
  <c r="P908" i="38"/>
  <c r="AL907" i="38"/>
  <c r="Q907" i="38"/>
  <c r="P907" i="38"/>
  <c r="AL906" i="38"/>
  <c r="Q906" i="38"/>
  <c r="P906" i="38"/>
  <c r="AL905" i="38"/>
  <c r="Q905" i="38"/>
  <c r="P905" i="38"/>
  <c r="AL904" i="38"/>
  <c r="Q904" i="38"/>
  <c r="P904" i="38"/>
  <c r="AL903" i="38"/>
  <c r="Q903" i="38"/>
  <c r="P903" i="38"/>
  <c r="AL902" i="38"/>
  <c r="Q902" i="38"/>
  <c r="P902" i="38"/>
  <c r="AL901" i="38"/>
  <c r="Q901" i="38"/>
  <c r="P901" i="38"/>
  <c r="AL900" i="38"/>
  <c r="Q900" i="38"/>
  <c r="P900" i="38"/>
  <c r="AL899" i="38"/>
  <c r="Q899" i="38"/>
  <c r="P899" i="38"/>
  <c r="B920" i="38" l="1"/>
  <c r="U920" i="38" s="1"/>
  <c r="B936" i="38"/>
  <c r="U936" i="38" s="1"/>
  <c r="B941" i="38"/>
  <c r="U941" i="38" s="1"/>
  <c r="B922" i="38"/>
  <c r="U922" i="38" s="1"/>
  <c r="B971" i="38"/>
  <c r="U971" i="38" s="1"/>
  <c r="B951" i="38"/>
  <c r="U951" i="38" s="1"/>
  <c r="B956" i="38"/>
  <c r="U956" i="38" s="1"/>
  <c r="B939" i="38"/>
  <c r="U939" i="38" s="1"/>
  <c r="B900" i="38"/>
  <c r="U900" i="38" s="1"/>
  <c r="B907" i="38"/>
  <c r="U907" i="38" s="1"/>
  <c r="B928" i="38"/>
  <c r="U928" i="38" s="1"/>
  <c r="B935" i="38"/>
  <c r="U935" i="38" s="1"/>
  <c r="B911" i="38"/>
  <c r="U911" i="38" s="1"/>
  <c r="B932" i="38"/>
  <c r="U932" i="38" s="1"/>
  <c r="B954" i="38"/>
  <c r="U954" i="38" s="1"/>
  <c r="B919" i="38"/>
  <c r="U919" i="38" s="1"/>
  <c r="B904" i="38"/>
  <c r="U904" i="38" s="1"/>
  <c r="B903" i="38"/>
  <c r="U903" i="38" s="1"/>
  <c r="B917" i="38"/>
  <c r="U917" i="38" s="1"/>
  <c r="B968" i="38"/>
  <c r="U968" i="38" s="1"/>
  <c r="B915" i="38"/>
  <c r="U915" i="38" s="1"/>
  <c r="B924" i="38"/>
  <c r="U924" i="38" s="1"/>
  <c r="B973" i="38"/>
  <c r="U973" i="38" s="1"/>
  <c r="B909" i="38"/>
  <c r="U909" i="38" s="1"/>
  <c r="B930" i="38"/>
  <c r="U930" i="38" s="1"/>
  <c r="B901" i="38"/>
  <c r="U901" i="38" s="1"/>
  <c r="B914" i="38"/>
  <c r="U914" i="38" s="1"/>
  <c r="B931" i="38"/>
  <c r="U931" i="38" s="1"/>
  <c r="B912" i="38"/>
  <c r="U912" i="38" s="1"/>
  <c r="B927" i="38"/>
  <c r="U927" i="38" s="1"/>
  <c r="B899" i="38"/>
  <c r="U899" i="38" s="1"/>
  <c r="B916" i="38"/>
  <c r="U916" i="38" s="1"/>
  <c r="B933" i="38"/>
  <c r="U933" i="38" s="1"/>
  <c r="B906" i="38"/>
  <c r="U906" i="38" s="1"/>
  <c r="B908" i="38"/>
  <c r="U908" i="38" s="1"/>
  <c r="B923" i="38"/>
  <c r="U923" i="38" s="1"/>
  <c r="B925" i="38"/>
  <c r="U925" i="38" s="1"/>
  <c r="B938" i="38"/>
  <c r="U938" i="38" s="1"/>
  <c r="B940" i="38"/>
  <c r="U940" i="38" s="1"/>
  <c r="B943" i="38"/>
  <c r="U943" i="38" s="1"/>
  <c r="B960" i="38"/>
  <c r="U960" i="38" s="1"/>
  <c r="B975" i="38"/>
  <c r="U975" i="38" s="1"/>
  <c r="B952" i="38"/>
  <c r="U952" i="38" s="1"/>
  <c r="B967" i="38"/>
  <c r="U967" i="38" s="1"/>
  <c r="B946" i="38"/>
  <c r="U946" i="38" s="1"/>
  <c r="B948" i="38"/>
  <c r="U948" i="38" s="1"/>
  <c r="B963" i="38"/>
  <c r="U963" i="38" s="1"/>
  <c r="B965" i="38"/>
  <c r="U965" i="38" s="1"/>
  <c r="B944" i="38"/>
  <c r="U944" i="38" s="1"/>
  <c r="B959" i="38"/>
  <c r="U959" i="38" s="1"/>
  <c r="B976" i="38"/>
  <c r="U976" i="38" s="1"/>
  <c r="B955" i="38"/>
  <c r="U955" i="38" s="1"/>
  <c r="B957" i="38"/>
  <c r="U957" i="38" s="1"/>
  <c r="B970" i="38"/>
  <c r="U970" i="38" s="1"/>
  <c r="B972" i="38"/>
  <c r="U972" i="38" s="1"/>
  <c r="B947" i="38"/>
  <c r="U947" i="38" s="1"/>
  <c r="B949" i="38"/>
  <c r="U949" i="38" s="1"/>
  <c r="B962" i="38"/>
  <c r="U962" i="38" s="1"/>
  <c r="B964" i="38"/>
  <c r="U964" i="38" s="1"/>
  <c r="B974" i="38"/>
  <c r="U974" i="38" s="1"/>
  <c r="B905" i="38"/>
  <c r="B913" i="38"/>
  <c r="B921" i="38"/>
  <c r="B929" i="38"/>
  <c r="B937" i="38"/>
  <c r="B945" i="38"/>
  <c r="B953" i="38"/>
  <c r="B961" i="38"/>
  <c r="U961" i="38" s="1"/>
  <c r="B969" i="38"/>
  <c r="B902" i="38"/>
  <c r="U902" i="38" s="1"/>
  <c r="B910" i="38"/>
  <c r="U910" i="38" s="1"/>
  <c r="B918" i="38"/>
  <c r="B926" i="38"/>
  <c r="B934" i="38"/>
  <c r="B942" i="38"/>
  <c r="B950" i="38"/>
  <c r="B958" i="38"/>
  <c r="B966" i="38"/>
  <c r="AL898" i="38"/>
  <c r="Q898" i="38"/>
  <c r="P898" i="38"/>
  <c r="AL897" i="38"/>
  <c r="Q897" i="38"/>
  <c r="P897" i="38"/>
  <c r="AL896" i="38"/>
  <c r="Q896" i="38"/>
  <c r="P896" i="38"/>
  <c r="AL895" i="38"/>
  <c r="Q895" i="38"/>
  <c r="P895" i="38"/>
  <c r="AL894" i="38"/>
  <c r="Q894" i="38"/>
  <c r="P894" i="38"/>
  <c r="AE907" i="38"/>
  <c r="AE902" i="38"/>
  <c r="AE938" i="38"/>
  <c r="AE944" i="38"/>
  <c r="AE913" i="38"/>
  <c r="AE935" i="38"/>
  <c r="AE943" i="38"/>
  <c r="AE906" i="38"/>
  <c r="AE964" i="38"/>
  <c r="AE916" i="38"/>
  <c r="AE947" i="38"/>
  <c r="AE919" i="38"/>
  <c r="AE975" i="38"/>
  <c r="AE921" i="38"/>
  <c r="AE915" i="38"/>
  <c r="AE953" i="38"/>
  <c r="AE909" i="38"/>
  <c r="AE942" i="38"/>
  <c r="AE949" i="38"/>
  <c r="AE954" i="38"/>
  <c r="AE969" i="38"/>
  <c r="AE911" i="38"/>
  <c r="AE972" i="38"/>
  <c r="AE914" i="38"/>
  <c r="AE908" i="38"/>
  <c r="AE959" i="38"/>
  <c r="AE946" i="38"/>
  <c r="AE900" i="38"/>
  <c r="AE970" i="38"/>
  <c r="AE901" i="38"/>
  <c r="AE929" i="38"/>
  <c r="AE898" i="38"/>
  <c r="AE897" i="38"/>
  <c r="AE971" i="38"/>
  <c r="AE923" i="38"/>
  <c r="AE926" i="38"/>
  <c r="AE939" i="38"/>
  <c r="AE904" i="38"/>
  <c r="AE894" i="38"/>
  <c r="AE948" i="38"/>
  <c r="AE930" i="38"/>
  <c r="AE973" i="38"/>
  <c r="AE912" i="38"/>
  <c r="AE962" i="38"/>
  <c r="AE905" i="38"/>
  <c r="AE956" i="38"/>
  <c r="AE952" i="38"/>
  <c r="AE974" i="38"/>
  <c r="AE934" i="38"/>
  <c r="AE958" i="38"/>
  <c r="AE941" i="38"/>
  <c r="AE963" i="38"/>
  <c r="AE899" i="38"/>
  <c r="AE951" i="38"/>
  <c r="AE931" i="38"/>
  <c r="AE950" i="38"/>
  <c r="M920" i="38" l="1"/>
  <c r="M951" i="38"/>
  <c r="M936" i="38"/>
  <c r="M941" i="38"/>
  <c r="M917" i="38"/>
  <c r="M971" i="38"/>
  <c r="M919" i="38"/>
  <c r="M922" i="38"/>
  <c r="M956" i="38"/>
  <c r="M900" i="38"/>
  <c r="M903" i="38"/>
  <c r="M911" i="38"/>
  <c r="M932" i="38"/>
  <c r="M924" i="38"/>
  <c r="M939" i="38"/>
  <c r="M904" i="38"/>
  <c r="M907" i="38"/>
  <c r="M914" i="38"/>
  <c r="M930" i="38"/>
  <c r="M935" i="38"/>
  <c r="M928" i="38"/>
  <c r="M954" i="38"/>
  <c r="M909" i="38"/>
  <c r="M968" i="38"/>
  <c r="M973" i="38"/>
  <c r="M915" i="38"/>
  <c r="M946" i="38"/>
  <c r="M957" i="38"/>
  <c r="M938" i="38"/>
  <c r="M961" i="38"/>
  <c r="M970" i="38"/>
  <c r="M962" i="38"/>
  <c r="M901" i="38"/>
  <c r="M944" i="38"/>
  <c r="M964" i="38"/>
  <c r="M967" i="38"/>
  <c r="M931" i="38"/>
  <c r="M952" i="38"/>
  <c r="M949" i="38"/>
  <c r="M976" i="38"/>
  <c r="M960" i="38"/>
  <c r="M933" i="38"/>
  <c r="M975" i="38"/>
  <c r="M916" i="38"/>
  <c r="M908" i="38"/>
  <c r="M943" i="38"/>
  <c r="M902" i="38"/>
  <c r="M965" i="38"/>
  <c r="M947" i="38"/>
  <c r="M912" i="38"/>
  <c r="M940" i="38"/>
  <c r="M959" i="38"/>
  <c r="M906" i="38"/>
  <c r="M899" i="38"/>
  <c r="M925" i="38"/>
  <c r="M923" i="38"/>
  <c r="M927" i="38"/>
  <c r="M963" i="38"/>
  <c r="M972" i="38"/>
  <c r="M948" i="38"/>
  <c r="M955" i="38"/>
  <c r="M910" i="38"/>
  <c r="M974" i="38"/>
  <c r="M921" i="38"/>
  <c r="U921" i="38"/>
  <c r="M966" i="38"/>
  <c r="U966" i="38"/>
  <c r="M913" i="38"/>
  <c r="U913" i="38"/>
  <c r="M918" i="38"/>
  <c r="U918" i="38"/>
  <c r="M929" i="38"/>
  <c r="U929" i="38"/>
  <c r="M958" i="38"/>
  <c r="U958" i="38"/>
  <c r="M969" i="38"/>
  <c r="U969" i="38"/>
  <c r="M905" i="38"/>
  <c r="U905" i="38"/>
  <c r="M950" i="38"/>
  <c r="U950" i="38"/>
  <c r="M942" i="38"/>
  <c r="U942" i="38"/>
  <c r="M953" i="38"/>
  <c r="U953" i="38"/>
  <c r="M934" i="38"/>
  <c r="U934" i="38"/>
  <c r="M945" i="38"/>
  <c r="U945" i="38"/>
  <c r="M926" i="38"/>
  <c r="U926" i="38"/>
  <c r="M937" i="38"/>
  <c r="U937" i="38"/>
  <c r="L1230" i="37"/>
  <c r="S1230" i="37" s="1"/>
  <c r="G1230" i="37"/>
  <c r="C1230" i="37"/>
  <c r="L1229" i="37"/>
  <c r="S1229" i="37" s="1"/>
  <c r="G1229" i="37"/>
  <c r="C1229" i="37"/>
  <c r="L1228" i="37"/>
  <c r="S1228" i="37" s="1"/>
  <c r="G1228" i="37"/>
  <c r="C1228" i="37"/>
  <c r="L1227" i="37"/>
  <c r="S1227" i="37" s="1"/>
  <c r="G1227" i="37"/>
  <c r="C1227" i="37"/>
  <c r="L1226" i="37"/>
  <c r="S1226" i="37" s="1"/>
  <c r="G1226" i="37"/>
  <c r="C1226" i="37"/>
  <c r="L1225" i="37"/>
  <c r="S1225" i="37" s="1"/>
  <c r="G1225" i="37"/>
  <c r="C1225" i="37"/>
  <c r="L1224" i="37"/>
  <c r="S1224" i="37" s="1"/>
  <c r="G1224" i="37"/>
  <c r="C1224" i="37"/>
  <c r="L1223" i="37"/>
  <c r="S1223" i="37" s="1"/>
  <c r="G1223" i="37"/>
  <c r="C1223" i="37"/>
  <c r="L1222" i="37"/>
  <c r="S1222" i="37" s="1"/>
  <c r="G1222" i="37"/>
  <c r="C1222" i="37"/>
  <c r="L1221" i="37"/>
  <c r="S1221" i="37" s="1"/>
  <c r="G1221" i="37"/>
  <c r="C1221" i="37"/>
  <c r="L1220" i="37"/>
  <c r="S1220" i="37" s="1"/>
  <c r="G1220" i="37"/>
  <c r="C1220" i="37"/>
  <c r="L1219" i="37"/>
  <c r="S1219" i="37" s="1"/>
  <c r="G1219" i="37"/>
  <c r="C1219" i="37"/>
  <c r="L1218" i="37"/>
  <c r="S1218" i="37" s="1"/>
  <c r="G1218" i="37"/>
  <c r="C1218" i="37"/>
  <c r="L1217" i="37"/>
  <c r="S1217" i="37" s="1"/>
  <c r="G1217" i="37"/>
  <c r="C1217" i="37"/>
  <c r="L1216" i="37"/>
  <c r="S1216" i="37" s="1"/>
  <c r="G1216" i="37"/>
  <c r="C1216" i="37"/>
  <c r="L1215" i="37"/>
  <c r="S1215" i="37" s="1"/>
  <c r="G1215" i="37"/>
  <c r="C1215" i="37"/>
  <c r="L1214" i="37"/>
  <c r="S1214" i="37" s="1"/>
  <c r="G1214" i="37"/>
  <c r="C1214" i="37"/>
  <c r="L1213" i="37"/>
  <c r="S1213" i="37" s="1"/>
  <c r="G1213" i="37"/>
  <c r="C1213" i="37"/>
  <c r="L1212" i="37"/>
  <c r="S1212" i="37" s="1"/>
  <c r="G1212" i="37"/>
  <c r="C1212" i="37"/>
  <c r="L1211" i="37"/>
  <c r="S1211" i="37" s="1"/>
  <c r="G1211" i="37"/>
  <c r="C1211" i="37"/>
  <c r="L1210" i="37"/>
  <c r="S1210" i="37" s="1"/>
  <c r="G1210" i="37"/>
  <c r="C1210" i="37"/>
  <c r="L1209" i="37"/>
  <c r="S1209" i="37" s="1"/>
  <c r="G1209" i="37"/>
  <c r="C1209" i="37"/>
  <c r="L1208" i="37"/>
  <c r="S1208" i="37" s="1"/>
  <c r="G1208" i="37"/>
  <c r="C1208" i="37"/>
  <c r="L1207" i="37"/>
  <c r="S1207" i="37" s="1"/>
  <c r="G1207" i="37"/>
  <c r="C1207" i="37"/>
  <c r="L1206" i="37"/>
  <c r="S1206" i="37" s="1"/>
  <c r="G1206" i="37"/>
  <c r="C1206" i="37"/>
  <c r="L1205" i="37"/>
  <c r="S1205" i="37" s="1"/>
  <c r="G1205" i="37"/>
  <c r="C1205" i="37"/>
  <c r="L1204" i="37"/>
  <c r="S1204" i="37" s="1"/>
  <c r="G1204" i="37"/>
  <c r="C1204" i="37"/>
  <c r="L1203" i="37"/>
  <c r="S1203" i="37" s="1"/>
  <c r="G1203" i="37"/>
  <c r="C1203" i="37"/>
  <c r="L1202" i="37"/>
  <c r="S1202" i="37" s="1"/>
  <c r="G1202" i="37"/>
  <c r="C1202" i="37"/>
  <c r="L1201" i="37"/>
  <c r="S1201" i="37" s="1"/>
  <c r="G1201" i="37"/>
  <c r="C1201" i="37"/>
  <c r="L1200" i="37"/>
  <c r="S1200" i="37" s="1"/>
  <c r="G1200" i="37"/>
  <c r="C1200" i="37"/>
  <c r="L1199" i="37"/>
  <c r="S1199" i="37" s="1"/>
  <c r="G1199" i="37"/>
  <c r="C1199" i="37"/>
  <c r="L1198" i="37"/>
  <c r="S1198" i="37" s="1"/>
  <c r="G1198" i="37"/>
  <c r="C1198" i="37"/>
  <c r="L1197" i="37"/>
  <c r="S1197" i="37" s="1"/>
  <c r="G1197" i="37"/>
  <c r="C1197" i="37"/>
  <c r="L1196" i="37"/>
  <c r="S1196" i="37" s="1"/>
  <c r="G1196" i="37"/>
  <c r="C1196" i="37"/>
  <c r="L1195" i="37"/>
  <c r="S1195" i="37" s="1"/>
  <c r="G1195" i="37"/>
  <c r="C1195" i="37"/>
  <c r="L1194" i="37"/>
  <c r="S1194" i="37" s="1"/>
  <c r="G1194" i="37"/>
  <c r="C1194" i="37"/>
  <c r="L1193" i="37"/>
  <c r="S1193" i="37" s="1"/>
  <c r="G1193" i="37"/>
  <c r="C1193" i="37"/>
  <c r="L1192" i="37"/>
  <c r="S1192" i="37" s="1"/>
  <c r="G1192" i="37"/>
  <c r="C1192" i="37"/>
  <c r="L1191" i="37"/>
  <c r="S1191" i="37" s="1"/>
  <c r="G1191" i="37"/>
  <c r="C1191" i="37"/>
  <c r="L1190" i="37"/>
  <c r="S1190" i="37" s="1"/>
  <c r="G1190" i="37"/>
  <c r="C1190" i="37"/>
  <c r="L1189" i="37"/>
  <c r="S1189" i="37" s="1"/>
  <c r="G1189" i="37"/>
  <c r="C1189" i="37"/>
  <c r="L1188" i="37"/>
  <c r="S1188" i="37" s="1"/>
  <c r="G1188" i="37"/>
  <c r="C1188" i="37"/>
  <c r="L1187" i="37"/>
  <c r="S1187" i="37" s="1"/>
  <c r="G1187" i="37"/>
  <c r="C1187" i="37"/>
  <c r="L1186" i="37"/>
  <c r="S1186" i="37" s="1"/>
  <c r="G1186" i="37"/>
  <c r="C1186" i="37"/>
  <c r="L1185" i="37"/>
  <c r="S1185" i="37" s="1"/>
  <c r="G1185" i="37"/>
  <c r="C1185" i="37"/>
  <c r="L1184" i="37"/>
  <c r="S1184" i="37" s="1"/>
  <c r="G1184" i="37"/>
  <c r="C1184" i="37"/>
  <c r="L1183" i="37"/>
  <c r="S1183" i="37" s="1"/>
  <c r="G1183" i="37"/>
  <c r="C1183" i="37"/>
  <c r="L1182" i="37"/>
  <c r="S1182" i="37" s="1"/>
  <c r="G1182" i="37"/>
  <c r="C1182" i="37"/>
  <c r="B6" i="41"/>
  <c r="B7" i="41"/>
  <c r="B8" i="41"/>
  <c r="B9" i="41"/>
  <c r="B10" i="41"/>
  <c r="B11" i="41"/>
  <c r="B12" i="41"/>
  <c r="B13" i="4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B334" i="41"/>
  <c r="B335" i="41"/>
  <c r="B336" i="41"/>
  <c r="B337" i="41"/>
  <c r="B338" i="41"/>
  <c r="B339" i="41"/>
  <c r="B340" i="41"/>
  <c r="B341" i="41"/>
  <c r="B342" i="41"/>
  <c r="B343" i="41"/>
  <c r="B344" i="41"/>
  <c r="B345" i="41"/>
  <c r="B346" i="41"/>
  <c r="B347" i="41"/>
  <c r="B348" i="41"/>
  <c r="AE922" i="38"/>
  <c r="AE917" i="38"/>
  <c r="AE896" i="38"/>
  <c r="AE928" i="38"/>
  <c r="AE918" i="38"/>
  <c r="AE968" i="38"/>
  <c r="AE920" i="38"/>
  <c r="AE940" i="38"/>
  <c r="AE925" i="38"/>
  <c r="AE965" i="38"/>
  <c r="AE966" i="38"/>
  <c r="AE961" i="38"/>
  <c r="AE910" i="38"/>
  <c r="AE936" i="38"/>
  <c r="AE895" i="38"/>
  <c r="AE932" i="38"/>
  <c r="AE924" i="38"/>
  <c r="AE903" i="38"/>
  <c r="AE957" i="38"/>
  <c r="AE927" i="38"/>
  <c r="AE937" i="38"/>
  <c r="AE933" i="38"/>
  <c r="AE955" i="38"/>
  <c r="AE960" i="38"/>
  <c r="AE945" i="38"/>
  <c r="AE967" i="38"/>
  <c r="V92" i="44" l="1"/>
  <c r="U92" i="44"/>
  <c r="S92" i="44"/>
  <c r="R92" i="44"/>
  <c r="P92" i="44"/>
  <c r="O92" i="44"/>
  <c r="M92" i="44"/>
  <c r="L92" i="44"/>
  <c r="J92" i="44"/>
  <c r="I92" i="44"/>
  <c r="G92" i="44"/>
  <c r="F92" i="44"/>
  <c r="D92" i="44"/>
  <c r="C92" i="44"/>
  <c r="E35" i="1" s="1"/>
  <c r="B92" i="44" l="1"/>
  <c r="M3" i="44" s="1"/>
  <c r="F35" i="1"/>
  <c r="D35" i="1" s="1"/>
  <c r="A92" i="44"/>
  <c r="C35" i="1" s="1"/>
  <c r="S29" i="1"/>
  <c r="S27" i="1"/>
  <c r="W35" i="1" l="1"/>
  <c r="AL511" i="38"/>
  <c r="Q511" i="38"/>
  <c r="P511" i="38"/>
  <c r="AL510" i="38"/>
  <c r="Q510" i="38"/>
  <c r="P510" i="38"/>
  <c r="AL509" i="38"/>
  <c r="Q509" i="38"/>
  <c r="P509" i="38"/>
  <c r="AL508" i="38"/>
  <c r="Q508" i="38"/>
  <c r="P508" i="38"/>
  <c r="AL507" i="38"/>
  <c r="Q507" i="38"/>
  <c r="P507" i="38"/>
  <c r="AL506" i="38"/>
  <c r="Q506" i="38"/>
  <c r="P506" i="38"/>
  <c r="AL505" i="38"/>
  <c r="Q505" i="38"/>
  <c r="P505" i="38"/>
  <c r="AL504" i="38"/>
  <c r="Q504" i="38"/>
  <c r="P504" i="38"/>
  <c r="AL503" i="38"/>
  <c r="Q503" i="38"/>
  <c r="P503" i="38"/>
  <c r="AL502" i="38"/>
  <c r="Q502" i="38"/>
  <c r="P502" i="38"/>
  <c r="AL501" i="38"/>
  <c r="Q501" i="38"/>
  <c r="P501" i="38"/>
  <c r="AL500" i="38"/>
  <c r="Q500" i="38"/>
  <c r="P500" i="38"/>
  <c r="AL499" i="38"/>
  <c r="Q499" i="38"/>
  <c r="P499" i="38"/>
  <c r="AL498" i="38"/>
  <c r="Q498" i="38"/>
  <c r="P498" i="38"/>
  <c r="AL497" i="38"/>
  <c r="Q497" i="38"/>
  <c r="P497" i="38"/>
  <c r="AL496" i="38"/>
  <c r="Q496" i="38"/>
  <c r="P496" i="38"/>
  <c r="AL495" i="38"/>
  <c r="Q495" i="38"/>
  <c r="P495" i="38"/>
  <c r="AL494" i="38"/>
  <c r="Q494" i="38"/>
  <c r="P494" i="38"/>
  <c r="AL493" i="38"/>
  <c r="Q493" i="38"/>
  <c r="P493" i="38"/>
  <c r="AL492" i="38"/>
  <c r="Q492" i="38"/>
  <c r="P492" i="38"/>
  <c r="AL491" i="38"/>
  <c r="Q491" i="38"/>
  <c r="P491" i="38"/>
  <c r="AL490" i="38"/>
  <c r="Q490" i="38"/>
  <c r="P490" i="38"/>
  <c r="AL489" i="38"/>
  <c r="Q489" i="38"/>
  <c r="P489" i="38"/>
  <c r="AL488" i="38"/>
  <c r="Q488" i="38"/>
  <c r="P488" i="38"/>
  <c r="AL487" i="38"/>
  <c r="Q487" i="38"/>
  <c r="P487" i="38"/>
  <c r="AL486" i="38"/>
  <c r="Q486" i="38"/>
  <c r="P486" i="38"/>
  <c r="AL485" i="38"/>
  <c r="Q485" i="38"/>
  <c r="P485" i="38"/>
  <c r="AL484" i="38"/>
  <c r="Q484" i="38"/>
  <c r="P484" i="38"/>
  <c r="AL483" i="38"/>
  <c r="Q483" i="38"/>
  <c r="P483" i="38"/>
  <c r="AL482" i="38"/>
  <c r="Q482" i="38"/>
  <c r="P482" i="38"/>
  <c r="AL481" i="38"/>
  <c r="Q481" i="38"/>
  <c r="P481" i="38"/>
  <c r="AL480" i="38"/>
  <c r="Q480" i="38"/>
  <c r="P480" i="38"/>
  <c r="AL479" i="38"/>
  <c r="Q479" i="38"/>
  <c r="P479" i="38"/>
  <c r="AL478" i="38"/>
  <c r="Q478" i="38"/>
  <c r="P478" i="38"/>
  <c r="AL477" i="38"/>
  <c r="Q477" i="38"/>
  <c r="P477" i="38"/>
  <c r="AL476" i="38"/>
  <c r="Q476" i="38"/>
  <c r="P476" i="38"/>
  <c r="AL475" i="38"/>
  <c r="Q475" i="38"/>
  <c r="P475" i="38"/>
  <c r="AL474" i="38"/>
  <c r="Q474" i="38"/>
  <c r="P474" i="38"/>
  <c r="AL473" i="38"/>
  <c r="Q473" i="38"/>
  <c r="P473" i="38"/>
  <c r="AL472" i="38"/>
  <c r="Q472" i="38"/>
  <c r="P472" i="38"/>
  <c r="B472" i="38"/>
  <c r="U472" i="38" s="1"/>
  <c r="AL471" i="38"/>
  <c r="Q471" i="38"/>
  <c r="P471" i="38"/>
  <c r="AL470" i="38"/>
  <c r="Q470" i="38"/>
  <c r="P470" i="38"/>
  <c r="AL469" i="38"/>
  <c r="Q469" i="38"/>
  <c r="P469" i="38"/>
  <c r="AL468" i="38"/>
  <c r="Q468" i="38"/>
  <c r="P468" i="38"/>
  <c r="AL467" i="38"/>
  <c r="Q467" i="38"/>
  <c r="P467" i="38"/>
  <c r="B467" i="38"/>
  <c r="U467" i="38" s="1"/>
  <c r="AL466" i="38"/>
  <c r="Q466" i="38"/>
  <c r="P466" i="38"/>
  <c r="AL465" i="38"/>
  <c r="Q465" i="38"/>
  <c r="P465" i="38"/>
  <c r="AL464" i="38"/>
  <c r="Q464" i="38"/>
  <c r="P464" i="38"/>
  <c r="AL463" i="38"/>
  <c r="Q463" i="38"/>
  <c r="P463" i="38"/>
  <c r="AL462" i="38"/>
  <c r="Q462" i="38"/>
  <c r="P462" i="38"/>
  <c r="AL461" i="38"/>
  <c r="Q461" i="38"/>
  <c r="P461" i="38"/>
  <c r="AL460" i="38"/>
  <c r="Q460" i="38"/>
  <c r="P460" i="38"/>
  <c r="AL459" i="38"/>
  <c r="Q459" i="38"/>
  <c r="P459" i="38"/>
  <c r="AL458" i="38"/>
  <c r="Q458" i="38"/>
  <c r="P458" i="38"/>
  <c r="AL457" i="38"/>
  <c r="Q457" i="38"/>
  <c r="P457" i="38"/>
  <c r="AL456" i="38"/>
  <c r="Q456" i="38"/>
  <c r="P456" i="38"/>
  <c r="B456" i="38"/>
  <c r="U456" i="38" s="1"/>
  <c r="AL455" i="38"/>
  <c r="Q455" i="38"/>
  <c r="P455" i="38"/>
  <c r="AL454" i="38"/>
  <c r="Q454" i="38"/>
  <c r="P454" i="38"/>
  <c r="AL453" i="38"/>
  <c r="Q453" i="38"/>
  <c r="P453" i="38"/>
  <c r="AL452" i="38"/>
  <c r="Q452" i="38"/>
  <c r="P452" i="38"/>
  <c r="AL451" i="38"/>
  <c r="Q451" i="38"/>
  <c r="P451" i="38"/>
  <c r="B451" i="38"/>
  <c r="U451" i="38" s="1"/>
  <c r="AL450" i="38"/>
  <c r="Q450" i="38"/>
  <c r="P450" i="38"/>
  <c r="AL449" i="38"/>
  <c r="Q449" i="38"/>
  <c r="P449" i="38"/>
  <c r="AL448" i="38"/>
  <c r="Q448" i="38"/>
  <c r="P448" i="38"/>
  <c r="AL447" i="38"/>
  <c r="Q447" i="38"/>
  <c r="P447" i="38"/>
  <c r="AL446" i="38"/>
  <c r="Q446" i="38"/>
  <c r="P446" i="38"/>
  <c r="AL445" i="38"/>
  <c r="Q445" i="38"/>
  <c r="P445" i="38"/>
  <c r="AL444" i="38"/>
  <c r="Q444" i="38"/>
  <c r="P444" i="38"/>
  <c r="AL443" i="38"/>
  <c r="Q443" i="38"/>
  <c r="P443" i="38"/>
  <c r="AL442" i="38"/>
  <c r="Q442" i="38"/>
  <c r="P442" i="38"/>
  <c r="AL441" i="38"/>
  <c r="Q441" i="38"/>
  <c r="P441" i="38"/>
  <c r="AL440" i="38"/>
  <c r="Q440" i="38"/>
  <c r="P440" i="38"/>
  <c r="B440" i="38"/>
  <c r="U440" i="38" s="1"/>
  <c r="AL439" i="38"/>
  <c r="Q439" i="38"/>
  <c r="P439" i="38"/>
  <c r="AL438" i="38"/>
  <c r="Q438" i="38"/>
  <c r="P438" i="38"/>
  <c r="AL437" i="38"/>
  <c r="Q437" i="38"/>
  <c r="P437" i="38"/>
  <c r="AL436" i="38"/>
  <c r="Q436" i="38"/>
  <c r="P436" i="38"/>
  <c r="AL435" i="38"/>
  <c r="Q435" i="38"/>
  <c r="P435" i="38"/>
  <c r="B435" i="38"/>
  <c r="U435" i="38" s="1"/>
  <c r="AL434" i="38"/>
  <c r="Q434" i="38"/>
  <c r="P434" i="38"/>
  <c r="AL433" i="38"/>
  <c r="Q433" i="38"/>
  <c r="P433" i="38"/>
  <c r="AL432" i="38"/>
  <c r="Q432" i="38"/>
  <c r="P432" i="38"/>
  <c r="AL431" i="38"/>
  <c r="Q431" i="38"/>
  <c r="P431" i="38"/>
  <c r="AL430" i="38"/>
  <c r="Q430" i="38"/>
  <c r="P430" i="38"/>
  <c r="AL429" i="38"/>
  <c r="Q429" i="38"/>
  <c r="P429" i="38"/>
  <c r="AL428" i="38"/>
  <c r="Q428" i="38"/>
  <c r="P428" i="38"/>
  <c r="AL427" i="38"/>
  <c r="Q427" i="38"/>
  <c r="P427" i="38"/>
  <c r="AL426" i="38"/>
  <c r="Q426" i="38"/>
  <c r="P426" i="38"/>
  <c r="AL425" i="38"/>
  <c r="Q425" i="38"/>
  <c r="P425" i="38"/>
  <c r="AL424" i="38"/>
  <c r="Q424" i="38"/>
  <c r="P424" i="38"/>
  <c r="B424" i="38"/>
  <c r="U424" i="38" s="1"/>
  <c r="AL423" i="38"/>
  <c r="Q423" i="38"/>
  <c r="P423" i="38"/>
  <c r="AL422" i="38"/>
  <c r="Q422" i="38"/>
  <c r="P422" i="38"/>
  <c r="AL421" i="38"/>
  <c r="Q421" i="38"/>
  <c r="P421" i="38"/>
  <c r="AL420" i="38"/>
  <c r="Q420" i="38"/>
  <c r="P420" i="38"/>
  <c r="AL419" i="38"/>
  <c r="Q419" i="38"/>
  <c r="P419" i="38"/>
  <c r="B419" i="38"/>
  <c r="U419" i="38" s="1"/>
  <c r="AL418" i="38"/>
  <c r="Q418" i="38"/>
  <c r="P418" i="38"/>
  <c r="AL417" i="38"/>
  <c r="Q417" i="38"/>
  <c r="P417" i="38"/>
  <c r="AL416" i="38"/>
  <c r="Q416" i="38"/>
  <c r="P416" i="38"/>
  <c r="AL415" i="38"/>
  <c r="Q415" i="38"/>
  <c r="P415" i="38"/>
  <c r="AL414" i="38"/>
  <c r="Q414" i="38"/>
  <c r="P414" i="38"/>
  <c r="AL413" i="38"/>
  <c r="Q413" i="38"/>
  <c r="P413" i="38"/>
  <c r="AL412" i="38"/>
  <c r="Q412" i="38"/>
  <c r="P412" i="38"/>
  <c r="AL411" i="38"/>
  <c r="Q411" i="38"/>
  <c r="P411" i="38"/>
  <c r="AL410" i="38"/>
  <c r="Q410" i="38"/>
  <c r="P410" i="38"/>
  <c r="AL409" i="38"/>
  <c r="Q409" i="38"/>
  <c r="P409" i="38"/>
  <c r="B409" i="38"/>
  <c r="U409" i="38" s="1"/>
  <c r="AL408" i="38"/>
  <c r="Q408" i="38"/>
  <c r="P408" i="38"/>
  <c r="AL407" i="38"/>
  <c r="Q407" i="38"/>
  <c r="P407" i="38"/>
  <c r="AL406" i="38"/>
  <c r="Q406" i="38"/>
  <c r="P406" i="38"/>
  <c r="AL405" i="38"/>
  <c r="Q405" i="38"/>
  <c r="P405" i="38"/>
  <c r="AL404" i="38"/>
  <c r="Q404" i="38"/>
  <c r="P404" i="38"/>
  <c r="AL403" i="38"/>
  <c r="Q403" i="38"/>
  <c r="P403" i="38"/>
  <c r="AL402" i="38"/>
  <c r="Q402" i="38"/>
  <c r="P402" i="38"/>
  <c r="B402" i="38"/>
  <c r="U402" i="38" s="1"/>
  <c r="AL401" i="38"/>
  <c r="Q401" i="38"/>
  <c r="P401" i="38"/>
  <c r="AL400" i="38"/>
  <c r="Q400" i="38"/>
  <c r="P400" i="38"/>
  <c r="AL399" i="38"/>
  <c r="Q399" i="38"/>
  <c r="P399" i="38"/>
  <c r="AL398" i="38"/>
  <c r="Q398" i="38"/>
  <c r="P398" i="38"/>
  <c r="AL397" i="38"/>
  <c r="Q397" i="38"/>
  <c r="P397" i="38"/>
  <c r="B397" i="38"/>
  <c r="U397" i="38" s="1"/>
  <c r="AL396" i="38"/>
  <c r="Q396" i="38"/>
  <c r="P396" i="38"/>
  <c r="AL395" i="38"/>
  <c r="Q395" i="38"/>
  <c r="P395" i="38"/>
  <c r="AL394" i="38"/>
  <c r="Q394" i="38"/>
  <c r="P394" i="38"/>
  <c r="B394" i="38"/>
  <c r="U394" i="38" s="1"/>
  <c r="AL393" i="38"/>
  <c r="Q393" i="38"/>
  <c r="P393" i="38"/>
  <c r="AL392" i="38"/>
  <c r="Q392" i="38"/>
  <c r="P392" i="38"/>
  <c r="AL391" i="38"/>
  <c r="Q391" i="38"/>
  <c r="P391" i="38"/>
  <c r="AL390" i="38"/>
  <c r="Q390" i="38"/>
  <c r="P390" i="38"/>
  <c r="B390" i="38"/>
  <c r="U390" i="38" s="1"/>
  <c r="AE411" i="38"/>
  <c r="AE438" i="38"/>
  <c r="AE413" i="38"/>
  <c r="AE421" i="38"/>
  <c r="AE510" i="38"/>
  <c r="AE393" i="38"/>
  <c r="AE468" i="38"/>
  <c r="AE455" i="38"/>
  <c r="AE466" i="38"/>
  <c r="AE495" i="38"/>
  <c r="AE509" i="38"/>
  <c r="AE406" i="38"/>
  <c r="AE511" i="38"/>
  <c r="AE494" i="38"/>
  <c r="AE445" i="38"/>
  <c r="AE415" i="38"/>
  <c r="AE484" i="38"/>
  <c r="AE460" i="38"/>
  <c r="AE482" i="38"/>
  <c r="AE462" i="38"/>
  <c r="AE474" i="38"/>
  <c r="AE439" i="38"/>
  <c r="AE486" i="38"/>
  <c r="AE394" i="38"/>
  <c r="AE507" i="38"/>
  <c r="AE459" i="38"/>
  <c r="AE479" i="38"/>
  <c r="AE457" i="38"/>
  <c r="AE492" i="38"/>
  <c r="AE453" i="38"/>
  <c r="AE436" i="38"/>
  <c r="AE398" i="38"/>
  <c r="AE472" i="38"/>
  <c r="AE500" i="38"/>
  <c r="AE428" i="38"/>
  <c r="AE407" i="38"/>
  <c r="AE481" i="38"/>
  <c r="AE503" i="38"/>
  <c r="AE437" i="38"/>
  <c r="AE464" i="38"/>
  <c r="AE417" i="38"/>
  <c r="AE485" i="38"/>
  <c r="AE450" i="38"/>
  <c r="AE448" i="38"/>
  <c r="AE424" i="38"/>
  <c r="AE391" i="38"/>
  <c r="AE498" i="38"/>
  <c r="AE506" i="38"/>
  <c r="AE465" i="38"/>
  <c r="AE475" i="38"/>
  <c r="AE416" i="38"/>
  <c r="AE435" i="38"/>
  <c r="AE414" i="38"/>
  <c r="AE390" i="38"/>
  <c r="AE496" i="38"/>
  <c r="AE447" i="38"/>
  <c r="AE397" i="38"/>
  <c r="AE446" i="38"/>
  <c r="AE490" i="38"/>
  <c r="AE499" i="38"/>
  <c r="AE443" i="38"/>
  <c r="AE491" i="38"/>
  <c r="AE502" i="38"/>
  <c r="AE488" i="38"/>
  <c r="AE504" i="38"/>
  <c r="AE426" i="38"/>
  <c r="AE458" i="38"/>
  <c r="AE478" i="38"/>
  <c r="AE470" i="38"/>
  <c r="AE476" i="38"/>
  <c r="AE418" i="38"/>
  <c r="AE493" i="38"/>
  <c r="AE419" i="38"/>
  <c r="AE444" i="38"/>
  <c r="AE392" i="38"/>
  <c r="AE501" i="38"/>
  <c r="AE400" i="38"/>
  <c r="AE461" i="38"/>
  <c r="AE401" i="38"/>
  <c r="AE404" i="38"/>
  <c r="AE405" i="38"/>
  <c r="AE463" i="38"/>
  <c r="AE505" i="38"/>
  <c r="AE487" i="38"/>
  <c r="AE425" i="38"/>
  <c r="AE427" i="38"/>
  <c r="AE410" i="38"/>
  <c r="AE403" i="38"/>
  <c r="AE441" i="38"/>
  <c r="AE431" i="38"/>
  <c r="AE480" i="38"/>
  <c r="AE409" i="38"/>
  <c r="AE423" i="38"/>
  <c r="AE408" i="38"/>
  <c r="AE396" i="38"/>
  <c r="AE395" i="38"/>
  <c r="AE432" i="38"/>
  <c r="AE451" i="38"/>
  <c r="AE456" i="38"/>
  <c r="AE452" i="38"/>
  <c r="AE497" i="38"/>
  <c r="AE489" i="38"/>
  <c r="AE449" i="38"/>
  <c r="AE467" i="38"/>
  <c r="AE422" i="38"/>
  <c r="AE412" i="38"/>
  <c r="AE430" i="38"/>
  <c r="AE477" i="38"/>
  <c r="AE420" i="38"/>
  <c r="B505" i="38" l="1"/>
  <c r="U505" i="38" s="1"/>
  <c r="B894" i="38"/>
  <c r="U894" i="38" s="1"/>
  <c r="B895" i="38"/>
  <c r="U895" i="38" s="1"/>
  <c r="B896" i="38"/>
  <c r="U896" i="38" s="1"/>
  <c r="B897" i="38"/>
  <c r="U897" i="38" s="1"/>
  <c r="B898" i="38"/>
  <c r="U898" i="38" s="1"/>
  <c r="M451" i="38"/>
  <c r="M409" i="38"/>
  <c r="M467" i="38"/>
  <c r="M390" i="38"/>
  <c r="M472" i="38"/>
  <c r="M397" i="38"/>
  <c r="B393" i="38"/>
  <c r="U393" i="38" s="1"/>
  <c r="B398" i="38"/>
  <c r="U398" i="38" s="1"/>
  <c r="B411" i="38"/>
  <c r="U411" i="38" s="1"/>
  <c r="B443" i="38"/>
  <c r="U443" i="38" s="1"/>
  <c r="B475" i="38"/>
  <c r="U475" i="38" s="1"/>
  <c r="B418" i="38"/>
  <c r="U418" i="38" s="1"/>
  <c r="B450" i="38"/>
  <c r="U450" i="38" s="1"/>
  <c r="B482" i="38"/>
  <c r="U482" i="38" s="1"/>
  <c r="B483" i="38"/>
  <c r="U483" i="38" s="1"/>
  <c r="B498" i="38"/>
  <c r="U498" i="38" s="1"/>
  <c r="B401" i="38"/>
  <c r="U401" i="38" s="1"/>
  <c r="B427" i="38"/>
  <c r="U427" i="38" s="1"/>
  <c r="B459" i="38"/>
  <c r="U459" i="38" s="1"/>
  <c r="B434" i="38"/>
  <c r="U434" i="38" s="1"/>
  <c r="B466" i="38"/>
  <c r="U466" i="38" s="1"/>
  <c r="B425" i="38"/>
  <c r="U425" i="38" s="1"/>
  <c r="B441" i="38"/>
  <c r="U441" i="38" s="1"/>
  <c r="B457" i="38"/>
  <c r="U457" i="38" s="1"/>
  <c r="B473" i="38"/>
  <c r="U473" i="38" s="1"/>
  <c r="B499" i="38"/>
  <c r="U499" i="38" s="1"/>
  <c r="B405" i="38"/>
  <c r="U405" i="38" s="1"/>
  <c r="B410" i="38"/>
  <c r="U410" i="38" s="1"/>
  <c r="B426" i="38"/>
  <c r="U426" i="38" s="1"/>
  <c r="B442" i="38"/>
  <c r="U442" i="38" s="1"/>
  <c r="B458" i="38"/>
  <c r="U458" i="38" s="1"/>
  <c r="B474" i="38"/>
  <c r="U474" i="38" s="1"/>
  <c r="B502" i="38"/>
  <c r="U502" i="38" s="1"/>
  <c r="B506" i="38"/>
  <c r="U506" i="38" s="1"/>
  <c r="B406" i="38"/>
  <c r="U406" i="38" s="1"/>
  <c r="B416" i="38"/>
  <c r="U416" i="38" s="1"/>
  <c r="B432" i="38"/>
  <c r="U432" i="38" s="1"/>
  <c r="B448" i="38"/>
  <c r="U448" i="38" s="1"/>
  <c r="B464" i="38"/>
  <c r="U464" i="38" s="1"/>
  <c r="B480" i="38"/>
  <c r="U480" i="38" s="1"/>
  <c r="B417" i="38"/>
  <c r="U417" i="38" s="1"/>
  <c r="B433" i="38"/>
  <c r="U433" i="38" s="1"/>
  <c r="B449" i="38"/>
  <c r="U449" i="38" s="1"/>
  <c r="B465" i="38"/>
  <c r="U465" i="38" s="1"/>
  <c r="B481" i="38"/>
  <c r="U481" i="38" s="1"/>
  <c r="B391" i="38"/>
  <c r="U391" i="38" s="1"/>
  <c r="B395" i="38"/>
  <c r="U395" i="38" s="1"/>
  <c r="B399" i="38"/>
  <c r="U399" i="38" s="1"/>
  <c r="B403" i="38"/>
  <c r="U403" i="38" s="1"/>
  <c r="B407" i="38"/>
  <c r="U407" i="38" s="1"/>
  <c r="B412" i="38"/>
  <c r="U412" i="38" s="1"/>
  <c r="B420" i="38"/>
  <c r="U420" i="38" s="1"/>
  <c r="B428" i="38"/>
  <c r="U428" i="38" s="1"/>
  <c r="B436" i="38"/>
  <c r="U436" i="38" s="1"/>
  <c r="B444" i="38"/>
  <c r="U444" i="38" s="1"/>
  <c r="B452" i="38"/>
  <c r="U452" i="38" s="1"/>
  <c r="B460" i="38"/>
  <c r="U460" i="38" s="1"/>
  <c r="B468" i="38"/>
  <c r="U468" i="38" s="1"/>
  <c r="B476" i="38"/>
  <c r="U476" i="38" s="1"/>
  <c r="B486" i="38"/>
  <c r="U486" i="38" s="1"/>
  <c r="B507" i="38"/>
  <c r="U507" i="38" s="1"/>
  <c r="B413" i="38"/>
  <c r="U413" i="38" s="1"/>
  <c r="B421" i="38"/>
  <c r="U421" i="38" s="1"/>
  <c r="B429" i="38"/>
  <c r="U429" i="38" s="1"/>
  <c r="B437" i="38"/>
  <c r="U437" i="38" s="1"/>
  <c r="B445" i="38"/>
  <c r="U445" i="38" s="1"/>
  <c r="B453" i="38"/>
  <c r="U453" i="38" s="1"/>
  <c r="B461" i="38"/>
  <c r="U461" i="38" s="1"/>
  <c r="B469" i="38"/>
  <c r="U469" i="38" s="1"/>
  <c r="B477" i="38"/>
  <c r="U477" i="38" s="1"/>
  <c r="B490" i="38"/>
  <c r="U490" i="38" s="1"/>
  <c r="B510" i="38"/>
  <c r="U510" i="38" s="1"/>
  <c r="B392" i="38"/>
  <c r="U392" i="38" s="1"/>
  <c r="B400" i="38"/>
  <c r="U400" i="38" s="1"/>
  <c r="B414" i="38"/>
  <c r="U414" i="38" s="1"/>
  <c r="B422" i="38"/>
  <c r="U422" i="38" s="1"/>
  <c r="B430" i="38"/>
  <c r="U430" i="38" s="1"/>
  <c r="B438" i="38"/>
  <c r="U438" i="38" s="1"/>
  <c r="B446" i="38"/>
  <c r="U446" i="38" s="1"/>
  <c r="B454" i="38"/>
  <c r="U454" i="38" s="1"/>
  <c r="B462" i="38"/>
  <c r="U462" i="38" s="1"/>
  <c r="B470" i="38"/>
  <c r="U470" i="38" s="1"/>
  <c r="B478" i="38"/>
  <c r="U478" i="38" s="1"/>
  <c r="B491" i="38"/>
  <c r="U491" i="38" s="1"/>
  <c r="B396" i="38"/>
  <c r="U396" i="38" s="1"/>
  <c r="B404" i="38"/>
  <c r="U404" i="38" s="1"/>
  <c r="B408" i="38"/>
  <c r="U408" i="38" s="1"/>
  <c r="B415" i="38"/>
  <c r="U415" i="38" s="1"/>
  <c r="B423" i="38"/>
  <c r="U423" i="38" s="1"/>
  <c r="B431" i="38"/>
  <c r="U431" i="38" s="1"/>
  <c r="B439" i="38"/>
  <c r="U439" i="38" s="1"/>
  <c r="B447" i="38"/>
  <c r="U447" i="38" s="1"/>
  <c r="B455" i="38"/>
  <c r="U455" i="38" s="1"/>
  <c r="B463" i="38"/>
  <c r="U463" i="38" s="1"/>
  <c r="B471" i="38"/>
  <c r="U471" i="38" s="1"/>
  <c r="B479" i="38"/>
  <c r="U479" i="38" s="1"/>
  <c r="B494" i="38"/>
  <c r="U494" i="38" s="1"/>
  <c r="B484" i="38"/>
  <c r="U484" i="38" s="1"/>
  <c r="B492" i="38"/>
  <c r="U492" i="38" s="1"/>
  <c r="B500" i="38"/>
  <c r="U500" i="38" s="1"/>
  <c r="B508" i="38"/>
  <c r="U508" i="38" s="1"/>
  <c r="B485" i="38"/>
  <c r="U485" i="38" s="1"/>
  <c r="B493" i="38"/>
  <c r="U493" i="38" s="1"/>
  <c r="B501" i="38"/>
  <c r="U501" i="38" s="1"/>
  <c r="B509" i="38"/>
  <c r="U509" i="38" s="1"/>
  <c r="B487" i="38"/>
  <c r="U487" i="38" s="1"/>
  <c r="B495" i="38"/>
  <c r="U495" i="38" s="1"/>
  <c r="B503" i="38"/>
  <c r="U503" i="38" s="1"/>
  <c r="B511" i="38"/>
  <c r="U511" i="38" s="1"/>
  <c r="B488" i="38"/>
  <c r="U488" i="38" s="1"/>
  <c r="B496" i="38"/>
  <c r="U496" i="38" s="1"/>
  <c r="B504" i="38"/>
  <c r="U504" i="38" s="1"/>
  <c r="B489" i="38"/>
  <c r="U489" i="38" s="1"/>
  <c r="B497" i="38"/>
  <c r="U497" i="38" s="1"/>
  <c r="M394" i="38"/>
  <c r="M435" i="38"/>
  <c r="M424" i="38"/>
  <c r="M402" i="38"/>
  <c r="M440" i="38"/>
  <c r="M419" i="38"/>
  <c r="M456" i="38"/>
  <c r="AE433" i="38"/>
  <c r="AE483" i="38"/>
  <c r="AE508" i="38"/>
  <c r="AE442" i="38"/>
  <c r="AE399" i="38"/>
  <c r="AE402" i="38"/>
  <c r="AE429" i="38"/>
  <c r="AE440" i="38"/>
  <c r="AE469" i="38"/>
  <c r="AE471" i="38"/>
  <c r="AE454" i="38"/>
  <c r="AE434" i="38"/>
  <c r="AE473" i="38"/>
  <c r="M489" i="38" l="1"/>
  <c r="M473" i="38"/>
  <c r="M433" i="38"/>
  <c r="M510" i="38"/>
  <c r="M474" i="38"/>
  <c r="M393" i="38"/>
  <c r="M505" i="38"/>
  <c r="M898" i="38"/>
  <c r="M897" i="38"/>
  <c r="M896" i="38"/>
  <c r="M895" i="38"/>
  <c r="M894" i="38"/>
  <c r="M414" i="38"/>
  <c r="M449" i="38"/>
  <c r="M459" i="38"/>
  <c r="M475" i="38"/>
  <c r="M457" i="38"/>
  <c r="M417" i="38"/>
  <c r="M400" i="38"/>
  <c r="M407" i="38"/>
  <c r="M506" i="38"/>
  <c r="M499" i="38"/>
  <c r="M443" i="38"/>
  <c r="M447" i="38"/>
  <c r="M461" i="38"/>
  <c r="M490" i="38"/>
  <c r="M421" i="38"/>
  <c r="M444" i="38"/>
  <c r="M395" i="38"/>
  <c r="M483" i="38"/>
  <c r="M392" i="38"/>
  <c r="M404" i="38"/>
  <c r="M413" i="38"/>
  <c r="M448" i="38"/>
  <c r="M482" i="38"/>
  <c r="M491" i="38"/>
  <c r="M420" i="38"/>
  <c r="M418" i="38"/>
  <c r="M509" i="38"/>
  <c r="M423" i="38"/>
  <c r="M401" i="38"/>
  <c r="M462" i="38"/>
  <c r="M403" i="38"/>
  <c r="M504" i="38"/>
  <c r="M501" i="38"/>
  <c r="M415" i="38"/>
  <c r="M454" i="38"/>
  <c r="M399" i="38"/>
  <c r="M498" i="38"/>
  <c r="M502" i="38"/>
  <c r="M460" i="38"/>
  <c r="M398" i="38"/>
  <c r="M508" i="38"/>
  <c r="M430" i="38"/>
  <c r="M469" i="38"/>
  <c r="M507" i="38"/>
  <c r="M432" i="38"/>
  <c r="M426" i="38"/>
  <c r="M450" i="38"/>
  <c r="M411" i="38"/>
  <c r="M494" i="38"/>
  <c r="M464" i="38"/>
  <c r="M471" i="38"/>
  <c r="M441" i="38"/>
  <c r="M452" i="38"/>
  <c r="M480" i="38"/>
  <c r="M479" i="38"/>
  <c r="M487" i="38"/>
  <c r="M468" i="38"/>
  <c r="M427" i="38"/>
  <c r="M470" i="38"/>
  <c r="M408" i="38"/>
  <c r="M458" i="38"/>
  <c r="M486" i="38"/>
  <c r="M442" i="38"/>
  <c r="M465" i="38"/>
  <c r="M500" i="38"/>
  <c r="M422" i="38"/>
  <c r="M434" i="38"/>
  <c r="M410" i="38"/>
  <c r="M416" i="38"/>
  <c r="M478" i="38"/>
  <c r="M439" i="38"/>
  <c r="M406" i="38"/>
  <c r="M405" i="38"/>
  <c r="M495" i="38"/>
  <c r="M488" i="38"/>
  <c r="M412" i="38"/>
  <c r="M438" i="38"/>
  <c r="M391" i="38"/>
  <c r="M436" i="38"/>
  <c r="M481" i="38"/>
  <c r="M466" i="38"/>
  <c r="M485" i="38"/>
  <c r="M396" i="38"/>
  <c r="M425" i="38"/>
  <c r="M484" i="38"/>
  <c r="M492" i="38"/>
  <c r="M497" i="38"/>
  <c r="M511" i="38"/>
  <c r="M431" i="38"/>
  <c r="M503" i="38"/>
  <c r="M428" i="38"/>
  <c r="M455" i="38"/>
  <c r="M463" i="38"/>
  <c r="M446" i="38"/>
  <c r="M453" i="38"/>
  <c r="M476" i="38"/>
  <c r="M445" i="38"/>
  <c r="M429" i="38"/>
  <c r="M437" i="38"/>
  <c r="M477" i="38"/>
  <c r="M496" i="38"/>
  <c r="M493" i="38"/>
  <c r="B893" i="38" l="1"/>
  <c r="U893" i="38" s="1"/>
  <c r="B892" i="38"/>
  <c r="U892" i="38" s="1"/>
  <c r="B891" i="38"/>
  <c r="U891" i="38" s="1"/>
  <c r="B890" i="38"/>
  <c r="U890" i="38" s="1"/>
  <c r="B889" i="38"/>
  <c r="U889" i="38" s="1"/>
  <c r="B888" i="38"/>
  <c r="U888" i="38" s="1"/>
  <c r="B887" i="38"/>
  <c r="U887" i="38" s="1"/>
  <c r="B886" i="38"/>
  <c r="U886" i="38" s="1"/>
  <c r="B885" i="38"/>
  <c r="U885" i="38" s="1"/>
  <c r="B884" i="38"/>
  <c r="U884" i="38" s="1"/>
  <c r="B883" i="38"/>
  <c r="U883" i="38" s="1"/>
  <c r="B882" i="38"/>
  <c r="U882" i="38" s="1"/>
  <c r="B881" i="38"/>
  <c r="U881" i="38" s="1"/>
  <c r="B880" i="38"/>
  <c r="U880" i="38" s="1"/>
  <c r="B879" i="38"/>
  <c r="U879" i="38" s="1"/>
  <c r="B878" i="38"/>
  <c r="U878" i="38" s="1"/>
  <c r="B877" i="38"/>
  <c r="U877" i="38" s="1"/>
  <c r="B876" i="38"/>
  <c r="U876" i="38" s="1"/>
  <c r="B875" i="38"/>
  <c r="U875" i="38" s="1"/>
  <c r="B874" i="38"/>
  <c r="U874" i="38" s="1"/>
  <c r="B873" i="38"/>
  <c r="U873" i="38" s="1"/>
  <c r="B872" i="38"/>
  <c r="U872" i="38" s="1"/>
  <c r="B871" i="38"/>
  <c r="U871" i="38" s="1"/>
  <c r="B870" i="38"/>
  <c r="U870" i="38" s="1"/>
  <c r="B869" i="38"/>
  <c r="U869" i="38" s="1"/>
  <c r="B868" i="38"/>
  <c r="U868" i="38" s="1"/>
  <c r="B867" i="38"/>
  <c r="U867" i="38" s="1"/>
  <c r="B866" i="38"/>
  <c r="U866" i="38" s="1"/>
  <c r="B865" i="38"/>
  <c r="U865" i="38" s="1"/>
  <c r="B864" i="38"/>
  <c r="U864" i="38" s="1"/>
  <c r="B863" i="38"/>
  <c r="U863" i="38" s="1"/>
  <c r="B862" i="38"/>
  <c r="U862" i="38" s="1"/>
  <c r="B861" i="38"/>
  <c r="U861" i="38" s="1"/>
  <c r="B860" i="38"/>
  <c r="U860" i="38" s="1"/>
  <c r="B859" i="38"/>
  <c r="U859" i="38" s="1"/>
  <c r="B858" i="38"/>
  <c r="U858" i="38" s="1"/>
  <c r="B857" i="38"/>
  <c r="U857" i="38" s="1"/>
  <c r="B856" i="38"/>
  <c r="U856" i="38" s="1"/>
  <c r="B855" i="38"/>
  <c r="U855" i="38" s="1"/>
  <c r="B854" i="38"/>
  <c r="U854" i="38" s="1"/>
  <c r="B853" i="38"/>
  <c r="U853" i="38" s="1"/>
  <c r="B852" i="38"/>
  <c r="U852" i="38" s="1"/>
  <c r="B851" i="38"/>
  <c r="U851" i="38" s="1"/>
  <c r="B850" i="38"/>
  <c r="U850" i="38" s="1"/>
  <c r="B849" i="38"/>
  <c r="U849" i="38" s="1"/>
  <c r="B848" i="38"/>
  <c r="U848" i="38" s="1"/>
  <c r="B847" i="38"/>
  <c r="U847" i="38" s="1"/>
  <c r="B846" i="38"/>
  <c r="U846" i="38" s="1"/>
  <c r="B845" i="38"/>
  <c r="U845" i="38" s="1"/>
  <c r="B844" i="38"/>
  <c r="U844" i="38" s="1"/>
  <c r="B843" i="38"/>
  <c r="U843" i="38" s="1"/>
  <c r="B842" i="38"/>
  <c r="U842" i="38" s="1"/>
  <c r="B841" i="38"/>
  <c r="U841" i="38" s="1"/>
  <c r="B840" i="38"/>
  <c r="U840" i="38" s="1"/>
  <c r="B839" i="38"/>
  <c r="U839" i="38" s="1"/>
  <c r="B838" i="38"/>
  <c r="U838" i="38" s="1"/>
  <c r="B837" i="38"/>
  <c r="U837" i="38" s="1"/>
  <c r="B836" i="38"/>
  <c r="U836" i="38" s="1"/>
  <c r="B835" i="38"/>
  <c r="U835" i="38" s="1"/>
  <c r="B834" i="38"/>
  <c r="U834" i="38" s="1"/>
  <c r="B833" i="38"/>
  <c r="U833" i="38" s="1"/>
  <c r="B832" i="38"/>
  <c r="U832" i="38" s="1"/>
  <c r="B831" i="38"/>
  <c r="U831" i="38" s="1"/>
  <c r="B830" i="38"/>
  <c r="U830" i="38" s="1"/>
  <c r="B829" i="38"/>
  <c r="U829" i="38" s="1"/>
  <c r="B828" i="38"/>
  <c r="U828" i="38" s="1"/>
  <c r="B827" i="38"/>
  <c r="U827" i="38" s="1"/>
  <c r="B826" i="38"/>
  <c r="U826" i="38" s="1"/>
  <c r="B825" i="38"/>
  <c r="U825" i="38" s="1"/>
  <c r="B824" i="38"/>
  <c r="U824" i="38" s="1"/>
  <c r="B823" i="38"/>
  <c r="U823" i="38" s="1"/>
  <c r="B822" i="38"/>
  <c r="U822" i="38" s="1"/>
  <c r="B821" i="38"/>
  <c r="U821" i="38" s="1"/>
  <c r="B820" i="38"/>
  <c r="U820" i="38" s="1"/>
  <c r="B819" i="38"/>
  <c r="U819" i="38" s="1"/>
  <c r="B818" i="38"/>
  <c r="U818" i="38" s="1"/>
  <c r="B817" i="38"/>
  <c r="U817" i="38" s="1"/>
  <c r="B816" i="38"/>
  <c r="U816" i="38" s="1"/>
  <c r="B815" i="38"/>
  <c r="U815" i="38" s="1"/>
  <c r="B814" i="38"/>
  <c r="U814" i="38" s="1"/>
  <c r="B813" i="38"/>
  <c r="U813" i="38" s="1"/>
  <c r="B812" i="38"/>
  <c r="U812" i="38" s="1"/>
  <c r="B811" i="38"/>
  <c r="U811" i="38" s="1"/>
  <c r="B810" i="38"/>
  <c r="U810" i="38" s="1"/>
  <c r="B809" i="38"/>
  <c r="U809" i="38" s="1"/>
  <c r="B808" i="38"/>
  <c r="U808" i="38" s="1"/>
  <c r="B807" i="38"/>
  <c r="U807" i="38" s="1"/>
  <c r="B806" i="38"/>
  <c r="U806" i="38" s="1"/>
  <c r="B805" i="38"/>
  <c r="U805" i="38" s="1"/>
  <c r="B804" i="38"/>
  <c r="U804" i="38" s="1"/>
  <c r="B803" i="38"/>
  <c r="U803" i="38" s="1"/>
  <c r="B802" i="38"/>
  <c r="U802" i="38" s="1"/>
  <c r="B801" i="38"/>
  <c r="U801" i="38" s="1"/>
  <c r="B800" i="38"/>
  <c r="U800" i="38" s="1"/>
  <c r="B799" i="38"/>
  <c r="U799" i="38" s="1"/>
  <c r="B798" i="38"/>
  <c r="U798" i="38" s="1"/>
  <c r="B797" i="38"/>
  <c r="U797" i="38" s="1"/>
  <c r="B796" i="38"/>
  <c r="U796" i="38" s="1"/>
  <c r="B795" i="38"/>
  <c r="U795" i="38" s="1"/>
  <c r="B794" i="38"/>
  <c r="U794" i="38" s="1"/>
  <c r="B793" i="38"/>
  <c r="U793" i="38" s="1"/>
  <c r="B792" i="38"/>
  <c r="U792" i="38" s="1"/>
  <c r="B791" i="38"/>
  <c r="U791" i="38" s="1"/>
  <c r="B790" i="38"/>
  <c r="U790" i="38" s="1"/>
  <c r="B789" i="38"/>
  <c r="U789" i="38" s="1"/>
  <c r="B788" i="38"/>
  <c r="U788" i="38" s="1"/>
  <c r="B787" i="38"/>
  <c r="U787" i="38" s="1"/>
  <c r="B786" i="38"/>
  <c r="U786" i="38" s="1"/>
  <c r="B785" i="38"/>
  <c r="U785" i="38" s="1"/>
  <c r="B784" i="38"/>
  <c r="U784" i="38" s="1"/>
  <c r="B783" i="38"/>
  <c r="U783" i="38" s="1"/>
  <c r="B782" i="38"/>
  <c r="U782" i="38" s="1"/>
  <c r="B781" i="38"/>
  <c r="U781" i="38" s="1"/>
  <c r="B780" i="38"/>
  <c r="U780" i="38" s="1"/>
  <c r="B779" i="38"/>
  <c r="U779" i="38" s="1"/>
  <c r="B778" i="38"/>
  <c r="U778" i="38" s="1"/>
  <c r="B777" i="38"/>
  <c r="U777" i="38" s="1"/>
  <c r="B776" i="38"/>
  <c r="U776" i="38" s="1"/>
  <c r="B775" i="38"/>
  <c r="U775" i="38" s="1"/>
  <c r="B774" i="38"/>
  <c r="U774" i="38" s="1"/>
  <c r="B773" i="38"/>
  <c r="U773" i="38" s="1"/>
  <c r="B772" i="38"/>
  <c r="U772" i="38" s="1"/>
  <c r="B771" i="38"/>
  <c r="U771" i="38" s="1"/>
  <c r="B770" i="38"/>
  <c r="U770" i="38" s="1"/>
  <c r="B769" i="38"/>
  <c r="U769" i="38" s="1"/>
  <c r="B768" i="38"/>
  <c r="U768" i="38" s="1"/>
  <c r="B767" i="38"/>
  <c r="U767" i="38" s="1"/>
  <c r="B766" i="38"/>
  <c r="U766" i="38" s="1"/>
  <c r="B765" i="38"/>
  <c r="U765" i="38" s="1"/>
  <c r="B764" i="38"/>
  <c r="U764" i="38" s="1"/>
  <c r="B763" i="38"/>
  <c r="U763" i="38" s="1"/>
  <c r="B762" i="38"/>
  <c r="U762" i="38" s="1"/>
  <c r="B761" i="38"/>
  <c r="U761" i="38" s="1"/>
  <c r="B760" i="38"/>
  <c r="U760" i="38" s="1"/>
  <c r="B759" i="38"/>
  <c r="U759" i="38" s="1"/>
  <c r="B758" i="38"/>
  <c r="U758" i="38" s="1"/>
  <c r="B757" i="38"/>
  <c r="U757" i="38" s="1"/>
  <c r="B756" i="38"/>
  <c r="U756" i="38" s="1"/>
  <c r="B755" i="38"/>
  <c r="U755" i="38" s="1"/>
  <c r="B754" i="38"/>
  <c r="U754" i="38" s="1"/>
  <c r="B753" i="38"/>
  <c r="U753" i="38" s="1"/>
  <c r="B752" i="38"/>
  <c r="U752" i="38" s="1"/>
  <c r="B751" i="38"/>
  <c r="U751" i="38" s="1"/>
  <c r="B750" i="38"/>
  <c r="U750" i="38" s="1"/>
  <c r="B749" i="38"/>
  <c r="U749" i="38" s="1"/>
  <c r="B748" i="38"/>
  <c r="U748" i="38" s="1"/>
  <c r="B747" i="38"/>
  <c r="U747" i="38" s="1"/>
  <c r="B746" i="38"/>
  <c r="U746" i="38" s="1"/>
  <c r="B745" i="38"/>
  <c r="U745" i="38" s="1"/>
  <c r="B744" i="38"/>
  <c r="U744" i="38" s="1"/>
  <c r="B743" i="38"/>
  <c r="U743" i="38" s="1"/>
  <c r="B742" i="38"/>
  <c r="U742" i="38" s="1"/>
  <c r="B741" i="38"/>
  <c r="U741" i="38" s="1"/>
  <c r="B740" i="38"/>
  <c r="U740" i="38" s="1"/>
  <c r="B739" i="38"/>
  <c r="U739" i="38" s="1"/>
  <c r="B738" i="38"/>
  <c r="U738" i="38" s="1"/>
  <c r="B737" i="38"/>
  <c r="U737" i="38" s="1"/>
  <c r="B736" i="38"/>
  <c r="U736" i="38" s="1"/>
  <c r="B735" i="38"/>
  <c r="U735" i="38" s="1"/>
  <c r="B734" i="38"/>
  <c r="U734" i="38" s="1"/>
  <c r="B733" i="38"/>
  <c r="U733" i="38" s="1"/>
  <c r="B732" i="38"/>
  <c r="U732" i="38" s="1"/>
  <c r="B731" i="38"/>
  <c r="U731" i="38" s="1"/>
  <c r="B730" i="38"/>
  <c r="U730" i="38" s="1"/>
  <c r="B729" i="38"/>
  <c r="U729" i="38" s="1"/>
  <c r="B728" i="38"/>
  <c r="U728" i="38" s="1"/>
  <c r="B727" i="38"/>
  <c r="U727" i="38" s="1"/>
  <c r="B726" i="38"/>
  <c r="U726" i="38" s="1"/>
  <c r="B725" i="38"/>
  <c r="U725" i="38" s="1"/>
  <c r="B724" i="38"/>
  <c r="U724" i="38" s="1"/>
  <c r="B723" i="38"/>
  <c r="U723" i="38" s="1"/>
  <c r="B722" i="38"/>
  <c r="U722" i="38" s="1"/>
  <c r="B721" i="38"/>
  <c r="U721" i="38" s="1"/>
  <c r="B720" i="38"/>
  <c r="U720" i="38" s="1"/>
  <c r="B719" i="38"/>
  <c r="U719" i="38" s="1"/>
  <c r="B718" i="38"/>
  <c r="U718" i="38" s="1"/>
  <c r="B717" i="38"/>
  <c r="U717" i="38" s="1"/>
  <c r="B716" i="38"/>
  <c r="U716" i="38" s="1"/>
  <c r="B715" i="38"/>
  <c r="U715" i="38" s="1"/>
  <c r="B714" i="38"/>
  <c r="U714" i="38" s="1"/>
  <c r="B713" i="38"/>
  <c r="U713" i="38" s="1"/>
  <c r="B712" i="38"/>
  <c r="U712" i="38" s="1"/>
  <c r="B711" i="38"/>
  <c r="U711" i="38" s="1"/>
  <c r="B710" i="38"/>
  <c r="U710" i="38" s="1"/>
  <c r="B709" i="38"/>
  <c r="U709" i="38" s="1"/>
  <c r="B708" i="38"/>
  <c r="U708" i="38" s="1"/>
  <c r="B707" i="38"/>
  <c r="U707" i="38" s="1"/>
  <c r="B706" i="38"/>
  <c r="U706" i="38" s="1"/>
  <c r="B705" i="38"/>
  <c r="U705" i="38" s="1"/>
  <c r="B704" i="38"/>
  <c r="U704" i="38" s="1"/>
  <c r="B703" i="38"/>
  <c r="U703" i="38" s="1"/>
  <c r="B702" i="38"/>
  <c r="U702" i="38" s="1"/>
  <c r="B701" i="38"/>
  <c r="U701" i="38" s="1"/>
  <c r="B700" i="38"/>
  <c r="U700" i="38" s="1"/>
  <c r="B699" i="38"/>
  <c r="U699" i="38" s="1"/>
  <c r="B698" i="38"/>
  <c r="U698" i="38" s="1"/>
  <c r="B697" i="38"/>
  <c r="U697" i="38" s="1"/>
  <c r="B696" i="38"/>
  <c r="U696" i="38" s="1"/>
  <c r="B695" i="38"/>
  <c r="U695" i="38" s="1"/>
  <c r="B694" i="38"/>
  <c r="U694" i="38" s="1"/>
  <c r="B693" i="38"/>
  <c r="U693" i="38" s="1"/>
  <c r="B692" i="38"/>
  <c r="U692" i="38" s="1"/>
  <c r="B691" i="38"/>
  <c r="U691" i="38" s="1"/>
  <c r="B690" i="38"/>
  <c r="U690" i="38" s="1"/>
  <c r="B689" i="38"/>
  <c r="U689" i="38" s="1"/>
  <c r="B688" i="38"/>
  <c r="U688" i="38" s="1"/>
  <c r="B687" i="38"/>
  <c r="U687" i="38" s="1"/>
  <c r="B686" i="38"/>
  <c r="U686" i="38" s="1"/>
  <c r="B685" i="38"/>
  <c r="U685" i="38" s="1"/>
  <c r="B684" i="38"/>
  <c r="U684" i="38" s="1"/>
  <c r="B683" i="38"/>
  <c r="U683" i="38" s="1"/>
  <c r="B682" i="38"/>
  <c r="U682" i="38" s="1"/>
  <c r="B681" i="38"/>
  <c r="U681" i="38" s="1"/>
  <c r="B680" i="38"/>
  <c r="U680" i="38" s="1"/>
  <c r="B679" i="38"/>
  <c r="U679" i="38" s="1"/>
  <c r="B678" i="38"/>
  <c r="U678" i="38" s="1"/>
  <c r="B677" i="38"/>
  <c r="U677" i="38" s="1"/>
  <c r="B676" i="38"/>
  <c r="U676" i="38" s="1"/>
  <c r="B675" i="38"/>
  <c r="U675" i="38" s="1"/>
  <c r="B674" i="38"/>
  <c r="U674" i="38" s="1"/>
  <c r="B673" i="38"/>
  <c r="U673" i="38" s="1"/>
  <c r="B672" i="38"/>
  <c r="U672" i="38" s="1"/>
  <c r="B671" i="38"/>
  <c r="U671" i="38" s="1"/>
  <c r="B670" i="38"/>
  <c r="U670" i="38" s="1"/>
  <c r="B669" i="38"/>
  <c r="U669" i="38" s="1"/>
  <c r="B668" i="38"/>
  <c r="U668" i="38" s="1"/>
  <c r="B667" i="38"/>
  <c r="U667" i="38" s="1"/>
  <c r="B666" i="38"/>
  <c r="U666" i="38" s="1"/>
  <c r="B665" i="38"/>
  <c r="U665" i="38" s="1"/>
  <c r="B664" i="38"/>
  <c r="U664" i="38" s="1"/>
  <c r="B663" i="38"/>
  <c r="U663" i="38" s="1"/>
  <c r="B662" i="38"/>
  <c r="U662" i="38" s="1"/>
  <c r="B661" i="38"/>
  <c r="U661" i="38" s="1"/>
  <c r="B660" i="38"/>
  <c r="U660" i="38" s="1"/>
  <c r="B659" i="38"/>
  <c r="U659" i="38" s="1"/>
  <c r="B658" i="38"/>
  <c r="U658" i="38" s="1"/>
  <c r="B657" i="38"/>
  <c r="U657" i="38" s="1"/>
  <c r="B656" i="38"/>
  <c r="U656" i="38" s="1"/>
  <c r="B655" i="38"/>
  <c r="U655" i="38" s="1"/>
  <c r="B654" i="38"/>
  <c r="U654" i="38" s="1"/>
  <c r="B653" i="38"/>
  <c r="U653" i="38" s="1"/>
  <c r="B652" i="38"/>
  <c r="U652" i="38" s="1"/>
  <c r="B651" i="38"/>
  <c r="U651" i="38" s="1"/>
  <c r="B650" i="38"/>
  <c r="U650" i="38" s="1"/>
  <c r="B649" i="38"/>
  <c r="U649" i="38" s="1"/>
  <c r="B648" i="38"/>
  <c r="U648" i="38" s="1"/>
  <c r="B647" i="38"/>
  <c r="U647" i="38" s="1"/>
  <c r="B646" i="38"/>
  <c r="U646" i="38" s="1"/>
  <c r="B645" i="38"/>
  <c r="U645" i="38" s="1"/>
  <c r="B644" i="38"/>
  <c r="U644" i="38" s="1"/>
  <c r="B643" i="38"/>
  <c r="U643" i="38" s="1"/>
  <c r="B642" i="38"/>
  <c r="U642" i="38" s="1"/>
  <c r="B641" i="38"/>
  <c r="U641" i="38" s="1"/>
  <c r="B640" i="38"/>
  <c r="U640" i="38" s="1"/>
  <c r="B639" i="38"/>
  <c r="U639" i="38" s="1"/>
  <c r="B638" i="38"/>
  <c r="U638" i="38" s="1"/>
  <c r="B637" i="38"/>
  <c r="U637" i="38" s="1"/>
  <c r="B636" i="38"/>
  <c r="U636" i="38" s="1"/>
  <c r="B635" i="38"/>
  <c r="U635" i="38" s="1"/>
  <c r="B634" i="38"/>
  <c r="U634" i="38" s="1"/>
  <c r="B633" i="38"/>
  <c r="U633" i="38" s="1"/>
  <c r="B632" i="38"/>
  <c r="U632" i="38" s="1"/>
  <c r="B631" i="38"/>
  <c r="U631" i="38" s="1"/>
  <c r="B630" i="38"/>
  <c r="U630" i="38" s="1"/>
  <c r="B629" i="38"/>
  <c r="U629" i="38" s="1"/>
  <c r="B628" i="38"/>
  <c r="U628" i="38" s="1"/>
  <c r="B627" i="38"/>
  <c r="U627" i="38" s="1"/>
  <c r="B626" i="38"/>
  <c r="U626" i="38" s="1"/>
  <c r="B625" i="38"/>
  <c r="U625" i="38" s="1"/>
  <c r="B624" i="38"/>
  <c r="U624" i="38" s="1"/>
  <c r="B623" i="38"/>
  <c r="U623" i="38" s="1"/>
  <c r="B622" i="38"/>
  <c r="U622" i="38" s="1"/>
  <c r="B621" i="38"/>
  <c r="U621" i="38" s="1"/>
  <c r="B620" i="38"/>
  <c r="U620" i="38" s="1"/>
  <c r="B619" i="38"/>
  <c r="U619" i="38" s="1"/>
  <c r="B618" i="38"/>
  <c r="U618" i="38" s="1"/>
  <c r="B617" i="38"/>
  <c r="U617" i="38" s="1"/>
  <c r="B616" i="38"/>
  <c r="U616" i="38" s="1"/>
  <c r="B615" i="38"/>
  <c r="U615" i="38" s="1"/>
  <c r="B614" i="38"/>
  <c r="U614" i="38" s="1"/>
  <c r="B613" i="38"/>
  <c r="U613" i="38" s="1"/>
  <c r="B612" i="38"/>
  <c r="U612" i="38" s="1"/>
  <c r="B611" i="38"/>
  <c r="U611" i="38" s="1"/>
  <c r="B610" i="38"/>
  <c r="U610" i="38" s="1"/>
  <c r="B609" i="38"/>
  <c r="U609" i="38" s="1"/>
  <c r="B608" i="38"/>
  <c r="U608" i="38" s="1"/>
  <c r="B607" i="38"/>
  <c r="U607" i="38" s="1"/>
  <c r="B606" i="38"/>
  <c r="U606" i="38" s="1"/>
  <c r="B605" i="38"/>
  <c r="U605" i="38" s="1"/>
  <c r="B604" i="38"/>
  <c r="U604" i="38" s="1"/>
  <c r="B603" i="38"/>
  <c r="U603" i="38" s="1"/>
  <c r="B602" i="38"/>
  <c r="U602" i="38" s="1"/>
  <c r="B601" i="38"/>
  <c r="U601" i="38" s="1"/>
  <c r="B600" i="38"/>
  <c r="U600" i="38" s="1"/>
  <c r="B599" i="38"/>
  <c r="U599" i="38" s="1"/>
  <c r="B598" i="38"/>
  <c r="U598" i="38" s="1"/>
  <c r="B597" i="38"/>
  <c r="U597" i="38" s="1"/>
  <c r="B596" i="38"/>
  <c r="U596" i="38" s="1"/>
  <c r="B595" i="38"/>
  <c r="U595" i="38" s="1"/>
  <c r="B594" i="38"/>
  <c r="U594" i="38" s="1"/>
  <c r="B593" i="38"/>
  <c r="U593" i="38" s="1"/>
  <c r="B592" i="38"/>
  <c r="U592" i="38" s="1"/>
  <c r="B591" i="38"/>
  <c r="U591" i="38" s="1"/>
  <c r="B590" i="38"/>
  <c r="U590" i="38" s="1"/>
  <c r="B589" i="38"/>
  <c r="U589" i="38" s="1"/>
  <c r="B588" i="38"/>
  <c r="U588" i="38" s="1"/>
  <c r="B587" i="38"/>
  <c r="U587" i="38" s="1"/>
  <c r="B586" i="38"/>
  <c r="U586" i="38" s="1"/>
  <c r="B585" i="38"/>
  <c r="U585" i="38" s="1"/>
  <c r="B584" i="38"/>
  <c r="U584" i="38" s="1"/>
  <c r="B583" i="38"/>
  <c r="U583" i="38" s="1"/>
  <c r="B582" i="38"/>
  <c r="U582" i="38" s="1"/>
  <c r="B581" i="38"/>
  <c r="U581" i="38" s="1"/>
  <c r="B580" i="38"/>
  <c r="U580" i="38" s="1"/>
  <c r="B579" i="38"/>
  <c r="U579" i="38" s="1"/>
  <c r="B578" i="38"/>
  <c r="U578" i="38" s="1"/>
  <c r="B577" i="38"/>
  <c r="U577" i="38" s="1"/>
  <c r="B576" i="38"/>
  <c r="U576" i="38" s="1"/>
  <c r="B575" i="38"/>
  <c r="U575" i="38" s="1"/>
  <c r="B574" i="38"/>
  <c r="U574" i="38" s="1"/>
  <c r="B573" i="38"/>
  <c r="U573" i="38" s="1"/>
  <c r="B572" i="38"/>
  <c r="U572" i="38" s="1"/>
  <c r="B571" i="38"/>
  <c r="U571" i="38" s="1"/>
  <c r="B570" i="38"/>
  <c r="U570" i="38" s="1"/>
  <c r="B569" i="38"/>
  <c r="U569" i="38" s="1"/>
  <c r="B568" i="38"/>
  <c r="U568" i="38" s="1"/>
  <c r="B567" i="38"/>
  <c r="U567" i="38" s="1"/>
  <c r="B566" i="38"/>
  <c r="U566" i="38" s="1"/>
  <c r="B565" i="38"/>
  <c r="U565" i="38" s="1"/>
  <c r="B564" i="38"/>
  <c r="U564" i="38" s="1"/>
  <c r="B563" i="38"/>
  <c r="U563" i="38" s="1"/>
  <c r="B562" i="38"/>
  <c r="U562" i="38" s="1"/>
  <c r="B561" i="38"/>
  <c r="U561" i="38" s="1"/>
  <c r="B560" i="38"/>
  <c r="U560" i="38" s="1"/>
  <c r="B559" i="38"/>
  <c r="U559" i="38" s="1"/>
  <c r="B558" i="38"/>
  <c r="U558" i="38" s="1"/>
  <c r="B557" i="38"/>
  <c r="U557" i="38" s="1"/>
  <c r="B556" i="38"/>
  <c r="U556" i="38" s="1"/>
  <c r="B555" i="38"/>
  <c r="U555" i="38" s="1"/>
  <c r="B554" i="38"/>
  <c r="U554" i="38" s="1"/>
  <c r="B553" i="38"/>
  <c r="U553" i="38" s="1"/>
  <c r="B552" i="38"/>
  <c r="U552" i="38" s="1"/>
  <c r="B551" i="38"/>
  <c r="U551" i="38" s="1"/>
  <c r="B550" i="38"/>
  <c r="U550" i="38" s="1"/>
  <c r="B549" i="38"/>
  <c r="U549" i="38" s="1"/>
  <c r="B548" i="38"/>
  <c r="U548" i="38" s="1"/>
  <c r="B547" i="38"/>
  <c r="U547" i="38" s="1"/>
  <c r="B546" i="38"/>
  <c r="U546" i="38" s="1"/>
  <c r="B545" i="38"/>
  <c r="U545" i="38" s="1"/>
  <c r="B544" i="38"/>
  <c r="U544" i="38" s="1"/>
  <c r="B543" i="38"/>
  <c r="U543" i="38" s="1"/>
  <c r="B542" i="38"/>
  <c r="U542" i="38" s="1"/>
  <c r="B541" i="38"/>
  <c r="U541" i="38" s="1"/>
  <c r="B540" i="38"/>
  <c r="U540" i="38" s="1"/>
  <c r="B539" i="38"/>
  <c r="U539" i="38" s="1"/>
  <c r="B538" i="38"/>
  <c r="U538" i="38" s="1"/>
  <c r="B537" i="38"/>
  <c r="U537" i="38" s="1"/>
  <c r="B536" i="38"/>
  <c r="U536" i="38" s="1"/>
  <c r="B535" i="38"/>
  <c r="U535" i="38" s="1"/>
  <c r="B534" i="38"/>
  <c r="U534" i="38" s="1"/>
  <c r="B533" i="38"/>
  <c r="U533" i="38" s="1"/>
  <c r="B532" i="38"/>
  <c r="U532" i="38" s="1"/>
  <c r="B531" i="38"/>
  <c r="U531" i="38" s="1"/>
  <c r="B530" i="38"/>
  <c r="U530" i="38" s="1"/>
  <c r="B529" i="38"/>
  <c r="U529" i="38" s="1"/>
  <c r="B528" i="38"/>
  <c r="U528" i="38" s="1"/>
  <c r="B527" i="38"/>
  <c r="U527" i="38" s="1"/>
  <c r="B526" i="38"/>
  <c r="U526" i="38" s="1"/>
  <c r="B525" i="38"/>
  <c r="U525" i="38" s="1"/>
  <c r="B524" i="38"/>
  <c r="U524" i="38" s="1"/>
  <c r="B523" i="38"/>
  <c r="U523" i="38" s="1"/>
  <c r="B522" i="38"/>
  <c r="U522" i="38" s="1"/>
  <c r="B521" i="38"/>
  <c r="U521" i="38" s="1"/>
  <c r="B520" i="38"/>
  <c r="U520" i="38" s="1"/>
  <c r="B519" i="38"/>
  <c r="U519" i="38" s="1"/>
  <c r="B518" i="38"/>
  <c r="U518" i="38" s="1"/>
  <c r="B517" i="38"/>
  <c r="U517" i="38" s="1"/>
  <c r="B516" i="38"/>
  <c r="U516" i="38" s="1"/>
  <c r="B515" i="38"/>
  <c r="U515" i="38" s="1"/>
  <c r="B514" i="38"/>
  <c r="U514" i="38" s="1"/>
  <c r="B513" i="38"/>
  <c r="U513" i="38" s="1"/>
  <c r="B512" i="38"/>
  <c r="U512" i="38" s="1"/>
  <c r="B389" i="38"/>
  <c r="U389" i="38" s="1"/>
  <c r="B388" i="38"/>
  <c r="U388" i="38" s="1"/>
  <c r="B387" i="38"/>
  <c r="U387" i="38" s="1"/>
  <c r="B386" i="38"/>
  <c r="U386" i="38" s="1"/>
  <c r="B385" i="38"/>
  <c r="U385" i="38" s="1"/>
  <c r="B384" i="38"/>
  <c r="U384" i="38" s="1"/>
  <c r="B383" i="38"/>
  <c r="U383" i="38" s="1"/>
  <c r="B382" i="38"/>
  <c r="U382" i="38" s="1"/>
  <c r="B381" i="38"/>
  <c r="U381" i="38" s="1"/>
  <c r="B380" i="38"/>
  <c r="U380" i="38" s="1"/>
  <c r="B379" i="38"/>
  <c r="U379" i="38" s="1"/>
  <c r="B378" i="38"/>
  <c r="U378" i="38" s="1"/>
  <c r="B377" i="38"/>
  <c r="U377" i="38" s="1"/>
  <c r="B376" i="38"/>
  <c r="U376" i="38" s="1"/>
  <c r="B375" i="38"/>
  <c r="U375" i="38" s="1"/>
  <c r="B374" i="38"/>
  <c r="U374" i="38" s="1"/>
  <c r="B373" i="38"/>
  <c r="U373" i="38" s="1"/>
  <c r="B372" i="38"/>
  <c r="U372" i="38" s="1"/>
  <c r="B371" i="38"/>
  <c r="U371" i="38" s="1"/>
  <c r="B370" i="38"/>
  <c r="U370" i="38" s="1"/>
  <c r="B369" i="38"/>
  <c r="U369" i="38" s="1"/>
  <c r="B368" i="38"/>
  <c r="U368" i="38" s="1"/>
  <c r="B367" i="38"/>
  <c r="U367" i="38" s="1"/>
  <c r="B366" i="38"/>
  <c r="U366" i="38" s="1"/>
  <c r="B365" i="38"/>
  <c r="U365" i="38" s="1"/>
  <c r="B364" i="38"/>
  <c r="U364" i="38" s="1"/>
  <c r="B363" i="38"/>
  <c r="U363" i="38" s="1"/>
  <c r="B362" i="38"/>
  <c r="U362" i="38" s="1"/>
  <c r="B361" i="38"/>
  <c r="U361" i="38" s="1"/>
  <c r="B360" i="38"/>
  <c r="U360" i="38" s="1"/>
  <c r="B359" i="38"/>
  <c r="U359" i="38" s="1"/>
  <c r="B358" i="38"/>
  <c r="U358" i="38" s="1"/>
  <c r="B357" i="38"/>
  <c r="U357" i="38" s="1"/>
  <c r="B356" i="38"/>
  <c r="U356" i="38" s="1"/>
  <c r="B355" i="38"/>
  <c r="U355" i="38" s="1"/>
  <c r="B354" i="38"/>
  <c r="U354" i="38" s="1"/>
  <c r="B353" i="38"/>
  <c r="U353" i="38" s="1"/>
  <c r="B352" i="38"/>
  <c r="U352" i="38" s="1"/>
  <c r="B351" i="38"/>
  <c r="U351" i="38" s="1"/>
  <c r="B350" i="38"/>
  <c r="U350" i="38" s="1"/>
  <c r="B349" i="38"/>
  <c r="U349" i="38" s="1"/>
  <c r="B348" i="38"/>
  <c r="U348" i="38" s="1"/>
  <c r="B347" i="38"/>
  <c r="U347" i="38" s="1"/>
  <c r="B346" i="38"/>
  <c r="U346" i="38" s="1"/>
  <c r="B345" i="38"/>
  <c r="U345" i="38" s="1"/>
  <c r="B344" i="38"/>
  <c r="U344" i="38" s="1"/>
  <c r="B343" i="38"/>
  <c r="U343" i="38" s="1"/>
  <c r="B342" i="38"/>
  <c r="U342" i="38" s="1"/>
  <c r="B341" i="38"/>
  <c r="U341" i="38" s="1"/>
  <c r="B340" i="38"/>
  <c r="U340" i="38" s="1"/>
  <c r="B339" i="38"/>
  <c r="U339" i="38" s="1"/>
  <c r="B338" i="38"/>
  <c r="U338" i="38" s="1"/>
  <c r="B337" i="38"/>
  <c r="U337" i="38" s="1"/>
  <c r="B336" i="38"/>
  <c r="U336" i="38" s="1"/>
  <c r="B335" i="38"/>
  <c r="U335" i="38" s="1"/>
  <c r="B334" i="38"/>
  <c r="U334" i="38" s="1"/>
  <c r="B333" i="38"/>
  <c r="U333" i="38" s="1"/>
  <c r="B332" i="38"/>
  <c r="U332" i="38" s="1"/>
  <c r="B331" i="38"/>
  <c r="U331" i="38" s="1"/>
  <c r="B330" i="38"/>
  <c r="U330" i="38" s="1"/>
  <c r="B329" i="38"/>
  <c r="U329" i="38" s="1"/>
  <c r="B328" i="38"/>
  <c r="U328" i="38" s="1"/>
  <c r="B327" i="38"/>
  <c r="U327" i="38" s="1"/>
  <c r="B326" i="38"/>
  <c r="U326" i="38" s="1"/>
  <c r="B325" i="38"/>
  <c r="U325" i="38" s="1"/>
  <c r="B324" i="38"/>
  <c r="U324" i="38" s="1"/>
  <c r="B323" i="38"/>
  <c r="U323" i="38" s="1"/>
  <c r="B322" i="38"/>
  <c r="U322" i="38" s="1"/>
  <c r="B321" i="38"/>
  <c r="U321" i="38" s="1"/>
  <c r="B320" i="38"/>
  <c r="U320" i="38" s="1"/>
  <c r="B319" i="38"/>
  <c r="U319" i="38" s="1"/>
  <c r="B318" i="38"/>
  <c r="U318" i="38" s="1"/>
  <c r="B317" i="38"/>
  <c r="U317" i="38" s="1"/>
  <c r="B316" i="38"/>
  <c r="U316" i="38" s="1"/>
  <c r="B315" i="38"/>
  <c r="U315" i="38" s="1"/>
  <c r="B314" i="38"/>
  <c r="U314" i="38" s="1"/>
  <c r="B313" i="38"/>
  <c r="U313" i="38" s="1"/>
  <c r="B312" i="38"/>
  <c r="U312" i="38" s="1"/>
  <c r="B311" i="38"/>
  <c r="U311" i="38" s="1"/>
  <c r="B310" i="38"/>
  <c r="U310" i="38" s="1"/>
  <c r="B309" i="38"/>
  <c r="U309" i="38" s="1"/>
  <c r="B308" i="38"/>
  <c r="U308" i="38" s="1"/>
  <c r="B307" i="38"/>
  <c r="U307" i="38" s="1"/>
  <c r="B306" i="38"/>
  <c r="U306" i="38" s="1"/>
  <c r="B305" i="38"/>
  <c r="U305" i="38" s="1"/>
  <c r="B304" i="38"/>
  <c r="U304" i="38" s="1"/>
  <c r="B303" i="38"/>
  <c r="U303" i="38" s="1"/>
  <c r="B302" i="38"/>
  <c r="U302" i="38" s="1"/>
  <c r="B301" i="38"/>
  <c r="U301" i="38" s="1"/>
  <c r="B300" i="38"/>
  <c r="U300" i="38" s="1"/>
  <c r="B299" i="38"/>
  <c r="U299" i="38" s="1"/>
  <c r="B298" i="38"/>
  <c r="U298" i="38" s="1"/>
  <c r="B297" i="38"/>
  <c r="U297" i="38" s="1"/>
  <c r="B296" i="38"/>
  <c r="U296" i="38" s="1"/>
  <c r="B295" i="38"/>
  <c r="U295" i="38" s="1"/>
  <c r="B294" i="38"/>
  <c r="U294" i="38" s="1"/>
  <c r="B293" i="38"/>
  <c r="U293" i="38" s="1"/>
  <c r="B292" i="38"/>
  <c r="U292" i="38" s="1"/>
  <c r="B291" i="38"/>
  <c r="U291" i="38" s="1"/>
  <c r="B290" i="38"/>
  <c r="U290" i="38" s="1"/>
  <c r="B289" i="38"/>
  <c r="U289" i="38" s="1"/>
  <c r="B288" i="38"/>
  <c r="U288" i="38" s="1"/>
  <c r="B287" i="38"/>
  <c r="U287" i="38" s="1"/>
  <c r="B286" i="38"/>
  <c r="U286" i="38" s="1"/>
  <c r="B285" i="38"/>
  <c r="U285" i="38" s="1"/>
  <c r="B284" i="38"/>
  <c r="U284" i="38" s="1"/>
  <c r="B283" i="38"/>
  <c r="U283" i="38" s="1"/>
  <c r="B282" i="38"/>
  <c r="U282" i="38" s="1"/>
  <c r="B281" i="38"/>
  <c r="U281" i="38" s="1"/>
  <c r="B280" i="38"/>
  <c r="U280" i="38" s="1"/>
  <c r="B279" i="38"/>
  <c r="U279" i="38" s="1"/>
  <c r="B278" i="38"/>
  <c r="U278" i="38" s="1"/>
  <c r="B277" i="38"/>
  <c r="U277" i="38" s="1"/>
  <c r="B276" i="38"/>
  <c r="U276" i="38" s="1"/>
  <c r="B275" i="38"/>
  <c r="U275" i="38" s="1"/>
  <c r="B274" i="38"/>
  <c r="U274" i="38" s="1"/>
  <c r="B273" i="38"/>
  <c r="U273" i="38" s="1"/>
  <c r="B272" i="38"/>
  <c r="U272" i="38" s="1"/>
  <c r="B271" i="38"/>
  <c r="U271" i="38" s="1"/>
  <c r="B270" i="38"/>
  <c r="U270" i="38" s="1"/>
  <c r="B269" i="38"/>
  <c r="U269" i="38" s="1"/>
  <c r="B268" i="38"/>
  <c r="U268" i="38" s="1"/>
  <c r="B267" i="38"/>
  <c r="U267" i="38" s="1"/>
  <c r="B266" i="38"/>
  <c r="U266" i="38" s="1"/>
  <c r="B265" i="38"/>
  <c r="U265" i="38" s="1"/>
  <c r="B264" i="38"/>
  <c r="U264" i="38" s="1"/>
  <c r="B263" i="38"/>
  <c r="U263" i="38" s="1"/>
  <c r="B262" i="38"/>
  <c r="U262" i="38" s="1"/>
  <c r="B261" i="38"/>
  <c r="U261" i="38" s="1"/>
  <c r="B260" i="38"/>
  <c r="U260" i="38" s="1"/>
  <c r="B259" i="38"/>
  <c r="U259" i="38" s="1"/>
  <c r="B258" i="38"/>
  <c r="U258" i="38" s="1"/>
  <c r="B257" i="38"/>
  <c r="U257" i="38" s="1"/>
  <c r="B256" i="38"/>
  <c r="U256" i="38" s="1"/>
  <c r="B255" i="38"/>
  <c r="U255" i="38" s="1"/>
  <c r="B254" i="38"/>
  <c r="U254" i="38" s="1"/>
  <c r="B253" i="38"/>
  <c r="U253" i="38" s="1"/>
  <c r="B252" i="38"/>
  <c r="U252" i="38" s="1"/>
  <c r="B251" i="38"/>
  <c r="U251" i="38" s="1"/>
  <c r="B250" i="38"/>
  <c r="U250" i="38" s="1"/>
  <c r="B249" i="38"/>
  <c r="U249" i="38" s="1"/>
  <c r="B248" i="38"/>
  <c r="U248" i="38" s="1"/>
  <c r="B247" i="38"/>
  <c r="U247" i="38" s="1"/>
  <c r="B246" i="38"/>
  <c r="U246" i="38" s="1"/>
  <c r="B245" i="38"/>
  <c r="U245" i="38" s="1"/>
  <c r="B244" i="38"/>
  <c r="U244" i="38" s="1"/>
  <c r="B243" i="38"/>
  <c r="U243" i="38" s="1"/>
  <c r="B242" i="38"/>
  <c r="U242" i="38" s="1"/>
  <c r="B241" i="38"/>
  <c r="U241" i="38" s="1"/>
  <c r="B240" i="38"/>
  <c r="U240" i="38" s="1"/>
  <c r="B239" i="38"/>
  <c r="U239" i="38" s="1"/>
  <c r="B238" i="38"/>
  <c r="U238" i="38" s="1"/>
  <c r="B237" i="38"/>
  <c r="U237" i="38" s="1"/>
  <c r="B236" i="38"/>
  <c r="U236" i="38" s="1"/>
  <c r="B235" i="38"/>
  <c r="U235" i="38" s="1"/>
  <c r="B234" i="38"/>
  <c r="U234" i="38" s="1"/>
  <c r="B233" i="38"/>
  <c r="U233" i="38" s="1"/>
  <c r="B232" i="38"/>
  <c r="U232" i="38" s="1"/>
  <c r="B231" i="38"/>
  <c r="U231" i="38" s="1"/>
  <c r="B230" i="38"/>
  <c r="U230" i="38" s="1"/>
  <c r="B229" i="38"/>
  <c r="U229" i="38" s="1"/>
  <c r="B228" i="38"/>
  <c r="U228" i="38" s="1"/>
  <c r="B227" i="38"/>
  <c r="U227" i="38" s="1"/>
  <c r="B226" i="38"/>
  <c r="U226" i="38" s="1"/>
  <c r="B225" i="38"/>
  <c r="U225" i="38" s="1"/>
  <c r="B224" i="38"/>
  <c r="U224" i="38" s="1"/>
  <c r="B223" i="38"/>
  <c r="U223" i="38" s="1"/>
  <c r="B222" i="38"/>
  <c r="U222" i="38" s="1"/>
  <c r="B221" i="38"/>
  <c r="U221" i="38" s="1"/>
  <c r="B220" i="38"/>
  <c r="U220" i="38" s="1"/>
  <c r="B219" i="38"/>
  <c r="U219" i="38" s="1"/>
  <c r="B218" i="38"/>
  <c r="U218" i="38" s="1"/>
  <c r="B217" i="38"/>
  <c r="U217" i="38" s="1"/>
  <c r="B216" i="38"/>
  <c r="U216" i="38" s="1"/>
  <c r="B215" i="38"/>
  <c r="U215" i="38" s="1"/>
  <c r="B214" i="38"/>
  <c r="U214" i="38" s="1"/>
  <c r="B213" i="38"/>
  <c r="U213" i="38" s="1"/>
  <c r="B212" i="38"/>
  <c r="U212" i="38" s="1"/>
  <c r="B211" i="38"/>
  <c r="U211" i="38" s="1"/>
  <c r="B210" i="38"/>
  <c r="U210" i="38" s="1"/>
  <c r="B209" i="38"/>
  <c r="U209" i="38" s="1"/>
  <c r="B208" i="38"/>
  <c r="U208" i="38" s="1"/>
  <c r="B207" i="38"/>
  <c r="U207" i="38" s="1"/>
  <c r="B206" i="38"/>
  <c r="U206" i="38" s="1"/>
  <c r="B205" i="38"/>
  <c r="U205" i="38" s="1"/>
  <c r="B204" i="38"/>
  <c r="U204" i="38" s="1"/>
  <c r="B203" i="38"/>
  <c r="U203" i="38" s="1"/>
  <c r="B202" i="38"/>
  <c r="U202" i="38" s="1"/>
  <c r="B201" i="38"/>
  <c r="U201" i="38" s="1"/>
  <c r="B200" i="38"/>
  <c r="U200" i="38" s="1"/>
  <c r="B199" i="38"/>
  <c r="U199" i="38" s="1"/>
  <c r="B198" i="38"/>
  <c r="U198" i="38" s="1"/>
  <c r="B197" i="38"/>
  <c r="U197" i="38" s="1"/>
  <c r="B196" i="38"/>
  <c r="U196" i="38" s="1"/>
  <c r="B195" i="38"/>
  <c r="U195" i="38" s="1"/>
  <c r="B194" i="38"/>
  <c r="U194" i="38" s="1"/>
  <c r="B193" i="38"/>
  <c r="U193" i="38" s="1"/>
  <c r="B192" i="38"/>
  <c r="U192" i="38" s="1"/>
  <c r="B191" i="38"/>
  <c r="U191" i="38" s="1"/>
  <c r="B190" i="38"/>
  <c r="U190" i="38" s="1"/>
  <c r="B189" i="38"/>
  <c r="U189" i="38" s="1"/>
  <c r="B188" i="38"/>
  <c r="U188" i="38" s="1"/>
  <c r="B187" i="38"/>
  <c r="U187" i="38" s="1"/>
  <c r="B186" i="38"/>
  <c r="U186" i="38" s="1"/>
  <c r="B185" i="38"/>
  <c r="U185" i="38" s="1"/>
  <c r="B184" i="38"/>
  <c r="U184" i="38" s="1"/>
  <c r="B183" i="38"/>
  <c r="U183" i="38" s="1"/>
  <c r="B182" i="38"/>
  <c r="U182" i="38" s="1"/>
  <c r="B181" i="38"/>
  <c r="U181" i="38" s="1"/>
  <c r="B180" i="38"/>
  <c r="U180" i="38" s="1"/>
  <c r="B179" i="38"/>
  <c r="U179" i="38" s="1"/>
  <c r="B178" i="38"/>
  <c r="U178" i="38" s="1"/>
  <c r="B177" i="38"/>
  <c r="U177" i="38" s="1"/>
  <c r="B176" i="38"/>
  <c r="U176" i="38" s="1"/>
  <c r="B175" i="38"/>
  <c r="U175" i="38" s="1"/>
  <c r="B174" i="38"/>
  <c r="U174" i="38" s="1"/>
  <c r="B173" i="38"/>
  <c r="U173" i="38" s="1"/>
  <c r="B172" i="38"/>
  <c r="U172" i="38" s="1"/>
  <c r="B171" i="38"/>
  <c r="U171" i="38" s="1"/>
  <c r="B170" i="38"/>
  <c r="U170" i="38" s="1"/>
  <c r="B169" i="38"/>
  <c r="U169" i="38" s="1"/>
  <c r="B168" i="38"/>
  <c r="U168" i="38" s="1"/>
  <c r="B167" i="38"/>
  <c r="U167" i="38" s="1"/>
  <c r="B166" i="38"/>
  <c r="U166" i="38" s="1"/>
  <c r="B165" i="38"/>
  <c r="U165" i="38" s="1"/>
  <c r="B164" i="38"/>
  <c r="U164" i="38" s="1"/>
  <c r="B163" i="38"/>
  <c r="U163" i="38" s="1"/>
  <c r="B162" i="38"/>
  <c r="U162" i="38" s="1"/>
  <c r="B161" i="38"/>
  <c r="U161" i="38" s="1"/>
  <c r="B160" i="38"/>
  <c r="U160" i="38" s="1"/>
  <c r="B159" i="38"/>
  <c r="U159" i="38" s="1"/>
  <c r="B158" i="38"/>
  <c r="U158" i="38" s="1"/>
  <c r="B157" i="38"/>
  <c r="U157" i="38" s="1"/>
  <c r="B156" i="38"/>
  <c r="U156" i="38" s="1"/>
  <c r="B155" i="38"/>
  <c r="U155" i="38" s="1"/>
  <c r="B154" i="38"/>
  <c r="U154" i="38" s="1"/>
  <c r="B153" i="38"/>
  <c r="U153" i="38" s="1"/>
  <c r="B152" i="38"/>
  <c r="U152" i="38" s="1"/>
  <c r="B151" i="38"/>
  <c r="U151" i="38" s="1"/>
  <c r="B150" i="38"/>
  <c r="U150" i="38" s="1"/>
  <c r="B149" i="38"/>
  <c r="U149" i="38" s="1"/>
  <c r="B148" i="38"/>
  <c r="U148" i="38" s="1"/>
  <c r="B147" i="38"/>
  <c r="U147" i="38" s="1"/>
  <c r="B146" i="38"/>
  <c r="U146" i="38" s="1"/>
  <c r="B145" i="38"/>
  <c r="U145" i="38" s="1"/>
  <c r="B144" i="38"/>
  <c r="U144" i="38" s="1"/>
  <c r="B143" i="38"/>
  <c r="U143" i="38" s="1"/>
  <c r="B142" i="38"/>
  <c r="U142" i="38" s="1"/>
  <c r="B141" i="38"/>
  <c r="U141" i="38" s="1"/>
  <c r="B140" i="38"/>
  <c r="U140" i="38" s="1"/>
  <c r="B139" i="38"/>
  <c r="U139" i="38" s="1"/>
  <c r="B138" i="38"/>
  <c r="U138" i="38" s="1"/>
  <c r="B137" i="38"/>
  <c r="U137" i="38" s="1"/>
  <c r="B136" i="38"/>
  <c r="U136" i="38" s="1"/>
  <c r="B135" i="38"/>
  <c r="U135" i="38" s="1"/>
  <c r="B134" i="38"/>
  <c r="U134" i="38" s="1"/>
  <c r="B133" i="38"/>
  <c r="U133" i="38" s="1"/>
  <c r="B132" i="38"/>
  <c r="U132" i="38" s="1"/>
  <c r="B131" i="38"/>
  <c r="U131" i="38" s="1"/>
  <c r="B130" i="38"/>
  <c r="U130" i="38" s="1"/>
  <c r="B129" i="38"/>
  <c r="U129" i="38" s="1"/>
  <c r="B128" i="38"/>
  <c r="U128" i="38" s="1"/>
  <c r="B127" i="38"/>
  <c r="U127" i="38" s="1"/>
  <c r="B126" i="38"/>
  <c r="U126" i="38" s="1"/>
  <c r="B125" i="38"/>
  <c r="U125" i="38" s="1"/>
  <c r="B124" i="38"/>
  <c r="U124" i="38" s="1"/>
  <c r="B123" i="38"/>
  <c r="U123" i="38" s="1"/>
  <c r="B122" i="38"/>
  <c r="U122" i="38" s="1"/>
  <c r="B121" i="38"/>
  <c r="U121" i="38" s="1"/>
  <c r="B120" i="38"/>
  <c r="U120" i="38" s="1"/>
  <c r="B119" i="38"/>
  <c r="U119" i="38" s="1"/>
  <c r="B118" i="38"/>
  <c r="U118" i="38" s="1"/>
  <c r="B117" i="38"/>
  <c r="U117" i="38" s="1"/>
  <c r="B116" i="38"/>
  <c r="U116" i="38" s="1"/>
  <c r="B115" i="38"/>
  <c r="U115" i="38" s="1"/>
  <c r="B114" i="38"/>
  <c r="U114" i="38" s="1"/>
  <c r="B113" i="38"/>
  <c r="U113" i="38" s="1"/>
  <c r="B112" i="38"/>
  <c r="U112" i="38" s="1"/>
  <c r="B111" i="38"/>
  <c r="U111" i="38" s="1"/>
  <c r="B110" i="38"/>
  <c r="U110" i="38" s="1"/>
  <c r="B109" i="38"/>
  <c r="U109" i="38" s="1"/>
  <c r="B108" i="38"/>
  <c r="U108" i="38" s="1"/>
  <c r="B107" i="38"/>
  <c r="U107" i="38" s="1"/>
  <c r="B106" i="38"/>
  <c r="U106" i="38" s="1"/>
  <c r="B105" i="38"/>
  <c r="U105" i="38" s="1"/>
  <c r="B104" i="38"/>
  <c r="U104" i="38" s="1"/>
  <c r="B103" i="38"/>
  <c r="U103" i="38" s="1"/>
  <c r="B102" i="38"/>
  <c r="U102" i="38" s="1"/>
  <c r="B101" i="38"/>
  <c r="U101" i="38" s="1"/>
  <c r="B100" i="38"/>
  <c r="U100" i="38" s="1"/>
  <c r="B99" i="38"/>
  <c r="U99" i="38" s="1"/>
  <c r="B98" i="38"/>
  <c r="U98" i="38" s="1"/>
  <c r="B97" i="38"/>
  <c r="U97" i="38" s="1"/>
  <c r="B96" i="38"/>
  <c r="U96" i="38" s="1"/>
  <c r="B95" i="38"/>
  <c r="U95" i="38" s="1"/>
  <c r="B94" i="38"/>
  <c r="U94" i="38" s="1"/>
  <c r="B93" i="38"/>
  <c r="U93" i="38" s="1"/>
  <c r="B92" i="38"/>
  <c r="U92" i="38" s="1"/>
  <c r="B91" i="38"/>
  <c r="U91" i="38" s="1"/>
  <c r="B90" i="38"/>
  <c r="U90" i="38" s="1"/>
  <c r="B89" i="38"/>
  <c r="U89" i="38" s="1"/>
  <c r="B88" i="38"/>
  <c r="U88" i="38" s="1"/>
  <c r="B87" i="38"/>
  <c r="U87" i="38" s="1"/>
  <c r="B86" i="38"/>
  <c r="U86" i="38" s="1"/>
  <c r="B85" i="38"/>
  <c r="U85" i="38" s="1"/>
  <c r="B84" i="38"/>
  <c r="U84" i="38" s="1"/>
  <c r="B83" i="38"/>
  <c r="U83" i="38" s="1"/>
  <c r="B82" i="38"/>
  <c r="U82" i="38" s="1"/>
  <c r="B81" i="38"/>
  <c r="U81" i="38" s="1"/>
  <c r="B80" i="38"/>
  <c r="U80" i="38" s="1"/>
  <c r="B79" i="38"/>
  <c r="U79" i="38" s="1"/>
  <c r="B78" i="38"/>
  <c r="U78" i="38" s="1"/>
  <c r="B77" i="38"/>
  <c r="U77" i="38" s="1"/>
  <c r="B76" i="38"/>
  <c r="U76" i="38" s="1"/>
  <c r="B75" i="38"/>
  <c r="U75" i="38" s="1"/>
  <c r="B74" i="38"/>
  <c r="U74" i="38" s="1"/>
  <c r="B73" i="38"/>
  <c r="U73" i="38" s="1"/>
  <c r="B72" i="38"/>
  <c r="U72" i="38" s="1"/>
  <c r="B71" i="38"/>
  <c r="U71" i="38" s="1"/>
  <c r="B70" i="38"/>
  <c r="U70" i="38" s="1"/>
  <c r="B69" i="38"/>
  <c r="U69" i="38" s="1"/>
  <c r="B68" i="38"/>
  <c r="U68" i="38" s="1"/>
  <c r="B67" i="38"/>
  <c r="U67" i="38" s="1"/>
  <c r="B66" i="38"/>
  <c r="U66" i="38" s="1"/>
  <c r="B65" i="38"/>
  <c r="U65" i="38" s="1"/>
  <c r="B64" i="38"/>
  <c r="U64" i="38" s="1"/>
  <c r="B63" i="38"/>
  <c r="U63" i="38" s="1"/>
  <c r="B62" i="38"/>
  <c r="U62" i="38" s="1"/>
  <c r="B61" i="38"/>
  <c r="U61" i="38" s="1"/>
  <c r="B60" i="38"/>
  <c r="U60" i="38" s="1"/>
  <c r="B59" i="38"/>
  <c r="U59" i="38" s="1"/>
  <c r="B58" i="38"/>
  <c r="U58" i="38" s="1"/>
  <c r="B57" i="38"/>
  <c r="U57" i="38" s="1"/>
  <c r="B56" i="38"/>
  <c r="U56" i="38" s="1"/>
  <c r="B55" i="38"/>
  <c r="U55" i="38" s="1"/>
  <c r="B54" i="38"/>
  <c r="U54" i="38" s="1"/>
  <c r="B53" i="38"/>
  <c r="U53" i="38" s="1"/>
  <c r="B52" i="38"/>
  <c r="U52" i="38" s="1"/>
  <c r="B51" i="38"/>
  <c r="U51" i="38" s="1"/>
  <c r="B50" i="38"/>
  <c r="U50" i="38" s="1"/>
  <c r="B49" i="38"/>
  <c r="U49" i="38" s="1"/>
  <c r="B48" i="38"/>
  <c r="U48" i="38" s="1"/>
  <c r="B47" i="38"/>
  <c r="U47" i="38" s="1"/>
  <c r="B46" i="38"/>
  <c r="U46" i="38" s="1"/>
  <c r="B45" i="38"/>
  <c r="U45" i="38" s="1"/>
  <c r="B44" i="38"/>
  <c r="U44" i="38" s="1"/>
  <c r="B43" i="38"/>
  <c r="U43" i="38" s="1"/>
  <c r="B42" i="38"/>
  <c r="U42" i="38" s="1"/>
  <c r="B41" i="38"/>
  <c r="U41" i="38" s="1"/>
  <c r="B40" i="38"/>
  <c r="U40" i="38" s="1"/>
  <c r="B39" i="38"/>
  <c r="U39" i="38" s="1"/>
  <c r="B38" i="38"/>
  <c r="U38" i="38" s="1"/>
  <c r="B37" i="38"/>
  <c r="U37" i="38" s="1"/>
  <c r="B36" i="38"/>
  <c r="U36" i="38" s="1"/>
  <c r="B35" i="38"/>
  <c r="U35" i="38" s="1"/>
  <c r="B34" i="38"/>
  <c r="U34" i="38" s="1"/>
  <c r="B33" i="38"/>
  <c r="U33" i="38" s="1"/>
  <c r="B32" i="38"/>
  <c r="U32" i="38" s="1"/>
  <c r="B31" i="38"/>
  <c r="U31" i="38" s="1"/>
  <c r="B30" i="38"/>
  <c r="U30" i="38" s="1"/>
  <c r="B29" i="38"/>
  <c r="U29" i="38" s="1"/>
  <c r="B28" i="38"/>
  <c r="U28" i="38" s="1"/>
  <c r="B27" i="38"/>
  <c r="U27" i="38" s="1"/>
  <c r="B26" i="38"/>
  <c r="U26" i="38" s="1"/>
  <c r="B25" i="38"/>
  <c r="U25" i="38" s="1"/>
  <c r="B24" i="38"/>
  <c r="U24" i="38" s="1"/>
  <c r="B23" i="38"/>
  <c r="U23" i="38" s="1"/>
  <c r="B22" i="38"/>
  <c r="U22" i="38" s="1"/>
  <c r="B21" i="38"/>
  <c r="U21" i="38" s="1"/>
  <c r="B20" i="38"/>
  <c r="U20" i="38" s="1"/>
  <c r="B19" i="38"/>
  <c r="U19" i="38" s="1"/>
  <c r="B18" i="38"/>
  <c r="U18" i="38" s="1"/>
  <c r="B17" i="38"/>
  <c r="U17" i="38" s="1"/>
  <c r="B16" i="38"/>
  <c r="U16" i="38" s="1"/>
  <c r="B15" i="38"/>
  <c r="U15" i="38" s="1"/>
  <c r="B14" i="38"/>
  <c r="U14" i="38" s="1"/>
  <c r="B13" i="38"/>
  <c r="U13" i="38" s="1"/>
  <c r="B12" i="38"/>
  <c r="U12" i="38" s="1"/>
  <c r="B11" i="38"/>
  <c r="U11" i="38" s="1"/>
  <c r="B10" i="38"/>
  <c r="U10" i="38" s="1"/>
  <c r="B9" i="38"/>
  <c r="U9" i="38" s="1"/>
  <c r="B8" i="38"/>
  <c r="U8" i="38" s="1"/>
  <c r="B7" i="38"/>
  <c r="U7" i="38" s="1"/>
  <c r="B6" i="38"/>
  <c r="U6" i="38" s="1"/>
  <c r="B5" i="38"/>
  <c r="U5" i="38" s="1"/>
  <c r="B4" i="38"/>
  <c r="U4" i="38" s="1"/>
  <c r="A3" i="38"/>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319" i="38" s="1"/>
  <c r="A320" i="38" s="1"/>
  <c r="A321" i="38" s="1"/>
  <c r="A322" i="38" s="1"/>
  <c r="A323" i="38" s="1"/>
  <c r="A324" i="38" s="1"/>
  <c r="A325" i="38" s="1"/>
  <c r="A326" i="38" s="1"/>
  <c r="A327" i="38" s="1"/>
  <c r="A328" i="38" s="1"/>
  <c r="A329" i="38" s="1"/>
  <c r="A330" i="38" s="1"/>
  <c r="A331" i="38" s="1"/>
  <c r="A332" i="38" s="1"/>
  <c r="A333" i="38" s="1"/>
  <c r="A334" i="38" s="1"/>
  <c r="A335" i="38" s="1"/>
  <c r="A336" i="38" s="1"/>
  <c r="A337" i="38" s="1"/>
  <c r="A338" i="38" s="1"/>
  <c r="A339" i="38" s="1"/>
  <c r="A340" i="38" s="1"/>
  <c r="A341" i="38" s="1"/>
  <c r="A342" i="38" s="1"/>
  <c r="A343" i="38" s="1"/>
  <c r="A344" i="38" s="1"/>
  <c r="A345" i="38" s="1"/>
  <c r="A346" i="38" s="1"/>
  <c r="A347" i="38" s="1"/>
  <c r="A348" i="38" s="1"/>
  <c r="A349" i="38" s="1"/>
  <c r="A350" i="38" s="1"/>
  <c r="A351" i="38" s="1"/>
  <c r="A352" i="38" s="1"/>
  <c r="A353" i="38" s="1"/>
  <c r="A354" i="38" s="1"/>
  <c r="A355" i="38" s="1"/>
  <c r="A356" i="38" s="1"/>
  <c r="A357" i="38" s="1"/>
  <c r="A358" i="38" s="1"/>
  <c r="A359" i="38" s="1"/>
  <c r="A360" i="38" s="1"/>
  <c r="A361" i="38" s="1"/>
  <c r="A362" i="38" s="1"/>
  <c r="A363" i="38" s="1"/>
  <c r="A364" i="38" s="1"/>
  <c r="A365" i="38" s="1"/>
  <c r="A366" i="38" s="1"/>
  <c r="A367" i="38" s="1"/>
  <c r="A368" i="38" s="1"/>
  <c r="A369" i="38" s="1"/>
  <c r="A370" i="38" s="1"/>
  <c r="A371" i="38" s="1"/>
  <c r="A372" i="38" s="1"/>
  <c r="A373" i="38" s="1"/>
  <c r="A374" i="38" s="1"/>
  <c r="A375" i="38" s="1"/>
  <c r="A376" i="38" s="1"/>
  <c r="A377" i="38" s="1"/>
  <c r="A378" i="38" s="1"/>
  <c r="A379" i="38" s="1"/>
  <c r="A380" i="38" s="1"/>
  <c r="A381" i="38" s="1"/>
  <c r="A382" i="38" s="1"/>
  <c r="A383" i="38" s="1"/>
  <c r="A384" i="38" s="1"/>
  <c r="A385" i="38" s="1"/>
  <c r="A386" i="38" s="1"/>
  <c r="A387" i="38" s="1"/>
  <c r="A388" i="38" s="1"/>
  <c r="A389" i="38" s="1"/>
  <c r="A390" i="38" s="1"/>
  <c r="A391" i="38" s="1"/>
  <c r="A392" i="38" s="1"/>
  <c r="A393" i="38" s="1"/>
  <c r="A394" i="38" s="1"/>
  <c r="A395" i="38" s="1"/>
  <c r="A396" i="38" s="1"/>
  <c r="A397" i="38" s="1"/>
  <c r="A398" i="38" s="1"/>
  <c r="A399" i="38" s="1"/>
  <c r="A400" i="38" s="1"/>
  <c r="A401" i="38" s="1"/>
  <c r="A402" i="38" s="1"/>
  <c r="A403" i="38" s="1"/>
  <c r="A404" i="38" s="1"/>
  <c r="A405" i="38" s="1"/>
  <c r="A406" i="38" s="1"/>
  <c r="A407" i="38" s="1"/>
  <c r="A408" i="38" s="1"/>
  <c r="A409" i="38" s="1"/>
  <c r="A410" i="38" s="1"/>
  <c r="A411" i="38" s="1"/>
  <c r="A412" i="38" s="1"/>
  <c r="A413" i="38" s="1"/>
  <c r="A414" i="38" s="1"/>
  <c r="A415" i="38" s="1"/>
  <c r="A416" i="38" s="1"/>
  <c r="A417" i="38" s="1"/>
  <c r="A418" i="38" s="1"/>
  <c r="A419" i="38" s="1"/>
  <c r="A420" i="38" s="1"/>
  <c r="A421" i="38" s="1"/>
  <c r="A422" i="38" s="1"/>
  <c r="A423" i="38" s="1"/>
  <c r="A424" i="38" s="1"/>
  <c r="A425" i="38" s="1"/>
  <c r="A426" i="38" s="1"/>
  <c r="A427" i="38" s="1"/>
  <c r="A428" i="38" s="1"/>
  <c r="A429" i="38" s="1"/>
  <c r="A430" i="38" s="1"/>
  <c r="A431" i="38" s="1"/>
  <c r="A432" i="38" s="1"/>
  <c r="A433" i="38" s="1"/>
  <c r="A434" i="38" s="1"/>
  <c r="A435" i="38" s="1"/>
  <c r="A436" i="38" s="1"/>
  <c r="A437" i="38" s="1"/>
  <c r="A438" i="38" s="1"/>
  <c r="A439" i="38" s="1"/>
  <c r="A440" i="38" s="1"/>
  <c r="A441" i="38" s="1"/>
  <c r="A442" i="38" s="1"/>
  <c r="A443" i="38" s="1"/>
  <c r="A444" i="38" s="1"/>
  <c r="A445" i="38" s="1"/>
  <c r="A446" i="38" s="1"/>
  <c r="A447" i="38" s="1"/>
  <c r="A448" i="38" s="1"/>
  <c r="A449" i="38" s="1"/>
  <c r="A450" i="38" s="1"/>
  <c r="A451" i="38" s="1"/>
  <c r="A452" i="38" s="1"/>
  <c r="A453" i="38" s="1"/>
  <c r="A454" i="38" s="1"/>
  <c r="A455" i="38" s="1"/>
  <c r="A456" i="38" s="1"/>
  <c r="A457" i="38" s="1"/>
  <c r="A458" i="38" s="1"/>
  <c r="A459" i="38" s="1"/>
  <c r="A460" i="38" s="1"/>
  <c r="A461" i="38" s="1"/>
  <c r="A462" i="38" s="1"/>
  <c r="A463" i="38" s="1"/>
  <c r="A464" i="38" s="1"/>
  <c r="A465" i="38" s="1"/>
  <c r="A466" i="38" s="1"/>
  <c r="A467" i="38" s="1"/>
  <c r="A468" i="38" s="1"/>
  <c r="A469" i="38" s="1"/>
  <c r="A470" i="38" s="1"/>
  <c r="A471" i="38" s="1"/>
  <c r="A472" i="38" s="1"/>
  <c r="A473" i="38" s="1"/>
  <c r="A474" i="38" s="1"/>
  <c r="A475" i="38" s="1"/>
  <c r="A476" i="38" s="1"/>
  <c r="A477" i="38" s="1"/>
  <c r="A478" i="38" s="1"/>
  <c r="A479" i="38" s="1"/>
  <c r="A480" i="38" s="1"/>
  <c r="A481" i="38" s="1"/>
  <c r="A482" i="38" s="1"/>
  <c r="A483" i="38" s="1"/>
  <c r="A484" i="38" s="1"/>
  <c r="A485" i="38" s="1"/>
  <c r="A486" i="38" s="1"/>
  <c r="A487" i="38" s="1"/>
  <c r="A488" i="38" s="1"/>
  <c r="A489" i="38" s="1"/>
  <c r="A490" i="38" s="1"/>
  <c r="A491" i="38" s="1"/>
  <c r="A492" i="38" s="1"/>
  <c r="A493" i="38" s="1"/>
  <c r="A494" i="38" s="1"/>
  <c r="A495" i="38" s="1"/>
  <c r="A496" i="38" s="1"/>
  <c r="A497" i="38" s="1"/>
  <c r="A498" i="38" s="1"/>
  <c r="A499" i="38" s="1"/>
  <c r="A500" i="38" s="1"/>
  <c r="A501" i="38" s="1"/>
  <c r="A502" i="38" s="1"/>
  <c r="A503" i="38" s="1"/>
  <c r="A504" i="38" s="1"/>
  <c r="A505" i="38" s="1"/>
  <c r="A506" i="38" s="1"/>
  <c r="A507" i="38" s="1"/>
  <c r="A508" i="38" s="1"/>
  <c r="A509" i="38" s="1"/>
  <c r="A510" i="38" s="1"/>
  <c r="A511" i="38" s="1"/>
  <c r="A512" i="38" s="1"/>
  <c r="A513" i="38" s="1"/>
  <c r="A514" i="38" s="1"/>
  <c r="A515" i="38" s="1"/>
  <c r="A516" i="38" s="1"/>
  <c r="A517" i="38" s="1"/>
  <c r="A518" i="38" s="1"/>
  <c r="A519" i="38" s="1"/>
  <c r="A520" i="38" s="1"/>
  <c r="A521" i="38" s="1"/>
  <c r="A522" i="38" s="1"/>
  <c r="A523" i="38" s="1"/>
  <c r="A524" i="38" s="1"/>
  <c r="A525" i="38" s="1"/>
  <c r="A526" i="38" s="1"/>
  <c r="A527" i="38" s="1"/>
  <c r="A528" i="38" s="1"/>
  <c r="A529" i="38" s="1"/>
  <c r="A530" i="38" s="1"/>
  <c r="A531" i="38" s="1"/>
  <c r="A532" i="38" s="1"/>
  <c r="A533" i="38" s="1"/>
  <c r="A534" i="38" s="1"/>
  <c r="A535" i="38" s="1"/>
  <c r="A536" i="38" s="1"/>
  <c r="A537" i="38" s="1"/>
  <c r="A538" i="38" s="1"/>
  <c r="A539" i="38" s="1"/>
  <c r="A540" i="38" s="1"/>
  <c r="A541" i="38" s="1"/>
  <c r="A542" i="38" s="1"/>
  <c r="A543" i="38" s="1"/>
  <c r="A544" i="38" s="1"/>
  <c r="A545" i="38" s="1"/>
  <c r="A546" i="38" s="1"/>
  <c r="A547" i="38" s="1"/>
  <c r="A548" i="38" s="1"/>
  <c r="A549" i="38" s="1"/>
  <c r="A550" i="38" s="1"/>
  <c r="A551" i="38" s="1"/>
  <c r="A552" i="38" s="1"/>
  <c r="A553" i="38" s="1"/>
  <c r="A554" i="38" s="1"/>
  <c r="A555" i="38" s="1"/>
  <c r="A556" i="38" s="1"/>
  <c r="A557" i="38" s="1"/>
  <c r="A558" i="38" s="1"/>
  <c r="A559" i="38" s="1"/>
  <c r="A560" i="38" s="1"/>
  <c r="A561" i="38" s="1"/>
  <c r="A562" i="38" s="1"/>
  <c r="A563" i="38" s="1"/>
  <c r="A564" i="38" s="1"/>
  <c r="A565" i="38" s="1"/>
  <c r="A566" i="38" s="1"/>
  <c r="A567" i="38" s="1"/>
  <c r="A568" i="38" s="1"/>
  <c r="A569" i="38" s="1"/>
  <c r="A570" i="38" s="1"/>
  <c r="A571" i="38" s="1"/>
  <c r="A572" i="38" s="1"/>
  <c r="A573" i="38" s="1"/>
  <c r="A574" i="38" s="1"/>
  <c r="A575" i="38" s="1"/>
  <c r="A576" i="38" s="1"/>
  <c r="A577" i="38" s="1"/>
  <c r="A578" i="38" s="1"/>
  <c r="A579" i="38" s="1"/>
  <c r="A580" i="38" s="1"/>
  <c r="A581" i="38" s="1"/>
  <c r="A582" i="38" s="1"/>
  <c r="A583" i="38" s="1"/>
  <c r="A584" i="38" s="1"/>
  <c r="A585" i="38" s="1"/>
  <c r="A586" i="38" s="1"/>
  <c r="A587" i="38" s="1"/>
  <c r="A588" i="38" s="1"/>
  <c r="A589" i="38" s="1"/>
  <c r="A590" i="38" s="1"/>
  <c r="A591" i="38" s="1"/>
  <c r="A592" i="38" s="1"/>
  <c r="A593" i="38" s="1"/>
  <c r="A594" i="38" s="1"/>
  <c r="A595" i="38" s="1"/>
  <c r="A596" i="38" s="1"/>
  <c r="A597" i="38" s="1"/>
  <c r="A598" i="38" s="1"/>
  <c r="A599" i="38" s="1"/>
  <c r="A600" i="38" s="1"/>
  <c r="A601" i="38" s="1"/>
  <c r="A602" i="38" s="1"/>
  <c r="A603" i="38" s="1"/>
  <c r="A604" i="38" s="1"/>
  <c r="A605" i="38" s="1"/>
  <c r="A606" i="38" s="1"/>
  <c r="A607" i="38" s="1"/>
  <c r="A608" i="38" s="1"/>
  <c r="A609" i="38" s="1"/>
  <c r="A610" i="38" s="1"/>
  <c r="A611" i="38" s="1"/>
  <c r="A612" i="38" s="1"/>
  <c r="A613" i="38" s="1"/>
  <c r="A614" i="38" s="1"/>
  <c r="A615" i="38" s="1"/>
  <c r="A616" i="38" s="1"/>
  <c r="A617" i="38" s="1"/>
  <c r="A618" i="38" s="1"/>
  <c r="A619" i="38" s="1"/>
  <c r="A620" i="38" s="1"/>
  <c r="A621" i="38" s="1"/>
  <c r="A622" i="38" s="1"/>
  <c r="A623" i="38" s="1"/>
  <c r="A624" i="38" s="1"/>
  <c r="A625" i="38" s="1"/>
  <c r="A626" i="38" s="1"/>
  <c r="A627" i="38" s="1"/>
  <c r="A628" i="38" s="1"/>
  <c r="A629" i="38" s="1"/>
  <c r="A630" i="38" s="1"/>
  <c r="A631" i="38" s="1"/>
  <c r="A632" i="38" s="1"/>
  <c r="A633" i="38" s="1"/>
  <c r="A634" i="38" s="1"/>
  <c r="A635" i="38" s="1"/>
  <c r="A636" i="38" s="1"/>
  <c r="A637" i="38" s="1"/>
  <c r="A638" i="38" s="1"/>
  <c r="A639" i="38" s="1"/>
  <c r="A640" i="38" s="1"/>
  <c r="A641" i="38" s="1"/>
  <c r="A642" i="38" s="1"/>
  <c r="A643" i="38" s="1"/>
  <c r="A644" i="38" s="1"/>
  <c r="A645" i="38" s="1"/>
  <c r="A646" i="38" s="1"/>
  <c r="A647" i="38" s="1"/>
  <c r="A648" i="38" s="1"/>
  <c r="A649" i="38" s="1"/>
  <c r="A650" i="38" s="1"/>
  <c r="A651" i="38" s="1"/>
  <c r="A652" i="38" s="1"/>
  <c r="A653" i="38" s="1"/>
  <c r="A654" i="38" s="1"/>
  <c r="A655" i="38" s="1"/>
  <c r="A656" i="38" s="1"/>
  <c r="A657" i="38" s="1"/>
  <c r="A658" i="38" s="1"/>
  <c r="A659" i="38" s="1"/>
  <c r="A660" i="38" s="1"/>
  <c r="A661" i="38" s="1"/>
  <c r="A662" i="38" s="1"/>
  <c r="A663" i="38" s="1"/>
  <c r="A664" i="38" s="1"/>
  <c r="A665" i="38" s="1"/>
  <c r="A666" i="38" s="1"/>
  <c r="A667" i="38" s="1"/>
  <c r="A668" i="38" s="1"/>
  <c r="A669" i="38" s="1"/>
  <c r="A670" i="38" s="1"/>
  <c r="A671" i="38" s="1"/>
  <c r="A672" i="38" s="1"/>
  <c r="A673" i="38" s="1"/>
  <c r="A674" i="38" s="1"/>
  <c r="A675" i="38" s="1"/>
  <c r="A676" i="38" s="1"/>
  <c r="A677" i="38" s="1"/>
  <c r="A678" i="38" s="1"/>
  <c r="A679" i="38" s="1"/>
  <c r="A680" i="38" s="1"/>
  <c r="A681" i="38" s="1"/>
  <c r="A682" i="38" s="1"/>
  <c r="A683" i="38" s="1"/>
  <c r="A684" i="38" s="1"/>
  <c r="A685" i="38" s="1"/>
  <c r="A686" i="38" s="1"/>
  <c r="A687" i="38" s="1"/>
  <c r="A688" i="38" s="1"/>
  <c r="A689" i="38" s="1"/>
  <c r="A690" i="38" s="1"/>
  <c r="A691" i="38" s="1"/>
  <c r="A692" i="38" s="1"/>
  <c r="A693" i="38" s="1"/>
  <c r="A694" i="38" s="1"/>
  <c r="A695" i="38" s="1"/>
  <c r="A696" i="38" s="1"/>
  <c r="A697" i="38" s="1"/>
  <c r="A698" i="38" s="1"/>
  <c r="A699" i="38" s="1"/>
  <c r="A700" i="38" s="1"/>
  <c r="A701" i="38" s="1"/>
  <c r="A702" i="38" s="1"/>
  <c r="A703" i="38" s="1"/>
  <c r="A704" i="38" s="1"/>
  <c r="A705" i="38" s="1"/>
  <c r="A706" i="38" s="1"/>
  <c r="A707" i="38" s="1"/>
  <c r="A708" i="38" s="1"/>
  <c r="A709" i="38" s="1"/>
  <c r="A710" i="38" s="1"/>
  <c r="A711" i="38" s="1"/>
  <c r="A712" i="38" s="1"/>
  <c r="A713" i="38" s="1"/>
  <c r="A714" i="38" s="1"/>
  <c r="A715" i="38" s="1"/>
  <c r="A716" i="38" s="1"/>
  <c r="A717" i="38" s="1"/>
  <c r="A718" i="38" s="1"/>
  <c r="A719" i="38" s="1"/>
  <c r="A720" i="38" s="1"/>
  <c r="A721" i="38" s="1"/>
  <c r="A722" i="38" s="1"/>
  <c r="A723" i="38" s="1"/>
  <c r="A724" i="38" s="1"/>
  <c r="A725" i="38" s="1"/>
  <c r="A726" i="38" s="1"/>
  <c r="A727" i="38" s="1"/>
  <c r="A728" i="38" s="1"/>
  <c r="A729" i="38" s="1"/>
  <c r="A730" i="38" s="1"/>
  <c r="A731" i="38" s="1"/>
  <c r="A732" i="38" s="1"/>
  <c r="A733" i="38" s="1"/>
  <c r="A734" i="38" s="1"/>
  <c r="A735" i="38" s="1"/>
  <c r="A736" i="38" s="1"/>
  <c r="A737" i="38" s="1"/>
  <c r="A738" i="38" s="1"/>
  <c r="A739" i="38" s="1"/>
  <c r="A740" i="38" s="1"/>
  <c r="A741" i="38" s="1"/>
  <c r="A742" i="38" s="1"/>
  <c r="A743" i="38" s="1"/>
  <c r="A744" i="38" s="1"/>
  <c r="A745" i="38" s="1"/>
  <c r="A746" i="38" s="1"/>
  <c r="A747" i="38" s="1"/>
  <c r="A748" i="38" s="1"/>
  <c r="A749" i="38" s="1"/>
  <c r="A750" i="38" s="1"/>
  <c r="A751" i="38" s="1"/>
  <c r="A752" i="38" s="1"/>
  <c r="A753" i="38" s="1"/>
  <c r="A754" i="38" s="1"/>
  <c r="A755" i="38" s="1"/>
  <c r="A756" i="38" s="1"/>
  <c r="A757" i="38" s="1"/>
  <c r="A758" i="38" s="1"/>
  <c r="A759" i="38" s="1"/>
  <c r="A760" i="38" s="1"/>
  <c r="A761" i="38" s="1"/>
  <c r="A762" i="38" s="1"/>
  <c r="A763" i="38" s="1"/>
  <c r="A764" i="38" s="1"/>
  <c r="A765" i="38" s="1"/>
  <c r="A766" i="38" s="1"/>
  <c r="A767" i="38" s="1"/>
  <c r="A768" i="38" s="1"/>
  <c r="A769" i="38" s="1"/>
  <c r="A770" i="38" s="1"/>
  <c r="A771" i="38" s="1"/>
  <c r="A772" i="38" s="1"/>
  <c r="A773" i="38" s="1"/>
  <c r="A774" i="38" s="1"/>
  <c r="A775" i="38" s="1"/>
  <c r="A776" i="38" s="1"/>
  <c r="A777" i="38" s="1"/>
  <c r="A778" i="38" s="1"/>
  <c r="A779" i="38" s="1"/>
  <c r="A780" i="38" s="1"/>
  <c r="A781" i="38" s="1"/>
  <c r="A782" i="38" s="1"/>
  <c r="A783" i="38" s="1"/>
  <c r="A784" i="38" s="1"/>
  <c r="A785" i="38" s="1"/>
  <c r="A786" i="38" s="1"/>
  <c r="A787" i="38" s="1"/>
  <c r="A788" i="38" s="1"/>
  <c r="A789" i="38" s="1"/>
  <c r="A790" i="38" s="1"/>
  <c r="A791" i="38" s="1"/>
  <c r="A792" i="38" s="1"/>
  <c r="A793" i="38" s="1"/>
  <c r="A794" i="38" s="1"/>
  <c r="A795" i="38" s="1"/>
  <c r="A796" i="38" s="1"/>
  <c r="A797" i="38" s="1"/>
  <c r="A798" i="38" s="1"/>
  <c r="A799" i="38" s="1"/>
  <c r="A800" i="38" s="1"/>
  <c r="A801" i="38" s="1"/>
  <c r="A802" i="38" s="1"/>
  <c r="A803" i="38" s="1"/>
  <c r="A804" i="38" s="1"/>
  <c r="A805" i="38" s="1"/>
  <c r="A806" i="38" s="1"/>
  <c r="A807" i="38" s="1"/>
  <c r="A808" i="38" s="1"/>
  <c r="A809" i="38" s="1"/>
  <c r="A810" i="38" s="1"/>
  <c r="A811" i="38" s="1"/>
  <c r="A812" i="38" s="1"/>
  <c r="A813" i="38" s="1"/>
  <c r="A814" i="38" s="1"/>
  <c r="A815" i="38" s="1"/>
  <c r="A816" i="38" s="1"/>
  <c r="A817" i="38" s="1"/>
  <c r="A818" i="38" s="1"/>
  <c r="A819" i="38" s="1"/>
  <c r="A820" i="38" s="1"/>
  <c r="A821" i="38" s="1"/>
  <c r="A822" i="38" s="1"/>
  <c r="A823" i="38" s="1"/>
  <c r="A824" i="38" s="1"/>
  <c r="A825" i="38" s="1"/>
  <c r="A826" i="38" s="1"/>
  <c r="A827" i="38" s="1"/>
  <c r="A828" i="38" s="1"/>
  <c r="A829" i="38" s="1"/>
  <c r="A830" i="38" s="1"/>
  <c r="A831" i="38" s="1"/>
  <c r="A832" i="38" s="1"/>
  <c r="A833" i="38" s="1"/>
  <c r="A834" i="38" s="1"/>
  <c r="A835" i="38" s="1"/>
  <c r="A836" i="38" s="1"/>
  <c r="A837" i="38" s="1"/>
  <c r="A838" i="38" s="1"/>
  <c r="A839" i="38" s="1"/>
  <c r="A840" i="38" s="1"/>
  <c r="A841" i="38" s="1"/>
  <c r="A842" i="38" s="1"/>
  <c r="A843" i="38" s="1"/>
  <c r="A844" i="38" s="1"/>
  <c r="A845" i="38" s="1"/>
  <c r="A846" i="38" s="1"/>
  <c r="A847" i="38" s="1"/>
  <c r="A848" i="38" s="1"/>
  <c r="A849" i="38" s="1"/>
  <c r="A850" i="38" s="1"/>
  <c r="A851" i="38" s="1"/>
  <c r="A852" i="38" s="1"/>
  <c r="A853" i="38" s="1"/>
  <c r="A854" i="38" s="1"/>
  <c r="A855" i="38" s="1"/>
  <c r="A856" i="38" s="1"/>
  <c r="A857" i="38" s="1"/>
  <c r="A858" i="38" s="1"/>
  <c r="A859" i="38" s="1"/>
  <c r="A860" i="38" s="1"/>
  <c r="A861" i="38" s="1"/>
  <c r="A862" i="38" s="1"/>
  <c r="A863" i="38" s="1"/>
  <c r="A864" i="38" s="1"/>
  <c r="A865" i="38" s="1"/>
  <c r="A866" i="38" s="1"/>
  <c r="A867" i="38" s="1"/>
  <c r="A868" i="38" s="1"/>
  <c r="A869" i="38" s="1"/>
  <c r="A870" i="38" s="1"/>
  <c r="A871" i="38" s="1"/>
  <c r="A872" i="38" s="1"/>
  <c r="A873" i="38" s="1"/>
  <c r="A874" i="38" s="1"/>
  <c r="A875" i="38" s="1"/>
  <c r="A876" i="38" s="1"/>
  <c r="A877" i="38" s="1"/>
  <c r="A878" i="38" s="1"/>
  <c r="A879" i="38" s="1"/>
  <c r="A880" i="38" s="1"/>
  <c r="A881" i="38" s="1"/>
  <c r="A882" i="38" s="1"/>
  <c r="A883" i="38" s="1"/>
  <c r="A884" i="38" s="1"/>
  <c r="A885" i="38" s="1"/>
  <c r="A886" i="38" s="1"/>
  <c r="A887" i="38" s="1"/>
  <c r="A888" i="38" s="1"/>
  <c r="A889" i="38" s="1"/>
  <c r="A890" i="38" s="1"/>
  <c r="A891" i="38" s="1"/>
  <c r="A892" i="38" s="1"/>
  <c r="A893" i="38" s="1"/>
  <c r="A894" i="38" s="1"/>
  <c r="A895" i="38" s="1"/>
  <c r="A896" i="38" s="1"/>
  <c r="A897" i="38" s="1"/>
  <c r="A898" i="38" s="1"/>
  <c r="A899" i="38" s="1"/>
  <c r="A900" i="38" s="1"/>
  <c r="A901" i="38" s="1"/>
  <c r="A902" i="38" s="1"/>
  <c r="A903" i="38" s="1"/>
  <c r="A904" i="38" s="1"/>
  <c r="A905" i="38" s="1"/>
  <c r="A906" i="38" s="1"/>
  <c r="A907" i="38" s="1"/>
  <c r="A908" i="38" s="1"/>
  <c r="A909" i="38" s="1"/>
  <c r="A910" i="38" s="1"/>
  <c r="A911" i="38" s="1"/>
  <c r="A912" i="38" s="1"/>
  <c r="A913" i="38" s="1"/>
  <c r="A914" i="38" s="1"/>
  <c r="A915" i="38" s="1"/>
  <c r="A916" i="38" s="1"/>
  <c r="A917" i="38" s="1"/>
  <c r="A918" i="38" s="1"/>
  <c r="A919" i="38" s="1"/>
  <c r="A920" i="38" s="1"/>
  <c r="A921" i="38" s="1"/>
  <c r="A922" i="38" s="1"/>
  <c r="A923" i="38" s="1"/>
  <c r="A924" i="38" s="1"/>
  <c r="A925" i="38" s="1"/>
  <c r="A926" i="38" s="1"/>
  <c r="A927" i="38" s="1"/>
  <c r="A928" i="38" s="1"/>
  <c r="A929" i="38" s="1"/>
  <c r="A930" i="38" s="1"/>
  <c r="A931" i="38" s="1"/>
  <c r="A932" i="38" s="1"/>
  <c r="A933" i="38" s="1"/>
  <c r="A934" i="38" s="1"/>
  <c r="A935" i="38" s="1"/>
  <c r="A936" i="38" s="1"/>
  <c r="A937" i="38" s="1"/>
  <c r="A938" i="38" s="1"/>
  <c r="A939" i="38" s="1"/>
  <c r="A940" i="38" s="1"/>
  <c r="A941" i="38" s="1"/>
  <c r="A942" i="38" s="1"/>
  <c r="A943" i="38" s="1"/>
  <c r="A944" i="38" s="1"/>
  <c r="A945" i="38" s="1"/>
  <c r="A946" i="38" s="1"/>
  <c r="A947" i="38" s="1"/>
  <c r="A948" i="38" s="1"/>
  <c r="A949" i="38" s="1"/>
  <c r="A950" i="38" s="1"/>
  <c r="A951" i="38" s="1"/>
  <c r="A952" i="38" s="1"/>
  <c r="A953" i="38" s="1"/>
  <c r="A954" i="38" s="1"/>
  <c r="A955" i="38" s="1"/>
  <c r="A956" i="38" s="1"/>
  <c r="A957" i="38" s="1"/>
  <c r="A958" i="38" s="1"/>
  <c r="A959" i="38" s="1"/>
  <c r="A960" i="38" s="1"/>
  <c r="A961" i="38" s="1"/>
  <c r="A962" i="38" s="1"/>
  <c r="A963" i="38" s="1"/>
  <c r="A964" i="38" s="1"/>
  <c r="A965" i="38" s="1"/>
  <c r="A966" i="38" s="1"/>
  <c r="A967" i="38" s="1"/>
  <c r="A968" i="38" s="1"/>
  <c r="A969" i="38" s="1"/>
  <c r="A970" i="38" s="1"/>
  <c r="A971" i="38" s="1"/>
  <c r="A972" i="38" s="1"/>
  <c r="A973" i="38" s="1"/>
  <c r="A974" i="38" s="1"/>
  <c r="A975" i="38" s="1"/>
  <c r="A976" i="38" s="1"/>
  <c r="AL806" i="38"/>
  <c r="Q806" i="38"/>
  <c r="P806" i="38"/>
  <c r="AE806" i="38"/>
  <c r="M806" i="38" l="1"/>
  <c r="AL791" i="38" l="1"/>
  <c r="Q791" i="38"/>
  <c r="P791" i="38"/>
  <c r="M791" i="38"/>
  <c r="AL772" i="38"/>
  <c r="Q772" i="38"/>
  <c r="P772" i="38"/>
  <c r="AL753" i="38"/>
  <c r="Q753" i="38"/>
  <c r="P753" i="38"/>
  <c r="AL734" i="38"/>
  <c r="Q734" i="38"/>
  <c r="P734" i="38"/>
  <c r="AL715" i="38"/>
  <c r="Q715" i="38"/>
  <c r="P715" i="38"/>
  <c r="AL696" i="38"/>
  <c r="Q696" i="38"/>
  <c r="P696" i="38"/>
  <c r="AL677" i="38"/>
  <c r="Q677" i="38"/>
  <c r="P677" i="38"/>
  <c r="D35" i="42"/>
  <c r="B35" i="42" s="1"/>
  <c r="C35" i="42"/>
  <c r="A35" i="42" s="1"/>
  <c r="V29" i="42"/>
  <c r="U29" i="42"/>
  <c r="S29" i="42"/>
  <c r="R29" i="42"/>
  <c r="P29" i="42"/>
  <c r="O29" i="42"/>
  <c r="M29" i="42"/>
  <c r="L29" i="42"/>
  <c r="J29" i="42"/>
  <c r="I29" i="42"/>
  <c r="G29" i="42"/>
  <c r="F29" i="42"/>
  <c r="D29" i="42"/>
  <c r="C29" i="42"/>
  <c r="A29" i="42" s="1"/>
  <c r="V16" i="42"/>
  <c r="U16" i="42"/>
  <c r="S16" i="42"/>
  <c r="R16" i="42"/>
  <c r="P16" i="42"/>
  <c r="O16" i="42"/>
  <c r="M16" i="42"/>
  <c r="L16" i="42"/>
  <c r="J16" i="42"/>
  <c r="I16" i="42"/>
  <c r="G16" i="42"/>
  <c r="F16" i="42"/>
  <c r="D16" i="42"/>
  <c r="C16" i="42"/>
  <c r="U1" i="42"/>
  <c r="AE734" i="38"/>
  <c r="AE715" i="38"/>
  <c r="AE753" i="38"/>
  <c r="AE696" i="38"/>
  <c r="AE677" i="38"/>
  <c r="AE791" i="38"/>
  <c r="AE772" i="38"/>
  <c r="A16" i="42" l="1"/>
  <c r="B29" i="42"/>
  <c r="B16" i="42"/>
  <c r="M772" i="38"/>
  <c r="M753" i="38"/>
  <c r="M734" i="38"/>
  <c r="M715" i="38"/>
  <c r="M696" i="38"/>
  <c r="M677" i="38"/>
  <c r="AL893" i="38"/>
  <c r="Q893" i="38"/>
  <c r="P893" i="38"/>
  <c r="AL892" i="38"/>
  <c r="Q892" i="38"/>
  <c r="P892" i="38"/>
  <c r="AL891" i="38"/>
  <c r="Q891" i="38"/>
  <c r="P891" i="38"/>
  <c r="AL890" i="38"/>
  <c r="Q890" i="38"/>
  <c r="P890" i="38"/>
  <c r="AL889" i="38"/>
  <c r="Q889" i="38"/>
  <c r="P889" i="38"/>
  <c r="AL888" i="38"/>
  <c r="Q888" i="38"/>
  <c r="P888" i="38"/>
  <c r="AL887" i="38"/>
  <c r="Q887" i="38"/>
  <c r="P887" i="38"/>
  <c r="AL886" i="38"/>
  <c r="Q886" i="38"/>
  <c r="P886" i="38"/>
  <c r="AL885" i="38"/>
  <c r="Q885" i="38"/>
  <c r="P885" i="38"/>
  <c r="AL884" i="38"/>
  <c r="Q884" i="38"/>
  <c r="P884" i="38"/>
  <c r="AL883" i="38"/>
  <c r="Q883" i="38"/>
  <c r="P883" i="38"/>
  <c r="AL882" i="38"/>
  <c r="Q882" i="38"/>
  <c r="P882" i="38"/>
  <c r="AL881" i="38"/>
  <c r="Q881" i="38"/>
  <c r="P881" i="38"/>
  <c r="AL880" i="38"/>
  <c r="Q880" i="38"/>
  <c r="P880" i="38"/>
  <c r="AL879" i="38"/>
  <c r="Q879" i="38"/>
  <c r="P879" i="38"/>
  <c r="AL878" i="38"/>
  <c r="Q878" i="38"/>
  <c r="P878" i="38"/>
  <c r="AL877" i="38"/>
  <c r="Q877" i="38"/>
  <c r="P877" i="38"/>
  <c r="AL876" i="38"/>
  <c r="Q876" i="38"/>
  <c r="P876" i="38"/>
  <c r="AL875" i="38"/>
  <c r="Q875" i="38"/>
  <c r="P875" i="38"/>
  <c r="AL874" i="38"/>
  <c r="Q874" i="38"/>
  <c r="P874" i="38"/>
  <c r="AL873" i="38"/>
  <c r="Q873" i="38"/>
  <c r="P873" i="38"/>
  <c r="AL872" i="38"/>
  <c r="Q872" i="38"/>
  <c r="P872" i="38"/>
  <c r="AL871" i="38"/>
  <c r="Q871" i="38"/>
  <c r="P871" i="38"/>
  <c r="AL870" i="38"/>
  <c r="Q870" i="38"/>
  <c r="P870" i="38"/>
  <c r="AL869" i="38"/>
  <c r="Q869" i="38"/>
  <c r="P869" i="38"/>
  <c r="AL868" i="38"/>
  <c r="Q868" i="38"/>
  <c r="P868" i="38"/>
  <c r="AL867" i="38"/>
  <c r="Q867" i="38"/>
  <c r="P867" i="38"/>
  <c r="AL866" i="38"/>
  <c r="Q866" i="38"/>
  <c r="P866" i="38"/>
  <c r="AL865" i="38"/>
  <c r="Q865" i="38"/>
  <c r="P865" i="38"/>
  <c r="AL864" i="38"/>
  <c r="Q864" i="38"/>
  <c r="P864" i="38"/>
  <c r="AL863" i="38"/>
  <c r="Q863" i="38"/>
  <c r="P863" i="38"/>
  <c r="AL862" i="38"/>
  <c r="Q862" i="38"/>
  <c r="P862" i="38"/>
  <c r="AL861" i="38"/>
  <c r="Q861" i="38"/>
  <c r="P861" i="38"/>
  <c r="AL860" i="38"/>
  <c r="Q860" i="38"/>
  <c r="P860" i="38"/>
  <c r="AL859" i="38"/>
  <c r="Q859" i="38"/>
  <c r="P859" i="38"/>
  <c r="AL858" i="38"/>
  <c r="Q858" i="38"/>
  <c r="P858" i="38"/>
  <c r="AL857" i="38"/>
  <c r="Q857" i="38"/>
  <c r="P857" i="38"/>
  <c r="AL856" i="38"/>
  <c r="Q856" i="38"/>
  <c r="P856" i="38"/>
  <c r="AL855" i="38"/>
  <c r="Q855" i="38"/>
  <c r="P855" i="38"/>
  <c r="AL854" i="38"/>
  <c r="Q854" i="38"/>
  <c r="P854" i="38"/>
  <c r="AL853" i="38"/>
  <c r="Q853" i="38"/>
  <c r="P853" i="38"/>
  <c r="AL852" i="38"/>
  <c r="Q852" i="38"/>
  <c r="P852" i="38"/>
  <c r="AL851" i="38"/>
  <c r="Q851" i="38"/>
  <c r="P851" i="38"/>
  <c r="AL850" i="38"/>
  <c r="Q850" i="38"/>
  <c r="P850" i="38"/>
  <c r="AL849" i="38"/>
  <c r="Q849" i="38"/>
  <c r="P849" i="38"/>
  <c r="AL848" i="38"/>
  <c r="Q848" i="38"/>
  <c r="P848" i="38"/>
  <c r="AL847" i="38"/>
  <c r="Q847" i="38"/>
  <c r="P847" i="38"/>
  <c r="AL846" i="38"/>
  <c r="Q846" i="38"/>
  <c r="P846" i="38"/>
  <c r="AL845" i="38"/>
  <c r="Q845" i="38"/>
  <c r="P845" i="38"/>
  <c r="AL844" i="38"/>
  <c r="Q844" i="38"/>
  <c r="P844" i="38"/>
  <c r="AL843" i="38"/>
  <c r="Q843" i="38"/>
  <c r="P843" i="38"/>
  <c r="AL842" i="38"/>
  <c r="Q842" i="38"/>
  <c r="P842" i="38"/>
  <c r="AL841" i="38"/>
  <c r="Q841" i="38"/>
  <c r="P841" i="38"/>
  <c r="AL840" i="38"/>
  <c r="Q840" i="38"/>
  <c r="P840" i="38"/>
  <c r="AL839" i="38"/>
  <c r="Q839" i="38"/>
  <c r="P839" i="38"/>
  <c r="AL838" i="38"/>
  <c r="Q838" i="38"/>
  <c r="P838" i="38"/>
  <c r="AL837" i="38"/>
  <c r="Q837" i="38"/>
  <c r="P837" i="38"/>
  <c r="AL836" i="38"/>
  <c r="Q836" i="38"/>
  <c r="P836" i="38"/>
  <c r="AL835" i="38"/>
  <c r="Q835" i="38"/>
  <c r="P835" i="38"/>
  <c r="AL834" i="38"/>
  <c r="Q834" i="38"/>
  <c r="P834" i="38"/>
  <c r="AL833" i="38"/>
  <c r="Q833" i="38"/>
  <c r="P833" i="38"/>
  <c r="AL832" i="38"/>
  <c r="Q832" i="38"/>
  <c r="P832" i="38"/>
  <c r="AL831" i="38"/>
  <c r="Q831" i="38"/>
  <c r="P831" i="38"/>
  <c r="AL830" i="38"/>
  <c r="Q830" i="38"/>
  <c r="P830" i="38"/>
  <c r="AL829" i="38"/>
  <c r="Q829" i="38"/>
  <c r="P829" i="38"/>
  <c r="AL828" i="38"/>
  <c r="Q828" i="38"/>
  <c r="P828" i="38"/>
  <c r="AL827" i="38"/>
  <c r="Q827" i="38"/>
  <c r="P827" i="38"/>
  <c r="AL826" i="38"/>
  <c r="Q826" i="38"/>
  <c r="P826" i="38"/>
  <c r="AL825" i="38"/>
  <c r="Q825" i="38"/>
  <c r="P825" i="38"/>
  <c r="AL824" i="38"/>
  <c r="Q824" i="38"/>
  <c r="P824" i="38"/>
  <c r="AL823" i="38"/>
  <c r="Q823" i="38"/>
  <c r="P823" i="38"/>
  <c r="AL822" i="38"/>
  <c r="Q822" i="38"/>
  <c r="P822" i="38"/>
  <c r="AL821" i="38"/>
  <c r="Q821" i="38"/>
  <c r="P821" i="38"/>
  <c r="AL820" i="38"/>
  <c r="Q820" i="38"/>
  <c r="P820" i="38"/>
  <c r="AL819" i="38"/>
  <c r="Q819" i="38"/>
  <c r="P819" i="38"/>
  <c r="AL818" i="38"/>
  <c r="Q818" i="38"/>
  <c r="P818" i="38"/>
  <c r="AL817" i="38"/>
  <c r="Q817" i="38"/>
  <c r="P817" i="38"/>
  <c r="AL816" i="38"/>
  <c r="Q816" i="38"/>
  <c r="P816" i="38"/>
  <c r="AL815" i="38"/>
  <c r="Q815" i="38"/>
  <c r="P815" i="38"/>
  <c r="AL814" i="38"/>
  <c r="Q814" i="38"/>
  <c r="P814" i="38"/>
  <c r="AL813" i="38"/>
  <c r="Q813" i="38"/>
  <c r="P813" i="38"/>
  <c r="AL812" i="38"/>
  <c r="Q812" i="38"/>
  <c r="P812" i="38"/>
  <c r="AL811" i="38"/>
  <c r="Q811" i="38"/>
  <c r="P811" i="38"/>
  <c r="AL810" i="38"/>
  <c r="Q810" i="38"/>
  <c r="P810" i="38"/>
  <c r="AL809" i="38"/>
  <c r="Q809" i="38"/>
  <c r="P809" i="38"/>
  <c r="AL808" i="38"/>
  <c r="Q808" i="38"/>
  <c r="P808" i="38"/>
  <c r="AL807" i="38"/>
  <c r="Q807" i="38"/>
  <c r="P807" i="38"/>
  <c r="AL805" i="38"/>
  <c r="Q805" i="38"/>
  <c r="P805" i="38"/>
  <c r="AL804" i="38"/>
  <c r="Q804" i="38"/>
  <c r="P804" i="38"/>
  <c r="AL803" i="38"/>
  <c r="Q803" i="38"/>
  <c r="P803" i="38"/>
  <c r="AL802" i="38"/>
  <c r="Q802" i="38"/>
  <c r="P802" i="38"/>
  <c r="AL801" i="38"/>
  <c r="Q801" i="38"/>
  <c r="P801" i="38"/>
  <c r="AL800" i="38"/>
  <c r="Q800" i="38"/>
  <c r="P800" i="38"/>
  <c r="AL799" i="38"/>
  <c r="Q799" i="38"/>
  <c r="P799" i="38"/>
  <c r="AL798" i="38"/>
  <c r="Q798" i="38"/>
  <c r="P798" i="38"/>
  <c r="AL797" i="38"/>
  <c r="Q797" i="38"/>
  <c r="P797" i="38"/>
  <c r="AL796" i="38"/>
  <c r="Q796" i="38"/>
  <c r="P796" i="38"/>
  <c r="AL795" i="38"/>
  <c r="Q795" i="38"/>
  <c r="P795" i="38"/>
  <c r="AL794" i="38"/>
  <c r="Q794" i="38"/>
  <c r="P794" i="38"/>
  <c r="AL793" i="38"/>
  <c r="Q793" i="38"/>
  <c r="P793" i="38"/>
  <c r="AL792" i="38"/>
  <c r="Q792" i="38"/>
  <c r="P792" i="38"/>
  <c r="AL790" i="38"/>
  <c r="Q790" i="38"/>
  <c r="P790" i="38"/>
  <c r="AL789" i="38"/>
  <c r="Q789" i="38"/>
  <c r="P789" i="38"/>
  <c r="AL788" i="38"/>
  <c r="Q788" i="38"/>
  <c r="P788" i="38"/>
  <c r="AL787" i="38"/>
  <c r="Q787" i="38"/>
  <c r="P787" i="38"/>
  <c r="AL786" i="38"/>
  <c r="Q786" i="38"/>
  <c r="P786" i="38"/>
  <c r="AL785" i="38"/>
  <c r="Q785" i="38"/>
  <c r="P785" i="38"/>
  <c r="AL784" i="38"/>
  <c r="Q784" i="38"/>
  <c r="P784" i="38"/>
  <c r="AL783" i="38"/>
  <c r="Q783" i="38"/>
  <c r="P783" i="38"/>
  <c r="AL782" i="38"/>
  <c r="Q782" i="38"/>
  <c r="P782" i="38"/>
  <c r="AL781" i="38"/>
  <c r="Q781" i="38"/>
  <c r="P781" i="38"/>
  <c r="AL780" i="38"/>
  <c r="Q780" i="38"/>
  <c r="P780" i="38"/>
  <c r="AL779" i="38"/>
  <c r="Q779" i="38"/>
  <c r="P779" i="38"/>
  <c r="AL778" i="38"/>
  <c r="Q778" i="38"/>
  <c r="P778" i="38"/>
  <c r="AL777" i="38"/>
  <c r="Q777" i="38"/>
  <c r="P777" i="38"/>
  <c r="AL776" i="38"/>
  <c r="Q776" i="38"/>
  <c r="P776" i="38"/>
  <c r="AL775" i="38"/>
  <c r="Q775" i="38"/>
  <c r="P775" i="38"/>
  <c r="AL774" i="38"/>
  <c r="Q774" i="38"/>
  <c r="P774" i="38"/>
  <c r="AL773" i="38"/>
  <c r="Q773" i="38"/>
  <c r="P773" i="38"/>
  <c r="AL771" i="38"/>
  <c r="Q771" i="38"/>
  <c r="P771" i="38"/>
  <c r="AL770" i="38"/>
  <c r="Q770" i="38"/>
  <c r="P770" i="38"/>
  <c r="AL769" i="38"/>
  <c r="Q769" i="38"/>
  <c r="P769" i="38"/>
  <c r="AL768" i="38"/>
  <c r="Q768" i="38"/>
  <c r="P768" i="38"/>
  <c r="AL767" i="38"/>
  <c r="Q767" i="38"/>
  <c r="P767" i="38"/>
  <c r="AL766" i="38"/>
  <c r="Q766" i="38"/>
  <c r="P766" i="38"/>
  <c r="AL765" i="38"/>
  <c r="Q765" i="38"/>
  <c r="P765" i="38"/>
  <c r="AL764" i="38"/>
  <c r="Q764" i="38"/>
  <c r="P764" i="38"/>
  <c r="AL763" i="38"/>
  <c r="Q763" i="38"/>
  <c r="P763" i="38"/>
  <c r="AL762" i="38"/>
  <c r="Q762" i="38"/>
  <c r="P762" i="38"/>
  <c r="AL761" i="38"/>
  <c r="Q761" i="38"/>
  <c r="P761" i="38"/>
  <c r="AL760" i="38"/>
  <c r="Q760" i="38"/>
  <c r="P760" i="38"/>
  <c r="AL759" i="38"/>
  <c r="Q759" i="38"/>
  <c r="P759" i="38"/>
  <c r="AL758" i="38"/>
  <c r="Q758" i="38"/>
  <c r="P758" i="38"/>
  <c r="AL757" i="38"/>
  <c r="Q757" i="38"/>
  <c r="P757" i="38"/>
  <c r="AL756" i="38"/>
  <c r="Q756" i="38"/>
  <c r="P756" i="38"/>
  <c r="AL755" i="38"/>
  <c r="Q755" i="38"/>
  <c r="P755" i="38"/>
  <c r="AL754" i="38"/>
  <c r="Q754" i="38"/>
  <c r="P754" i="38"/>
  <c r="AL752" i="38"/>
  <c r="Q752" i="38"/>
  <c r="P752" i="38"/>
  <c r="AL751" i="38"/>
  <c r="Q751" i="38"/>
  <c r="P751" i="38"/>
  <c r="AL750" i="38"/>
  <c r="Q750" i="38"/>
  <c r="P750" i="38"/>
  <c r="AL749" i="38"/>
  <c r="Q749" i="38"/>
  <c r="P749" i="38"/>
  <c r="AL748" i="38"/>
  <c r="Q748" i="38"/>
  <c r="P748" i="38"/>
  <c r="AL747" i="38"/>
  <c r="Q747" i="38"/>
  <c r="P747" i="38"/>
  <c r="AL746" i="38"/>
  <c r="Q746" i="38"/>
  <c r="P746" i="38"/>
  <c r="AL745" i="38"/>
  <c r="Q745" i="38"/>
  <c r="P745" i="38"/>
  <c r="AL744" i="38"/>
  <c r="Q744" i="38"/>
  <c r="P744" i="38"/>
  <c r="AL743" i="38"/>
  <c r="Q743" i="38"/>
  <c r="P743" i="38"/>
  <c r="AL742" i="38"/>
  <c r="Q742" i="38"/>
  <c r="P742" i="38"/>
  <c r="AL741" i="38"/>
  <c r="Q741" i="38"/>
  <c r="P741" i="38"/>
  <c r="AL740" i="38"/>
  <c r="Q740" i="38"/>
  <c r="P740" i="38"/>
  <c r="AL739" i="38"/>
  <c r="Q739" i="38"/>
  <c r="P739" i="38"/>
  <c r="AL738" i="38"/>
  <c r="Q738" i="38"/>
  <c r="P738" i="38"/>
  <c r="AL737" i="38"/>
  <c r="Q737" i="38"/>
  <c r="P737" i="38"/>
  <c r="AL736" i="38"/>
  <c r="Q736" i="38"/>
  <c r="P736" i="38"/>
  <c r="AL735" i="38"/>
  <c r="Q735" i="38"/>
  <c r="P735" i="38"/>
  <c r="AL733" i="38"/>
  <c r="Q733" i="38"/>
  <c r="P733" i="38"/>
  <c r="AL732" i="38"/>
  <c r="Q732" i="38"/>
  <c r="P732" i="38"/>
  <c r="AL731" i="38"/>
  <c r="Q731" i="38"/>
  <c r="P731" i="38"/>
  <c r="AL730" i="38"/>
  <c r="Q730" i="38"/>
  <c r="P730" i="38"/>
  <c r="AL729" i="38"/>
  <c r="Q729" i="38"/>
  <c r="P729" i="38"/>
  <c r="AL728" i="38"/>
  <c r="Q728" i="38"/>
  <c r="P728" i="38"/>
  <c r="AL727" i="38"/>
  <c r="Q727" i="38"/>
  <c r="P727" i="38"/>
  <c r="AL726" i="38"/>
  <c r="Q726" i="38"/>
  <c r="P726" i="38"/>
  <c r="AL725" i="38"/>
  <c r="Q725" i="38"/>
  <c r="P725" i="38"/>
  <c r="AL724" i="38"/>
  <c r="Q724" i="38"/>
  <c r="P724" i="38"/>
  <c r="AL723" i="38"/>
  <c r="Q723" i="38"/>
  <c r="P723" i="38"/>
  <c r="AL722" i="38"/>
  <c r="Q722" i="38"/>
  <c r="P722" i="38"/>
  <c r="AL721" i="38"/>
  <c r="Q721" i="38"/>
  <c r="P721" i="38"/>
  <c r="AL720" i="38"/>
  <c r="Q720" i="38"/>
  <c r="P720" i="38"/>
  <c r="AL719" i="38"/>
  <c r="Q719" i="38"/>
  <c r="P719" i="38"/>
  <c r="AL718" i="38"/>
  <c r="Q718" i="38"/>
  <c r="P718" i="38"/>
  <c r="AL717" i="38"/>
  <c r="Q717" i="38"/>
  <c r="P717" i="38"/>
  <c r="AL716" i="38"/>
  <c r="Q716" i="38"/>
  <c r="P716" i="38"/>
  <c r="AL714" i="38"/>
  <c r="Q714" i="38"/>
  <c r="P714" i="38"/>
  <c r="AL713" i="38"/>
  <c r="Q713" i="38"/>
  <c r="P713" i="38"/>
  <c r="AL712" i="38"/>
  <c r="Q712" i="38"/>
  <c r="P712" i="38"/>
  <c r="AL711" i="38"/>
  <c r="Q711" i="38"/>
  <c r="P711" i="38"/>
  <c r="AL710" i="38"/>
  <c r="Q710" i="38"/>
  <c r="P710" i="38"/>
  <c r="AL709" i="38"/>
  <c r="Q709" i="38"/>
  <c r="P709" i="38"/>
  <c r="AL708" i="38"/>
  <c r="Q708" i="38"/>
  <c r="P708" i="38"/>
  <c r="AL707" i="38"/>
  <c r="Q707" i="38"/>
  <c r="P707" i="38"/>
  <c r="AL706" i="38"/>
  <c r="Q706" i="38"/>
  <c r="P706" i="38"/>
  <c r="AL705" i="38"/>
  <c r="Q705" i="38"/>
  <c r="P705" i="38"/>
  <c r="AL704" i="38"/>
  <c r="Q704" i="38"/>
  <c r="P704" i="38"/>
  <c r="AL703" i="38"/>
  <c r="Q703" i="38"/>
  <c r="P703" i="38"/>
  <c r="AL702" i="38"/>
  <c r="Q702" i="38"/>
  <c r="P702" i="38"/>
  <c r="AL701" i="38"/>
  <c r="Q701" i="38"/>
  <c r="P701" i="38"/>
  <c r="AL700" i="38"/>
  <c r="Q700" i="38"/>
  <c r="P700" i="38"/>
  <c r="AL699" i="38"/>
  <c r="Q699" i="38"/>
  <c r="P699" i="38"/>
  <c r="AL698" i="38"/>
  <c r="Q698" i="38"/>
  <c r="P698" i="38"/>
  <c r="AL697" i="38"/>
  <c r="Q697" i="38"/>
  <c r="P697" i="38"/>
  <c r="AL695" i="38"/>
  <c r="Q695" i="38"/>
  <c r="P695" i="38"/>
  <c r="AL694" i="38"/>
  <c r="Q694" i="38"/>
  <c r="P694" i="38"/>
  <c r="AL693" i="38"/>
  <c r="Q693" i="38"/>
  <c r="P693" i="38"/>
  <c r="AL692" i="38"/>
  <c r="Q692" i="38"/>
  <c r="P692" i="38"/>
  <c r="AL691" i="38"/>
  <c r="Q691" i="38"/>
  <c r="P691" i="38"/>
  <c r="AL690" i="38"/>
  <c r="Q690" i="38"/>
  <c r="P690" i="38"/>
  <c r="AL689" i="38"/>
  <c r="Q689" i="38"/>
  <c r="P689" i="38"/>
  <c r="AL688" i="38"/>
  <c r="Q688" i="38"/>
  <c r="P688" i="38"/>
  <c r="AL687" i="38"/>
  <c r="Q687" i="38"/>
  <c r="P687" i="38"/>
  <c r="AL686" i="38"/>
  <c r="Q686" i="38"/>
  <c r="P686" i="38"/>
  <c r="AL685" i="38"/>
  <c r="Q685" i="38"/>
  <c r="P685" i="38"/>
  <c r="AL684" i="38"/>
  <c r="Q684" i="38"/>
  <c r="P684" i="38"/>
  <c r="AL683" i="38"/>
  <c r="Q683" i="38"/>
  <c r="P683" i="38"/>
  <c r="AL682" i="38"/>
  <c r="Q682" i="38"/>
  <c r="P682" i="38"/>
  <c r="AL681" i="38"/>
  <c r="Q681" i="38"/>
  <c r="P681" i="38"/>
  <c r="AL680" i="38"/>
  <c r="Q680" i="38"/>
  <c r="P680" i="38"/>
  <c r="AL679" i="38"/>
  <c r="Q679" i="38"/>
  <c r="P679" i="38"/>
  <c r="AL678" i="38"/>
  <c r="Q678" i="38"/>
  <c r="P678" i="38"/>
  <c r="AL676" i="38"/>
  <c r="Q676" i="38"/>
  <c r="P676" i="38"/>
  <c r="AL675" i="38"/>
  <c r="Q675" i="38"/>
  <c r="P675" i="38"/>
  <c r="AL674" i="38"/>
  <c r="Q674" i="38"/>
  <c r="P674" i="38"/>
  <c r="AL673" i="38"/>
  <c r="Q673" i="38"/>
  <c r="P673" i="38"/>
  <c r="AL672" i="38"/>
  <c r="Q672" i="38"/>
  <c r="P672" i="38"/>
  <c r="AL671" i="38"/>
  <c r="Q671" i="38"/>
  <c r="P671" i="38"/>
  <c r="AL670" i="38"/>
  <c r="Q670" i="38"/>
  <c r="P670" i="38"/>
  <c r="AL669" i="38"/>
  <c r="Q669" i="38"/>
  <c r="P669" i="38"/>
  <c r="AL668" i="38"/>
  <c r="Q668" i="38"/>
  <c r="P668" i="38"/>
  <c r="AL667" i="38"/>
  <c r="Q667" i="38"/>
  <c r="P667" i="38"/>
  <c r="AL666" i="38"/>
  <c r="Q666" i="38"/>
  <c r="P666" i="38"/>
  <c r="AL665" i="38"/>
  <c r="Q665" i="38"/>
  <c r="P665" i="38"/>
  <c r="AL664" i="38"/>
  <c r="Q664" i="38"/>
  <c r="P664" i="38"/>
  <c r="AL663" i="38"/>
  <c r="Q663" i="38"/>
  <c r="P663" i="38"/>
  <c r="AL662" i="38"/>
  <c r="Q662" i="38"/>
  <c r="P662" i="38"/>
  <c r="AL661" i="38"/>
  <c r="Q661" i="38"/>
  <c r="P661" i="38"/>
  <c r="AL660" i="38"/>
  <c r="Q660" i="38"/>
  <c r="P660" i="38"/>
  <c r="AL659" i="38"/>
  <c r="Q659" i="38"/>
  <c r="P659" i="38"/>
  <c r="AL658" i="38"/>
  <c r="Q658" i="38"/>
  <c r="P658" i="38"/>
  <c r="AL657" i="38"/>
  <c r="Q657" i="38"/>
  <c r="P657" i="38"/>
  <c r="AL656" i="38"/>
  <c r="Q656" i="38"/>
  <c r="P656" i="38"/>
  <c r="AL655" i="38"/>
  <c r="Q655" i="38"/>
  <c r="P655" i="38"/>
  <c r="AL654" i="38"/>
  <c r="Q654" i="38"/>
  <c r="P654" i="38"/>
  <c r="AL653" i="38"/>
  <c r="Q653" i="38"/>
  <c r="P653" i="38"/>
  <c r="AL652" i="38"/>
  <c r="Q652" i="38"/>
  <c r="P652" i="38"/>
  <c r="AL651" i="38"/>
  <c r="Q651" i="38"/>
  <c r="P651" i="38"/>
  <c r="AL650" i="38"/>
  <c r="Q650" i="38"/>
  <c r="P650" i="38"/>
  <c r="AL649" i="38"/>
  <c r="Q649" i="38"/>
  <c r="P649" i="38"/>
  <c r="AL648" i="38"/>
  <c r="Q648" i="38"/>
  <c r="P648" i="38"/>
  <c r="AL647" i="38"/>
  <c r="Q647" i="38"/>
  <c r="P647" i="38"/>
  <c r="AL646" i="38"/>
  <c r="Q646" i="38"/>
  <c r="P646" i="38"/>
  <c r="AL645" i="38"/>
  <c r="Q645" i="38"/>
  <c r="P645" i="38"/>
  <c r="AL644" i="38"/>
  <c r="Q644" i="38"/>
  <c r="P644" i="38"/>
  <c r="AL643" i="38"/>
  <c r="Q643" i="38"/>
  <c r="P643" i="38"/>
  <c r="AL642" i="38"/>
  <c r="Q642" i="38"/>
  <c r="P642" i="38"/>
  <c r="AL641" i="38"/>
  <c r="Q641" i="38"/>
  <c r="P641" i="38"/>
  <c r="AL640" i="38"/>
  <c r="Q640" i="38"/>
  <c r="P640" i="38"/>
  <c r="AL639" i="38"/>
  <c r="Q639" i="38"/>
  <c r="P639" i="38"/>
  <c r="AL638" i="38"/>
  <c r="Q638" i="38"/>
  <c r="P638" i="38"/>
  <c r="AL637" i="38"/>
  <c r="Q637" i="38"/>
  <c r="P637" i="38"/>
  <c r="AL636" i="38"/>
  <c r="Q636" i="38"/>
  <c r="P636" i="38"/>
  <c r="AL635" i="38"/>
  <c r="Q635" i="38"/>
  <c r="P635" i="38"/>
  <c r="AL634" i="38"/>
  <c r="Q634" i="38"/>
  <c r="P634" i="38"/>
  <c r="AL633" i="38"/>
  <c r="Q633" i="38"/>
  <c r="P633" i="38"/>
  <c r="AL632" i="38"/>
  <c r="Q632" i="38"/>
  <c r="P632" i="38"/>
  <c r="AL631" i="38"/>
  <c r="Q631" i="38"/>
  <c r="P631" i="38"/>
  <c r="AL630" i="38"/>
  <c r="Q630" i="38"/>
  <c r="P630" i="38"/>
  <c r="AL629" i="38"/>
  <c r="Q629" i="38"/>
  <c r="P629" i="38"/>
  <c r="AL628" i="38"/>
  <c r="Q628" i="38"/>
  <c r="P628" i="38"/>
  <c r="AL627" i="38"/>
  <c r="Q627" i="38"/>
  <c r="P627" i="38"/>
  <c r="AL626" i="38"/>
  <c r="Q626" i="38"/>
  <c r="P626" i="38"/>
  <c r="AL625" i="38"/>
  <c r="Q625" i="38"/>
  <c r="P625" i="38"/>
  <c r="AL624" i="38"/>
  <c r="Q624" i="38"/>
  <c r="P624" i="38"/>
  <c r="AL623" i="38"/>
  <c r="Q623" i="38"/>
  <c r="P623" i="38"/>
  <c r="AL622" i="38"/>
  <c r="Q622" i="38"/>
  <c r="P622" i="38"/>
  <c r="AL621" i="38"/>
  <c r="Q621" i="38"/>
  <c r="P621" i="38"/>
  <c r="AL620" i="38"/>
  <c r="Q620" i="38"/>
  <c r="P620" i="38"/>
  <c r="AL619" i="38"/>
  <c r="Q619" i="38"/>
  <c r="P619" i="38"/>
  <c r="AL618" i="38"/>
  <c r="Q618" i="38"/>
  <c r="P618" i="38"/>
  <c r="AL617" i="38"/>
  <c r="Q617" i="38"/>
  <c r="P617" i="38"/>
  <c r="AL616" i="38"/>
  <c r="Q616" i="38"/>
  <c r="P616" i="38"/>
  <c r="AL615" i="38"/>
  <c r="Q615" i="38"/>
  <c r="P615" i="38"/>
  <c r="AL614" i="38"/>
  <c r="Q614" i="38"/>
  <c r="P614" i="38"/>
  <c r="AL613" i="38"/>
  <c r="Q613" i="38"/>
  <c r="P613" i="38"/>
  <c r="AL612" i="38"/>
  <c r="Q612" i="38"/>
  <c r="P612" i="38"/>
  <c r="AL611" i="38"/>
  <c r="Q611" i="38"/>
  <c r="P611" i="38"/>
  <c r="AL610" i="38"/>
  <c r="Q610" i="38"/>
  <c r="P610" i="38"/>
  <c r="AL609" i="38"/>
  <c r="Q609" i="38"/>
  <c r="P609" i="38"/>
  <c r="AL608" i="38"/>
  <c r="Q608" i="38"/>
  <c r="P608" i="38"/>
  <c r="AL607" i="38"/>
  <c r="Q607" i="38"/>
  <c r="P607" i="38"/>
  <c r="AL606" i="38"/>
  <c r="Q606" i="38"/>
  <c r="P606" i="38"/>
  <c r="AL605" i="38"/>
  <c r="Q605" i="38"/>
  <c r="P605" i="38"/>
  <c r="AL604" i="38"/>
  <c r="Q604" i="38"/>
  <c r="P604" i="38"/>
  <c r="AL603" i="38"/>
  <c r="Q603" i="38"/>
  <c r="P603" i="38"/>
  <c r="AL602" i="38"/>
  <c r="Q602" i="38"/>
  <c r="P602" i="38"/>
  <c r="AL601" i="38"/>
  <c r="Q601" i="38"/>
  <c r="P601" i="38"/>
  <c r="AL600" i="38"/>
  <c r="Q600" i="38"/>
  <c r="P600" i="38"/>
  <c r="AL599" i="38"/>
  <c r="Q599" i="38"/>
  <c r="P599" i="38"/>
  <c r="AL598" i="38"/>
  <c r="Q598" i="38"/>
  <c r="P598" i="38"/>
  <c r="AL597" i="38"/>
  <c r="Q597" i="38"/>
  <c r="P597" i="38"/>
  <c r="AL596" i="38"/>
  <c r="Q596" i="38"/>
  <c r="P596" i="38"/>
  <c r="AL595" i="38"/>
  <c r="Q595" i="38"/>
  <c r="P595" i="38"/>
  <c r="AL594" i="38"/>
  <c r="Q594" i="38"/>
  <c r="P594" i="38"/>
  <c r="AL593" i="38"/>
  <c r="Q593" i="38"/>
  <c r="P593" i="38"/>
  <c r="AL592" i="38"/>
  <c r="Q592" i="38"/>
  <c r="P592" i="38"/>
  <c r="AL591" i="38"/>
  <c r="Q591" i="38"/>
  <c r="P591" i="38"/>
  <c r="AL590" i="38"/>
  <c r="Q590" i="38"/>
  <c r="P590" i="38"/>
  <c r="AL589" i="38"/>
  <c r="Q589" i="38"/>
  <c r="P589" i="38"/>
  <c r="AL588" i="38"/>
  <c r="Q588" i="38"/>
  <c r="P588" i="38"/>
  <c r="AL587" i="38"/>
  <c r="Q587" i="38"/>
  <c r="P587" i="38"/>
  <c r="AL586" i="38"/>
  <c r="Q586" i="38"/>
  <c r="P586" i="38"/>
  <c r="AL585" i="38"/>
  <c r="Q585" i="38"/>
  <c r="P585" i="38"/>
  <c r="AL584" i="38"/>
  <c r="Q584" i="38"/>
  <c r="P584" i="38"/>
  <c r="AL583" i="38"/>
  <c r="Q583" i="38"/>
  <c r="P583" i="38"/>
  <c r="AL582" i="38"/>
  <c r="Q582" i="38"/>
  <c r="P582" i="38"/>
  <c r="AL581" i="38"/>
  <c r="Q581" i="38"/>
  <c r="P581" i="38"/>
  <c r="AL580" i="38"/>
  <c r="Q580" i="38"/>
  <c r="P580" i="38"/>
  <c r="AL579" i="38"/>
  <c r="Q579" i="38"/>
  <c r="P579" i="38"/>
  <c r="AL578" i="38"/>
  <c r="Q578" i="38"/>
  <c r="P578" i="38"/>
  <c r="AL577" i="38"/>
  <c r="Q577" i="38"/>
  <c r="P577" i="38"/>
  <c r="AL576" i="38"/>
  <c r="Q576" i="38"/>
  <c r="P576" i="38"/>
  <c r="AL575" i="38"/>
  <c r="Q575" i="38"/>
  <c r="P575" i="38"/>
  <c r="AL574" i="38"/>
  <c r="Q574" i="38"/>
  <c r="P574" i="38"/>
  <c r="AL573" i="38"/>
  <c r="Q573" i="38"/>
  <c r="P573" i="38"/>
  <c r="AL572" i="38"/>
  <c r="Q572" i="38"/>
  <c r="P572" i="38"/>
  <c r="AL571" i="38"/>
  <c r="Q571" i="38"/>
  <c r="P571" i="38"/>
  <c r="AL570" i="38"/>
  <c r="Q570" i="38"/>
  <c r="P570" i="38"/>
  <c r="AL569" i="38"/>
  <c r="Q569" i="38"/>
  <c r="P569" i="38"/>
  <c r="AL568" i="38"/>
  <c r="Q568" i="38"/>
  <c r="P568" i="38"/>
  <c r="AL567" i="38"/>
  <c r="Q567" i="38"/>
  <c r="P567" i="38"/>
  <c r="AL566" i="38"/>
  <c r="Q566" i="38"/>
  <c r="P566" i="38"/>
  <c r="AL565" i="38"/>
  <c r="Q565" i="38"/>
  <c r="P565" i="38"/>
  <c r="AL564" i="38"/>
  <c r="Q564" i="38"/>
  <c r="P564" i="38"/>
  <c r="AL563" i="38"/>
  <c r="Q563" i="38"/>
  <c r="P563" i="38"/>
  <c r="AL562" i="38"/>
  <c r="Q562" i="38"/>
  <c r="P562" i="38"/>
  <c r="AL561" i="38"/>
  <c r="Q561" i="38"/>
  <c r="P561" i="38"/>
  <c r="AL560" i="38"/>
  <c r="Q560" i="38"/>
  <c r="P560" i="38"/>
  <c r="AL559" i="38"/>
  <c r="Q559" i="38"/>
  <c r="P559" i="38"/>
  <c r="AL558" i="38"/>
  <c r="Q558" i="38"/>
  <c r="P558" i="38"/>
  <c r="AL557" i="38"/>
  <c r="Q557" i="38"/>
  <c r="P557" i="38"/>
  <c r="AL556" i="38"/>
  <c r="Q556" i="38"/>
  <c r="P556" i="38"/>
  <c r="AL555" i="38"/>
  <c r="Q555" i="38"/>
  <c r="P555" i="38"/>
  <c r="AL554" i="38"/>
  <c r="Q554" i="38"/>
  <c r="P554" i="38"/>
  <c r="AL553" i="38"/>
  <c r="Q553" i="38"/>
  <c r="P553" i="38"/>
  <c r="AL552" i="38"/>
  <c r="Q552" i="38"/>
  <c r="P552" i="38"/>
  <c r="AL551" i="38"/>
  <c r="Q551" i="38"/>
  <c r="P551" i="38"/>
  <c r="AL550" i="38"/>
  <c r="Q550" i="38"/>
  <c r="P550" i="38"/>
  <c r="AL549" i="38"/>
  <c r="Q549" i="38"/>
  <c r="P549" i="38"/>
  <c r="AL548" i="38"/>
  <c r="Q548" i="38"/>
  <c r="P548" i="38"/>
  <c r="AL547" i="38"/>
  <c r="Q547" i="38"/>
  <c r="P547" i="38"/>
  <c r="AL546" i="38"/>
  <c r="Q546" i="38"/>
  <c r="P546" i="38"/>
  <c r="AL545" i="38"/>
  <c r="Q545" i="38"/>
  <c r="P545" i="38"/>
  <c r="AL544" i="38"/>
  <c r="Q544" i="38"/>
  <c r="P544" i="38"/>
  <c r="AL543" i="38"/>
  <c r="Q543" i="38"/>
  <c r="P543" i="38"/>
  <c r="AL542" i="38"/>
  <c r="Q542" i="38"/>
  <c r="P542" i="38"/>
  <c r="AL541" i="38"/>
  <c r="Q541" i="38"/>
  <c r="P541" i="38"/>
  <c r="AL540" i="38"/>
  <c r="Q540" i="38"/>
  <c r="P540" i="38"/>
  <c r="AL539" i="38"/>
  <c r="Q539" i="38"/>
  <c r="P539" i="38"/>
  <c r="AL538" i="38"/>
  <c r="Q538" i="38"/>
  <c r="P538" i="38"/>
  <c r="AL537" i="38"/>
  <c r="Q537" i="38"/>
  <c r="P537" i="38"/>
  <c r="AL536" i="38"/>
  <c r="Q536" i="38"/>
  <c r="P536" i="38"/>
  <c r="AL535" i="38"/>
  <c r="Q535" i="38"/>
  <c r="P535" i="38"/>
  <c r="AL534" i="38"/>
  <c r="Q534" i="38"/>
  <c r="P534" i="38"/>
  <c r="AL533" i="38"/>
  <c r="Q533" i="38"/>
  <c r="P533" i="38"/>
  <c r="AL532" i="38"/>
  <c r="Q532" i="38"/>
  <c r="P532" i="38"/>
  <c r="AL531" i="38"/>
  <c r="Q531" i="38"/>
  <c r="P531" i="38"/>
  <c r="AL530" i="38"/>
  <c r="Q530" i="38"/>
  <c r="P530" i="38"/>
  <c r="AL529" i="38"/>
  <c r="Q529" i="38"/>
  <c r="P529" i="38"/>
  <c r="AL528" i="38"/>
  <c r="Q528" i="38"/>
  <c r="P528" i="38"/>
  <c r="AL527" i="38"/>
  <c r="Q527" i="38"/>
  <c r="P527" i="38"/>
  <c r="AL526" i="38"/>
  <c r="Q526" i="38"/>
  <c r="P526" i="38"/>
  <c r="AL525" i="38"/>
  <c r="Q525" i="38"/>
  <c r="P525" i="38"/>
  <c r="AL524" i="38"/>
  <c r="Q524" i="38"/>
  <c r="P524" i="38"/>
  <c r="AL523" i="38"/>
  <c r="Q523" i="38"/>
  <c r="P523" i="38"/>
  <c r="AL522" i="38"/>
  <c r="Q522" i="38"/>
  <c r="P522" i="38"/>
  <c r="AL521" i="38"/>
  <c r="Q521" i="38"/>
  <c r="P521" i="38"/>
  <c r="AL520" i="38"/>
  <c r="Q520" i="38"/>
  <c r="P520" i="38"/>
  <c r="AL519" i="38"/>
  <c r="Q519" i="38"/>
  <c r="P519" i="38"/>
  <c r="AL518" i="38"/>
  <c r="Q518" i="38"/>
  <c r="P518" i="38"/>
  <c r="AL517" i="38"/>
  <c r="Q517" i="38"/>
  <c r="P517" i="38"/>
  <c r="AL516" i="38"/>
  <c r="Q516" i="38"/>
  <c r="P516" i="38"/>
  <c r="AL515" i="38"/>
  <c r="Q515" i="38"/>
  <c r="P515" i="38"/>
  <c r="AL514" i="38"/>
  <c r="Q514" i="38"/>
  <c r="P514" i="38"/>
  <c r="AL513" i="38"/>
  <c r="Q513" i="38"/>
  <c r="P513" i="38"/>
  <c r="AL512" i="38"/>
  <c r="Q512" i="38"/>
  <c r="P512" i="38"/>
  <c r="AL389" i="38"/>
  <c r="Q389" i="38"/>
  <c r="P389" i="38"/>
  <c r="AL388" i="38"/>
  <c r="Q388" i="38"/>
  <c r="P388" i="38"/>
  <c r="AL387" i="38"/>
  <c r="Q387" i="38"/>
  <c r="P387" i="38"/>
  <c r="AL386" i="38"/>
  <c r="Q386" i="38"/>
  <c r="P386" i="38"/>
  <c r="AL385" i="38"/>
  <c r="Q385" i="38"/>
  <c r="P385" i="38"/>
  <c r="AL384" i="38"/>
  <c r="Q384" i="38"/>
  <c r="P384" i="38"/>
  <c r="AL383" i="38"/>
  <c r="Q383" i="38"/>
  <c r="P383" i="38"/>
  <c r="AL382" i="38"/>
  <c r="Q382" i="38"/>
  <c r="P382" i="38"/>
  <c r="AL381" i="38"/>
  <c r="Q381" i="38"/>
  <c r="P381" i="38"/>
  <c r="AL380" i="38"/>
  <c r="Q380" i="38"/>
  <c r="P380" i="38"/>
  <c r="AL379" i="38"/>
  <c r="Q379" i="38"/>
  <c r="P379" i="38"/>
  <c r="AL378" i="38"/>
  <c r="Q378" i="38"/>
  <c r="P378" i="38"/>
  <c r="AL377" i="38"/>
  <c r="Q377" i="38"/>
  <c r="P377" i="38"/>
  <c r="AL376" i="38"/>
  <c r="Q376" i="38"/>
  <c r="P376" i="38"/>
  <c r="AL375" i="38"/>
  <c r="Q375" i="38"/>
  <c r="P375" i="38"/>
  <c r="AL374" i="38"/>
  <c r="Q374" i="38"/>
  <c r="P374" i="38"/>
  <c r="AL373" i="38"/>
  <c r="Q373" i="38"/>
  <c r="P373" i="38"/>
  <c r="AL372" i="38"/>
  <c r="Q372" i="38"/>
  <c r="P372" i="38"/>
  <c r="AL371" i="38"/>
  <c r="Q371" i="38"/>
  <c r="P371" i="38"/>
  <c r="AL370" i="38"/>
  <c r="Q370" i="38"/>
  <c r="P370" i="38"/>
  <c r="AL369" i="38"/>
  <c r="Q369" i="38"/>
  <c r="P369" i="38"/>
  <c r="AL368" i="38"/>
  <c r="Q368" i="38"/>
  <c r="P368" i="38"/>
  <c r="AL367" i="38"/>
  <c r="Q367" i="38"/>
  <c r="P367" i="38"/>
  <c r="AL366" i="38"/>
  <c r="Q366" i="38"/>
  <c r="P366" i="38"/>
  <c r="AL365" i="38"/>
  <c r="Q365" i="38"/>
  <c r="P365" i="38"/>
  <c r="AL364" i="38"/>
  <c r="Q364" i="38"/>
  <c r="P364" i="38"/>
  <c r="AL363" i="38"/>
  <c r="Q363" i="38"/>
  <c r="P363" i="38"/>
  <c r="AL362" i="38"/>
  <c r="Q362" i="38"/>
  <c r="P362" i="38"/>
  <c r="AL361" i="38"/>
  <c r="Q361" i="38"/>
  <c r="P361" i="38"/>
  <c r="AL360" i="38"/>
  <c r="Q360" i="38"/>
  <c r="P360" i="38"/>
  <c r="AL359" i="38"/>
  <c r="Q359" i="38"/>
  <c r="P359" i="38"/>
  <c r="AL358" i="38"/>
  <c r="Q358" i="38"/>
  <c r="P358" i="38"/>
  <c r="AL357" i="38"/>
  <c r="Q357" i="38"/>
  <c r="P357" i="38"/>
  <c r="AL356" i="38"/>
  <c r="Q356" i="38"/>
  <c r="P356" i="38"/>
  <c r="AL355" i="38"/>
  <c r="Q355" i="38"/>
  <c r="P355" i="38"/>
  <c r="AL354" i="38"/>
  <c r="Q354" i="38"/>
  <c r="P354" i="38"/>
  <c r="AL353" i="38"/>
  <c r="Q353" i="38"/>
  <c r="P353" i="38"/>
  <c r="AL352" i="38"/>
  <c r="Q352" i="38"/>
  <c r="P352" i="38"/>
  <c r="AL351" i="38"/>
  <c r="Q351" i="38"/>
  <c r="P351" i="38"/>
  <c r="AL350" i="38"/>
  <c r="Q350" i="38"/>
  <c r="P350" i="38"/>
  <c r="AL349" i="38"/>
  <c r="Q349" i="38"/>
  <c r="P349" i="38"/>
  <c r="AL348" i="38"/>
  <c r="Q348" i="38"/>
  <c r="P348" i="38"/>
  <c r="AL347" i="38"/>
  <c r="Q347" i="38"/>
  <c r="P347" i="38"/>
  <c r="AL346" i="38"/>
  <c r="Q346" i="38"/>
  <c r="P346" i="38"/>
  <c r="AL345" i="38"/>
  <c r="Q345" i="38"/>
  <c r="P345" i="38"/>
  <c r="AL344" i="38"/>
  <c r="Q344" i="38"/>
  <c r="P344" i="38"/>
  <c r="AL343" i="38"/>
  <c r="Q343" i="38"/>
  <c r="P343" i="38"/>
  <c r="AL342" i="38"/>
  <c r="Q342" i="38"/>
  <c r="P342" i="38"/>
  <c r="AL341" i="38"/>
  <c r="Q341" i="38"/>
  <c r="P341" i="38"/>
  <c r="AL340" i="38"/>
  <c r="Q340" i="38"/>
  <c r="P340" i="38"/>
  <c r="AL339" i="38"/>
  <c r="Q339" i="38"/>
  <c r="P339" i="38"/>
  <c r="AL338" i="38"/>
  <c r="Q338" i="38"/>
  <c r="P338" i="38"/>
  <c r="AL337" i="38"/>
  <c r="Q337" i="38"/>
  <c r="P337" i="38"/>
  <c r="AL336" i="38"/>
  <c r="Q336" i="38"/>
  <c r="P336" i="38"/>
  <c r="AL335" i="38"/>
  <c r="Q335" i="38"/>
  <c r="P335" i="38"/>
  <c r="AL334" i="38"/>
  <c r="Q334" i="38"/>
  <c r="P334" i="38"/>
  <c r="AL333" i="38"/>
  <c r="Q333" i="38"/>
  <c r="P333" i="38"/>
  <c r="AL332" i="38"/>
  <c r="Q332" i="38"/>
  <c r="P332" i="38"/>
  <c r="AL331" i="38"/>
  <c r="Q331" i="38"/>
  <c r="P331" i="38"/>
  <c r="AL330" i="38"/>
  <c r="Q330" i="38"/>
  <c r="P330" i="38"/>
  <c r="AL329" i="38"/>
  <c r="Q329" i="38"/>
  <c r="P329" i="38"/>
  <c r="AL328" i="38"/>
  <c r="Q328" i="38"/>
  <c r="P328" i="38"/>
  <c r="AL327" i="38"/>
  <c r="Q327" i="38"/>
  <c r="P327" i="38"/>
  <c r="AL326" i="38"/>
  <c r="Q326" i="38"/>
  <c r="P326" i="38"/>
  <c r="AL325" i="38"/>
  <c r="Q325" i="38"/>
  <c r="P325" i="38"/>
  <c r="AL324" i="38"/>
  <c r="Q324" i="38"/>
  <c r="P324" i="38"/>
  <c r="AL323" i="38"/>
  <c r="Q323" i="38"/>
  <c r="P323" i="38"/>
  <c r="AL322" i="38"/>
  <c r="Q322" i="38"/>
  <c r="P322" i="38"/>
  <c r="AL321" i="38"/>
  <c r="Q321" i="38"/>
  <c r="P321" i="38"/>
  <c r="AL320" i="38"/>
  <c r="Q320" i="38"/>
  <c r="P320" i="38"/>
  <c r="AL319" i="38"/>
  <c r="Q319" i="38"/>
  <c r="P319" i="38"/>
  <c r="AL318" i="38"/>
  <c r="Q318" i="38"/>
  <c r="P318" i="38"/>
  <c r="AL317" i="38"/>
  <c r="Q317" i="38"/>
  <c r="P317" i="38"/>
  <c r="AL316" i="38"/>
  <c r="Q316" i="38"/>
  <c r="P316" i="38"/>
  <c r="AL315" i="38"/>
  <c r="Q315" i="38"/>
  <c r="P315" i="38"/>
  <c r="AL314" i="38"/>
  <c r="Q314" i="38"/>
  <c r="P314" i="38"/>
  <c r="AL313" i="38"/>
  <c r="Q313" i="38"/>
  <c r="P313" i="38"/>
  <c r="AL312" i="38"/>
  <c r="Q312" i="38"/>
  <c r="P312" i="38"/>
  <c r="AL311" i="38"/>
  <c r="Q311" i="38"/>
  <c r="P311" i="38"/>
  <c r="AL310" i="38"/>
  <c r="Q310" i="38"/>
  <c r="P310" i="38"/>
  <c r="AL309" i="38"/>
  <c r="Q309" i="38"/>
  <c r="P309" i="38"/>
  <c r="AL308" i="38"/>
  <c r="Q308" i="38"/>
  <c r="P308" i="38"/>
  <c r="AL307" i="38"/>
  <c r="Q307" i="38"/>
  <c r="P307" i="38"/>
  <c r="AL306" i="38"/>
  <c r="Q306" i="38"/>
  <c r="P306" i="38"/>
  <c r="AL305" i="38"/>
  <c r="Q305" i="38"/>
  <c r="P305" i="38"/>
  <c r="AL304" i="38"/>
  <c r="Q304" i="38"/>
  <c r="P304" i="38"/>
  <c r="AL303" i="38"/>
  <c r="Q303" i="38"/>
  <c r="P303" i="38"/>
  <c r="AL302" i="38"/>
  <c r="Q302" i="38"/>
  <c r="P302" i="38"/>
  <c r="AL301" i="38"/>
  <c r="Q301" i="38"/>
  <c r="P301" i="38"/>
  <c r="AL300" i="38"/>
  <c r="Q300" i="38"/>
  <c r="P300" i="38"/>
  <c r="AL299" i="38"/>
  <c r="Q299" i="38"/>
  <c r="P299" i="38"/>
  <c r="AL298" i="38"/>
  <c r="Q298" i="38"/>
  <c r="P298" i="38"/>
  <c r="AL297" i="38"/>
  <c r="Q297" i="38"/>
  <c r="P297" i="38"/>
  <c r="AL296" i="38"/>
  <c r="Q296" i="38"/>
  <c r="P296" i="38"/>
  <c r="AL295" i="38"/>
  <c r="Q295" i="38"/>
  <c r="P295" i="38"/>
  <c r="AL294" i="38"/>
  <c r="Q294" i="38"/>
  <c r="P294" i="38"/>
  <c r="AL293" i="38"/>
  <c r="Q293" i="38"/>
  <c r="P293" i="38"/>
  <c r="AL292" i="38"/>
  <c r="Q292" i="38"/>
  <c r="P292" i="38"/>
  <c r="AL291" i="38"/>
  <c r="Q291" i="38"/>
  <c r="P291" i="38"/>
  <c r="AL290" i="38"/>
  <c r="Q290" i="38"/>
  <c r="P290" i="38"/>
  <c r="AL289" i="38"/>
  <c r="Q289" i="38"/>
  <c r="P289" i="38"/>
  <c r="AL288" i="38"/>
  <c r="Q288" i="38"/>
  <c r="P288" i="38"/>
  <c r="AL287" i="38"/>
  <c r="Q287" i="38"/>
  <c r="P287" i="38"/>
  <c r="AL286" i="38"/>
  <c r="Q286" i="38"/>
  <c r="P286" i="38"/>
  <c r="AL285" i="38"/>
  <c r="Q285" i="38"/>
  <c r="P285" i="38"/>
  <c r="AL284" i="38"/>
  <c r="Q284" i="38"/>
  <c r="P284" i="38"/>
  <c r="AL283" i="38"/>
  <c r="Q283" i="38"/>
  <c r="P283" i="38"/>
  <c r="AL282" i="38"/>
  <c r="Q282" i="38"/>
  <c r="P282" i="38"/>
  <c r="AL281" i="38"/>
  <c r="Q281" i="38"/>
  <c r="P281" i="38"/>
  <c r="AL280" i="38"/>
  <c r="Q280" i="38"/>
  <c r="P280" i="38"/>
  <c r="AL279" i="38"/>
  <c r="Q279" i="38"/>
  <c r="P279" i="38"/>
  <c r="AL278" i="38"/>
  <c r="Q278" i="38"/>
  <c r="P278" i="38"/>
  <c r="AL277" i="38"/>
  <c r="Q277" i="38"/>
  <c r="P277" i="38"/>
  <c r="AL276" i="38"/>
  <c r="Q276" i="38"/>
  <c r="P276" i="38"/>
  <c r="AL275" i="38"/>
  <c r="Q275" i="38"/>
  <c r="P275" i="38"/>
  <c r="AL274" i="38"/>
  <c r="Q274" i="38"/>
  <c r="P274" i="38"/>
  <c r="AL273" i="38"/>
  <c r="Q273" i="38"/>
  <c r="P273" i="38"/>
  <c r="AL272" i="38"/>
  <c r="Q272" i="38"/>
  <c r="P272" i="38"/>
  <c r="AL271" i="38"/>
  <c r="Q271" i="38"/>
  <c r="P271" i="38"/>
  <c r="AL270" i="38"/>
  <c r="Q270" i="38"/>
  <c r="P270" i="38"/>
  <c r="AL269" i="38"/>
  <c r="Q269" i="38"/>
  <c r="P269" i="38"/>
  <c r="AL268" i="38"/>
  <c r="Q268" i="38"/>
  <c r="P268" i="38"/>
  <c r="AL267" i="38"/>
  <c r="Q267" i="38"/>
  <c r="P267" i="38"/>
  <c r="AL266" i="38"/>
  <c r="Q266" i="38"/>
  <c r="P266" i="38"/>
  <c r="AL265" i="38"/>
  <c r="Q265" i="38"/>
  <c r="P265" i="38"/>
  <c r="AL264" i="38"/>
  <c r="Q264" i="38"/>
  <c r="P264" i="38"/>
  <c r="AL263" i="38"/>
  <c r="Q263" i="38"/>
  <c r="P263" i="38"/>
  <c r="AL262" i="38"/>
  <c r="Q262" i="38"/>
  <c r="P262" i="38"/>
  <c r="AL261" i="38"/>
  <c r="Q261" i="38"/>
  <c r="P261" i="38"/>
  <c r="AL260" i="38"/>
  <c r="Q260" i="38"/>
  <c r="P260" i="38"/>
  <c r="AL259" i="38"/>
  <c r="Q259" i="38"/>
  <c r="P259" i="38"/>
  <c r="AL258" i="38"/>
  <c r="Q258" i="38"/>
  <c r="P258" i="38"/>
  <c r="AL257" i="38"/>
  <c r="Q257" i="38"/>
  <c r="P257" i="38"/>
  <c r="AL256" i="38"/>
  <c r="Q256" i="38"/>
  <c r="P256" i="38"/>
  <c r="AL255" i="38"/>
  <c r="Q255" i="38"/>
  <c r="P255" i="38"/>
  <c r="AL254" i="38"/>
  <c r="Q254" i="38"/>
  <c r="P254" i="38"/>
  <c r="AL253" i="38"/>
  <c r="Q253" i="38"/>
  <c r="P253" i="38"/>
  <c r="AL252" i="38"/>
  <c r="Q252" i="38"/>
  <c r="P252" i="38"/>
  <c r="AL251" i="38"/>
  <c r="Q251" i="38"/>
  <c r="P251" i="38"/>
  <c r="AL250" i="38"/>
  <c r="Q250" i="38"/>
  <c r="P250" i="38"/>
  <c r="AL249" i="38"/>
  <c r="Q249" i="38"/>
  <c r="P249" i="38"/>
  <c r="AL248" i="38"/>
  <c r="Q248" i="38"/>
  <c r="P248" i="38"/>
  <c r="AL247" i="38"/>
  <c r="Q247" i="38"/>
  <c r="P247" i="38"/>
  <c r="AL246" i="38"/>
  <c r="Q246" i="38"/>
  <c r="P246" i="38"/>
  <c r="AL245" i="38"/>
  <c r="Q245" i="38"/>
  <c r="P245" i="38"/>
  <c r="AL244" i="38"/>
  <c r="Q244" i="38"/>
  <c r="P244" i="38"/>
  <c r="AL243" i="38"/>
  <c r="Q243" i="38"/>
  <c r="P243" i="38"/>
  <c r="AL242" i="38"/>
  <c r="Q242" i="38"/>
  <c r="P242" i="38"/>
  <c r="AL241" i="38"/>
  <c r="Q241" i="38"/>
  <c r="P241" i="38"/>
  <c r="AL240" i="38"/>
  <c r="Q240" i="38"/>
  <c r="P240" i="38"/>
  <c r="AL239" i="38"/>
  <c r="Q239" i="38"/>
  <c r="P239" i="38"/>
  <c r="AL238" i="38"/>
  <c r="Q238" i="38"/>
  <c r="P238" i="38"/>
  <c r="AL237" i="38"/>
  <c r="Q237" i="38"/>
  <c r="P237" i="38"/>
  <c r="AL236" i="38"/>
  <c r="Q236" i="38"/>
  <c r="P236" i="38"/>
  <c r="AL235" i="38"/>
  <c r="Q235" i="38"/>
  <c r="P235" i="38"/>
  <c r="AL234" i="38"/>
  <c r="Q234" i="38"/>
  <c r="P234" i="38"/>
  <c r="AL233" i="38"/>
  <c r="Q233" i="38"/>
  <c r="P233" i="38"/>
  <c r="AL232" i="38"/>
  <c r="Q232" i="38"/>
  <c r="P232" i="38"/>
  <c r="AL231" i="38"/>
  <c r="Q231" i="38"/>
  <c r="P231" i="38"/>
  <c r="AL230" i="38"/>
  <c r="Q230" i="38"/>
  <c r="P230" i="38"/>
  <c r="AL229" i="38"/>
  <c r="Q229" i="38"/>
  <c r="P229" i="38"/>
  <c r="AL228" i="38"/>
  <c r="Q228" i="38"/>
  <c r="P228" i="38"/>
  <c r="AL227" i="38"/>
  <c r="Q227" i="38"/>
  <c r="P227" i="38"/>
  <c r="AL226" i="38"/>
  <c r="Q226" i="38"/>
  <c r="P226" i="38"/>
  <c r="AL225" i="38"/>
  <c r="Q225" i="38"/>
  <c r="P225" i="38"/>
  <c r="AL224" i="38"/>
  <c r="Q224" i="38"/>
  <c r="P224" i="38"/>
  <c r="AL223" i="38"/>
  <c r="Q223" i="38"/>
  <c r="P223" i="38"/>
  <c r="AL222" i="38"/>
  <c r="Q222" i="38"/>
  <c r="P222" i="38"/>
  <c r="AL221" i="38"/>
  <c r="Q221" i="38"/>
  <c r="P221" i="38"/>
  <c r="AL220" i="38"/>
  <c r="Q220" i="38"/>
  <c r="P220" i="38"/>
  <c r="AL219" i="38"/>
  <c r="Q219" i="38"/>
  <c r="P219" i="38"/>
  <c r="AL218" i="38"/>
  <c r="Q218" i="38"/>
  <c r="P218" i="38"/>
  <c r="AL217" i="38"/>
  <c r="Q217" i="38"/>
  <c r="P217" i="38"/>
  <c r="AL216" i="38"/>
  <c r="Q216" i="38"/>
  <c r="P216" i="38"/>
  <c r="AL215" i="38"/>
  <c r="Q215" i="38"/>
  <c r="P215" i="38"/>
  <c r="AL214" i="38"/>
  <c r="Q214" i="38"/>
  <c r="P214" i="38"/>
  <c r="AL213" i="38"/>
  <c r="Q213" i="38"/>
  <c r="P213" i="38"/>
  <c r="AL212" i="38"/>
  <c r="Q212" i="38"/>
  <c r="P212" i="38"/>
  <c r="AL211" i="38"/>
  <c r="Q211" i="38"/>
  <c r="P211" i="38"/>
  <c r="AL210" i="38"/>
  <c r="Q210" i="38"/>
  <c r="P210" i="38"/>
  <c r="AL209" i="38"/>
  <c r="Q209" i="38"/>
  <c r="P209" i="38"/>
  <c r="AL208" i="38"/>
  <c r="Q208" i="38"/>
  <c r="P208" i="38"/>
  <c r="AL207" i="38"/>
  <c r="Q207" i="38"/>
  <c r="P207" i="38"/>
  <c r="AL206" i="38"/>
  <c r="Q206" i="38"/>
  <c r="P206" i="38"/>
  <c r="AL205" i="38"/>
  <c r="Q205" i="38"/>
  <c r="P205" i="38"/>
  <c r="AL204" i="38"/>
  <c r="Q204" i="38"/>
  <c r="P204" i="38"/>
  <c r="AL203" i="38"/>
  <c r="Q203" i="38"/>
  <c r="P203" i="38"/>
  <c r="AL202" i="38"/>
  <c r="Q202" i="38"/>
  <c r="P202" i="38"/>
  <c r="AL201" i="38"/>
  <c r="Q201" i="38"/>
  <c r="P201" i="38"/>
  <c r="AL200" i="38"/>
  <c r="Q200" i="38"/>
  <c r="P200" i="38"/>
  <c r="AL199" i="38"/>
  <c r="Q199" i="38"/>
  <c r="P199" i="38"/>
  <c r="AL198" i="38"/>
  <c r="Q198" i="38"/>
  <c r="P198" i="38"/>
  <c r="AL197" i="38"/>
  <c r="Q197" i="38"/>
  <c r="P197" i="38"/>
  <c r="AL196" i="38"/>
  <c r="Q196" i="38"/>
  <c r="P196" i="38"/>
  <c r="AL195" i="38"/>
  <c r="Q195" i="38"/>
  <c r="P195" i="38"/>
  <c r="AL194" i="38"/>
  <c r="Q194" i="38"/>
  <c r="P194" i="38"/>
  <c r="AL193" i="38"/>
  <c r="Q193" i="38"/>
  <c r="P193" i="38"/>
  <c r="AL192" i="38"/>
  <c r="Q192" i="38"/>
  <c r="P192" i="38"/>
  <c r="AL191" i="38"/>
  <c r="Q191" i="38"/>
  <c r="P191" i="38"/>
  <c r="AL190" i="38"/>
  <c r="Q190" i="38"/>
  <c r="P190" i="38"/>
  <c r="AL189" i="38"/>
  <c r="Q189" i="38"/>
  <c r="P189" i="38"/>
  <c r="AL188" i="38"/>
  <c r="Q188" i="38"/>
  <c r="P188" i="38"/>
  <c r="AL187" i="38"/>
  <c r="Q187" i="38"/>
  <c r="P187" i="38"/>
  <c r="AL186" i="38"/>
  <c r="Q186" i="38"/>
  <c r="P186" i="38"/>
  <c r="AL185" i="38"/>
  <c r="Q185" i="38"/>
  <c r="P185" i="38"/>
  <c r="AL184" i="38"/>
  <c r="Q184" i="38"/>
  <c r="P184" i="38"/>
  <c r="AL183" i="38"/>
  <c r="Q183" i="38"/>
  <c r="P183" i="38"/>
  <c r="AL182" i="38"/>
  <c r="Q182" i="38"/>
  <c r="P182" i="38"/>
  <c r="AL181" i="38"/>
  <c r="Q181" i="38"/>
  <c r="P181" i="38"/>
  <c r="AL180" i="38"/>
  <c r="Q180" i="38"/>
  <c r="P180" i="38"/>
  <c r="AL179" i="38"/>
  <c r="Q179" i="38"/>
  <c r="P179" i="38"/>
  <c r="AL178" i="38"/>
  <c r="Q178" i="38"/>
  <c r="P178" i="38"/>
  <c r="AL177" i="38"/>
  <c r="Q177" i="38"/>
  <c r="P177" i="38"/>
  <c r="AL176" i="38"/>
  <c r="Q176" i="38"/>
  <c r="P176" i="38"/>
  <c r="AL175" i="38"/>
  <c r="Q175" i="38"/>
  <c r="P175" i="38"/>
  <c r="AL174" i="38"/>
  <c r="Q174" i="38"/>
  <c r="P174" i="38"/>
  <c r="AL173" i="38"/>
  <c r="Q173" i="38"/>
  <c r="P173" i="38"/>
  <c r="AL172" i="38"/>
  <c r="Q172" i="38"/>
  <c r="P172" i="38"/>
  <c r="AL171" i="38"/>
  <c r="Q171" i="38"/>
  <c r="P171" i="38"/>
  <c r="AL170" i="38"/>
  <c r="Q170" i="38"/>
  <c r="P170" i="38"/>
  <c r="AL169" i="38"/>
  <c r="Q169" i="38"/>
  <c r="P169" i="38"/>
  <c r="AL168" i="38"/>
  <c r="Q168" i="38"/>
  <c r="P168" i="38"/>
  <c r="AL167" i="38"/>
  <c r="Q167" i="38"/>
  <c r="P167" i="38"/>
  <c r="AL166" i="38"/>
  <c r="Q166" i="38"/>
  <c r="P166" i="38"/>
  <c r="AL165" i="38"/>
  <c r="Q165" i="38"/>
  <c r="P165" i="38"/>
  <c r="AL164" i="38"/>
  <c r="Q164" i="38"/>
  <c r="P164" i="38"/>
  <c r="AL163" i="38"/>
  <c r="Q163" i="38"/>
  <c r="P163" i="38"/>
  <c r="AL162" i="38"/>
  <c r="Q162" i="38"/>
  <c r="P162" i="38"/>
  <c r="AL161" i="38"/>
  <c r="Q161" i="38"/>
  <c r="P161" i="38"/>
  <c r="AL160" i="38"/>
  <c r="Q160" i="38"/>
  <c r="P160" i="38"/>
  <c r="AL159" i="38"/>
  <c r="Q159" i="38"/>
  <c r="P159" i="38"/>
  <c r="AL158" i="38"/>
  <c r="Q158" i="38"/>
  <c r="P158" i="38"/>
  <c r="AL157" i="38"/>
  <c r="Q157" i="38"/>
  <c r="P157" i="38"/>
  <c r="AL156" i="38"/>
  <c r="Q156" i="38"/>
  <c r="P156" i="38"/>
  <c r="AL155" i="38"/>
  <c r="Q155" i="38"/>
  <c r="P155" i="38"/>
  <c r="AL154" i="38"/>
  <c r="Q154" i="38"/>
  <c r="P154" i="38"/>
  <c r="AL153" i="38"/>
  <c r="Q153" i="38"/>
  <c r="P153" i="38"/>
  <c r="AL152" i="38"/>
  <c r="Q152" i="38"/>
  <c r="P152" i="38"/>
  <c r="AL151" i="38"/>
  <c r="Q151" i="38"/>
  <c r="P151" i="38"/>
  <c r="AL150" i="38"/>
  <c r="Q150" i="38"/>
  <c r="P150" i="38"/>
  <c r="AL149" i="38"/>
  <c r="Q149" i="38"/>
  <c r="P149" i="38"/>
  <c r="AL148" i="38"/>
  <c r="Q148" i="38"/>
  <c r="P148" i="38"/>
  <c r="AL147" i="38"/>
  <c r="Q147" i="38"/>
  <c r="P147" i="38"/>
  <c r="AL146" i="38"/>
  <c r="Q146" i="38"/>
  <c r="P146" i="38"/>
  <c r="AL145" i="38"/>
  <c r="Q145" i="38"/>
  <c r="P145" i="38"/>
  <c r="AL144" i="38"/>
  <c r="Q144" i="38"/>
  <c r="P144" i="38"/>
  <c r="AL143" i="38"/>
  <c r="Q143" i="38"/>
  <c r="P143" i="38"/>
  <c r="AL142" i="38"/>
  <c r="Q142" i="38"/>
  <c r="P142" i="38"/>
  <c r="AL141" i="38"/>
  <c r="Q141" i="38"/>
  <c r="P141" i="38"/>
  <c r="AL140" i="38"/>
  <c r="Q140" i="38"/>
  <c r="P140" i="38"/>
  <c r="AL139" i="38"/>
  <c r="Q139" i="38"/>
  <c r="P139" i="38"/>
  <c r="AL138" i="38"/>
  <c r="Q138" i="38"/>
  <c r="P138" i="38"/>
  <c r="AL137" i="38"/>
  <c r="Q137" i="38"/>
  <c r="P137" i="38"/>
  <c r="AL136" i="38"/>
  <c r="Q136" i="38"/>
  <c r="P136" i="38"/>
  <c r="AL135" i="38"/>
  <c r="Q135" i="38"/>
  <c r="P135" i="38"/>
  <c r="AL134" i="38"/>
  <c r="Q134" i="38"/>
  <c r="P134" i="38"/>
  <c r="AL133" i="38"/>
  <c r="Q133" i="38"/>
  <c r="P133" i="38"/>
  <c r="AL132" i="38"/>
  <c r="Q132" i="38"/>
  <c r="P132" i="38"/>
  <c r="AL131" i="38"/>
  <c r="Q131" i="38"/>
  <c r="P131" i="38"/>
  <c r="AL130" i="38"/>
  <c r="Q130" i="38"/>
  <c r="P130" i="38"/>
  <c r="AL129" i="38"/>
  <c r="Q129" i="38"/>
  <c r="P129" i="38"/>
  <c r="AL128" i="38"/>
  <c r="Q128" i="38"/>
  <c r="P128" i="38"/>
  <c r="AL127" i="38"/>
  <c r="Q127" i="38"/>
  <c r="P127" i="38"/>
  <c r="AL126" i="38"/>
  <c r="Q126" i="38"/>
  <c r="P126" i="38"/>
  <c r="AL125" i="38"/>
  <c r="Q125" i="38"/>
  <c r="P125" i="38"/>
  <c r="AL124" i="38"/>
  <c r="Q124" i="38"/>
  <c r="P124" i="38"/>
  <c r="AL123" i="38"/>
  <c r="Q123" i="38"/>
  <c r="P123" i="38"/>
  <c r="AL122" i="38"/>
  <c r="Q122" i="38"/>
  <c r="P122" i="38"/>
  <c r="AL121" i="38"/>
  <c r="Q121" i="38"/>
  <c r="P121" i="38"/>
  <c r="AL120" i="38"/>
  <c r="Q120" i="38"/>
  <c r="P120" i="38"/>
  <c r="AL119" i="38"/>
  <c r="Q119" i="38"/>
  <c r="P119" i="38"/>
  <c r="AL118" i="38"/>
  <c r="Q118" i="38"/>
  <c r="P118" i="38"/>
  <c r="AL117" i="38"/>
  <c r="Q117" i="38"/>
  <c r="P117" i="38"/>
  <c r="AL116" i="38"/>
  <c r="Q116" i="38"/>
  <c r="P116" i="38"/>
  <c r="AL115" i="38"/>
  <c r="Q115" i="38"/>
  <c r="P115" i="38"/>
  <c r="AL114" i="38"/>
  <c r="Q114" i="38"/>
  <c r="P114" i="38"/>
  <c r="AL113" i="38"/>
  <c r="Q113" i="38"/>
  <c r="P113" i="38"/>
  <c r="AL112" i="38"/>
  <c r="Q112" i="38"/>
  <c r="P112" i="38"/>
  <c r="AL111" i="38"/>
  <c r="Q111" i="38"/>
  <c r="P111" i="38"/>
  <c r="AL110" i="38"/>
  <c r="Q110" i="38"/>
  <c r="P110" i="38"/>
  <c r="AL109" i="38"/>
  <c r="Q109" i="38"/>
  <c r="P109" i="38"/>
  <c r="AL108" i="38"/>
  <c r="Q108" i="38"/>
  <c r="P108" i="38"/>
  <c r="AL107" i="38"/>
  <c r="Q107" i="38"/>
  <c r="P107" i="38"/>
  <c r="AL106" i="38"/>
  <c r="Q106" i="38"/>
  <c r="P106" i="38"/>
  <c r="AL105" i="38"/>
  <c r="Q105" i="38"/>
  <c r="P105" i="38"/>
  <c r="AL104" i="38"/>
  <c r="Q104" i="38"/>
  <c r="P104" i="38"/>
  <c r="AL103" i="38"/>
  <c r="Q103" i="38"/>
  <c r="P103" i="38"/>
  <c r="AL102" i="38"/>
  <c r="Q102" i="38"/>
  <c r="P102" i="38"/>
  <c r="AL101" i="38"/>
  <c r="Q101" i="38"/>
  <c r="P101" i="38"/>
  <c r="AL100" i="38"/>
  <c r="Q100" i="38"/>
  <c r="P100" i="38"/>
  <c r="AL99" i="38"/>
  <c r="Q99" i="38"/>
  <c r="P99" i="38"/>
  <c r="AL98" i="38"/>
  <c r="Q98" i="38"/>
  <c r="P98" i="38"/>
  <c r="AL97" i="38"/>
  <c r="Q97" i="38"/>
  <c r="P97" i="38"/>
  <c r="AL96" i="38"/>
  <c r="Q96" i="38"/>
  <c r="P96" i="38"/>
  <c r="AL95" i="38"/>
  <c r="Q95" i="38"/>
  <c r="P95" i="38"/>
  <c r="AL94" i="38"/>
  <c r="Q94" i="38"/>
  <c r="P94" i="38"/>
  <c r="AL93" i="38"/>
  <c r="Q93" i="38"/>
  <c r="P93" i="38"/>
  <c r="AL92" i="38"/>
  <c r="Q92" i="38"/>
  <c r="P92" i="38"/>
  <c r="AL91" i="38"/>
  <c r="Q91" i="38"/>
  <c r="P91" i="38"/>
  <c r="AL90" i="38"/>
  <c r="Q90" i="38"/>
  <c r="P90" i="38"/>
  <c r="AL89" i="38"/>
  <c r="Q89" i="38"/>
  <c r="P89" i="38"/>
  <c r="AL88" i="38"/>
  <c r="Q88" i="38"/>
  <c r="P88" i="38"/>
  <c r="AL87" i="38"/>
  <c r="Q87" i="38"/>
  <c r="P87" i="38"/>
  <c r="AL86" i="38"/>
  <c r="Q86" i="38"/>
  <c r="P86" i="38"/>
  <c r="AL85" i="38"/>
  <c r="Q85" i="38"/>
  <c r="P85" i="38"/>
  <c r="AL84" i="38"/>
  <c r="Q84" i="38"/>
  <c r="P84" i="38"/>
  <c r="AL83" i="38"/>
  <c r="Q83" i="38"/>
  <c r="P83" i="38"/>
  <c r="AL82" i="38"/>
  <c r="Q82" i="38"/>
  <c r="P82" i="38"/>
  <c r="AL81" i="38"/>
  <c r="Q81" i="38"/>
  <c r="P81" i="38"/>
  <c r="AL80" i="38"/>
  <c r="Q80" i="38"/>
  <c r="P80" i="38"/>
  <c r="AL79" i="38"/>
  <c r="Q79" i="38"/>
  <c r="P79" i="38"/>
  <c r="AL78" i="38"/>
  <c r="Q78" i="38"/>
  <c r="P78" i="38"/>
  <c r="AL77" i="38"/>
  <c r="Q77" i="38"/>
  <c r="P77" i="38"/>
  <c r="AL76" i="38"/>
  <c r="Q76" i="38"/>
  <c r="P76" i="38"/>
  <c r="AL75" i="38"/>
  <c r="Q75" i="38"/>
  <c r="P75" i="38"/>
  <c r="AL74" i="38"/>
  <c r="Q74" i="38"/>
  <c r="P74" i="38"/>
  <c r="AL73" i="38"/>
  <c r="Q73" i="38"/>
  <c r="P73" i="38"/>
  <c r="AL72" i="38"/>
  <c r="Q72" i="38"/>
  <c r="P72" i="38"/>
  <c r="AL71" i="38"/>
  <c r="Q71" i="38"/>
  <c r="P71" i="38"/>
  <c r="AL70" i="38"/>
  <c r="Q70" i="38"/>
  <c r="P70" i="38"/>
  <c r="AL69" i="38"/>
  <c r="Q69" i="38"/>
  <c r="P69" i="38"/>
  <c r="AL68" i="38"/>
  <c r="Q68" i="38"/>
  <c r="P68" i="38"/>
  <c r="AL67" i="38"/>
  <c r="Q67" i="38"/>
  <c r="P67" i="38"/>
  <c r="AL66" i="38"/>
  <c r="Q66" i="38"/>
  <c r="P66" i="38"/>
  <c r="AL65" i="38"/>
  <c r="Q65" i="38"/>
  <c r="P65" i="38"/>
  <c r="AL64" i="38"/>
  <c r="Q64" i="38"/>
  <c r="P64" i="38"/>
  <c r="AL63" i="38"/>
  <c r="Q63" i="38"/>
  <c r="P63" i="38"/>
  <c r="AL62" i="38"/>
  <c r="Q62" i="38"/>
  <c r="P62" i="38"/>
  <c r="AL61" i="38"/>
  <c r="Q61" i="38"/>
  <c r="P61" i="38"/>
  <c r="AL60" i="38"/>
  <c r="Q60" i="38"/>
  <c r="P60" i="38"/>
  <c r="AL59" i="38"/>
  <c r="Q59" i="38"/>
  <c r="P59" i="38"/>
  <c r="AL58" i="38"/>
  <c r="Q58" i="38"/>
  <c r="P58" i="38"/>
  <c r="AL57" i="38"/>
  <c r="Q57" i="38"/>
  <c r="P57" i="38"/>
  <c r="AL56" i="38"/>
  <c r="Q56" i="38"/>
  <c r="P56" i="38"/>
  <c r="AL55" i="38"/>
  <c r="Q55" i="38"/>
  <c r="P55" i="38"/>
  <c r="AL54" i="38"/>
  <c r="Q54" i="38"/>
  <c r="P54" i="38"/>
  <c r="AL53" i="38"/>
  <c r="Q53" i="38"/>
  <c r="P53" i="38"/>
  <c r="AL52" i="38"/>
  <c r="Q52" i="38"/>
  <c r="P52" i="38"/>
  <c r="AL51" i="38"/>
  <c r="Q51" i="38"/>
  <c r="P51" i="38"/>
  <c r="AL50" i="38"/>
  <c r="Q50" i="38"/>
  <c r="P50" i="38"/>
  <c r="AL49" i="38"/>
  <c r="Q49" i="38"/>
  <c r="P49" i="38"/>
  <c r="AL48" i="38"/>
  <c r="Q48" i="38"/>
  <c r="P48" i="38"/>
  <c r="AL47" i="38"/>
  <c r="Q47" i="38"/>
  <c r="P47" i="38"/>
  <c r="AL46" i="38"/>
  <c r="Q46" i="38"/>
  <c r="P46" i="38"/>
  <c r="AL45" i="38"/>
  <c r="Q45" i="38"/>
  <c r="P45" i="38"/>
  <c r="AL44" i="38"/>
  <c r="Q44" i="38"/>
  <c r="P44" i="38"/>
  <c r="AL43" i="38"/>
  <c r="Q43" i="38"/>
  <c r="P43" i="38"/>
  <c r="AL42" i="38"/>
  <c r="Q42" i="38"/>
  <c r="P42" i="38"/>
  <c r="AL41" i="38"/>
  <c r="Q41" i="38"/>
  <c r="P41" i="38"/>
  <c r="AL40" i="38"/>
  <c r="Q40" i="38"/>
  <c r="P40" i="38"/>
  <c r="AL39" i="38"/>
  <c r="Q39" i="38"/>
  <c r="P39" i="38"/>
  <c r="AL38" i="38"/>
  <c r="Q38" i="38"/>
  <c r="P38" i="38"/>
  <c r="AL37" i="38"/>
  <c r="Q37" i="38"/>
  <c r="P37" i="38"/>
  <c r="AL36" i="38"/>
  <c r="Q36" i="38"/>
  <c r="P36" i="38"/>
  <c r="AL35" i="38"/>
  <c r="Q35" i="38"/>
  <c r="P35" i="38"/>
  <c r="AL34" i="38"/>
  <c r="Q34" i="38"/>
  <c r="P34" i="38"/>
  <c r="AL33" i="38"/>
  <c r="Q33" i="38"/>
  <c r="P33" i="38"/>
  <c r="AL32" i="38"/>
  <c r="Q32" i="38"/>
  <c r="P32" i="38"/>
  <c r="AL31" i="38"/>
  <c r="Q31" i="38"/>
  <c r="P31" i="38"/>
  <c r="AL30" i="38"/>
  <c r="Q30" i="38"/>
  <c r="P30" i="38"/>
  <c r="AL29" i="38"/>
  <c r="Q29" i="38"/>
  <c r="P29" i="38"/>
  <c r="AL28" i="38"/>
  <c r="Q28" i="38"/>
  <c r="P28" i="38"/>
  <c r="AL27" i="38"/>
  <c r="Q27" i="38"/>
  <c r="P27" i="38"/>
  <c r="AL26" i="38"/>
  <c r="Q26" i="38"/>
  <c r="P26" i="38"/>
  <c r="AL25" i="38"/>
  <c r="Q25" i="38"/>
  <c r="P25" i="38"/>
  <c r="AL24" i="38"/>
  <c r="Q24" i="38"/>
  <c r="P24" i="38"/>
  <c r="AL23" i="38"/>
  <c r="Q23" i="38"/>
  <c r="P23" i="38"/>
  <c r="AL22" i="38"/>
  <c r="Q22" i="38"/>
  <c r="P22" i="38"/>
  <c r="AL21" i="38"/>
  <c r="Q21" i="38"/>
  <c r="P21" i="38"/>
  <c r="AL20" i="38"/>
  <c r="Q20" i="38"/>
  <c r="P20" i="38"/>
  <c r="AL19" i="38"/>
  <c r="Q19" i="38"/>
  <c r="P19" i="38"/>
  <c r="AL18" i="38"/>
  <c r="Q18" i="38"/>
  <c r="P18" i="38"/>
  <c r="AL17" i="38"/>
  <c r="Q17" i="38"/>
  <c r="P17" i="38"/>
  <c r="AL16" i="38"/>
  <c r="Q16" i="38"/>
  <c r="P16" i="38"/>
  <c r="AL15" i="38"/>
  <c r="Q15" i="38"/>
  <c r="P15" i="38"/>
  <c r="AL14" i="38"/>
  <c r="Q14" i="38"/>
  <c r="P14" i="38"/>
  <c r="AL13" i="38"/>
  <c r="Q13" i="38"/>
  <c r="P13" i="38"/>
  <c r="AL12" i="38"/>
  <c r="Q12" i="38"/>
  <c r="P12" i="38"/>
  <c r="AL11" i="38"/>
  <c r="Q11" i="38"/>
  <c r="P11" i="38"/>
  <c r="AL10" i="38"/>
  <c r="Q10" i="38"/>
  <c r="P10" i="38"/>
  <c r="AL9" i="38"/>
  <c r="Q9" i="38"/>
  <c r="P9" i="38"/>
  <c r="AL8" i="38"/>
  <c r="Q8" i="38"/>
  <c r="P8" i="38"/>
  <c r="AL7" i="38"/>
  <c r="Q7" i="38"/>
  <c r="P7" i="38"/>
  <c r="AL6" i="38"/>
  <c r="Q6" i="38"/>
  <c r="P6" i="38"/>
  <c r="AL5" i="38"/>
  <c r="Q5" i="38"/>
  <c r="P5" i="38"/>
  <c r="AL4" i="38"/>
  <c r="Q4" i="38"/>
  <c r="P4" i="38"/>
  <c r="AL3" i="38"/>
  <c r="Q3" i="38"/>
  <c r="P3" i="38"/>
  <c r="AL2" i="38"/>
  <c r="Q2" i="38"/>
  <c r="P2" i="38"/>
  <c r="M2" i="38"/>
  <c r="M3" i="42" l="1"/>
  <c r="F348" i="41"/>
  <c r="J348" i="41" s="1"/>
  <c r="F347" i="41"/>
  <c r="J347" i="41" s="1"/>
  <c r="F346" i="41"/>
  <c r="J346" i="41" s="1"/>
  <c r="F345" i="41"/>
  <c r="J345" i="41" s="1"/>
  <c r="F344" i="41"/>
  <c r="J344" i="41" s="1"/>
  <c r="F343" i="41"/>
  <c r="J343" i="41" s="1"/>
  <c r="F342" i="41"/>
  <c r="J342" i="41" s="1"/>
  <c r="F341" i="41"/>
  <c r="J341" i="41" s="1"/>
  <c r="F340" i="41"/>
  <c r="J340" i="41" s="1"/>
  <c r="F339" i="41"/>
  <c r="J339" i="41" s="1"/>
  <c r="F338" i="41"/>
  <c r="J338" i="41" s="1"/>
  <c r="F337" i="41"/>
  <c r="J337" i="41" s="1"/>
  <c r="F336" i="41"/>
  <c r="J336" i="41" s="1"/>
  <c r="F335" i="41"/>
  <c r="J335" i="41" s="1"/>
  <c r="F334" i="41"/>
  <c r="J334" i="41" s="1"/>
  <c r="F333" i="41"/>
  <c r="J333" i="41" s="1"/>
  <c r="F332" i="41"/>
  <c r="J332" i="41" s="1"/>
  <c r="F331" i="41"/>
  <c r="J331" i="41" s="1"/>
  <c r="F330" i="41"/>
  <c r="J330" i="41" s="1"/>
  <c r="F329" i="41"/>
  <c r="J329" i="41" s="1"/>
  <c r="F328" i="41"/>
  <c r="J328" i="41" s="1"/>
  <c r="F327" i="41"/>
  <c r="J327" i="41" s="1"/>
  <c r="F326" i="41"/>
  <c r="J326" i="41" s="1"/>
  <c r="F325" i="41"/>
  <c r="J325" i="41" s="1"/>
  <c r="F324" i="41"/>
  <c r="J324" i="41" s="1"/>
  <c r="F323" i="41"/>
  <c r="J323" i="41" s="1"/>
  <c r="F322" i="41"/>
  <c r="J322" i="41" s="1"/>
  <c r="F321" i="41"/>
  <c r="J321" i="41" s="1"/>
  <c r="F320" i="41"/>
  <c r="J320" i="41" s="1"/>
  <c r="F319" i="41"/>
  <c r="J319" i="41" s="1"/>
  <c r="F318" i="41"/>
  <c r="J318" i="41" s="1"/>
  <c r="F317" i="41"/>
  <c r="J317" i="41" s="1"/>
  <c r="F316" i="41"/>
  <c r="J316" i="41" s="1"/>
  <c r="F315" i="41"/>
  <c r="J315" i="41" s="1"/>
  <c r="F314" i="41"/>
  <c r="J314" i="41" s="1"/>
  <c r="F313" i="41"/>
  <c r="J313" i="41" s="1"/>
  <c r="F312" i="41"/>
  <c r="J312" i="41" s="1"/>
  <c r="F311" i="41"/>
  <c r="J311" i="41" s="1"/>
  <c r="F310" i="41"/>
  <c r="J310" i="41" s="1"/>
  <c r="F309" i="41"/>
  <c r="J309" i="41" s="1"/>
  <c r="F308" i="41"/>
  <c r="J308" i="41" s="1"/>
  <c r="F307" i="41"/>
  <c r="J307" i="41" s="1"/>
  <c r="F306" i="41"/>
  <c r="J306" i="41" s="1"/>
  <c r="F305" i="41"/>
  <c r="J305" i="41" s="1"/>
  <c r="F304" i="41"/>
  <c r="J304" i="41" s="1"/>
  <c r="F303" i="41"/>
  <c r="J303" i="41" s="1"/>
  <c r="F302" i="41"/>
  <c r="J302" i="41" s="1"/>
  <c r="F301" i="41"/>
  <c r="J301" i="41" s="1"/>
  <c r="F300" i="41"/>
  <c r="J300" i="41" s="1"/>
  <c r="F299" i="41"/>
  <c r="J299" i="41" s="1"/>
  <c r="F298" i="41"/>
  <c r="J298" i="41" s="1"/>
  <c r="F297" i="41"/>
  <c r="J297" i="41" s="1"/>
  <c r="F296" i="41"/>
  <c r="J296" i="41" s="1"/>
  <c r="F295" i="41"/>
  <c r="J295" i="41" s="1"/>
  <c r="F294" i="41"/>
  <c r="J294" i="41" s="1"/>
  <c r="F293" i="41"/>
  <c r="J293" i="41" s="1"/>
  <c r="F292" i="41"/>
  <c r="J292" i="41" s="1"/>
  <c r="F291" i="41"/>
  <c r="J291" i="41" s="1"/>
  <c r="F290" i="41"/>
  <c r="J290" i="41" s="1"/>
  <c r="F289" i="41"/>
  <c r="J289" i="41" s="1"/>
  <c r="F288" i="41"/>
  <c r="J288" i="41" s="1"/>
  <c r="F287" i="41"/>
  <c r="J287" i="41" s="1"/>
  <c r="F286" i="41"/>
  <c r="J286" i="41" s="1"/>
  <c r="F285" i="41"/>
  <c r="J285" i="41" s="1"/>
  <c r="F284" i="41"/>
  <c r="J284" i="41" s="1"/>
  <c r="F283" i="41"/>
  <c r="J283" i="41" s="1"/>
  <c r="F282" i="41"/>
  <c r="J282" i="41" s="1"/>
  <c r="F281" i="41"/>
  <c r="J281" i="41" s="1"/>
  <c r="F280" i="41"/>
  <c r="J280" i="41" s="1"/>
  <c r="F279" i="41"/>
  <c r="J279" i="41" s="1"/>
  <c r="F278" i="41"/>
  <c r="J278" i="41" s="1"/>
  <c r="F277" i="41"/>
  <c r="J277" i="41" s="1"/>
  <c r="F276" i="41"/>
  <c r="J276" i="41" s="1"/>
  <c r="F275" i="41"/>
  <c r="J275" i="41" s="1"/>
  <c r="F274" i="41"/>
  <c r="J274" i="41" s="1"/>
  <c r="F273" i="41"/>
  <c r="J273" i="41" s="1"/>
  <c r="F272" i="41"/>
  <c r="J272" i="41" s="1"/>
  <c r="F271" i="41"/>
  <c r="J271" i="41" s="1"/>
  <c r="F270" i="41"/>
  <c r="J270" i="41" s="1"/>
  <c r="F269" i="41"/>
  <c r="J269" i="41" s="1"/>
  <c r="F268" i="41"/>
  <c r="J268" i="41" s="1"/>
  <c r="F267" i="41"/>
  <c r="J267" i="41" s="1"/>
  <c r="F266" i="41"/>
  <c r="J266" i="41" s="1"/>
  <c r="F265" i="41"/>
  <c r="J265" i="41" s="1"/>
  <c r="F264" i="41"/>
  <c r="J264" i="41" s="1"/>
  <c r="F263" i="41"/>
  <c r="J263" i="41" s="1"/>
  <c r="F262" i="41"/>
  <c r="J262" i="41" s="1"/>
  <c r="F261" i="41"/>
  <c r="J261" i="41" s="1"/>
  <c r="F260" i="41"/>
  <c r="J260" i="41" s="1"/>
  <c r="F259" i="41"/>
  <c r="J259" i="41" s="1"/>
  <c r="F258" i="41"/>
  <c r="J258" i="41" s="1"/>
  <c r="F257" i="41"/>
  <c r="J257" i="41" s="1"/>
  <c r="F256" i="41"/>
  <c r="J256" i="41" s="1"/>
  <c r="F255" i="41"/>
  <c r="J255" i="41" s="1"/>
  <c r="F254" i="41"/>
  <c r="J254" i="41" s="1"/>
  <c r="F253" i="41"/>
  <c r="J253" i="41" s="1"/>
  <c r="F252" i="41"/>
  <c r="J252" i="41" s="1"/>
  <c r="F251" i="41"/>
  <c r="J251" i="41" s="1"/>
  <c r="F250" i="41"/>
  <c r="J250" i="41" s="1"/>
  <c r="F249" i="41"/>
  <c r="J249" i="41" s="1"/>
  <c r="F248" i="41"/>
  <c r="J248" i="41" s="1"/>
  <c r="F247" i="41"/>
  <c r="J247" i="41" s="1"/>
  <c r="F246" i="41"/>
  <c r="J246" i="41" s="1"/>
  <c r="F245" i="41"/>
  <c r="J245" i="41" s="1"/>
  <c r="F244" i="41"/>
  <c r="J244" i="41" s="1"/>
  <c r="F243" i="41"/>
  <c r="J243" i="41" s="1"/>
  <c r="F242" i="41"/>
  <c r="J242" i="41" s="1"/>
  <c r="F241" i="41"/>
  <c r="J241" i="41" s="1"/>
  <c r="F240" i="41"/>
  <c r="J240" i="41" s="1"/>
  <c r="F239" i="41"/>
  <c r="J239" i="41" s="1"/>
  <c r="F238" i="41"/>
  <c r="J238" i="41" s="1"/>
  <c r="F237" i="41"/>
  <c r="J237" i="41" s="1"/>
  <c r="F236" i="41"/>
  <c r="J236" i="41" s="1"/>
  <c r="F235" i="41"/>
  <c r="J235" i="41" s="1"/>
  <c r="F234" i="41"/>
  <c r="J234" i="41" s="1"/>
  <c r="F233" i="41"/>
  <c r="J233" i="41" s="1"/>
  <c r="F232" i="41"/>
  <c r="J232" i="41" s="1"/>
  <c r="F231" i="41"/>
  <c r="J231" i="41" s="1"/>
  <c r="F230" i="41"/>
  <c r="J230" i="41" s="1"/>
  <c r="F229" i="41"/>
  <c r="J229" i="41" s="1"/>
  <c r="F228" i="41"/>
  <c r="J228" i="41" s="1"/>
  <c r="F227" i="41"/>
  <c r="J227" i="41" s="1"/>
  <c r="F226" i="41"/>
  <c r="J226" i="41" s="1"/>
  <c r="F225" i="41"/>
  <c r="J225" i="41" s="1"/>
  <c r="F224" i="41"/>
  <c r="J224" i="41" s="1"/>
  <c r="F223" i="41"/>
  <c r="J223" i="41" s="1"/>
  <c r="F222" i="41"/>
  <c r="J222" i="41" s="1"/>
  <c r="F221" i="41"/>
  <c r="J221" i="41" s="1"/>
  <c r="F220" i="41"/>
  <c r="J220" i="41" s="1"/>
  <c r="F219" i="41"/>
  <c r="J219" i="41" s="1"/>
  <c r="F218" i="41"/>
  <c r="J218" i="41" s="1"/>
  <c r="F217" i="41"/>
  <c r="J217" i="41" s="1"/>
  <c r="F216" i="41"/>
  <c r="J216" i="41" s="1"/>
  <c r="F215" i="41"/>
  <c r="J215" i="41" s="1"/>
  <c r="F214" i="41"/>
  <c r="J214" i="41" s="1"/>
  <c r="F213" i="41"/>
  <c r="J213" i="41" s="1"/>
  <c r="F212" i="41"/>
  <c r="J212" i="41" s="1"/>
  <c r="F211" i="41"/>
  <c r="J211" i="41" s="1"/>
  <c r="F210" i="41"/>
  <c r="J210" i="41" s="1"/>
  <c r="F209" i="41"/>
  <c r="J209" i="41" s="1"/>
  <c r="F208" i="41"/>
  <c r="J208" i="41" s="1"/>
  <c r="F207" i="41"/>
  <c r="J207" i="41" s="1"/>
  <c r="F206" i="41"/>
  <c r="J206" i="41" s="1"/>
  <c r="F205" i="41"/>
  <c r="J205" i="41" s="1"/>
  <c r="F204" i="41"/>
  <c r="J204" i="41" s="1"/>
  <c r="F203" i="41"/>
  <c r="J203" i="41" s="1"/>
  <c r="F202" i="41"/>
  <c r="J202" i="41" s="1"/>
  <c r="F201" i="41"/>
  <c r="J201" i="41" s="1"/>
  <c r="F200" i="41"/>
  <c r="J200" i="41" s="1"/>
  <c r="F199" i="41"/>
  <c r="J199" i="41" s="1"/>
  <c r="F198" i="41"/>
  <c r="J198" i="41" s="1"/>
  <c r="F197" i="41"/>
  <c r="J197" i="41" s="1"/>
  <c r="F196" i="41"/>
  <c r="J196" i="41" s="1"/>
  <c r="F195" i="41"/>
  <c r="J195" i="41" s="1"/>
  <c r="F194" i="41"/>
  <c r="J194" i="41" s="1"/>
  <c r="F193" i="41"/>
  <c r="J193" i="41" s="1"/>
  <c r="F192" i="41"/>
  <c r="J192" i="41" s="1"/>
  <c r="F191" i="41"/>
  <c r="J191" i="41" s="1"/>
  <c r="F190" i="41"/>
  <c r="J190" i="41" s="1"/>
  <c r="F189" i="41"/>
  <c r="J189" i="41" s="1"/>
  <c r="F188" i="41"/>
  <c r="J188" i="41" s="1"/>
  <c r="F187" i="41"/>
  <c r="J187" i="41" s="1"/>
  <c r="F186" i="41"/>
  <c r="J186" i="41" s="1"/>
  <c r="F185" i="41"/>
  <c r="J185" i="41" s="1"/>
  <c r="F184" i="41"/>
  <c r="J184" i="41" s="1"/>
  <c r="F183" i="41"/>
  <c r="J183" i="41" s="1"/>
  <c r="F182" i="41"/>
  <c r="J182" i="41" s="1"/>
  <c r="F181" i="41"/>
  <c r="J181" i="41" s="1"/>
  <c r="F180" i="41"/>
  <c r="J180" i="41" s="1"/>
  <c r="F179" i="41"/>
  <c r="J179" i="41" s="1"/>
  <c r="F178" i="41"/>
  <c r="J178" i="41" s="1"/>
  <c r="F177" i="41"/>
  <c r="J177" i="41" s="1"/>
  <c r="F176" i="41"/>
  <c r="J176" i="41" s="1"/>
  <c r="F175" i="41"/>
  <c r="J175" i="41" s="1"/>
  <c r="F174" i="41"/>
  <c r="J174" i="41" s="1"/>
  <c r="F173" i="41"/>
  <c r="J173" i="41" s="1"/>
  <c r="F172" i="41"/>
  <c r="J172" i="41" s="1"/>
  <c r="F171" i="41"/>
  <c r="J171" i="41" s="1"/>
  <c r="F170" i="41"/>
  <c r="J170" i="41" s="1"/>
  <c r="F169" i="41"/>
  <c r="J169" i="41" s="1"/>
  <c r="F168" i="41"/>
  <c r="J168" i="41" s="1"/>
  <c r="F167" i="41"/>
  <c r="J167" i="41" s="1"/>
  <c r="F166" i="41"/>
  <c r="J166" i="41" s="1"/>
  <c r="F165" i="41"/>
  <c r="J165" i="41" s="1"/>
  <c r="F164" i="41"/>
  <c r="J164" i="41" s="1"/>
  <c r="F163" i="41"/>
  <c r="J163" i="41" s="1"/>
  <c r="F162" i="41"/>
  <c r="J162" i="41" s="1"/>
  <c r="F161" i="41"/>
  <c r="J161" i="41" s="1"/>
  <c r="F160" i="41"/>
  <c r="J160" i="41" s="1"/>
  <c r="F159" i="41"/>
  <c r="J159" i="41" s="1"/>
  <c r="F158" i="41"/>
  <c r="J158" i="41" s="1"/>
  <c r="F157" i="41"/>
  <c r="J157" i="41" s="1"/>
  <c r="F156" i="41"/>
  <c r="J156" i="41" s="1"/>
  <c r="F155" i="41"/>
  <c r="J155" i="41" s="1"/>
  <c r="F154" i="41"/>
  <c r="J154" i="41" s="1"/>
  <c r="F153" i="41"/>
  <c r="J153" i="41" s="1"/>
  <c r="F152" i="41"/>
  <c r="J152" i="41" s="1"/>
  <c r="F151" i="41"/>
  <c r="J151" i="41" s="1"/>
  <c r="F150" i="41"/>
  <c r="J150" i="41" s="1"/>
  <c r="F149" i="41"/>
  <c r="J149" i="41" s="1"/>
  <c r="F148" i="41"/>
  <c r="J148" i="41" s="1"/>
  <c r="F147" i="41"/>
  <c r="J147" i="41" s="1"/>
  <c r="F146" i="41"/>
  <c r="J146" i="41" s="1"/>
  <c r="F145" i="41"/>
  <c r="J145" i="41" s="1"/>
  <c r="F144" i="41"/>
  <c r="J144" i="41" s="1"/>
  <c r="F143" i="41"/>
  <c r="J143" i="41" s="1"/>
  <c r="F142" i="41"/>
  <c r="J142" i="41" s="1"/>
  <c r="F141" i="41"/>
  <c r="J141" i="41" s="1"/>
  <c r="F140" i="41"/>
  <c r="J140" i="41" s="1"/>
  <c r="F139" i="41"/>
  <c r="J139" i="41" s="1"/>
  <c r="F138" i="41"/>
  <c r="J138" i="41" s="1"/>
  <c r="F137" i="41"/>
  <c r="J137" i="41" s="1"/>
  <c r="F136" i="41"/>
  <c r="J136" i="41" s="1"/>
  <c r="F135" i="41"/>
  <c r="J135" i="41" s="1"/>
  <c r="F134" i="41"/>
  <c r="J134" i="41" s="1"/>
  <c r="F133" i="41"/>
  <c r="J133" i="41" s="1"/>
  <c r="F132" i="41"/>
  <c r="J132" i="41" s="1"/>
  <c r="F131" i="41"/>
  <c r="J131" i="41" s="1"/>
  <c r="F130" i="41"/>
  <c r="J130" i="41" s="1"/>
  <c r="F129" i="41"/>
  <c r="J129" i="41" s="1"/>
  <c r="F128" i="41"/>
  <c r="J128" i="41" s="1"/>
  <c r="F127" i="41"/>
  <c r="J127" i="41" s="1"/>
  <c r="F126" i="41"/>
  <c r="J126" i="41" s="1"/>
  <c r="F125" i="41"/>
  <c r="J125" i="41" s="1"/>
  <c r="F124" i="41"/>
  <c r="J124" i="41" s="1"/>
  <c r="F123" i="41"/>
  <c r="J123" i="41" s="1"/>
  <c r="F122" i="41"/>
  <c r="J122" i="41" s="1"/>
  <c r="F121" i="41"/>
  <c r="J121" i="41" s="1"/>
  <c r="F120" i="41"/>
  <c r="J120" i="41" s="1"/>
  <c r="F119" i="41"/>
  <c r="J119" i="41" s="1"/>
  <c r="F118" i="41"/>
  <c r="J118" i="41" s="1"/>
  <c r="F117" i="41"/>
  <c r="J117" i="41" s="1"/>
  <c r="F116" i="41"/>
  <c r="J116" i="41" s="1"/>
  <c r="F115" i="41"/>
  <c r="J115" i="41" s="1"/>
  <c r="F114" i="41"/>
  <c r="J114" i="41" s="1"/>
  <c r="F113" i="41"/>
  <c r="J113" i="41" s="1"/>
  <c r="F112" i="41"/>
  <c r="J112" i="41" s="1"/>
  <c r="F111" i="41"/>
  <c r="J111" i="41" s="1"/>
  <c r="F110" i="41"/>
  <c r="J110" i="41" s="1"/>
  <c r="F109" i="41"/>
  <c r="J109" i="41" s="1"/>
  <c r="F108" i="41"/>
  <c r="J108" i="41" s="1"/>
  <c r="F107" i="41"/>
  <c r="J107" i="41" s="1"/>
  <c r="F106" i="41"/>
  <c r="J106" i="41" s="1"/>
  <c r="F105" i="41"/>
  <c r="J105" i="41" s="1"/>
  <c r="F104" i="41"/>
  <c r="J104" i="41" s="1"/>
  <c r="F103" i="41"/>
  <c r="J103" i="41" s="1"/>
  <c r="F102" i="41"/>
  <c r="J102" i="41" s="1"/>
  <c r="F101" i="41"/>
  <c r="J101" i="41" s="1"/>
  <c r="F100" i="41"/>
  <c r="J100" i="41" s="1"/>
  <c r="F99" i="41"/>
  <c r="J99" i="41" s="1"/>
  <c r="F98" i="41"/>
  <c r="J98" i="41" s="1"/>
  <c r="F97" i="41"/>
  <c r="J97" i="41" s="1"/>
  <c r="F96" i="41"/>
  <c r="J96" i="41" s="1"/>
  <c r="F95" i="41"/>
  <c r="J95" i="41" s="1"/>
  <c r="F94" i="41"/>
  <c r="J94" i="41" s="1"/>
  <c r="F93" i="41"/>
  <c r="J93" i="41" s="1"/>
  <c r="F92" i="41"/>
  <c r="J92" i="41" s="1"/>
  <c r="F91" i="41"/>
  <c r="J91" i="41" s="1"/>
  <c r="F90" i="41"/>
  <c r="J90" i="41" s="1"/>
  <c r="F89" i="41"/>
  <c r="J89" i="41" s="1"/>
  <c r="F88" i="41"/>
  <c r="J88" i="41" s="1"/>
  <c r="F87" i="41"/>
  <c r="J87" i="41" s="1"/>
  <c r="F86" i="41"/>
  <c r="J86" i="41" s="1"/>
  <c r="F85" i="41"/>
  <c r="J85" i="41" s="1"/>
  <c r="F84" i="41"/>
  <c r="J84" i="41" s="1"/>
  <c r="F83" i="41"/>
  <c r="J83" i="41" s="1"/>
  <c r="F82" i="41"/>
  <c r="J82" i="41" s="1"/>
  <c r="F81" i="41"/>
  <c r="J81" i="41" s="1"/>
  <c r="F80" i="41"/>
  <c r="J80" i="41" s="1"/>
  <c r="F79" i="41"/>
  <c r="J79" i="41" s="1"/>
  <c r="F78" i="41"/>
  <c r="J78" i="41" s="1"/>
  <c r="F77" i="41"/>
  <c r="J77" i="41" s="1"/>
  <c r="F76" i="41"/>
  <c r="J76" i="41" s="1"/>
  <c r="F75" i="41"/>
  <c r="J75" i="41" s="1"/>
  <c r="F74" i="41"/>
  <c r="J74" i="41" s="1"/>
  <c r="F73" i="41"/>
  <c r="J73" i="41" s="1"/>
  <c r="F72" i="41"/>
  <c r="J72" i="41" s="1"/>
  <c r="F71" i="41"/>
  <c r="J71" i="41" s="1"/>
  <c r="F70" i="41"/>
  <c r="J70" i="41" s="1"/>
  <c r="F69" i="41"/>
  <c r="J69" i="41" s="1"/>
  <c r="F68" i="41"/>
  <c r="J68" i="41" s="1"/>
  <c r="F67" i="41"/>
  <c r="J67" i="41" s="1"/>
  <c r="F66" i="41"/>
  <c r="J66" i="41" s="1"/>
  <c r="F65" i="41"/>
  <c r="J65" i="41" s="1"/>
  <c r="F64" i="41"/>
  <c r="J64" i="41" s="1"/>
  <c r="F63" i="41"/>
  <c r="J63" i="41" s="1"/>
  <c r="F62" i="41"/>
  <c r="J62" i="41" s="1"/>
  <c r="F61" i="41"/>
  <c r="J61" i="41" s="1"/>
  <c r="F60" i="41"/>
  <c r="J60" i="41" s="1"/>
  <c r="F59" i="41"/>
  <c r="J59" i="41" s="1"/>
  <c r="F58" i="41"/>
  <c r="J58" i="41" s="1"/>
  <c r="F57" i="41"/>
  <c r="J57" i="41" s="1"/>
  <c r="F56" i="41"/>
  <c r="J56" i="41" s="1"/>
  <c r="F55" i="41"/>
  <c r="J55" i="41" s="1"/>
  <c r="F54" i="41"/>
  <c r="J54" i="41" s="1"/>
  <c r="F53" i="41"/>
  <c r="J53" i="41" s="1"/>
  <c r="F52" i="41"/>
  <c r="J52" i="41" s="1"/>
  <c r="F51" i="41"/>
  <c r="J51" i="41" s="1"/>
  <c r="F50" i="41"/>
  <c r="J50" i="41" s="1"/>
  <c r="F49" i="41"/>
  <c r="J49" i="41" s="1"/>
  <c r="F48" i="41"/>
  <c r="J48" i="41" s="1"/>
  <c r="F47" i="41"/>
  <c r="J47" i="41" s="1"/>
  <c r="F46" i="41"/>
  <c r="J46" i="41" s="1"/>
  <c r="F45" i="41"/>
  <c r="J45" i="41" s="1"/>
  <c r="F44" i="41"/>
  <c r="J44" i="41" s="1"/>
  <c r="F43" i="41"/>
  <c r="J43" i="41" s="1"/>
  <c r="F42" i="41"/>
  <c r="J42" i="41" s="1"/>
  <c r="F41" i="41"/>
  <c r="J41" i="41" s="1"/>
  <c r="F40" i="41"/>
  <c r="J40" i="41" s="1"/>
  <c r="F39" i="41"/>
  <c r="J39" i="41" s="1"/>
  <c r="F38" i="41"/>
  <c r="J38" i="41" s="1"/>
  <c r="F37" i="41"/>
  <c r="J37" i="41" s="1"/>
  <c r="F36" i="41"/>
  <c r="J36" i="41" s="1"/>
  <c r="F35" i="41"/>
  <c r="J35" i="41" s="1"/>
  <c r="F34" i="41"/>
  <c r="J34" i="41" s="1"/>
  <c r="F33" i="41"/>
  <c r="J33" i="41" s="1"/>
  <c r="F32" i="41"/>
  <c r="J32" i="41" s="1"/>
  <c r="F31" i="41"/>
  <c r="J31" i="41" s="1"/>
  <c r="F30" i="41"/>
  <c r="J30" i="41" s="1"/>
  <c r="F29" i="41"/>
  <c r="J29" i="41" s="1"/>
  <c r="F28" i="41"/>
  <c r="J28" i="41" s="1"/>
  <c r="F27" i="41"/>
  <c r="J27" i="41" s="1"/>
  <c r="F26" i="41"/>
  <c r="J26" i="41" s="1"/>
  <c r="F25" i="41"/>
  <c r="J25" i="41" s="1"/>
  <c r="F24" i="41"/>
  <c r="J24" i="41" s="1"/>
  <c r="F23" i="41"/>
  <c r="J23" i="41" s="1"/>
  <c r="F22" i="41"/>
  <c r="J22" i="41" s="1"/>
  <c r="F21" i="41"/>
  <c r="J21" i="41" s="1"/>
  <c r="F20" i="41"/>
  <c r="J20" i="41" s="1"/>
  <c r="F19" i="41"/>
  <c r="J19" i="41" s="1"/>
  <c r="F18" i="41"/>
  <c r="J18" i="41" s="1"/>
  <c r="F17" i="41"/>
  <c r="J17" i="41" s="1"/>
  <c r="F16" i="41"/>
  <c r="J16" i="41" s="1"/>
  <c r="F15" i="41"/>
  <c r="J15" i="41" s="1"/>
  <c r="F14" i="41"/>
  <c r="J14" i="41" s="1"/>
  <c r="F13" i="41"/>
  <c r="J13" i="41" s="1"/>
  <c r="F12" i="41"/>
  <c r="J12" i="41" s="1"/>
  <c r="F11" i="41"/>
  <c r="J11" i="41" s="1"/>
  <c r="F10" i="41"/>
  <c r="J10" i="41" s="1"/>
  <c r="F9" i="41"/>
  <c r="J9" i="41" s="1"/>
  <c r="F8" i="41"/>
  <c r="J8" i="41" s="1"/>
  <c r="F7" i="41"/>
  <c r="J7" i="41" s="1"/>
  <c r="F6" i="41"/>
  <c r="J6" i="41" s="1"/>
  <c r="L1181" i="37"/>
  <c r="S1181" i="37" s="1"/>
  <c r="L1180" i="37"/>
  <c r="S1180" i="37" s="1"/>
  <c r="L1179" i="37"/>
  <c r="S1179" i="37" s="1"/>
  <c r="L1178" i="37"/>
  <c r="S1178" i="37" s="1"/>
  <c r="L1177" i="37"/>
  <c r="S1177" i="37" s="1"/>
  <c r="L1176" i="37"/>
  <c r="S1176" i="37" s="1"/>
  <c r="L1175" i="37"/>
  <c r="S1175" i="37" s="1"/>
  <c r="L1174" i="37"/>
  <c r="S1174" i="37" s="1"/>
  <c r="L1173" i="37"/>
  <c r="S1173" i="37" s="1"/>
  <c r="L1172" i="37"/>
  <c r="S1172" i="37" s="1"/>
  <c r="L1171" i="37"/>
  <c r="S1171" i="37" s="1"/>
  <c r="L1170" i="37"/>
  <c r="S1170" i="37" s="1"/>
  <c r="L1169" i="37"/>
  <c r="S1169" i="37" s="1"/>
  <c r="L1168" i="37"/>
  <c r="S1168" i="37" s="1"/>
  <c r="L1167" i="37"/>
  <c r="S1167" i="37" s="1"/>
  <c r="L1166" i="37"/>
  <c r="S1166" i="37" s="1"/>
  <c r="L1165" i="37"/>
  <c r="S1165" i="37" s="1"/>
  <c r="L1164" i="37"/>
  <c r="S1164" i="37" s="1"/>
  <c r="L1163" i="37"/>
  <c r="S1163" i="37" s="1"/>
  <c r="L1162" i="37"/>
  <c r="S1162" i="37" s="1"/>
  <c r="L1161" i="37"/>
  <c r="S1161" i="37" s="1"/>
  <c r="L1160" i="37"/>
  <c r="S1160" i="37" s="1"/>
  <c r="L1159" i="37"/>
  <c r="S1159" i="37" s="1"/>
  <c r="L1158" i="37"/>
  <c r="S1158" i="37" s="1"/>
  <c r="L1157" i="37"/>
  <c r="S1157" i="37" s="1"/>
  <c r="L1156" i="37"/>
  <c r="S1156" i="37" s="1"/>
  <c r="L1155" i="37"/>
  <c r="S1155" i="37" s="1"/>
  <c r="L1154" i="37"/>
  <c r="S1154" i="37" s="1"/>
  <c r="L1153" i="37"/>
  <c r="S1153" i="37" s="1"/>
  <c r="L1152" i="37"/>
  <c r="S1152" i="37" s="1"/>
  <c r="L1151" i="37"/>
  <c r="S1151" i="37" s="1"/>
  <c r="L1150" i="37"/>
  <c r="S1150" i="37" s="1"/>
  <c r="L1149" i="37"/>
  <c r="S1149" i="37" s="1"/>
  <c r="L1148" i="37"/>
  <c r="S1148" i="37" s="1"/>
  <c r="L1147" i="37"/>
  <c r="S1147" i="37" s="1"/>
  <c r="L1146" i="37"/>
  <c r="S1146" i="37" s="1"/>
  <c r="L1145" i="37"/>
  <c r="S1145" i="37" s="1"/>
  <c r="L1144" i="37"/>
  <c r="S1144" i="37" s="1"/>
  <c r="L1143" i="37"/>
  <c r="S1143" i="37" s="1"/>
  <c r="L1142" i="37"/>
  <c r="S1142" i="37" s="1"/>
  <c r="L1141" i="37"/>
  <c r="S1141" i="37" s="1"/>
  <c r="L1140" i="37"/>
  <c r="S1140" i="37" s="1"/>
  <c r="L1139" i="37"/>
  <c r="S1139" i="37" s="1"/>
  <c r="L1138" i="37"/>
  <c r="S1138" i="37" s="1"/>
  <c r="L1137" i="37"/>
  <c r="S1137" i="37" s="1"/>
  <c r="L1136" i="37"/>
  <c r="S1136" i="37" s="1"/>
  <c r="L1135" i="37"/>
  <c r="S1135" i="37" s="1"/>
  <c r="L1134" i="37"/>
  <c r="S1134" i="37" s="1"/>
  <c r="L1133" i="37"/>
  <c r="S1133" i="37" s="1"/>
  <c r="L1132" i="37"/>
  <c r="S1132" i="37" s="1"/>
  <c r="L1131" i="37"/>
  <c r="S1131" i="37" s="1"/>
  <c r="L1130" i="37"/>
  <c r="S1130" i="37" s="1"/>
  <c r="L1129" i="37"/>
  <c r="S1129" i="37" s="1"/>
  <c r="L1128" i="37"/>
  <c r="S1128" i="37" s="1"/>
  <c r="L1127" i="37"/>
  <c r="S1127" i="37" s="1"/>
  <c r="L1126" i="37"/>
  <c r="S1126" i="37" s="1"/>
  <c r="L1125" i="37"/>
  <c r="S1125" i="37" s="1"/>
  <c r="L1124" i="37"/>
  <c r="S1124" i="37" s="1"/>
  <c r="L1123" i="37"/>
  <c r="S1123" i="37" s="1"/>
  <c r="L1122" i="37"/>
  <c r="S1122" i="37" s="1"/>
  <c r="L1121" i="37"/>
  <c r="S1121" i="37" s="1"/>
  <c r="L1120" i="37"/>
  <c r="S1120" i="37" s="1"/>
  <c r="L1119" i="37"/>
  <c r="S1119" i="37" s="1"/>
  <c r="L1118" i="37"/>
  <c r="S1118" i="37" s="1"/>
  <c r="L1117" i="37"/>
  <c r="S1117" i="37" s="1"/>
  <c r="L1116" i="37"/>
  <c r="S1116" i="37" s="1"/>
  <c r="L1115" i="37"/>
  <c r="S1115" i="37" s="1"/>
  <c r="L1114" i="37"/>
  <c r="S1114" i="37" s="1"/>
  <c r="L1113" i="37"/>
  <c r="S1113" i="37" s="1"/>
  <c r="L1112" i="37"/>
  <c r="S1112" i="37" s="1"/>
  <c r="L1111" i="37"/>
  <c r="S1111" i="37" s="1"/>
  <c r="L1110" i="37"/>
  <c r="S1110" i="37" s="1"/>
  <c r="L1109" i="37"/>
  <c r="S1109" i="37" s="1"/>
  <c r="L1108" i="37"/>
  <c r="S1108" i="37" s="1"/>
  <c r="L1107" i="37"/>
  <c r="S1107" i="37" s="1"/>
  <c r="L1106" i="37"/>
  <c r="S1106" i="37" s="1"/>
  <c r="L1105" i="37"/>
  <c r="S1105" i="37" s="1"/>
  <c r="L1104" i="37"/>
  <c r="S1104" i="37" s="1"/>
  <c r="L1103" i="37"/>
  <c r="S1103" i="37" s="1"/>
  <c r="L1102" i="37"/>
  <c r="S1102" i="37" s="1"/>
  <c r="L1101" i="37"/>
  <c r="S1101" i="37" s="1"/>
  <c r="L1100" i="37"/>
  <c r="S1100" i="37" s="1"/>
  <c r="L1099" i="37"/>
  <c r="S1099" i="37" s="1"/>
  <c r="L1098" i="37"/>
  <c r="S1098" i="37" s="1"/>
  <c r="L1097" i="37"/>
  <c r="S1097" i="37" s="1"/>
  <c r="L1096" i="37"/>
  <c r="S1096" i="37" s="1"/>
  <c r="L1095" i="37"/>
  <c r="S1095" i="37" s="1"/>
  <c r="L1094" i="37"/>
  <c r="S1094" i="37" s="1"/>
  <c r="L1093" i="37"/>
  <c r="S1093" i="37" s="1"/>
  <c r="L1092" i="37"/>
  <c r="S1092" i="37" s="1"/>
  <c r="L1091" i="37"/>
  <c r="S1091" i="37" s="1"/>
  <c r="L1090" i="37"/>
  <c r="S1090" i="37" s="1"/>
  <c r="L1089" i="37"/>
  <c r="S1089" i="37" s="1"/>
  <c r="L1088" i="37"/>
  <c r="S1088" i="37" s="1"/>
  <c r="L1087" i="37"/>
  <c r="S1087" i="37" s="1"/>
  <c r="L1086" i="37"/>
  <c r="S1086" i="37" s="1"/>
  <c r="L1085" i="37"/>
  <c r="S1085" i="37" s="1"/>
  <c r="L1084" i="37"/>
  <c r="S1084" i="37" s="1"/>
  <c r="L1083" i="37"/>
  <c r="S1083" i="37" s="1"/>
  <c r="L1082" i="37"/>
  <c r="S1082" i="37" s="1"/>
  <c r="L1081" i="37"/>
  <c r="S1081" i="37" s="1"/>
  <c r="L1080" i="37"/>
  <c r="S1080" i="37" s="1"/>
  <c r="L1079" i="37"/>
  <c r="S1079" i="37" s="1"/>
  <c r="L1078" i="37"/>
  <c r="S1078" i="37" s="1"/>
  <c r="L1077" i="37"/>
  <c r="S1077" i="37" s="1"/>
  <c r="L1076" i="37"/>
  <c r="S1076" i="37" s="1"/>
  <c r="L1075" i="37"/>
  <c r="S1075" i="37" s="1"/>
  <c r="L1074" i="37"/>
  <c r="S1074" i="37" s="1"/>
  <c r="L1073" i="37"/>
  <c r="S1073" i="37" s="1"/>
  <c r="L1072" i="37"/>
  <c r="S1072" i="37" s="1"/>
  <c r="L1071" i="37"/>
  <c r="S1071" i="37" s="1"/>
  <c r="L1070" i="37"/>
  <c r="S1070" i="37" s="1"/>
  <c r="L1069" i="37"/>
  <c r="S1069" i="37" s="1"/>
  <c r="L1068" i="37"/>
  <c r="S1068" i="37" s="1"/>
  <c r="L1067" i="37"/>
  <c r="S1067" i="37" s="1"/>
  <c r="L1066" i="37"/>
  <c r="S1066" i="37" s="1"/>
  <c r="L1065" i="37"/>
  <c r="S1065" i="37" s="1"/>
  <c r="L1064" i="37"/>
  <c r="S1064" i="37" s="1"/>
  <c r="L1063" i="37"/>
  <c r="S1063" i="37" s="1"/>
  <c r="L1062" i="37"/>
  <c r="S1062" i="37" s="1"/>
  <c r="L1061" i="37"/>
  <c r="S1061" i="37" s="1"/>
  <c r="L1060" i="37"/>
  <c r="S1060" i="37" s="1"/>
  <c r="L1059" i="37"/>
  <c r="S1059" i="37" s="1"/>
  <c r="L1058" i="37"/>
  <c r="S1058" i="37" s="1"/>
  <c r="L1057" i="37"/>
  <c r="S1057" i="37" s="1"/>
  <c r="L1056" i="37"/>
  <c r="S1056" i="37" s="1"/>
  <c r="L1055" i="37"/>
  <c r="S1055" i="37" s="1"/>
  <c r="L1054" i="37"/>
  <c r="S1054" i="37" s="1"/>
  <c r="L1053" i="37"/>
  <c r="S1053" i="37" s="1"/>
  <c r="L1052" i="37"/>
  <c r="S1052" i="37" s="1"/>
  <c r="L1051" i="37"/>
  <c r="S1051" i="37" s="1"/>
  <c r="L1050" i="37"/>
  <c r="S1050" i="37" s="1"/>
  <c r="L1049" i="37"/>
  <c r="S1049" i="37" s="1"/>
  <c r="L1048" i="37"/>
  <c r="S1048" i="37" s="1"/>
  <c r="L1047" i="37"/>
  <c r="S1047" i="37" s="1"/>
  <c r="L1046" i="37"/>
  <c r="S1046" i="37" s="1"/>
  <c r="L1045" i="37"/>
  <c r="S1045" i="37" s="1"/>
  <c r="L1044" i="37"/>
  <c r="S1044" i="37" s="1"/>
  <c r="L1043" i="37"/>
  <c r="S1043" i="37" s="1"/>
  <c r="L1042" i="37"/>
  <c r="S1042" i="37" s="1"/>
  <c r="L1041" i="37"/>
  <c r="S1041" i="37" s="1"/>
  <c r="L1040" i="37"/>
  <c r="S1040" i="37" s="1"/>
  <c r="L1039" i="37"/>
  <c r="S1039" i="37" s="1"/>
  <c r="L1038" i="37"/>
  <c r="S1038" i="37" s="1"/>
  <c r="L1037" i="37"/>
  <c r="S1037" i="37" s="1"/>
  <c r="L1036" i="37"/>
  <c r="S1036" i="37" s="1"/>
  <c r="L1035" i="37"/>
  <c r="S1035" i="37" s="1"/>
  <c r="L1034" i="37"/>
  <c r="S1034" i="37" s="1"/>
  <c r="L1033" i="37"/>
  <c r="S1033" i="37" s="1"/>
  <c r="L1032" i="37"/>
  <c r="S1032" i="37" s="1"/>
  <c r="L1031" i="37"/>
  <c r="S1031" i="37" s="1"/>
  <c r="L1030" i="37"/>
  <c r="S1030" i="37" s="1"/>
  <c r="L1029" i="37"/>
  <c r="S1029" i="37" s="1"/>
  <c r="L1028" i="37"/>
  <c r="S1028" i="37" s="1"/>
  <c r="L1027" i="37"/>
  <c r="S1027" i="37" s="1"/>
  <c r="L1026" i="37"/>
  <c r="S1026" i="37" s="1"/>
  <c r="L1025" i="37"/>
  <c r="S1025" i="37" s="1"/>
  <c r="L1024" i="37"/>
  <c r="S1024" i="37" s="1"/>
  <c r="L1023" i="37"/>
  <c r="S1023" i="37" s="1"/>
  <c r="L1022" i="37"/>
  <c r="S1022" i="37" s="1"/>
  <c r="L1021" i="37"/>
  <c r="S1021" i="37" s="1"/>
  <c r="L1020" i="37"/>
  <c r="S1020" i="37" s="1"/>
  <c r="L1019" i="37"/>
  <c r="S1019" i="37" s="1"/>
  <c r="L1018" i="37"/>
  <c r="S1018" i="37" s="1"/>
  <c r="L1017" i="37"/>
  <c r="S1017" i="37" s="1"/>
  <c r="L1016" i="37"/>
  <c r="S1016" i="37" s="1"/>
  <c r="L1015" i="37"/>
  <c r="S1015" i="37" s="1"/>
  <c r="L1014" i="37"/>
  <c r="S1014" i="37" s="1"/>
  <c r="L1013" i="37"/>
  <c r="S1013" i="37" s="1"/>
  <c r="L1012" i="37"/>
  <c r="S1012" i="37" s="1"/>
  <c r="L1011" i="37"/>
  <c r="S1011" i="37" s="1"/>
  <c r="L1010" i="37"/>
  <c r="S1010" i="37" s="1"/>
  <c r="L1009" i="37"/>
  <c r="S1009" i="37" s="1"/>
  <c r="L1008" i="37"/>
  <c r="S1008" i="37" s="1"/>
  <c r="L1007" i="37"/>
  <c r="S1007" i="37" s="1"/>
  <c r="L1006" i="37"/>
  <c r="S1006" i="37" s="1"/>
  <c r="L1005" i="37"/>
  <c r="S1005" i="37" s="1"/>
  <c r="L1004" i="37"/>
  <c r="S1004" i="37" s="1"/>
  <c r="L1003" i="37"/>
  <c r="S1003" i="37" s="1"/>
  <c r="L1002" i="37"/>
  <c r="S1002" i="37" s="1"/>
  <c r="L1001" i="37"/>
  <c r="S1001" i="37" s="1"/>
  <c r="L1000" i="37"/>
  <c r="S1000" i="37" s="1"/>
  <c r="L999" i="37"/>
  <c r="S999" i="37" s="1"/>
  <c r="L998" i="37"/>
  <c r="S998" i="37" s="1"/>
  <c r="L997" i="37"/>
  <c r="S997" i="37" s="1"/>
  <c r="L996" i="37"/>
  <c r="S996" i="37" s="1"/>
  <c r="L995" i="37"/>
  <c r="S995" i="37" s="1"/>
  <c r="L994" i="37"/>
  <c r="S994" i="37" s="1"/>
  <c r="L993" i="37"/>
  <c r="S993" i="37" s="1"/>
  <c r="L992" i="37"/>
  <c r="S992" i="37" s="1"/>
  <c r="L991" i="37"/>
  <c r="S991" i="37" s="1"/>
  <c r="L990" i="37"/>
  <c r="S990" i="37" s="1"/>
  <c r="L989" i="37"/>
  <c r="S989" i="37" s="1"/>
  <c r="L988" i="37"/>
  <c r="S988" i="37" s="1"/>
  <c r="L987" i="37"/>
  <c r="S987" i="37" s="1"/>
  <c r="L986" i="37"/>
  <c r="S986" i="37" s="1"/>
  <c r="L985" i="37"/>
  <c r="S985" i="37" s="1"/>
  <c r="L984" i="37"/>
  <c r="S984" i="37" s="1"/>
  <c r="L983" i="37"/>
  <c r="S983" i="37" s="1"/>
  <c r="L982" i="37"/>
  <c r="S982" i="37" s="1"/>
  <c r="L981" i="37"/>
  <c r="S981" i="37" s="1"/>
  <c r="L980" i="37"/>
  <c r="S980" i="37" s="1"/>
  <c r="L979" i="37"/>
  <c r="S979" i="37" s="1"/>
  <c r="L978" i="37"/>
  <c r="S978" i="37" s="1"/>
  <c r="L977" i="37"/>
  <c r="S977" i="37" s="1"/>
  <c r="L976" i="37"/>
  <c r="S976" i="37" s="1"/>
  <c r="L975" i="37"/>
  <c r="S975" i="37" s="1"/>
  <c r="L974" i="37"/>
  <c r="S974" i="37" s="1"/>
  <c r="L973" i="37"/>
  <c r="S973" i="37" s="1"/>
  <c r="L972" i="37"/>
  <c r="S972" i="37" s="1"/>
  <c r="L971" i="37"/>
  <c r="S971" i="37" s="1"/>
  <c r="L970" i="37"/>
  <c r="S970" i="37" s="1"/>
  <c r="L969" i="37"/>
  <c r="S969" i="37" s="1"/>
  <c r="L968" i="37"/>
  <c r="S968" i="37" s="1"/>
  <c r="L967" i="37"/>
  <c r="S967" i="37" s="1"/>
  <c r="L966" i="37"/>
  <c r="S966" i="37" s="1"/>
  <c r="L965" i="37"/>
  <c r="S965" i="37" s="1"/>
  <c r="L964" i="37"/>
  <c r="S964" i="37" s="1"/>
  <c r="L963" i="37"/>
  <c r="S963" i="37" s="1"/>
  <c r="L962" i="37"/>
  <c r="S962" i="37" s="1"/>
  <c r="L961" i="37"/>
  <c r="S961" i="37" s="1"/>
  <c r="L960" i="37"/>
  <c r="S960" i="37" s="1"/>
  <c r="L959" i="37"/>
  <c r="S959" i="37" s="1"/>
  <c r="L958" i="37"/>
  <c r="S958" i="37" s="1"/>
  <c r="L957" i="37"/>
  <c r="S957" i="37" s="1"/>
  <c r="L956" i="37"/>
  <c r="S956" i="37" s="1"/>
  <c r="L955" i="37"/>
  <c r="S955" i="37" s="1"/>
  <c r="L954" i="37"/>
  <c r="S954" i="37" s="1"/>
  <c r="L953" i="37"/>
  <c r="S953" i="37" s="1"/>
  <c r="L952" i="37"/>
  <c r="S952" i="37" s="1"/>
  <c r="L951" i="37"/>
  <c r="S951" i="37" s="1"/>
  <c r="L950" i="37"/>
  <c r="S950" i="37" s="1"/>
  <c r="L949" i="37"/>
  <c r="S949" i="37" s="1"/>
  <c r="L948" i="37"/>
  <c r="S948" i="37" s="1"/>
  <c r="L947" i="37"/>
  <c r="S947" i="37" s="1"/>
  <c r="L946" i="37"/>
  <c r="S946" i="37" s="1"/>
  <c r="L945" i="37"/>
  <c r="S945" i="37" s="1"/>
  <c r="L944" i="37"/>
  <c r="S944" i="37" s="1"/>
  <c r="L943" i="37"/>
  <c r="S943" i="37" s="1"/>
  <c r="L942" i="37"/>
  <c r="S942" i="37" s="1"/>
  <c r="L941" i="37"/>
  <c r="S941" i="37" s="1"/>
  <c r="L940" i="37"/>
  <c r="S940" i="37" s="1"/>
  <c r="L939" i="37"/>
  <c r="S939" i="37" s="1"/>
  <c r="L938" i="37"/>
  <c r="S938" i="37" s="1"/>
  <c r="L937" i="37"/>
  <c r="S937" i="37" s="1"/>
  <c r="L838" i="37"/>
  <c r="S838" i="37" s="1"/>
  <c r="L837" i="37"/>
  <c r="S837" i="37" s="1"/>
  <c r="L836" i="37"/>
  <c r="S836" i="37" s="1"/>
  <c r="L835" i="37"/>
  <c r="S835" i="37" s="1"/>
  <c r="L834" i="37"/>
  <c r="S834" i="37" s="1"/>
  <c r="L833" i="37"/>
  <c r="S833" i="37" s="1"/>
  <c r="L832" i="37"/>
  <c r="S832" i="37" s="1"/>
  <c r="L831" i="37"/>
  <c r="S831" i="37" s="1"/>
  <c r="L830" i="37"/>
  <c r="S830" i="37" s="1"/>
  <c r="L829" i="37"/>
  <c r="S829" i="37" s="1"/>
  <c r="L828" i="37"/>
  <c r="S828" i="37" s="1"/>
  <c r="L827" i="37"/>
  <c r="S827" i="37" s="1"/>
  <c r="L826" i="37"/>
  <c r="S826" i="37" s="1"/>
  <c r="L825" i="37"/>
  <c r="S825" i="37" s="1"/>
  <c r="L824" i="37"/>
  <c r="S824" i="37" s="1"/>
  <c r="L823" i="37"/>
  <c r="S823" i="37" s="1"/>
  <c r="L822" i="37"/>
  <c r="S822" i="37" s="1"/>
  <c r="L821" i="37"/>
  <c r="S821" i="37" s="1"/>
  <c r="L820" i="37"/>
  <c r="S820" i="37" s="1"/>
  <c r="L819" i="37"/>
  <c r="S819" i="37" s="1"/>
  <c r="L818" i="37"/>
  <c r="S818" i="37" s="1"/>
  <c r="L817" i="37"/>
  <c r="S817" i="37" s="1"/>
  <c r="L816" i="37"/>
  <c r="S816" i="37" s="1"/>
  <c r="L815" i="37"/>
  <c r="S815" i="37" s="1"/>
  <c r="L814" i="37"/>
  <c r="S814" i="37" s="1"/>
  <c r="L813" i="37"/>
  <c r="S813" i="37" s="1"/>
  <c r="L812" i="37"/>
  <c r="S812" i="37" s="1"/>
  <c r="L811" i="37"/>
  <c r="S811" i="37" s="1"/>
  <c r="L810" i="37"/>
  <c r="S810" i="37" s="1"/>
  <c r="L809" i="37"/>
  <c r="S809" i="37" s="1"/>
  <c r="L808" i="37"/>
  <c r="S808" i="37" s="1"/>
  <c r="L807" i="37"/>
  <c r="S807" i="37" s="1"/>
  <c r="L806" i="37"/>
  <c r="S806" i="37" s="1"/>
  <c r="L805" i="37"/>
  <c r="S805" i="37" s="1"/>
  <c r="L804" i="37"/>
  <c r="S804" i="37" s="1"/>
  <c r="L803" i="37"/>
  <c r="S803" i="37" s="1"/>
  <c r="L802" i="37"/>
  <c r="S802" i="37" s="1"/>
  <c r="L801" i="37"/>
  <c r="S801" i="37" s="1"/>
  <c r="L800" i="37"/>
  <c r="S800" i="37" s="1"/>
  <c r="L799" i="37"/>
  <c r="S799" i="37" s="1"/>
  <c r="L798" i="37"/>
  <c r="S798" i="37" s="1"/>
  <c r="L797" i="37"/>
  <c r="S797" i="37" s="1"/>
  <c r="L796" i="37"/>
  <c r="S796" i="37" s="1"/>
  <c r="L795" i="37"/>
  <c r="S795" i="37" s="1"/>
  <c r="L794" i="37"/>
  <c r="S794" i="37" s="1"/>
  <c r="L793" i="37"/>
  <c r="S793" i="37" s="1"/>
  <c r="L792" i="37"/>
  <c r="S792" i="37" s="1"/>
  <c r="L791" i="37"/>
  <c r="S791" i="37" s="1"/>
  <c r="L790" i="37"/>
  <c r="S790" i="37" s="1"/>
  <c r="L789" i="37"/>
  <c r="S789" i="37" s="1"/>
  <c r="L788" i="37"/>
  <c r="S788" i="37" s="1"/>
  <c r="L787" i="37"/>
  <c r="S787" i="37" s="1"/>
  <c r="L786" i="37"/>
  <c r="S786" i="37" s="1"/>
  <c r="L785" i="37"/>
  <c r="S785" i="37" s="1"/>
  <c r="L784" i="37"/>
  <c r="S784" i="37" s="1"/>
  <c r="L783" i="37"/>
  <c r="S783" i="37" s="1"/>
  <c r="L782" i="37"/>
  <c r="S782" i="37" s="1"/>
  <c r="L781" i="37"/>
  <c r="S781" i="37" s="1"/>
  <c r="L780" i="37"/>
  <c r="S780" i="37" s="1"/>
  <c r="L779" i="37"/>
  <c r="S779" i="37" s="1"/>
  <c r="L778" i="37"/>
  <c r="S778" i="37" s="1"/>
  <c r="L777" i="37"/>
  <c r="S777" i="37" s="1"/>
  <c r="L776" i="37"/>
  <c r="S776" i="37" s="1"/>
  <c r="L775" i="37"/>
  <c r="S775" i="37" s="1"/>
  <c r="L774" i="37"/>
  <c r="S774" i="37" s="1"/>
  <c r="L773" i="37"/>
  <c r="S773" i="37" s="1"/>
  <c r="L772" i="37"/>
  <c r="S772" i="37" s="1"/>
  <c r="L771" i="37"/>
  <c r="S771" i="37" s="1"/>
  <c r="L770" i="37"/>
  <c r="S770" i="37" s="1"/>
  <c r="L769" i="37"/>
  <c r="S769" i="37" s="1"/>
  <c r="L768" i="37"/>
  <c r="S768" i="37" s="1"/>
  <c r="L767" i="37"/>
  <c r="S767" i="37" s="1"/>
  <c r="L766" i="37"/>
  <c r="S766" i="37" s="1"/>
  <c r="L765" i="37"/>
  <c r="S765" i="37" s="1"/>
  <c r="L764" i="37"/>
  <c r="S764" i="37" s="1"/>
  <c r="L763" i="37"/>
  <c r="S763" i="37" s="1"/>
  <c r="L762" i="37"/>
  <c r="S762" i="37" s="1"/>
  <c r="L761" i="37"/>
  <c r="S761" i="37" s="1"/>
  <c r="L760" i="37"/>
  <c r="S760" i="37" s="1"/>
  <c r="L759" i="37"/>
  <c r="S759" i="37" s="1"/>
  <c r="L758" i="37"/>
  <c r="S758" i="37" s="1"/>
  <c r="L757" i="37"/>
  <c r="S757" i="37" s="1"/>
  <c r="L756" i="37"/>
  <c r="S756" i="37" s="1"/>
  <c r="L755" i="37"/>
  <c r="S755" i="37" s="1"/>
  <c r="L754" i="37"/>
  <c r="S754" i="37" s="1"/>
  <c r="L753" i="37"/>
  <c r="S753" i="37" s="1"/>
  <c r="L752" i="37"/>
  <c r="S752" i="37" s="1"/>
  <c r="L751" i="37"/>
  <c r="S751" i="37" s="1"/>
  <c r="L750" i="37"/>
  <c r="S750" i="37" s="1"/>
  <c r="L749" i="37"/>
  <c r="S749" i="37" s="1"/>
  <c r="L748" i="37"/>
  <c r="S748" i="37" s="1"/>
  <c r="L747" i="37"/>
  <c r="S747" i="37" s="1"/>
  <c r="L746" i="37"/>
  <c r="S746" i="37" s="1"/>
  <c r="L745" i="37"/>
  <c r="S745" i="37" s="1"/>
  <c r="L744" i="37"/>
  <c r="S744" i="37" s="1"/>
  <c r="L743" i="37"/>
  <c r="S743" i="37" s="1"/>
  <c r="L742" i="37"/>
  <c r="S742" i="37" s="1"/>
  <c r="L741" i="37"/>
  <c r="S741" i="37" s="1"/>
  <c r="L740" i="37"/>
  <c r="S740" i="37" s="1"/>
  <c r="L739" i="37"/>
  <c r="S739" i="37" s="1"/>
  <c r="L738" i="37"/>
  <c r="S738" i="37" s="1"/>
  <c r="L737" i="37"/>
  <c r="S737" i="37" s="1"/>
  <c r="L736" i="37"/>
  <c r="S736" i="37" s="1"/>
  <c r="L735" i="37"/>
  <c r="S735" i="37" s="1"/>
  <c r="L734" i="37"/>
  <c r="S734" i="37" s="1"/>
  <c r="L733" i="37"/>
  <c r="S733" i="37" s="1"/>
  <c r="L732" i="37"/>
  <c r="S732" i="37" s="1"/>
  <c r="L731" i="37"/>
  <c r="S731" i="37" s="1"/>
  <c r="L730" i="37"/>
  <c r="S730" i="37" s="1"/>
  <c r="L729" i="37"/>
  <c r="S729" i="37" s="1"/>
  <c r="L728" i="37"/>
  <c r="S728" i="37" s="1"/>
  <c r="L727" i="37"/>
  <c r="S727" i="37" s="1"/>
  <c r="L726" i="37"/>
  <c r="S726" i="37" s="1"/>
  <c r="L725" i="37"/>
  <c r="S725" i="37" s="1"/>
  <c r="L724" i="37"/>
  <c r="S724" i="37" s="1"/>
  <c r="L723" i="37"/>
  <c r="S723" i="37" s="1"/>
  <c r="L722" i="37"/>
  <c r="S722" i="37" s="1"/>
  <c r="L721" i="37"/>
  <c r="S721" i="37" s="1"/>
  <c r="L720" i="37"/>
  <c r="S720" i="37" s="1"/>
  <c r="L719" i="37"/>
  <c r="S719" i="37" s="1"/>
  <c r="L718" i="37"/>
  <c r="S718" i="37" s="1"/>
  <c r="L717" i="37"/>
  <c r="S717" i="37" s="1"/>
  <c r="L716" i="37"/>
  <c r="S716" i="37" s="1"/>
  <c r="L715" i="37"/>
  <c r="S715" i="37" s="1"/>
  <c r="L714" i="37"/>
  <c r="S714" i="37" s="1"/>
  <c r="L713" i="37"/>
  <c r="S713" i="37" s="1"/>
  <c r="L712" i="37"/>
  <c r="S712" i="37" s="1"/>
  <c r="L711" i="37"/>
  <c r="S711" i="37" s="1"/>
  <c r="L710" i="37"/>
  <c r="S710" i="37" s="1"/>
  <c r="L709" i="37"/>
  <c r="S709" i="37" s="1"/>
  <c r="L708" i="37"/>
  <c r="S708" i="37" s="1"/>
  <c r="L707" i="37"/>
  <c r="S707" i="37" s="1"/>
  <c r="L706" i="37"/>
  <c r="S706" i="37" s="1"/>
  <c r="L705" i="37"/>
  <c r="S705" i="37" s="1"/>
  <c r="L704" i="37"/>
  <c r="S704" i="37" s="1"/>
  <c r="L703" i="37"/>
  <c r="S703" i="37" s="1"/>
  <c r="L702" i="37"/>
  <c r="S702" i="37" s="1"/>
  <c r="L701" i="37"/>
  <c r="S701" i="37" s="1"/>
  <c r="L700" i="37"/>
  <c r="S700" i="37" s="1"/>
  <c r="L699" i="37"/>
  <c r="S699" i="37" s="1"/>
  <c r="L698" i="37"/>
  <c r="S698" i="37" s="1"/>
  <c r="L697" i="37"/>
  <c r="S697" i="37" s="1"/>
  <c r="L696" i="37"/>
  <c r="S696" i="37" s="1"/>
  <c r="L695" i="37"/>
  <c r="S695" i="37" s="1"/>
  <c r="L694" i="37"/>
  <c r="S694" i="37" s="1"/>
  <c r="L693" i="37"/>
  <c r="S693" i="37" s="1"/>
  <c r="L692" i="37"/>
  <c r="S692" i="37" s="1"/>
  <c r="L691" i="37"/>
  <c r="S691" i="37" s="1"/>
  <c r="L690" i="37"/>
  <c r="S690" i="37" s="1"/>
  <c r="L689" i="37"/>
  <c r="S689" i="37" s="1"/>
  <c r="L688" i="37"/>
  <c r="S688" i="37" s="1"/>
  <c r="L687" i="37"/>
  <c r="S687" i="37" s="1"/>
  <c r="L686" i="37"/>
  <c r="S686" i="37" s="1"/>
  <c r="L685" i="37"/>
  <c r="S685" i="37" s="1"/>
  <c r="L684" i="37"/>
  <c r="S684" i="37" s="1"/>
  <c r="L683" i="37"/>
  <c r="S683" i="37" s="1"/>
  <c r="L682" i="37"/>
  <c r="S682" i="37" s="1"/>
  <c r="L681" i="37"/>
  <c r="S681" i="37" s="1"/>
  <c r="L680" i="37"/>
  <c r="S680" i="37" s="1"/>
  <c r="L679" i="37"/>
  <c r="S679" i="37" s="1"/>
  <c r="L678" i="37"/>
  <c r="S678" i="37" s="1"/>
  <c r="L677" i="37"/>
  <c r="S677" i="37" s="1"/>
  <c r="L676" i="37"/>
  <c r="S676" i="37" s="1"/>
  <c r="L675" i="37"/>
  <c r="S675" i="37" s="1"/>
  <c r="L674" i="37"/>
  <c r="S674" i="37" s="1"/>
  <c r="L673" i="37"/>
  <c r="S673" i="37" s="1"/>
  <c r="L672" i="37"/>
  <c r="S672" i="37" s="1"/>
  <c r="L671" i="37"/>
  <c r="S671" i="37" s="1"/>
  <c r="L670" i="37"/>
  <c r="S670" i="37" s="1"/>
  <c r="L669" i="37"/>
  <c r="S669" i="37" s="1"/>
  <c r="L668" i="37"/>
  <c r="S668" i="37" s="1"/>
  <c r="L667" i="37"/>
  <c r="S667" i="37" s="1"/>
  <c r="L666" i="37"/>
  <c r="S666" i="37" s="1"/>
  <c r="L665" i="37"/>
  <c r="S665" i="37" s="1"/>
  <c r="L664" i="37"/>
  <c r="S664" i="37" s="1"/>
  <c r="L663" i="37"/>
  <c r="S663" i="37" s="1"/>
  <c r="L662" i="37"/>
  <c r="S662" i="37" s="1"/>
  <c r="L661" i="37"/>
  <c r="S661" i="37" s="1"/>
  <c r="L660" i="37"/>
  <c r="S660" i="37" s="1"/>
  <c r="L659" i="37"/>
  <c r="S659" i="37" s="1"/>
  <c r="L658" i="37"/>
  <c r="S658" i="37" s="1"/>
  <c r="L657" i="37"/>
  <c r="S657" i="37" s="1"/>
  <c r="L656" i="37"/>
  <c r="S656" i="37" s="1"/>
  <c r="L655" i="37"/>
  <c r="S655" i="37" s="1"/>
  <c r="L654" i="37"/>
  <c r="S654" i="37" s="1"/>
  <c r="L653" i="37"/>
  <c r="S653" i="37" s="1"/>
  <c r="L652" i="37"/>
  <c r="S652" i="37" s="1"/>
  <c r="L651" i="37"/>
  <c r="S651" i="37" s="1"/>
  <c r="L650" i="37"/>
  <c r="S650" i="37" s="1"/>
  <c r="L649" i="37"/>
  <c r="S649" i="37" s="1"/>
  <c r="L648" i="37"/>
  <c r="S648" i="37" s="1"/>
  <c r="L647" i="37"/>
  <c r="S647" i="37" s="1"/>
  <c r="L646" i="37"/>
  <c r="S646" i="37" s="1"/>
  <c r="L645" i="37"/>
  <c r="S645" i="37" s="1"/>
  <c r="L644" i="37"/>
  <c r="S644" i="37" s="1"/>
  <c r="L643" i="37"/>
  <c r="S643" i="37" s="1"/>
  <c r="L642" i="37"/>
  <c r="S642" i="37" s="1"/>
  <c r="L641" i="37"/>
  <c r="S641" i="37" s="1"/>
  <c r="L640" i="37"/>
  <c r="S640" i="37" s="1"/>
  <c r="L639" i="37"/>
  <c r="S639" i="37" s="1"/>
  <c r="L638" i="37"/>
  <c r="S638" i="37" s="1"/>
  <c r="L637" i="37"/>
  <c r="S637" i="37" s="1"/>
  <c r="L636" i="37"/>
  <c r="S636" i="37" s="1"/>
  <c r="L635" i="37"/>
  <c r="S635" i="37" s="1"/>
  <c r="L634" i="37"/>
  <c r="S634" i="37" s="1"/>
  <c r="L633" i="37"/>
  <c r="S633" i="37" s="1"/>
  <c r="L632" i="37"/>
  <c r="S632" i="37" s="1"/>
  <c r="L631" i="37"/>
  <c r="S631" i="37" s="1"/>
  <c r="L630" i="37"/>
  <c r="S630" i="37" s="1"/>
  <c r="L629" i="37"/>
  <c r="S629" i="37" s="1"/>
  <c r="L628" i="37"/>
  <c r="S628" i="37" s="1"/>
  <c r="L627" i="37"/>
  <c r="S627" i="37" s="1"/>
  <c r="L626" i="37"/>
  <c r="S626" i="37" s="1"/>
  <c r="L625" i="37"/>
  <c r="S625" i="37" s="1"/>
  <c r="L624" i="37"/>
  <c r="S624" i="37" s="1"/>
  <c r="L623" i="37"/>
  <c r="S623" i="37" s="1"/>
  <c r="L622" i="37"/>
  <c r="S622" i="37" s="1"/>
  <c r="L621" i="37"/>
  <c r="S621" i="37" s="1"/>
  <c r="L620" i="37"/>
  <c r="S620" i="37" s="1"/>
  <c r="L619" i="37"/>
  <c r="S619" i="37" s="1"/>
  <c r="L618" i="37"/>
  <c r="S618" i="37" s="1"/>
  <c r="L617" i="37"/>
  <c r="S617" i="37" s="1"/>
  <c r="L616" i="37"/>
  <c r="S616" i="37" s="1"/>
  <c r="L615" i="37"/>
  <c r="S615" i="37" s="1"/>
  <c r="L614" i="37"/>
  <c r="S614" i="37" s="1"/>
  <c r="L613" i="37"/>
  <c r="S613" i="37" s="1"/>
  <c r="L612" i="37"/>
  <c r="S612" i="37" s="1"/>
  <c r="L611" i="37"/>
  <c r="S611" i="37" s="1"/>
  <c r="L610" i="37"/>
  <c r="S610" i="37" s="1"/>
  <c r="L609" i="37"/>
  <c r="S609" i="37" s="1"/>
  <c r="L608" i="37"/>
  <c r="S608" i="37" s="1"/>
  <c r="L607" i="37"/>
  <c r="S607" i="37" s="1"/>
  <c r="L606" i="37"/>
  <c r="S606" i="37" s="1"/>
  <c r="L605" i="37"/>
  <c r="S605" i="37" s="1"/>
  <c r="L604" i="37"/>
  <c r="S604" i="37" s="1"/>
  <c r="L603" i="37"/>
  <c r="S603" i="37" s="1"/>
  <c r="L602" i="37"/>
  <c r="S602" i="37" s="1"/>
  <c r="L601" i="37"/>
  <c r="S601" i="37" s="1"/>
  <c r="L600" i="37"/>
  <c r="S600" i="37" s="1"/>
  <c r="L599" i="37"/>
  <c r="S599" i="37" s="1"/>
  <c r="L598" i="37"/>
  <c r="S598" i="37" s="1"/>
  <c r="L597" i="37"/>
  <c r="S597" i="37" s="1"/>
  <c r="L596" i="37"/>
  <c r="S596" i="37" s="1"/>
  <c r="L595" i="37"/>
  <c r="S595" i="37" s="1"/>
  <c r="L594" i="37"/>
  <c r="S594" i="37" s="1"/>
  <c r="L593" i="37"/>
  <c r="S593" i="37" s="1"/>
  <c r="L592" i="37"/>
  <c r="S592" i="37" s="1"/>
  <c r="L591" i="37"/>
  <c r="S591" i="37" s="1"/>
  <c r="L590" i="37"/>
  <c r="S590" i="37" s="1"/>
  <c r="L589" i="37"/>
  <c r="S589" i="37" s="1"/>
  <c r="L588" i="37"/>
  <c r="S588" i="37" s="1"/>
  <c r="L587" i="37"/>
  <c r="S587" i="37" s="1"/>
  <c r="L586" i="37"/>
  <c r="S586" i="37" s="1"/>
  <c r="L585" i="37"/>
  <c r="S585" i="37" s="1"/>
  <c r="L584" i="37"/>
  <c r="S584" i="37" s="1"/>
  <c r="L583" i="37"/>
  <c r="S583" i="37" s="1"/>
  <c r="L582" i="37"/>
  <c r="S582" i="37" s="1"/>
  <c r="L581" i="37"/>
  <c r="S581" i="37" s="1"/>
  <c r="L580" i="37"/>
  <c r="S580" i="37" s="1"/>
  <c r="L579" i="37"/>
  <c r="S579" i="37" s="1"/>
  <c r="L578" i="37"/>
  <c r="S578" i="37" s="1"/>
  <c r="L577" i="37"/>
  <c r="S577" i="37" s="1"/>
  <c r="L576" i="37"/>
  <c r="S576" i="37" s="1"/>
  <c r="L575" i="37"/>
  <c r="S575" i="37" s="1"/>
  <c r="L574" i="37"/>
  <c r="S574" i="37" s="1"/>
  <c r="L573" i="37"/>
  <c r="S573" i="37" s="1"/>
  <c r="L572" i="37"/>
  <c r="S572" i="37" s="1"/>
  <c r="L571" i="37"/>
  <c r="S571" i="37" s="1"/>
  <c r="L570" i="37"/>
  <c r="S570" i="37" s="1"/>
  <c r="L569" i="37"/>
  <c r="S569" i="37" s="1"/>
  <c r="L568" i="37"/>
  <c r="S568" i="37" s="1"/>
  <c r="L567" i="37"/>
  <c r="S567" i="37" s="1"/>
  <c r="L566" i="37"/>
  <c r="S566" i="37" s="1"/>
  <c r="L565" i="37"/>
  <c r="S565" i="37" s="1"/>
  <c r="L564" i="37"/>
  <c r="S564" i="37" s="1"/>
  <c r="L563" i="37"/>
  <c r="S563" i="37" s="1"/>
  <c r="L562" i="37"/>
  <c r="S562" i="37" s="1"/>
  <c r="L561" i="37"/>
  <c r="S561" i="37" s="1"/>
  <c r="L560" i="37"/>
  <c r="S560" i="37" s="1"/>
  <c r="L559" i="37"/>
  <c r="S559" i="37" s="1"/>
  <c r="L558" i="37"/>
  <c r="S558" i="37" s="1"/>
  <c r="L557" i="37"/>
  <c r="S557" i="37" s="1"/>
  <c r="L556" i="37"/>
  <c r="S556" i="37" s="1"/>
  <c r="L555" i="37"/>
  <c r="S555" i="37" s="1"/>
  <c r="L554" i="37"/>
  <c r="S554" i="37" s="1"/>
  <c r="L553" i="37"/>
  <c r="S553" i="37" s="1"/>
  <c r="L552" i="37"/>
  <c r="S552" i="37" s="1"/>
  <c r="L551" i="37"/>
  <c r="S551" i="37" s="1"/>
  <c r="L550" i="37"/>
  <c r="S550" i="37" s="1"/>
  <c r="L549" i="37"/>
  <c r="S549" i="37" s="1"/>
  <c r="L548" i="37"/>
  <c r="S548" i="37" s="1"/>
  <c r="L547" i="37"/>
  <c r="S547" i="37" s="1"/>
  <c r="L546" i="37"/>
  <c r="S546" i="37" s="1"/>
  <c r="L545" i="37"/>
  <c r="S545" i="37" s="1"/>
  <c r="L446" i="37"/>
  <c r="S446" i="37" s="1"/>
  <c r="L445" i="37"/>
  <c r="S445" i="37" s="1"/>
  <c r="L444" i="37"/>
  <c r="S444" i="37" s="1"/>
  <c r="L443" i="37"/>
  <c r="S443" i="37" s="1"/>
  <c r="L442" i="37"/>
  <c r="S442" i="37" s="1"/>
  <c r="L441" i="37"/>
  <c r="S441" i="37" s="1"/>
  <c r="L440" i="37"/>
  <c r="S440" i="37" s="1"/>
  <c r="L439" i="37"/>
  <c r="S439" i="37" s="1"/>
  <c r="L438" i="37"/>
  <c r="S438" i="37" s="1"/>
  <c r="L437" i="37"/>
  <c r="S437" i="37" s="1"/>
  <c r="L436" i="37"/>
  <c r="S436" i="37" s="1"/>
  <c r="L435" i="37"/>
  <c r="S435" i="37" s="1"/>
  <c r="L434" i="37"/>
  <c r="S434" i="37" s="1"/>
  <c r="L433" i="37"/>
  <c r="S433" i="37" s="1"/>
  <c r="L432" i="37"/>
  <c r="S432" i="37" s="1"/>
  <c r="L431" i="37"/>
  <c r="S431" i="37" s="1"/>
  <c r="L430" i="37"/>
  <c r="S430" i="37" s="1"/>
  <c r="L429" i="37"/>
  <c r="S429" i="37" s="1"/>
  <c r="L428" i="37"/>
  <c r="S428" i="37" s="1"/>
  <c r="L427" i="37"/>
  <c r="S427" i="37" s="1"/>
  <c r="L426" i="37"/>
  <c r="S426" i="37" s="1"/>
  <c r="L425" i="37"/>
  <c r="S425" i="37" s="1"/>
  <c r="L424" i="37"/>
  <c r="S424" i="37" s="1"/>
  <c r="L423" i="37"/>
  <c r="S423" i="37" s="1"/>
  <c r="L422" i="37"/>
  <c r="S422" i="37" s="1"/>
  <c r="L421" i="37"/>
  <c r="S421" i="37" s="1"/>
  <c r="L420" i="37"/>
  <c r="S420" i="37" s="1"/>
  <c r="L419" i="37"/>
  <c r="S419" i="37" s="1"/>
  <c r="L418" i="37"/>
  <c r="S418" i="37" s="1"/>
  <c r="L417" i="37"/>
  <c r="S417" i="37" s="1"/>
  <c r="L416" i="37"/>
  <c r="S416" i="37" s="1"/>
  <c r="L415" i="37"/>
  <c r="S415" i="37" s="1"/>
  <c r="L414" i="37"/>
  <c r="S414" i="37" s="1"/>
  <c r="L413" i="37"/>
  <c r="S413" i="37" s="1"/>
  <c r="L412" i="37"/>
  <c r="S412" i="37" s="1"/>
  <c r="L411" i="37"/>
  <c r="S411" i="37" s="1"/>
  <c r="L410" i="37"/>
  <c r="S410" i="37" s="1"/>
  <c r="L409" i="37"/>
  <c r="S409" i="37" s="1"/>
  <c r="L408" i="37"/>
  <c r="S408" i="37" s="1"/>
  <c r="L407" i="37"/>
  <c r="S407" i="37" s="1"/>
  <c r="L406" i="37"/>
  <c r="S406" i="37" s="1"/>
  <c r="L405" i="37"/>
  <c r="S405" i="37" s="1"/>
  <c r="L404" i="37"/>
  <c r="S404" i="37" s="1"/>
  <c r="L403" i="37"/>
  <c r="S403" i="37" s="1"/>
  <c r="L402" i="37"/>
  <c r="S402" i="37" s="1"/>
  <c r="L401" i="37"/>
  <c r="S401" i="37" s="1"/>
  <c r="L400" i="37"/>
  <c r="S400" i="37" s="1"/>
  <c r="L399" i="37"/>
  <c r="S399" i="37" s="1"/>
  <c r="L398" i="37"/>
  <c r="S398" i="37" s="1"/>
  <c r="L397" i="37"/>
  <c r="S397" i="37" s="1"/>
  <c r="L396" i="37"/>
  <c r="S396" i="37" s="1"/>
  <c r="L395" i="37"/>
  <c r="S395" i="37" s="1"/>
  <c r="L394" i="37"/>
  <c r="S394" i="37" s="1"/>
  <c r="L393" i="37"/>
  <c r="S393" i="37" s="1"/>
  <c r="L392" i="37"/>
  <c r="S392" i="37" s="1"/>
  <c r="L391" i="37"/>
  <c r="S391" i="37" s="1"/>
  <c r="L390" i="37"/>
  <c r="S390" i="37" s="1"/>
  <c r="L389" i="37"/>
  <c r="S389" i="37" s="1"/>
  <c r="L388" i="37"/>
  <c r="S388" i="37" s="1"/>
  <c r="L387" i="37"/>
  <c r="S387" i="37" s="1"/>
  <c r="L386" i="37"/>
  <c r="S386" i="37" s="1"/>
  <c r="L385" i="37"/>
  <c r="S385" i="37" s="1"/>
  <c r="L384" i="37"/>
  <c r="S384" i="37" s="1"/>
  <c r="L383" i="37"/>
  <c r="S383" i="37" s="1"/>
  <c r="L382" i="37"/>
  <c r="S382" i="37" s="1"/>
  <c r="L381" i="37"/>
  <c r="S381" i="37" s="1"/>
  <c r="L380" i="37"/>
  <c r="S380" i="37" s="1"/>
  <c r="L379" i="37"/>
  <c r="S379" i="37" s="1"/>
  <c r="L378" i="37"/>
  <c r="S378" i="37" s="1"/>
  <c r="L377" i="37"/>
  <c r="S377" i="37" s="1"/>
  <c r="L376" i="37"/>
  <c r="S376" i="37" s="1"/>
  <c r="L375" i="37"/>
  <c r="S375" i="37" s="1"/>
  <c r="L374" i="37"/>
  <c r="S374" i="37" s="1"/>
  <c r="L373" i="37"/>
  <c r="S373" i="37" s="1"/>
  <c r="L372" i="37"/>
  <c r="S372" i="37" s="1"/>
  <c r="L371" i="37"/>
  <c r="S371" i="37" s="1"/>
  <c r="L370" i="37"/>
  <c r="S370" i="37" s="1"/>
  <c r="L369" i="37"/>
  <c r="S369" i="37" s="1"/>
  <c r="L368" i="37"/>
  <c r="S368" i="37" s="1"/>
  <c r="L367" i="37"/>
  <c r="S367" i="37" s="1"/>
  <c r="L366" i="37"/>
  <c r="S366" i="37" s="1"/>
  <c r="L365" i="37"/>
  <c r="S365" i="37" s="1"/>
  <c r="L364" i="37"/>
  <c r="S364" i="37" s="1"/>
  <c r="L363" i="37"/>
  <c r="S363" i="37" s="1"/>
  <c r="L362" i="37"/>
  <c r="S362" i="37" s="1"/>
  <c r="L361" i="37"/>
  <c r="S361" i="37" s="1"/>
  <c r="L360" i="37"/>
  <c r="S360" i="37" s="1"/>
  <c r="L359" i="37"/>
  <c r="S359" i="37" s="1"/>
  <c r="L358" i="37"/>
  <c r="S358" i="37" s="1"/>
  <c r="L357" i="37"/>
  <c r="S357" i="37" s="1"/>
  <c r="L356" i="37"/>
  <c r="S356" i="37" s="1"/>
  <c r="L355" i="37"/>
  <c r="S355" i="37" s="1"/>
  <c r="L354" i="37"/>
  <c r="S354" i="37" s="1"/>
  <c r="L353" i="37"/>
  <c r="S353" i="37" s="1"/>
  <c r="L352" i="37"/>
  <c r="S352" i="37" s="1"/>
  <c r="L351" i="37"/>
  <c r="S351" i="37" s="1"/>
  <c r="L350" i="37"/>
  <c r="S350" i="37" s="1"/>
  <c r="L349" i="37"/>
  <c r="S349" i="37" s="1"/>
  <c r="L348" i="37"/>
  <c r="S348" i="37" s="1"/>
  <c r="L347" i="37"/>
  <c r="S347" i="37" s="1"/>
  <c r="L346" i="37"/>
  <c r="S346" i="37" s="1"/>
  <c r="L345" i="37"/>
  <c r="S345" i="37" s="1"/>
  <c r="L344" i="37"/>
  <c r="S344" i="37" s="1"/>
  <c r="L343" i="37"/>
  <c r="S343" i="37" s="1"/>
  <c r="L342" i="37"/>
  <c r="S342" i="37" s="1"/>
  <c r="L341" i="37"/>
  <c r="S341" i="37" s="1"/>
  <c r="L340" i="37"/>
  <c r="S340" i="37" s="1"/>
  <c r="L339" i="37"/>
  <c r="S339" i="37" s="1"/>
  <c r="L338" i="37"/>
  <c r="S338" i="37" s="1"/>
  <c r="L337" i="37"/>
  <c r="S337" i="37" s="1"/>
  <c r="L336" i="37"/>
  <c r="S336" i="37" s="1"/>
  <c r="L335" i="37"/>
  <c r="S335" i="37" s="1"/>
  <c r="L334" i="37"/>
  <c r="S334" i="37" s="1"/>
  <c r="L333" i="37"/>
  <c r="S333" i="37" s="1"/>
  <c r="L332" i="37"/>
  <c r="S332" i="37" s="1"/>
  <c r="L331" i="37"/>
  <c r="S331" i="37" s="1"/>
  <c r="L330" i="37"/>
  <c r="S330" i="37" s="1"/>
  <c r="L329" i="37"/>
  <c r="S329" i="37" s="1"/>
  <c r="L328" i="37"/>
  <c r="S328" i="37" s="1"/>
  <c r="L327" i="37"/>
  <c r="S327" i="37" s="1"/>
  <c r="L326" i="37"/>
  <c r="S326" i="37" s="1"/>
  <c r="L325" i="37"/>
  <c r="S325" i="37" s="1"/>
  <c r="L324" i="37"/>
  <c r="S324" i="37" s="1"/>
  <c r="L323" i="37"/>
  <c r="S323" i="37" s="1"/>
  <c r="L322" i="37"/>
  <c r="S322" i="37" s="1"/>
  <c r="L321" i="37"/>
  <c r="S321" i="37" s="1"/>
  <c r="L320" i="37"/>
  <c r="S320" i="37" s="1"/>
  <c r="L319" i="37"/>
  <c r="S319" i="37" s="1"/>
  <c r="L318" i="37"/>
  <c r="S318" i="37" s="1"/>
  <c r="L317" i="37"/>
  <c r="S317" i="37" s="1"/>
  <c r="L316" i="37"/>
  <c r="S316" i="37" s="1"/>
  <c r="L315" i="37"/>
  <c r="S315" i="37" s="1"/>
  <c r="L314" i="37"/>
  <c r="S314" i="37" s="1"/>
  <c r="L313" i="37"/>
  <c r="S313" i="37" s="1"/>
  <c r="L312" i="37"/>
  <c r="S312" i="37" s="1"/>
  <c r="L311" i="37"/>
  <c r="S311" i="37" s="1"/>
  <c r="L310" i="37"/>
  <c r="S310" i="37" s="1"/>
  <c r="L309" i="37"/>
  <c r="S309" i="37" s="1"/>
  <c r="L308" i="37"/>
  <c r="S308" i="37" s="1"/>
  <c r="L307" i="37"/>
  <c r="S307" i="37" s="1"/>
  <c r="L306" i="37"/>
  <c r="S306" i="37" s="1"/>
  <c r="L305" i="37"/>
  <c r="S305" i="37" s="1"/>
  <c r="L304" i="37"/>
  <c r="S304" i="37" s="1"/>
  <c r="L303" i="37"/>
  <c r="S303" i="37" s="1"/>
  <c r="L302" i="37"/>
  <c r="S302" i="37" s="1"/>
  <c r="L301" i="37"/>
  <c r="S301" i="37" s="1"/>
  <c r="L300" i="37"/>
  <c r="S300" i="37" s="1"/>
  <c r="L299" i="37"/>
  <c r="S299" i="37" s="1"/>
  <c r="L298" i="37"/>
  <c r="S298" i="37" s="1"/>
  <c r="L297" i="37"/>
  <c r="S297" i="37" s="1"/>
  <c r="L296" i="37"/>
  <c r="S296" i="37" s="1"/>
  <c r="L295" i="37"/>
  <c r="S295" i="37" s="1"/>
  <c r="L294" i="37"/>
  <c r="S294" i="37" s="1"/>
  <c r="L293" i="37"/>
  <c r="S293" i="37" s="1"/>
  <c r="L292" i="37"/>
  <c r="S292" i="37" s="1"/>
  <c r="L291" i="37"/>
  <c r="S291" i="37" s="1"/>
  <c r="L290" i="37"/>
  <c r="S290" i="37" s="1"/>
  <c r="L289" i="37"/>
  <c r="S289" i="37" s="1"/>
  <c r="L288" i="37"/>
  <c r="S288" i="37" s="1"/>
  <c r="L287" i="37"/>
  <c r="S287" i="37" s="1"/>
  <c r="L286" i="37"/>
  <c r="S286" i="37" s="1"/>
  <c r="L285" i="37"/>
  <c r="S285" i="37" s="1"/>
  <c r="L284" i="37"/>
  <c r="S284" i="37" s="1"/>
  <c r="L283" i="37"/>
  <c r="S283" i="37" s="1"/>
  <c r="L282" i="37"/>
  <c r="S282" i="37" s="1"/>
  <c r="L281" i="37"/>
  <c r="S281" i="37" s="1"/>
  <c r="L280" i="37"/>
  <c r="S280" i="37" s="1"/>
  <c r="L279" i="37"/>
  <c r="S279" i="37" s="1"/>
  <c r="L278" i="37"/>
  <c r="S278" i="37" s="1"/>
  <c r="L277" i="37"/>
  <c r="S277" i="37" s="1"/>
  <c r="L276" i="37"/>
  <c r="S276" i="37" s="1"/>
  <c r="L275" i="37"/>
  <c r="S275" i="37" s="1"/>
  <c r="L274" i="37"/>
  <c r="S274" i="37" s="1"/>
  <c r="L273" i="37"/>
  <c r="S273" i="37" s="1"/>
  <c r="L272" i="37"/>
  <c r="S272" i="37" s="1"/>
  <c r="L271" i="37"/>
  <c r="S271" i="37" s="1"/>
  <c r="L270" i="37"/>
  <c r="S270" i="37" s="1"/>
  <c r="L269" i="37"/>
  <c r="S269" i="37" s="1"/>
  <c r="L268" i="37"/>
  <c r="S268" i="37" s="1"/>
  <c r="L267" i="37"/>
  <c r="S267" i="37" s="1"/>
  <c r="L266" i="37"/>
  <c r="S266" i="37" s="1"/>
  <c r="L265" i="37"/>
  <c r="S265" i="37" s="1"/>
  <c r="L264" i="37"/>
  <c r="S264" i="37" s="1"/>
  <c r="L263" i="37"/>
  <c r="S263" i="37" s="1"/>
  <c r="L262" i="37"/>
  <c r="S262" i="37" s="1"/>
  <c r="L261" i="37"/>
  <c r="S261" i="37" s="1"/>
  <c r="L260" i="37"/>
  <c r="S260" i="37" s="1"/>
  <c r="L259" i="37"/>
  <c r="S259" i="37" s="1"/>
  <c r="L258" i="37"/>
  <c r="S258" i="37" s="1"/>
  <c r="L257" i="37"/>
  <c r="S257" i="37" s="1"/>
  <c r="L256" i="37"/>
  <c r="S256" i="37" s="1"/>
  <c r="L255" i="37"/>
  <c r="S255" i="37" s="1"/>
  <c r="L254" i="37"/>
  <c r="S254" i="37" s="1"/>
  <c r="L253" i="37"/>
  <c r="S253" i="37" s="1"/>
  <c r="L252" i="37"/>
  <c r="S252" i="37" s="1"/>
  <c r="L251" i="37"/>
  <c r="S251" i="37" s="1"/>
  <c r="L250" i="37"/>
  <c r="S250" i="37" s="1"/>
  <c r="L249" i="37"/>
  <c r="S249" i="37" s="1"/>
  <c r="L248" i="37"/>
  <c r="S248" i="37" s="1"/>
  <c r="L247" i="37"/>
  <c r="S247" i="37" s="1"/>
  <c r="L246" i="37"/>
  <c r="S246" i="37" s="1"/>
  <c r="L245" i="37"/>
  <c r="S245" i="37" s="1"/>
  <c r="L244" i="37"/>
  <c r="S244" i="37" s="1"/>
  <c r="L243" i="37"/>
  <c r="S243" i="37" s="1"/>
  <c r="L242" i="37"/>
  <c r="S242" i="37" s="1"/>
  <c r="L241" i="37"/>
  <c r="S241" i="37" s="1"/>
  <c r="L240" i="37"/>
  <c r="S240" i="37" s="1"/>
  <c r="L239" i="37"/>
  <c r="S239" i="37" s="1"/>
  <c r="L238" i="37"/>
  <c r="S238" i="37" s="1"/>
  <c r="L237" i="37"/>
  <c r="S237" i="37" s="1"/>
  <c r="L236" i="37"/>
  <c r="S236" i="37" s="1"/>
  <c r="L235" i="37"/>
  <c r="S235" i="37" s="1"/>
  <c r="L234" i="37"/>
  <c r="S234" i="37" s="1"/>
  <c r="L233" i="37"/>
  <c r="S233" i="37" s="1"/>
  <c r="L232" i="37"/>
  <c r="S232" i="37" s="1"/>
  <c r="L231" i="37"/>
  <c r="S231" i="37" s="1"/>
  <c r="L230" i="37"/>
  <c r="S230" i="37" s="1"/>
  <c r="L229" i="37"/>
  <c r="S229" i="37" s="1"/>
  <c r="L228" i="37"/>
  <c r="S228" i="37" s="1"/>
  <c r="L227" i="37"/>
  <c r="S227" i="37" s="1"/>
  <c r="L226" i="37"/>
  <c r="S226" i="37" s="1"/>
  <c r="L225" i="37"/>
  <c r="S225" i="37" s="1"/>
  <c r="L224" i="37"/>
  <c r="S224" i="37" s="1"/>
  <c r="L223" i="37"/>
  <c r="S223" i="37" s="1"/>
  <c r="L222" i="37"/>
  <c r="S222" i="37" s="1"/>
  <c r="L221" i="37"/>
  <c r="S221" i="37" s="1"/>
  <c r="L220" i="37"/>
  <c r="S220" i="37" s="1"/>
  <c r="L219" i="37"/>
  <c r="S219" i="37" s="1"/>
  <c r="L218" i="37"/>
  <c r="S218" i="37" s="1"/>
  <c r="L217" i="37"/>
  <c r="S217" i="37" s="1"/>
  <c r="L216" i="37"/>
  <c r="S216" i="37" s="1"/>
  <c r="L215" i="37"/>
  <c r="S215" i="37" s="1"/>
  <c r="L214" i="37"/>
  <c r="S214" i="37" s="1"/>
  <c r="L213" i="37"/>
  <c r="S213" i="37" s="1"/>
  <c r="L212" i="37"/>
  <c r="S212" i="37" s="1"/>
  <c r="L211" i="37"/>
  <c r="S211" i="37" s="1"/>
  <c r="L210" i="37"/>
  <c r="S210" i="37" s="1"/>
  <c r="L209" i="37"/>
  <c r="S209" i="37" s="1"/>
  <c r="L208" i="37"/>
  <c r="S208" i="37" s="1"/>
  <c r="L207" i="37"/>
  <c r="S207" i="37" s="1"/>
  <c r="L206" i="37"/>
  <c r="S206" i="37" s="1"/>
  <c r="L205" i="37"/>
  <c r="S205" i="37" s="1"/>
  <c r="L204" i="37"/>
  <c r="S204" i="37" s="1"/>
  <c r="L203" i="37"/>
  <c r="S203" i="37" s="1"/>
  <c r="L202" i="37"/>
  <c r="S202" i="37" s="1"/>
  <c r="L201" i="37"/>
  <c r="S201" i="37" s="1"/>
  <c r="L200" i="37"/>
  <c r="S200" i="37" s="1"/>
  <c r="L199" i="37"/>
  <c r="S199" i="37" s="1"/>
  <c r="L198" i="37"/>
  <c r="S198" i="37" s="1"/>
  <c r="L197" i="37"/>
  <c r="S197" i="37" s="1"/>
  <c r="L196" i="37"/>
  <c r="S196" i="37" s="1"/>
  <c r="L195" i="37"/>
  <c r="S195" i="37" s="1"/>
  <c r="L194" i="37"/>
  <c r="S194" i="37" s="1"/>
  <c r="L193" i="37"/>
  <c r="S193" i="37" s="1"/>
  <c r="L192" i="37"/>
  <c r="S192" i="37" s="1"/>
  <c r="L191" i="37"/>
  <c r="S191" i="37" s="1"/>
  <c r="L190" i="37"/>
  <c r="S190" i="37" s="1"/>
  <c r="L189" i="37"/>
  <c r="S189" i="37" s="1"/>
  <c r="L188" i="37"/>
  <c r="S188" i="37" s="1"/>
  <c r="L187" i="37"/>
  <c r="S187" i="37" s="1"/>
  <c r="L186" i="37"/>
  <c r="S186" i="37" s="1"/>
  <c r="L185" i="37"/>
  <c r="S185" i="37" s="1"/>
  <c r="L184" i="37"/>
  <c r="S184" i="37" s="1"/>
  <c r="L183" i="37"/>
  <c r="S183" i="37" s="1"/>
  <c r="L182" i="37"/>
  <c r="S182" i="37" s="1"/>
  <c r="L181" i="37"/>
  <c r="S181" i="37" s="1"/>
  <c r="L180" i="37"/>
  <c r="S180" i="37" s="1"/>
  <c r="L179" i="37"/>
  <c r="S179" i="37" s="1"/>
  <c r="L178" i="37"/>
  <c r="S178" i="37" s="1"/>
  <c r="L177" i="37"/>
  <c r="S177" i="37" s="1"/>
  <c r="L176" i="37"/>
  <c r="S176" i="37" s="1"/>
  <c r="L175" i="37"/>
  <c r="S175" i="37" s="1"/>
  <c r="L174" i="37"/>
  <c r="S174" i="37" s="1"/>
  <c r="L173" i="37"/>
  <c r="S173" i="37" s="1"/>
  <c r="L172" i="37"/>
  <c r="S172" i="37" s="1"/>
  <c r="L171" i="37"/>
  <c r="S171" i="37" s="1"/>
  <c r="L170" i="37"/>
  <c r="S170" i="37" s="1"/>
  <c r="L169" i="37"/>
  <c r="S169" i="37" s="1"/>
  <c r="L168" i="37"/>
  <c r="S168" i="37" s="1"/>
  <c r="L167" i="37"/>
  <c r="S167" i="37" s="1"/>
  <c r="L166" i="37"/>
  <c r="S166" i="37" s="1"/>
  <c r="L165" i="37"/>
  <c r="S165" i="37" s="1"/>
  <c r="L164" i="37"/>
  <c r="S164" i="37" s="1"/>
  <c r="L163" i="37"/>
  <c r="S163" i="37" s="1"/>
  <c r="L162" i="37"/>
  <c r="S162" i="37" s="1"/>
  <c r="L161" i="37"/>
  <c r="S161" i="37" s="1"/>
  <c r="L160" i="37"/>
  <c r="S160" i="37" s="1"/>
  <c r="L159" i="37"/>
  <c r="S159" i="37" s="1"/>
  <c r="L158" i="37"/>
  <c r="S158" i="37" s="1"/>
  <c r="L157" i="37"/>
  <c r="S157" i="37" s="1"/>
  <c r="L156" i="37"/>
  <c r="S156" i="37" s="1"/>
  <c r="L155" i="37"/>
  <c r="S155" i="37" s="1"/>
  <c r="L154" i="37"/>
  <c r="S154" i="37" s="1"/>
  <c r="L153" i="37"/>
  <c r="S153" i="37" s="1"/>
  <c r="L54" i="37"/>
  <c r="S54" i="37" s="1"/>
  <c r="L53" i="37"/>
  <c r="S53" i="37" s="1"/>
  <c r="L52" i="37"/>
  <c r="S52" i="37" s="1"/>
  <c r="L51" i="37"/>
  <c r="S51" i="37" s="1"/>
  <c r="L50" i="37"/>
  <c r="S50" i="37" s="1"/>
  <c r="L49" i="37"/>
  <c r="S49" i="37" s="1"/>
  <c r="L48" i="37"/>
  <c r="S48" i="37" s="1"/>
  <c r="L47" i="37"/>
  <c r="S47" i="37" s="1"/>
  <c r="L46" i="37"/>
  <c r="S46" i="37" s="1"/>
  <c r="L45" i="37"/>
  <c r="S45" i="37" s="1"/>
  <c r="L44" i="37"/>
  <c r="S44" i="37" s="1"/>
  <c r="L43" i="37"/>
  <c r="S43" i="37" s="1"/>
  <c r="L42" i="37"/>
  <c r="S42" i="37" s="1"/>
  <c r="L41" i="37"/>
  <c r="S41" i="37" s="1"/>
  <c r="L40" i="37"/>
  <c r="S40" i="37" s="1"/>
  <c r="L39" i="37"/>
  <c r="S39" i="37" s="1"/>
  <c r="L38" i="37"/>
  <c r="S38" i="37" s="1"/>
  <c r="L37" i="37"/>
  <c r="S37" i="37" s="1"/>
  <c r="L36" i="37"/>
  <c r="S36" i="37" s="1"/>
  <c r="L35" i="37"/>
  <c r="S35" i="37" s="1"/>
  <c r="L34" i="37"/>
  <c r="S34" i="37" s="1"/>
  <c r="L33" i="37"/>
  <c r="S33" i="37" s="1"/>
  <c r="L32" i="37"/>
  <c r="S32" i="37" s="1"/>
  <c r="L31" i="37"/>
  <c r="S31" i="37" s="1"/>
  <c r="L30" i="37"/>
  <c r="S30" i="37" s="1"/>
  <c r="L29" i="37"/>
  <c r="S29" i="37" s="1"/>
  <c r="L28" i="37"/>
  <c r="S28" i="37" s="1"/>
  <c r="L27" i="37"/>
  <c r="S27" i="37" s="1"/>
  <c r="L26" i="37"/>
  <c r="S26" i="37" s="1"/>
  <c r="L25" i="37"/>
  <c r="S25" i="37" s="1"/>
  <c r="L24" i="37"/>
  <c r="S24" i="37" s="1"/>
  <c r="L23" i="37"/>
  <c r="S23" i="37" s="1"/>
  <c r="L22" i="37"/>
  <c r="S22" i="37" s="1"/>
  <c r="L21" i="37"/>
  <c r="S21" i="37" s="1"/>
  <c r="L20" i="37"/>
  <c r="S20" i="37" s="1"/>
  <c r="L19" i="37"/>
  <c r="S19" i="37" s="1"/>
  <c r="L18" i="37"/>
  <c r="S18" i="37" s="1"/>
  <c r="L17" i="37"/>
  <c r="S17" i="37" s="1"/>
  <c r="L16" i="37"/>
  <c r="S16" i="37" s="1"/>
  <c r="L15" i="37"/>
  <c r="S15" i="37" s="1"/>
  <c r="L14" i="37"/>
  <c r="S14" i="37" s="1"/>
  <c r="L13" i="37"/>
  <c r="S13" i="37" s="1"/>
  <c r="L12" i="37"/>
  <c r="S12" i="37" s="1"/>
  <c r="L11" i="37"/>
  <c r="S11" i="37" s="1"/>
  <c r="L10" i="37"/>
  <c r="S10" i="37" s="1"/>
  <c r="L9" i="37"/>
  <c r="S9" i="37" s="1"/>
  <c r="L8" i="37"/>
  <c r="S8" i="37" s="1"/>
  <c r="L7" i="37"/>
  <c r="S7" i="37" s="1"/>
  <c r="L6" i="37" l="1"/>
  <c r="S6" i="37" s="1"/>
  <c r="B3" i="38"/>
  <c r="U3" i="38" s="1"/>
  <c r="G3" i="33"/>
  <c r="F3" i="33"/>
  <c r="E3" i="33"/>
  <c r="E54" i="34"/>
  <c r="D54" i="34"/>
  <c r="F86" i="39"/>
  <c r="D86" i="39" s="1"/>
  <c r="G1181" i="37"/>
  <c r="C1181" i="37"/>
  <c r="G1180" i="37"/>
  <c r="C1180" i="37"/>
  <c r="G1179" i="37"/>
  <c r="C1179" i="37"/>
  <c r="G1178" i="37"/>
  <c r="C1178" i="37"/>
  <c r="G1177" i="37"/>
  <c r="C1177" i="37"/>
  <c r="G1176" i="37"/>
  <c r="C1176" i="37"/>
  <c r="G1175" i="37"/>
  <c r="C1175" i="37"/>
  <c r="G1174" i="37"/>
  <c r="C1174" i="37"/>
  <c r="G1173" i="37"/>
  <c r="C1173" i="37"/>
  <c r="G1172" i="37"/>
  <c r="C1172" i="37"/>
  <c r="G1171" i="37"/>
  <c r="C1171" i="37"/>
  <c r="G1170" i="37"/>
  <c r="C1170" i="37"/>
  <c r="G1169" i="37"/>
  <c r="C1169" i="37"/>
  <c r="G1168" i="37"/>
  <c r="C1168" i="37"/>
  <c r="G1167" i="37"/>
  <c r="C1167" i="37"/>
  <c r="G1166" i="37"/>
  <c r="C1166" i="37"/>
  <c r="G1165" i="37"/>
  <c r="C1165" i="37"/>
  <c r="G1164" i="37"/>
  <c r="C1164" i="37"/>
  <c r="G1163" i="37"/>
  <c r="C1163" i="37"/>
  <c r="G1162" i="37"/>
  <c r="C1162" i="37"/>
  <c r="G1161" i="37"/>
  <c r="C1161" i="37"/>
  <c r="G1160" i="37"/>
  <c r="C1160" i="37"/>
  <c r="G1159" i="37"/>
  <c r="C1159" i="37"/>
  <c r="G1158" i="37"/>
  <c r="C1158" i="37"/>
  <c r="G1157" i="37"/>
  <c r="C1157" i="37"/>
  <c r="G1156" i="37"/>
  <c r="C1156" i="37"/>
  <c r="G1155" i="37"/>
  <c r="C1155" i="37"/>
  <c r="G1154" i="37"/>
  <c r="C1154" i="37"/>
  <c r="G1153" i="37"/>
  <c r="C1153" i="37"/>
  <c r="G1152" i="37"/>
  <c r="C1152" i="37"/>
  <c r="G1151" i="37"/>
  <c r="C1151" i="37"/>
  <c r="G1150" i="37"/>
  <c r="C1150" i="37"/>
  <c r="G1149" i="37"/>
  <c r="C1149" i="37"/>
  <c r="G1148" i="37"/>
  <c r="C1148" i="37"/>
  <c r="G1147" i="37"/>
  <c r="C1147" i="37"/>
  <c r="G1146" i="37"/>
  <c r="C1146" i="37"/>
  <c r="G1145" i="37"/>
  <c r="C1145" i="37"/>
  <c r="G1144" i="37"/>
  <c r="C1144" i="37"/>
  <c r="G1143" i="37"/>
  <c r="C1143" i="37"/>
  <c r="G1142" i="37"/>
  <c r="C1142" i="37"/>
  <c r="G1141" i="37"/>
  <c r="C1141" i="37"/>
  <c r="G1140" i="37"/>
  <c r="C1140" i="37"/>
  <c r="G1139" i="37"/>
  <c r="C1139" i="37"/>
  <c r="G1138" i="37"/>
  <c r="C1138" i="37"/>
  <c r="G1137" i="37"/>
  <c r="C1137" i="37"/>
  <c r="G1136" i="37"/>
  <c r="C1136" i="37"/>
  <c r="G1135" i="37"/>
  <c r="C1135" i="37"/>
  <c r="G1134" i="37"/>
  <c r="C1134" i="37"/>
  <c r="G1133" i="37"/>
  <c r="C1133" i="37"/>
  <c r="G1132" i="37"/>
  <c r="C1132" i="37"/>
  <c r="G1131" i="37"/>
  <c r="C1131" i="37"/>
  <c r="G1130" i="37"/>
  <c r="C1130" i="37"/>
  <c r="G1129" i="37"/>
  <c r="C1129" i="37"/>
  <c r="G1128" i="37"/>
  <c r="C1128" i="37"/>
  <c r="G1127" i="37"/>
  <c r="C1127" i="37"/>
  <c r="G1126" i="37"/>
  <c r="C1126" i="37"/>
  <c r="G1125" i="37"/>
  <c r="C1125" i="37"/>
  <c r="G1124" i="37"/>
  <c r="C1124" i="37"/>
  <c r="G1123" i="37"/>
  <c r="C1123" i="37"/>
  <c r="G1122" i="37"/>
  <c r="C1122" i="37"/>
  <c r="G1121" i="37"/>
  <c r="C1121" i="37"/>
  <c r="G1120" i="37"/>
  <c r="C1120" i="37"/>
  <c r="G1119" i="37"/>
  <c r="C1119" i="37"/>
  <c r="G1118" i="37"/>
  <c r="C1118" i="37"/>
  <c r="G1117" i="37"/>
  <c r="C1117" i="37"/>
  <c r="G1116" i="37"/>
  <c r="C1116" i="37"/>
  <c r="G1115" i="37"/>
  <c r="C1115" i="37"/>
  <c r="G1114" i="37"/>
  <c r="C1114" i="37"/>
  <c r="G1113" i="37"/>
  <c r="C1113" i="37"/>
  <c r="G1112" i="37"/>
  <c r="C1112" i="37"/>
  <c r="G1111" i="37"/>
  <c r="C1111" i="37"/>
  <c r="G1110" i="37"/>
  <c r="C1110" i="37"/>
  <c r="G1109" i="37"/>
  <c r="C1109" i="37"/>
  <c r="G1108" i="37"/>
  <c r="C1108" i="37"/>
  <c r="G1107" i="37"/>
  <c r="C1107" i="37"/>
  <c r="G1106" i="37"/>
  <c r="C1106" i="37"/>
  <c r="G1105" i="37"/>
  <c r="C1105" i="37"/>
  <c r="G1104" i="37"/>
  <c r="C1104" i="37"/>
  <c r="G1103" i="37"/>
  <c r="C1103" i="37"/>
  <c r="G1102" i="37"/>
  <c r="C1102" i="37"/>
  <c r="G1101" i="37"/>
  <c r="C1101" i="37"/>
  <c r="G1100" i="37"/>
  <c r="C1100" i="37"/>
  <c r="G1099" i="37"/>
  <c r="C1099" i="37"/>
  <c r="G1098" i="37"/>
  <c r="C1098" i="37"/>
  <c r="G1097" i="37"/>
  <c r="C1097" i="37"/>
  <c r="G1096" i="37"/>
  <c r="C1096" i="37"/>
  <c r="G1095" i="37"/>
  <c r="C1095" i="37"/>
  <c r="G1094" i="37"/>
  <c r="C1094" i="37"/>
  <c r="G1093" i="37"/>
  <c r="C1093" i="37"/>
  <c r="G1092" i="37"/>
  <c r="C1092" i="37"/>
  <c r="G1091" i="37"/>
  <c r="C1091" i="37"/>
  <c r="G1090" i="37"/>
  <c r="C1090" i="37"/>
  <c r="G1089" i="37"/>
  <c r="C1089" i="37"/>
  <c r="G1088" i="37"/>
  <c r="C1088" i="37"/>
  <c r="G1087" i="37"/>
  <c r="C1087" i="37"/>
  <c r="G1086" i="37"/>
  <c r="C1086" i="37"/>
  <c r="G1085" i="37"/>
  <c r="C1085" i="37"/>
  <c r="G1084" i="37"/>
  <c r="C1084" i="37"/>
  <c r="G1083" i="37"/>
  <c r="C1083" i="37"/>
  <c r="G1082" i="37"/>
  <c r="C1082" i="37"/>
  <c r="G1081" i="37"/>
  <c r="C1081" i="37"/>
  <c r="G1080" i="37"/>
  <c r="C1080" i="37"/>
  <c r="G1079" i="37"/>
  <c r="C1079" i="37"/>
  <c r="G1078" i="37"/>
  <c r="C1078" i="37"/>
  <c r="G1077" i="37"/>
  <c r="C1077" i="37"/>
  <c r="G1076" i="37"/>
  <c r="C1076" i="37"/>
  <c r="G1075" i="37"/>
  <c r="C1075" i="37"/>
  <c r="G1074" i="37"/>
  <c r="C1074" i="37"/>
  <c r="G1073" i="37"/>
  <c r="C1073" i="37"/>
  <c r="G1072" i="37"/>
  <c r="C1072" i="37"/>
  <c r="G1071" i="37"/>
  <c r="C1071" i="37"/>
  <c r="G1070" i="37"/>
  <c r="C1070" i="37"/>
  <c r="G1069" i="37"/>
  <c r="C1069" i="37"/>
  <c r="G1068" i="37"/>
  <c r="C1068" i="37"/>
  <c r="G1067" i="37"/>
  <c r="C1067" i="37"/>
  <c r="G1066" i="37"/>
  <c r="C1066" i="37"/>
  <c r="G1065" i="37"/>
  <c r="C1065" i="37"/>
  <c r="G1064" i="37"/>
  <c r="C1064" i="37"/>
  <c r="G1063" i="37"/>
  <c r="C1063" i="37"/>
  <c r="G1062" i="37"/>
  <c r="C1062" i="37"/>
  <c r="G1061" i="37"/>
  <c r="C1061" i="37"/>
  <c r="G1060" i="37"/>
  <c r="C1060" i="37"/>
  <c r="G1059" i="37"/>
  <c r="C1059" i="37"/>
  <c r="G1058" i="37"/>
  <c r="C1058" i="37"/>
  <c r="G1057" i="37"/>
  <c r="C1057" i="37"/>
  <c r="G1056" i="37"/>
  <c r="C1056" i="37"/>
  <c r="G1055" i="37"/>
  <c r="C1055" i="37"/>
  <c r="G1054" i="37"/>
  <c r="C1054" i="37"/>
  <c r="G1053" i="37"/>
  <c r="C1053" i="37"/>
  <c r="G1052" i="37"/>
  <c r="C1052" i="37"/>
  <c r="G1051" i="37"/>
  <c r="C1051" i="37"/>
  <c r="G1050" i="37"/>
  <c r="C1050" i="37"/>
  <c r="G1049" i="37"/>
  <c r="C1049" i="37"/>
  <c r="G1048" i="37"/>
  <c r="C1048" i="37"/>
  <c r="G1047" i="37"/>
  <c r="C1047" i="37"/>
  <c r="G1046" i="37"/>
  <c r="C1046" i="37"/>
  <c r="G1045" i="37"/>
  <c r="C1045" i="37"/>
  <c r="G1044" i="37"/>
  <c r="C1044" i="37"/>
  <c r="G1043" i="37"/>
  <c r="C1043" i="37"/>
  <c r="G1042" i="37"/>
  <c r="C1042" i="37"/>
  <c r="G1041" i="37"/>
  <c r="C1041" i="37"/>
  <c r="G1040" i="37"/>
  <c r="C1040" i="37"/>
  <c r="G1039" i="37"/>
  <c r="C1039" i="37"/>
  <c r="G1038" i="37"/>
  <c r="C1038" i="37"/>
  <c r="G1037" i="37"/>
  <c r="C1037" i="37"/>
  <c r="G1036" i="37"/>
  <c r="C1036" i="37"/>
  <c r="G1035" i="37"/>
  <c r="C1035" i="37"/>
  <c r="G1034" i="37"/>
  <c r="C1034" i="37"/>
  <c r="G1033" i="37"/>
  <c r="C1033" i="37"/>
  <c r="G1032" i="37"/>
  <c r="C1032" i="37"/>
  <c r="G1031" i="37"/>
  <c r="C1031" i="37"/>
  <c r="G1030" i="37"/>
  <c r="C1030" i="37"/>
  <c r="G1029" i="37"/>
  <c r="C1029" i="37"/>
  <c r="G1028" i="37"/>
  <c r="C1028" i="37"/>
  <c r="G1027" i="37"/>
  <c r="C1027" i="37"/>
  <c r="G1026" i="37"/>
  <c r="C1026" i="37"/>
  <c r="G1025" i="37"/>
  <c r="C1025" i="37"/>
  <c r="G1024" i="37"/>
  <c r="C1024" i="37"/>
  <c r="G1023" i="37"/>
  <c r="C1023" i="37"/>
  <c r="G1022" i="37"/>
  <c r="C1022" i="37"/>
  <c r="G1021" i="37"/>
  <c r="C1021" i="37"/>
  <c r="G1020" i="37"/>
  <c r="C1020" i="37"/>
  <c r="G1019" i="37"/>
  <c r="C1019" i="37"/>
  <c r="G1018" i="37"/>
  <c r="C1018" i="37"/>
  <c r="G1017" i="37"/>
  <c r="C1017" i="37"/>
  <c r="G1016" i="37"/>
  <c r="C1016" i="37"/>
  <c r="G1015" i="37"/>
  <c r="C1015" i="37"/>
  <c r="G1014" i="37"/>
  <c r="C1014" i="37"/>
  <c r="G1013" i="37"/>
  <c r="C1013" i="37"/>
  <c r="G1012" i="37"/>
  <c r="C1012" i="37"/>
  <c r="G1011" i="37"/>
  <c r="C1011" i="37"/>
  <c r="G1010" i="37"/>
  <c r="C1010" i="37"/>
  <c r="G1009" i="37"/>
  <c r="C1009" i="37"/>
  <c r="G1008" i="37"/>
  <c r="C1008" i="37"/>
  <c r="G1007" i="37"/>
  <c r="C1007" i="37"/>
  <c r="G1006" i="37"/>
  <c r="C1006" i="37"/>
  <c r="G1005" i="37"/>
  <c r="C1005" i="37"/>
  <c r="G1004" i="37"/>
  <c r="C1004" i="37"/>
  <c r="G1003" i="37"/>
  <c r="C1003" i="37"/>
  <c r="G1002" i="37"/>
  <c r="C1002" i="37"/>
  <c r="G1001" i="37"/>
  <c r="C1001" i="37"/>
  <c r="G1000" i="37"/>
  <c r="C1000" i="37"/>
  <c r="G999" i="37"/>
  <c r="C999" i="37"/>
  <c r="G998" i="37"/>
  <c r="C998" i="37"/>
  <c r="G997" i="37"/>
  <c r="C997" i="37"/>
  <c r="G996" i="37"/>
  <c r="C996" i="37"/>
  <c r="G995" i="37"/>
  <c r="C995" i="37"/>
  <c r="G994" i="37"/>
  <c r="C994" i="37"/>
  <c r="G993" i="37"/>
  <c r="C993" i="37"/>
  <c r="G992" i="37"/>
  <c r="C992" i="37"/>
  <c r="G991" i="37"/>
  <c r="C991" i="37"/>
  <c r="G990" i="37"/>
  <c r="C990" i="37"/>
  <c r="G989" i="37"/>
  <c r="C989" i="37"/>
  <c r="G988" i="37"/>
  <c r="C988" i="37"/>
  <c r="G987" i="37"/>
  <c r="C987" i="37"/>
  <c r="G986" i="37"/>
  <c r="C986" i="37"/>
  <c r="G985" i="37"/>
  <c r="C985" i="37"/>
  <c r="G984" i="37"/>
  <c r="C984" i="37"/>
  <c r="G983" i="37"/>
  <c r="C983" i="37"/>
  <c r="G982" i="37"/>
  <c r="C982" i="37"/>
  <c r="G981" i="37"/>
  <c r="C981" i="37"/>
  <c r="G980" i="37"/>
  <c r="C980" i="37"/>
  <c r="G979" i="37"/>
  <c r="C979" i="37"/>
  <c r="G978" i="37"/>
  <c r="C978" i="37"/>
  <c r="G977" i="37"/>
  <c r="C977" i="37"/>
  <c r="G976" i="37"/>
  <c r="C976" i="37"/>
  <c r="G975" i="37"/>
  <c r="C975" i="37"/>
  <c r="G974" i="37"/>
  <c r="C974" i="37"/>
  <c r="G973" i="37"/>
  <c r="C973" i="37"/>
  <c r="G972" i="37"/>
  <c r="C972" i="37"/>
  <c r="G971" i="37"/>
  <c r="C971" i="37"/>
  <c r="G970" i="37"/>
  <c r="C970" i="37"/>
  <c r="G969" i="37"/>
  <c r="C969" i="37"/>
  <c r="G968" i="37"/>
  <c r="C968" i="37"/>
  <c r="G967" i="37"/>
  <c r="C967" i="37"/>
  <c r="G966" i="37"/>
  <c r="C966" i="37"/>
  <c r="G965" i="37"/>
  <c r="C965" i="37"/>
  <c r="G964" i="37"/>
  <c r="C964" i="37"/>
  <c r="G963" i="37"/>
  <c r="C963" i="37"/>
  <c r="G962" i="37"/>
  <c r="C962" i="37"/>
  <c r="G961" i="37"/>
  <c r="C961" i="37"/>
  <c r="G960" i="37"/>
  <c r="C960" i="37"/>
  <c r="G959" i="37"/>
  <c r="C959" i="37"/>
  <c r="G958" i="37"/>
  <c r="C958" i="37"/>
  <c r="G957" i="37"/>
  <c r="C957" i="37"/>
  <c r="G956" i="37"/>
  <c r="C956" i="37"/>
  <c r="G955" i="37"/>
  <c r="C955" i="37"/>
  <c r="G954" i="37"/>
  <c r="C954" i="37"/>
  <c r="G953" i="37"/>
  <c r="C953" i="37"/>
  <c r="G952" i="37"/>
  <c r="C952" i="37"/>
  <c r="G951" i="37"/>
  <c r="C951" i="37"/>
  <c r="G950" i="37"/>
  <c r="C950" i="37"/>
  <c r="G949" i="37"/>
  <c r="C949" i="37"/>
  <c r="G948" i="37"/>
  <c r="C948" i="37"/>
  <c r="G947" i="37"/>
  <c r="C947" i="37"/>
  <c r="G946" i="37"/>
  <c r="C946" i="37"/>
  <c r="G945" i="37"/>
  <c r="C945" i="37"/>
  <c r="G944" i="37"/>
  <c r="C944" i="37"/>
  <c r="G943" i="37"/>
  <c r="C943" i="37"/>
  <c r="G942" i="37"/>
  <c r="C942" i="37"/>
  <c r="G941" i="37"/>
  <c r="C941" i="37"/>
  <c r="G940" i="37"/>
  <c r="C940" i="37"/>
  <c r="G939" i="37"/>
  <c r="C939" i="37"/>
  <c r="G938" i="37"/>
  <c r="C938" i="37"/>
  <c r="G937" i="37"/>
  <c r="C937" i="37"/>
  <c r="G838" i="37"/>
  <c r="C838" i="37"/>
  <c r="G837" i="37"/>
  <c r="C837" i="37"/>
  <c r="G836" i="37"/>
  <c r="C836" i="37"/>
  <c r="G835" i="37"/>
  <c r="C835" i="37"/>
  <c r="G834" i="37"/>
  <c r="C834" i="37"/>
  <c r="G833" i="37"/>
  <c r="C833" i="37"/>
  <c r="G832" i="37"/>
  <c r="C832" i="37"/>
  <c r="G831" i="37"/>
  <c r="C831" i="37"/>
  <c r="G830" i="37"/>
  <c r="C830" i="37"/>
  <c r="G829" i="37"/>
  <c r="C829" i="37"/>
  <c r="G828" i="37"/>
  <c r="C828" i="37"/>
  <c r="G827" i="37"/>
  <c r="C827" i="37"/>
  <c r="G826" i="37"/>
  <c r="C826" i="37"/>
  <c r="G825" i="37"/>
  <c r="C825" i="37"/>
  <c r="G824" i="37"/>
  <c r="C824" i="37"/>
  <c r="G823" i="37"/>
  <c r="C823" i="37"/>
  <c r="G822" i="37"/>
  <c r="C822" i="37"/>
  <c r="G821" i="37"/>
  <c r="C821" i="37"/>
  <c r="G820" i="37"/>
  <c r="C820" i="37"/>
  <c r="G819" i="37"/>
  <c r="C819" i="37"/>
  <c r="G818" i="37"/>
  <c r="C818" i="37"/>
  <c r="G817" i="37"/>
  <c r="C817" i="37"/>
  <c r="G816" i="37"/>
  <c r="C816" i="37"/>
  <c r="G815" i="37"/>
  <c r="C815" i="37"/>
  <c r="G814" i="37"/>
  <c r="C814" i="37"/>
  <c r="G813" i="37"/>
  <c r="C813" i="37"/>
  <c r="G812" i="37"/>
  <c r="C812" i="37"/>
  <c r="G811" i="37"/>
  <c r="C811" i="37"/>
  <c r="G810" i="37"/>
  <c r="C810" i="37"/>
  <c r="G809" i="37"/>
  <c r="C809" i="37"/>
  <c r="G808" i="37"/>
  <c r="C808" i="37"/>
  <c r="G807" i="37"/>
  <c r="C807" i="37"/>
  <c r="G806" i="37"/>
  <c r="C806" i="37"/>
  <c r="G805" i="37"/>
  <c r="C805" i="37"/>
  <c r="G804" i="37"/>
  <c r="C804" i="37"/>
  <c r="G803" i="37"/>
  <c r="C803" i="37"/>
  <c r="G802" i="37"/>
  <c r="C802" i="37"/>
  <c r="G801" i="37"/>
  <c r="C801" i="37"/>
  <c r="G800" i="37"/>
  <c r="C800" i="37"/>
  <c r="G799" i="37"/>
  <c r="C799" i="37"/>
  <c r="G798" i="37"/>
  <c r="C798" i="37"/>
  <c r="G797" i="37"/>
  <c r="C797" i="37"/>
  <c r="G796" i="37"/>
  <c r="C796" i="37"/>
  <c r="G795" i="37"/>
  <c r="C795" i="37"/>
  <c r="G794" i="37"/>
  <c r="C794" i="37"/>
  <c r="G793" i="37"/>
  <c r="C793" i="37"/>
  <c r="G792" i="37"/>
  <c r="C792" i="37"/>
  <c r="G791" i="37"/>
  <c r="C791" i="37"/>
  <c r="G790" i="37"/>
  <c r="C790" i="37"/>
  <c r="G789" i="37"/>
  <c r="C789" i="37"/>
  <c r="G788" i="37"/>
  <c r="C788" i="37"/>
  <c r="G787" i="37"/>
  <c r="C787" i="37"/>
  <c r="G786" i="37"/>
  <c r="C786" i="37"/>
  <c r="G785" i="37"/>
  <c r="C785" i="37"/>
  <c r="G784" i="37"/>
  <c r="C784" i="37"/>
  <c r="G783" i="37"/>
  <c r="C783" i="37"/>
  <c r="G782" i="37"/>
  <c r="C782" i="37"/>
  <c r="G781" i="37"/>
  <c r="C781" i="37"/>
  <c r="G780" i="37"/>
  <c r="C780" i="37"/>
  <c r="G779" i="37"/>
  <c r="C779" i="37"/>
  <c r="G778" i="37"/>
  <c r="C778" i="37"/>
  <c r="G777" i="37"/>
  <c r="C777" i="37"/>
  <c r="G776" i="37"/>
  <c r="C776" i="37"/>
  <c r="G775" i="37"/>
  <c r="C775" i="37"/>
  <c r="G774" i="37"/>
  <c r="C774" i="37"/>
  <c r="G773" i="37"/>
  <c r="C773" i="37"/>
  <c r="G772" i="37"/>
  <c r="C772" i="37"/>
  <c r="G771" i="37"/>
  <c r="C771" i="37"/>
  <c r="G770" i="37"/>
  <c r="C770" i="37"/>
  <c r="G769" i="37"/>
  <c r="C769" i="37"/>
  <c r="G768" i="37"/>
  <c r="C768" i="37"/>
  <c r="G767" i="37"/>
  <c r="C767" i="37"/>
  <c r="G766" i="37"/>
  <c r="C766" i="37"/>
  <c r="G765" i="37"/>
  <c r="C765" i="37"/>
  <c r="G764" i="37"/>
  <c r="C764" i="37"/>
  <c r="G763" i="37"/>
  <c r="C763" i="37"/>
  <c r="G762" i="37"/>
  <c r="C762" i="37"/>
  <c r="G761" i="37"/>
  <c r="C761" i="37"/>
  <c r="G760" i="37"/>
  <c r="C760" i="37"/>
  <c r="G759" i="37"/>
  <c r="C759" i="37"/>
  <c r="G758" i="37"/>
  <c r="C758" i="37"/>
  <c r="G757" i="37"/>
  <c r="C757" i="37"/>
  <c r="G756" i="37"/>
  <c r="C756" i="37"/>
  <c r="G755" i="37"/>
  <c r="C755" i="37"/>
  <c r="G754" i="37"/>
  <c r="C754" i="37"/>
  <c r="G753" i="37"/>
  <c r="C753" i="37"/>
  <c r="G752" i="37"/>
  <c r="C752" i="37"/>
  <c r="G751" i="37"/>
  <c r="C751" i="37"/>
  <c r="G750" i="37"/>
  <c r="C750" i="37"/>
  <c r="G749" i="37"/>
  <c r="C749" i="37"/>
  <c r="G748" i="37"/>
  <c r="C748" i="37"/>
  <c r="G747" i="37"/>
  <c r="C747" i="37"/>
  <c r="G746" i="37"/>
  <c r="C746" i="37"/>
  <c r="G745" i="37"/>
  <c r="C745" i="37"/>
  <c r="G744" i="37"/>
  <c r="C744" i="37"/>
  <c r="G743" i="37"/>
  <c r="C743" i="37"/>
  <c r="G742" i="37"/>
  <c r="C742" i="37"/>
  <c r="G741" i="37"/>
  <c r="C741" i="37"/>
  <c r="G740" i="37"/>
  <c r="C740" i="37"/>
  <c r="G739" i="37"/>
  <c r="C739" i="37"/>
  <c r="G738" i="37"/>
  <c r="C738" i="37"/>
  <c r="G737" i="37"/>
  <c r="C737" i="37"/>
  <c r="G736" i="37"/>
  <c r="C736" i="37"/>
  <c r="G735" i="37"/>
  <c r="C735" i="37"/>
  <c r="G734" i="37"/>
  <c r="C734" i="37"/>
  <c r="G733" i="37"/>
  <c r="C733" i="37"/>
  <c r="G732" i="37"/>
  <c r="C732" i="37"/>
  <c r="G731" i="37"/>
  <c r="C731" i="37"/>
  <c r="G730" i="37"/>
  <c r="C730" i="37"/>
  <c r="G729" i="37"/>
  <c r="C729" i="37"/>
  <c r="G728" i="37"/>
  <c r="C728" i="37"/>
  <c r="G727" i="37"/>
  <c r="C727" i="37"/>
  <c r="G726" i="37"/>
  <c r="C726" i="37"/>
  <c r="G725" i="37"/>
  <c r="C725" i="37"/>
  <c r="G724" i="37"/>
  <c r="C724" i="37"/>
  <c r="G723" i="37"/>
  <c r="C723" i="37"/>
  <c r="G722" i="37"/>
  <c r="C722" i="37"/>
  <c r="G721" i="37"/>
  <c r="C721" i="37"/>
  <c r="G720" i="37"/>
  <c r="C720" i="37"/>
  <c r="G719" i="37"/>
  <c r="C719" i="37"/>
  <c r="G718" i="37"/>
  <c r="C718" i="37"/>
  <c r="G717" i="37"/>
  <c r="C717" i="37"/>
  <c r="G716" i="37"/>
  <c r="C716" i="37"/>
  <c r="G715" i="37"/>
  <c r="C715" i="37"/>
  <c r="G714" i="37"/>
  <c r="C714" i="37"/>
  <c r="G713" i="37"/>
  <c r="C713" i="37"/>
  <c r="G712" i="37"/>
  <c r="C712" i="37"/>
  <c r="G711" i="37"/>
  <c r="C711" i="37"/>
  <c r="G710" i="37"/>
  <c r="C710" i="37"/>
  <c r="G709" i="37"/>
  <c r="C709" i="37"/>
  <c r="G708" i="37"/>
  <c r="C708" i="37"/>
  <c r="G707" i="37"/>
  <c r="C707" i="37"/>
  <c r="G706" i="37"/>
  <c r="C706" i="37"/>
  <c r="G705" i="37"/>
  <c r="C705" i="37"/>
  <c r="G704" i="37"/>
  <c r="C704" i="37"/>
  <c r="G703" i="37"/>
  <c r="C703" i="37"/>
  <c r="G702" i="37"/>
  <c r="C702" i="37"/>
  <c r="G701" i="37"/>
  <c r="C701" i="37"/>
  <c r="G700" i="37"/>
  <c r="C700" i="37"/>
  <c r="G699" i="37"/>
  <c r="C699" i="37"/>
  <c r="G698" i="37"/>
  <c r="C698" i="37"/>
  <c r="G697" i="37"/>
  <c r="C697" i="37"/>
  <c r="G696" i="37"/>
  <c r="C696" i="37"/>
  <c r="G695" i="37"/>
  <c r="C695" i="37"/>
  <c r="G694" i="37"/>
  <c r="C694" i="37"/>
  <c r="G693" i="37"/>
  <c r="C693" i="37"/>
  <c r="G692" i="37"/>
  <c r="C692" i="37"/>
  <c r="G691" i="37"/>
  <c r="C691" i="37"/>
  <c r="G690" i="37"/>
  <c r="C690" i="37"/>
  <c r="G689" i="37"/>
  <c r="C689" i="37"/>
  <c r="G688" i="37"/>
  <c r="C688" i="37"/>
  <c r="G687" i="37"/>
  <c r="C687" i="37"/>
  <c r="G686" i="37"/>
  <c r="C686" i="37"/>
  <c r="G685" i="37"/>
  <c r="C685" i="37"/>
  <c r="G684" i="37"/>
  <c r="C684" i="37"/>
  <c r="G683" i="37"/>
  <c r="C683" i="37"/>
  <c r="G682" i="37"/>
  <c r="C682" i="37"/>
  <c r="G681" i="37"/>
  <c r="C681" i="37"/>
  <c r="G680" i="37"/>
  <c r="C680" i="37"/>
  <c r="G679" i="37"/>
  <c r="C679" i="37"/>
  <c r="G678" i="37"/>
  <c r="C678" i="37"/>
  <c r="G677" i="37"/>
  <c r="C677" i="37"/>
  <c r="G676" i="37"/>
  <c r="C676" i="37"/>
  <c r="G675" i="37"/>
  <c r="C675" i="37"/>
  <c r="G674" i="37"/>
  <c r="C674" i="37"/>
  <c r="G673" i="37"/>
  <c r="C673" i="37"/>
  <c r="G672" i="37"/>
  <c r="C672" i="37"/>
  <c r="G671" i="37"/>
  <c r="C671" i="37"/>
  <c r="G670" i="37"/>
  <c r="C670" i="37"/>
  <c r="G669" i="37"/>
  <c r="C669" i="37"/>
  <c r="G668" i="37"/>
  <c r="C668" i="37"/>
  <c r="G667" i="37"/>
  <c r="C667" i="37"/>
  <c r="G666" i="37"/>
  <c r="C666" i="37"/>
  <c r="G665" i="37"/>
  <c r="C665" i="37"/>
  <c r="G664" i="37"/>
  <c r="C664" i="37"/>
  <c r="G663" i="37"/>
  <c r="C663" i="37"/>
  <c r="G662" i="37"/>
  <c r="C662" i="37"/>
  <c r="G661" i="37"/>
  <c r="C661" i="37"/>
  <c r="G660" i="37"/>
  <c r="C660" i="37"/>
  <c r="G659" i="37"/>
  <c r="C659" i="37"/>
  <c r="G658" i="37"/>
  <c r="C658" i="37"/>
  <c r="G657" i="37"/>
  <c r="C657" i="37"/>
  <c r="G656" i="37"/>
  <c r="C656" i="37"/>
  <c r="G655" i="37"/>
  <c r="C655" i="37"/>
  <c r="G654" i="37"/>
  <c r="C654" i="37"/>
  <c r="G653" i="37"/>
  <c r="C653" i="37"/>
  <c r="G652" i="37"/>
  <c r="C652" i="37"/>
  <c r="G651" i="37"/>
  <c r="C651" i="37"/>
  <c r="G650" i="37"/>
  <c r="C650" i="37"/>
  <c r="G649" i="37"/>
  <c r="C649" i="37"/>
  <c r="G648" i="37"/>
  <c r="C648" i="37"/>
  <c r="G647" i="37"/>
  <c r="C647" i="37"/>
  <c r="G646" i="37"/>
  <c r="C646" i="37"/>
  <c r="G645" i="37"/>
  <c r="C645" i="37"/>
  <c r="G644" i="37"/>
  <c r="C644" i="37"/>
  <c r="G643" i="37"/>
  <c r="C643" i="37"/>
  <c r="G642" i="37"/>
  <c r="C642" i="37"/>
  <c r="G641" i="37"/>
  <c r="C641" i="37"/>
  <c r="G640" i="37"/>
  <c r="C640" i="37"/>
  <c r="G639" i="37"/>
  <c r="C639" i="37"/>
  <c r="G638" i="37"/>
  <c r="C638" i="37"/>
  <c r="G637" i="37"/>
  <c r="C637" i="37"/>
  <c r="G636" i="37"/>
  <c r="C636" i="37"/>
  <c r="G635" i="37"/>
  <c r="C635" i="37"/>
  <c r="G634" i="37"/>
  <c r="C634" i="37"/>
  <c r="G633" i="37"/>
  <c r="C633" i="37"/>
  <c r="G632" i="37"/>
  <c r="C632" i="37"/>
  <c r="G631" i="37"/>
  <c r="C631" i="37"/>
  <c r="G630" i="37"/>
  <c r="C630" i="37"/>
  <c r="G629" i="37"/>
  <c r="C629" i="37"/>
  <c r="G628" i="37"/>
  <c r="C628" i="37"/>
  <c r="G627" i="37"/>
  <c r="C627" i="37"/>
  <c r="G626" i="37"/>
  <c r="C626" i="37"/>
  <c r="G625" i="37"/>
  <c r="C625" i="37"/>
  <c r="G624" i="37"/>
  <c r="C624" i="37"/>
  <c r="G623" i="37"/>
  <c r="C623" i="37"/>
  <c r="G622" i="37"/>
  <c r="C622" i="37"/>
  <c r="G621" i="37"/>
  <c r="C621" i="37"/>
  <c r="G620" i="37"/>
  <c r="C620" i="37"/>
  <c r="G619" i="37"/>
  <c r="C619" i="37"/>
  <c r="G618" i="37"/>
  <c r="C618" i="37"/>
  <c r="G617" i="37"/>
  <c r="C617" i="37"/>
  <c r="G616" i="37"/>
  <c r="C616" i="37"/>
  <c r="G615" i="37"/>
  <c r="C615" i="37"/>
  <c r="G614" i="37"/>
  <c r="C614" i="37"/>
  <c r="G613" i="37"/>
  <c r="C613" i="37"/>
  <c r="G612" i="37"/>
  <c r="C612" i="37"/>
  <c r="G611" i="37"/>
  <c r="C611" i="37"/>
  <c r="G610" i="37"/>
  <c r="C610" i="37"/>
  <c r="G609" i="37"/>
  <c r="C609" i="37"/>
  <c r="G608" i="37"/>
  <c r="C608" i="37"/>
  <c r="G607" i="37"/>
  <c r="C607" i="37"/>
  <c r="G606" i="37"/>
  <c r="C606" i="37"/>
  <c r="G605" i="37"/>
  <c r="C605" i="37"/>
  <c r="G604" i="37"/>
  <c r="C604" i="37"/>
  <c r="G603" i="37"/>
  <c r="C603" i="37"/>
  <c r="G602" i="37"/>
  <c r="C602" i="37"/>
  <c r="G601" i="37"/>
  <c r="C601" i="37"/>
  <c r="G600" i="37"/>
  <c r="C600" i="37"/>
  <c r="G599" i="37"/>
  <c r="C599" i="37"/>
  <c r="G598" i="37"/>
  <c r="C598" i="37"/>
  <c r="G597" i="37"/>
  <c r="C597" i="37"/>
  <c r="G596" i="37"/>
  <c r="C596" i="37"/>
  <c r="G595" i="37"/>
  <c r="C595" i="37"/>
  <c r="G594" i="37"/>
  <c r="C594" i="37"/>
  <c r="G593" i="37"/>
  <c r="C593" i="37"/>
  <c r="G592" i="37"/>
  <c r="C592" i="37"/>
  <c r="G591" i="37"/>
  <c r="C591" i="37"/>
  <c r="G590" i="37"/>
  <c r="C590" i="37"/>
  <c r="G589" i="37"/>
  <c r="C589" i="37"/>
  <c r="G588" i="37"/>
  <c r="C588" i="37"/>
  <c r="G587" i="37"/>
  <c r="C587" i="37"/>
  <c r="G586" i="37"/>
  <c r="C586" i="37"/>
  <c r="G585" i="37"/>
  <c r="C585" i="37"/>
  <c r="G584" i="37"/>
  <c r="C584" i="37"/>
  <c r="G583" i="37"/>
  <c r="C583" i="37"/>
  <c r="G582" i="37"/>
  <c r="C582" i="37"/>
  <c r="G581" i="37"/>
  <c r="C581" i="37"/>
  <c r="G580" i="37"/>
  <c r="C580" i="37"/>
  <c r="G579" i="37"/>
  <c r="C579" i="37"/>
  <c r="G578" i="37"/>
  <c r="C578" i="37"/>
  <c r="G577" i="37"/>
  <c r="C577" i="37"/>
  <c r="G576" i="37"/>
  <c r="C576" i="37"/>
  <c r="G575" i="37"/>
  <c r="C575" i="37"/>
  <c r="G574" i="37"/>
  <c r="C574" i="37"/>
  <c r="G573" i="37"/>
  <c r="C573" i="37"/>
  <c r="G572" i="37"/>
  <c r="C572" i="37"/>
  <c r="G571" i="37"/>
  <c r="C571" i="37"/>
  <c r="G570" i="37"/>
  <c r="C570" i="37"/>
  <c r="G569" i="37"/>
  <c r="C569" i="37"/>
  <c r="G568" i="37"/>
  <c r="C568" i="37"/>
  <c r="G567" i="37"/>
  <c r="C567" i="37"/>
  <c r="G566" i="37"/>
  <c r="C566" i="37"/>
  <c r="G565" i="37"/>
  <c r="C565" i="37"/>
  <c r="G564" i="37"/>
  <c r="C564" i="37"/>
  <c r="G563" i="37"/>
  <c r="C563" i="37"/>
  <c r="G562" i="37"/>
  <c r="C562" i="37"/>
  <c r="G561" i="37"/>
  <c r="C561" i="37"/>
  <c r="G560" i="37"/>
  <c r="C560" i="37"/>
  <c r="G559" i="37"/>
  <c r="C559" i="37"/>
  <c r="G558" i="37"/>
  <c r="C558" i="37"/>
  <c r="G557" i="37"/>
  <c r="C557" i="37"/>
  <c r="G556" i="37"/>
  <c r="C556" i="37"/>
  <c r="G555" i="37"/>
  <c r="C555" i="37"/>
  <c r="G554" i="37"/>
  <c r="C554" i="37"/>
  <c r="G553" i="37"/>
  <c r="C553" i="37"/>
  <c r="G552" i="37"/>
  <c r="C552" i="37"/>
  <c r="G551" i="37"/>
  <c r="C551" i="37"/>
  <c r="G550" i="37"/>
  <c r="C550" i="37"/>
  <c r="G549" i="37"/>
  <c r="C549" i="37"/>
  <c r="G548" i="37"/>
  <c r="C548" i="37"/>
  <c r="G547" i="37"/>
  <c r="C547" i="37"/>
  <c r="G546" i="37"/>
  <c r="C546" i="37"/>
  <c r="G545" i="37"/>
  <c r="C545" i="37"/>
  <c r="G446" i="37"/>
  <c r="C446" i="37"/>
  <c r="G445" i="37"/>
  <c r="C445" i="37"/>
  <c r="G444" i="37"/>
  <c r="C444" i="37"/>
  <c r="G443" i="37"/>
  <c r="C443" i="37"/>
  <c r="G442" i="37"/>
  <c r="C442" i="37"/>
  <c r="G441" i="37"/>
  <c r="C441" i="37"/>
  <c r="G440" i="37"/>
  <c r="C440" i="37"/>
  <c r="G439" i="37"/>
  <c r="C439" i="37"/>
  <c r="G438" i="37"/>
  <c r="C438" i="37"/>
  <c r="G437" i="37"/>
  <c r="C437" i="37"/>
  <c r="G436" i="37"/>
  <c r="C436" i="37"/>
  <c r="G435" i="37"/>
  <c r="C435" i="37"/>
  <c r="G434" i="37"/>
  <c r="C434" i="37"/>
  <c r="G433" i="37"/>
  <c r="C433" i="37"/>
  <c r="G432" i="37"/>
  <c r="C432" i="37"/>
  <c r="G431" i="37"/>
  <c r="C431" i="37"/>
  <c r="G430" i="37"/>
  <c r="C430" i="37"/>
  <c r="G429" i="37"/>
  <c r="C429" i="37"/>
  <c r="G428" i="37"/>
  <c r="C428" i="37"/>
  <c r="G427" i="37"/>
  <c r="C427" i="37"/>
  <c r="G426" i="37"/>
  <c r="C426" i="37"/>
  <c r="G425" i="37"/>
  <c r="C425" i="37"/>
  <c r="G424" i="37"/>
  <c r="C424" i="37"/>
  <c r="G423" i="37"/>
  <c r="C423" i="37"/>
  <c r="G422" i="37"/>
  <c r="C422" i="37"/>
  <c r="G421" i="37"/>
  <c r="C421" i="37"/>
  <c r="G420" i="37"/>
  <c r="C420" i="37"/>
  <c r="G419" i="37"/>
  <c r="C419" i="37"/>
  <c r="G418" i="37"/>
  <c r="C418" i="37"/>
  <c r="G417" i="37"/>
  <c r="C417" i="37"/>
  <c r="G416" i="37"/>
  <c r="C416" i="37"/>
  <c r="G415" i="37"/>
  <c r="C415" i="37"/>
  <c r="G414" i="37"/>
  <c r="C414" i="37"/>
  <c r="G413" i="37"/>
  <c r="C413" i="37"/>
  <c r="G412" i="37"/>
  <c r="C412" i="37"/>
  <c r="G411" i="37"/>
  <c r="C411" i="37"/>
  <c r="G410" i="37"/>
  <c r="C410" i="37"/>
  <c r="G409" i="37"/>
  <c r="C409" i="37"/>
  <c r="G408" i="37"/>
  <c r="C408" i="37"/>
  <c r="G407" i="37"/>
  <c r="C407" i="37"/>
  <c r="G406" i="37"/>
  <c r="C406" i="37"/>
  <c r="G405" i="37"/>
  <c r="C405" i="37"/>
  <c r="G404" i="37"/>
  <c r="C404" i="37"/>
  <c r="G403" i="37"/>
  <c r="C403" i="37"/>
  <c r="G402" i="37"/>
  <c r="C402" i="37"/>
  <c r="G401" i="37"/>
  <c r="C401" i="37"/>
  <c r="G400" i="37"/>
  <c r="C400" i="37"/>
  <c r="G399" i="37"/>
  <c r="C399" i="37"/>
  <c r="G398" i="37"/>
  <c r="C398" i="37"/>
  <c r="G397" i="37"/>
  <c r="C397" i="37"/>
  <c r="G396" i="37"/>
  <c r="C396" i="37"/>
  <c r="G395" i="37"/>
  <c r="C395" i="37"/>
  <c r="G394" i="37"/>
  <c r="C394" i="37"/>
  <c r="G393" i="37"/>
  <c r="C393" i="37"/>
  <c r="G392" i="37"/>
  <c r="C392" i="37"/>
  <c r="G391" i="37"/>
  <c r="C391" i="37"/>
  <c r="G390" i="37"/>
  <c r="C390" i="37"/>
  <c r="G389" i="37"/>
  <c r="C389" i="37"/>
  <c r="G388" i="37"/>
  <c r="C388" i="37"/>
  <c r="G387" i="37"/>
  <c r="C387" i="37"/>
  <c r="G386" i="37"/>
  <c r="C386" i="37"/>
  <c r="G385" i="37"/>
  <c r="C385" i="37"/>
  <c r="G384" i="37"/>
  <c r="C384" i="37"/>
  <c r="G383" i="37"/>
  <c r="C383" i="37"/>
  <c r="G382" i="37"/>
  <c r="C382" i="37"/>
  <c r="G381" i="37"/>
  <c r="C381" i="37"/>
  <c r="G380" i="37"/>
  <c r="C380" i="37"/>
  <c r="G379" i="37"/>
  <c r="C379" i="37"/>
  <c r="G378" i="37"/>
  <c r="C378" i="37"/>
  <c r="G377" i="37"/>
  <c r="C377" i="37"/>
  <c r="G376" i="37"/>
  <c r="C376" i="37"/>
  <c r="G375" i="37"/>
  <c r="C375" i="37"/>
  <c r="G374" i="37"/>
  <c r="C374" i="37"/>
  <c r="G373" i="37"/>
  <c r="C373" i="37"/>
  <c r="G372" i="37"/>
  <c r="C372" i="37"/>
  <c r="G371" i="37"/>
  <c r="C371" i="37"/>
  <c r="G370" i="37"/>
  <c r="C370" i="37"/>
  <c r="G369" i="37"/>
  <c r="C369" i="37"/>
  <c r="G368" i="37"/>
  <c r="C368" i="37"/>
  <c r="G367" i="37"/>
  <c r="C367" i="37"/>
  <c r="G366" i="37"/>
  <c r="C366" i="37"/>
  <c r="G365" i="37"/>
  <c r="C365" i="37"/>
  <c r="G364" i="37"/>
  <c r="C364" i="37"/>
  <c r="G363" i="37"/>
  <c r="C363" i="37"/>
  <c r="G362" i="37"/>
  <c r="C362" i="37"/>
  <c r="G361" i="37"/>
  <c r="C361" i="37"/>
  <c r="G360" i="37"/>
  <c r="C360" i="37"/>
  <c r="G359" i="37"/>
  <c r="C359" i="37"/>
  <c r="G358" i="37"/>
  <c r="C358" i="37"/>
  <c r="G357" i="37"/>
  <c r="C357" i="37"/>
  <c r="G356" i="37"/>
  <c r="C356" i="37"/>
  <c r="G355" i="37"/>
  <c r="C355" i="37"/>
  <c r="G354" i="37"/>
  <c r="C354" i="37"/>
  <c r="G353" i="37"/>
  <c r="C353" i="37"/>
  <c r="G352" i="37"/>
  <c r="C352" i="37"/>
  <c r="G351" i="37"/>
  <c r="C351" i="37"/>
  <c r="G350" i="37"/>
  <c r="C350" i="37"/>
  <c r="G349" i="37"/>
  <c r="C349" i="37"/>
  <c r="G348" i="37"/>
  <c r="C348" i="37"/>
  <c r="G347" i="37"/>
  <c r="C347" i="37"/>
  <c r="G346" i="37"/>
  <c r="C346" i="37"/>
  <c r="G345" i="37"/>
  <c r="C345" i="37"/>
  <c r="G344" i="37"/>
  <c r="C344" i="37"/>
  <c r="G343" i="37"/>
  <c r="C343" i="37"/>
  <c r="G342" i="37"/>
  <c r="C342" i="37"/>
  <c r="G341" i="37"/>
  <c r="C341" i="37"/>
  <c r="G340" i="37"/>
  <c r="C340" i="37"/>
  <c r="G339" i="37"/>
  <c r="C339" i="37"/>
  <c r="G338" i="37"/>
  <c r="C338" i="37"/>
  <c r="G337" i="37"/>
  <c r="C337" i="37"/>
  <c r="G336" i="37"/>
  <c r="C336" i="37"/>
  <c r="G335" i="37"/>
  <c r="C335" i="37"/>
  <c r="G334" i="37"/>
  <c r="C334" i="37"/>
  <c r="G333" i="37"/>
  <c r="C333" i="37"/>
  <c r="G332" i="37"/>
  <c r="C332" i="37"/>
  <c r="G331" i="37"/>
  <c r="C331" i="37"/>
  <c r="G330" i="37"/>
  <c r="C330" i="37"/>
  <c r="G329" i="37"/>
  <c r="C329" i="37"/>
  <c r="G328" i="37"/>
  <c r="C328" i="37"/>
  <c r="G327" i="37"/>
  <c r="C327" i="37"/>
  <c r="G326" i="37"/>
  <c r="C326" i="37"/>
  <c r="G325" i="37"/>
  <c r="C325" i="37"/>
  <c r="G324" i="37"/>
  <c r="C324" i="37"/>
  <c r="G323" i="37"/>
  <c r="C323" i="37"/>
  <c r="G322" i="37"/>
  <c r="C322" i="37"/>
  <c r="G321" i="37"/>
  <c r="C321" i="37"/>
  <c r="G320" i="37"/>
  <c r="C320" i="37"/>
  <c r="G319" i="37"/>
  <c r="C319" i="37"/>
  <c r="G318" i="37"/>
  <c r="C318" i="37"/>
  <c r="G317" i="37"/>
  <c r="C317" i="37"/>
  <c r="G316" i="37"/>
  <c r="C316" i="37"/>
  <c r="G315" i="37"/>
  <c r="C315" i="37"/>
  <c r="G314" i="37"/>
  <c r="C314" i="37"/>
  <c r="G313" i="37"/>
  <c r="C313" i="37"/>
  <c r="G312" i="37"/>
  <c r="C312" i="37"/>
  <c r="G311" i="37"/>
  <c r="C311" i="37"/>
  <c r="G310" i="37"/>
  <c r="C310" i="37"/>
  <c r="G309" i="37"/>
  <c r="C309" i="37"/>
  <c r="G308" i="37"/>
  <c r="C308" i="37"/>
  <c r="G307" i="37"/>
  <c r="C307" i="37"/>
  <c r="G306" i="37"/>
  <c r="C306" i="37"/>
  <c r="G305" i="37"/>
  <c r="C305" i="37"/>
  <c r="G304" i="37"/>
  <c r="C304" i="37"/>
  <c r="G303" i="37"/>
  <c r="C303" i="37"/>
  <c r="G302" i="37"/>
  <c r="C302" i="37"/>
  <c r="G301" i="37"/>
  <c r="C301" i="37"/>
  <c r="G300" i="37"/>
  <c r="C300" i="37"/>
  <c r="G299" i="37"/>
  <c r="C299" i="37"/>
  <c r="G298" i="37"/>
  <c r="C298" i="37"/>
  <c r="G297" i="37"/>
  <c r="C297" i="37"/>
  <c r="G296" i="37"/>
  <c r="C296" i="37"/>
  <c r="G295" i="37"/>
  <c r="C295" i="37"/>
  <c r="G294" i="37"/>
  <c r="C294" i="37"/>
  <c r="G293" i="37"/>
  <c r="C293" i="37"/>
  <c r="G292" i="37"/>
  <c r="C292" i="37"/>
  <c r="G291" i="37"/>
  <c r="C291" i="37"/>
  <c r="G290" i="37"/>
  <c r="C290" i="37"/>
  <c r="G289" i="37"/>
  <c r="C289" i="37"/>
  <c r="G288" i="37"/>
  <c r="C288" i="37"/>
  <c r="G287" i="37"/>
  <c r="C287" i="37"/>
  <c r="G286" i="37"/>
  <c r="C286" i="37"/>
  <c r="G285" i="37"/>
  <c r="C285" i="37"/>
  <c r="G284" i="37"/>
  <c r="C284" i="37"/>
  <c r="G283" i="37"/>
  <c r="C283" i="37"/>
  <c r="G282" i="37"/>
  <c r="C282" i="37"/>
  <c r="G281" i="37"/>
  <c r="C281" i="37"/>
  <c r="G280" i="37"/>
  <c r="C280" i="37"/>
  <c r="G279" i="37"/>
  <c r="C279" i="37"/>
  <c r="G278" i="37"/>
  <c r="C278" i="37"/>
  <c r="G277" i="37"/>
  <c r="C277" i="37"/>
  <c r="G276" i="37"/>
  <c r="C276" i="37"/>
  <c r="G275" i="37"/>
  <c r="C275" i="37"/>
  <c r="G274" i="37"/>
  <c r="C274" i="37"/>
  <c r="G273" i="37"/>
  <c r="C273" i="37"/>
  <c r="G272" i="37"/>
  <c r="C272" i="37"/>
  <c r="G271" i="37"/>
  <c r="C271" i="37"/>
  <c r="G270" i="37"/>
  <c r="C270" i="37"/>
  <c r="G269" i="37"/>
  <c r="C269" i="37"/>
  <c r="G268" i="37"/>
  <c r="C268" i="37"/>
  <c r="G267" i="37"/>
  <c r="C267" i="37"/>
  <c r="G266" i="37"/>
  <c r="C266" i="37"/>
  <c r="G265" i="37"/>
  <c r="C265" i="37"/>
  <c r="G264" i="37"/>
  <c r="C264" i="37"/>
  <c r="G263" i="37"/>
  <c r="C263" i="37"/>
  <c r="G262" i="37"/>
  <c r="C262" i="37"/>
  <c r="G261" i="37"/>
  <c r="C261" i="37"/>
  <c r="G260" i="37"/>
  <c r="C260" i="37"/>
  <c r="G259" i="37"/>
  <c r="C259" i="37"/>
  <c r="G258" i="37"/>
  <c r="C258" i="37"/>
  <c r="G257" i="37"/>
  <c r="C257" i="37"/>
  <c r="G256" i="37"/>
  <c r="C256" i="37"/>
  <c r="G255" i="37"/>
  <c r="C255" i="37"/>
  <c r="G254" i="37"/>
  <c r="C254" i="37"/>
  <c r="G253" i="37"/>
  <c r="C253" i="37"/>
  <c r="G252" i="37"/>
  <c r="C252" i="37"/>
  <c r="G251" i="37"/>
  <c r="C251" i="37"/>
  <c r="G250" i="37"/>
  <c r="C250" i="37"/>
  <c r="G249" i="37"/>
  <c r="C249" i="37"/>
  <c r="G248" i="37"/>
  <c r="C248" i="37"/>
  <c r="G247" i="37"/>
  <c r="C247" i="37"/>
  <c r="G246" i="37"/>
  <c r="C246" i="37"/>
  <c r="G245" i="37"/>
  <c r="C245" i="37"/>
  <c r="G244" i="37"/>
  <c r="C244" i="37"/>
  <c r="G243" i="37"/>
  <c r="C243" i="37"/>
  <c r="G242" i="37"/>
  <c r="C242" i="37"/>
  <c r="G241" i="37"/>
  <c r="C241" i="37"/>
  <c r="G240" i="37"/>
  <c r="C240" i="37"/>
  <c r="G239" i="37"/>
  <c r="C239" i="37"/>
  <c r="G238" i="37"/>
  <c r="C238" i="37"/>
  <c r="G237" i="37"/>
  <c r="C237" i="37"/>
  <c r="G236" i="37"/>
  <c r="C236" i="37"/>
  <c r="G235" i="37"/>
  <c r="C235" i="37"/>
  <c r="G234" i="37"/>
  <c r="C234" i="37"/>
  <c r="G233" i="37"/>
  <c r="C233" i="37"/>
  <c r="G232" i="37"/>
  <c r="C232" i="37"/>
  <c r="G231" i="37"/>
  <c r="C231" i="37"/>
  <c r="G230" i="37"/>
  <c r="C230" i="37"/>
  <c r="G229" i="37"/>
  <c r="C229" i="37"/>
  <c r="G228" i="37"/>
  <c r="C228" i="37"/>
  <c r="G227" i="37"/>
  <c r="C227" i="37"/>
  <c r="G226" i="37"/>
  <c r="C226" i="37"/>
  <c r="G225" i="37"/>
  <c r="C225" i="37"/>
  <c r="G224" i="37"/>
  <c r="C224" i="37"/>
  <c r="G223" i="37"/>
  <c r="C223" i="37"/>
  <c r="G222" i="37"/>
  <c r="C222" i="37"/>
  <c r="G221" i="37"/>
  <c r="C221" i="37"/>
  <c r="G220" i="37"/>
  <c r="C220" i="37"/>
  <c r="G219" i="37"/>
  <c r="C219" i="37"/>
  <c r="G218" i="37"/>
  <c r="C218" i="37"/>
  <c r="G217" i="37"/>
  <c r="C217" i="37"/>
  <c r="G216" i="37"/>
  <c r="C216" i="37"/>
  <c r="G215" i="37"/>
  <c r="C215" i="37"/>
  <c r="G214" i="37"/>
  <c r="C214" i="37"/>
  <c r="G213" i="37"/>
  <c r="C213" i="37"/>
  <c r="G212" i="37"/>
  <c r="C212" i="37"/>
  <c r="G211" i="37"/>
  <c r="C211" i="37"/>
  <c r="G210" i="37"/>
  <c r="C210" i="37"/>
  <c r="G209" i="37"/>
  <c r="C209" i="37"/>
  <c r="G208" i="37"/>
  <c r="C208" i="37"/>
  <c r="G207" i="37"/>
  <c r="C207" i="37"/>
  <c r="G206" i="37"/>
  <c r="C206" i="37"/>
  <c r="G205" i="37"/>
  <c r="C205" i="37"/>
  <c r="G204" i="37"/>
  <c r="C204" i="37"/>
  <c r="G203" i="37"/>
  <c r="C203" i="37"/>
  <c r="G202" i="37"/>
  <c r="C202" i="37"/>
  <c r="G201" i="37"/>
  <c r="C201" i="37"/>
  <c r="G200" i="37"/>
  <c r="C200" i="37"/>
  <c r="G199" i="37"/>
  <c r="C199" i="37"/>
  <c r="G198" i="37"/>
  <c r="C198" i="37"/>
  <c r="G197" i="37"/>
  <c r="C197" i="37"/>
  <c r="G196" i="37"/>
  <c r="C196" i="37"/>
  <c r="G195" i="37"/>
  <c r="C195" i="37"/>
  <c r="G194" i="37"/>
  <c r="C194" i="37"/>
  <c r="G193" i="37"/>
  <c r="C193" i="37"/>
  <c r="G192" i="37"/>
  <c r="C192" i="37"/>
  <c r="G191" i="37"/>
  <c r="C191" i="37"/>
  <c r="G190" i="37"/>
  <c r="C190" i="37"/>
  <c r="G189" i="37"/>
  <c r="C189" i="37"/>
  <c r="G188" i="37"/>
  <c r="C188" i="37"/>
  <c r="G187" i="37"/>
  <c r="C187" i="37"/>
  <c r="G186" i="37"/>
  <c r="C186" i="37"/>
  <c r="G185" i="37"/>
  <c r="C185" i="37"/>
  <c r="G184" i="37"/>
  <c r="C184" i="37"/>
  <c r="G183" i="37"/>
  <c r="C183" i="37"/>
  <c r="G182" i="37"/>
  <c r="C182" i="37"/>
  <c r="G181" i="37"/>
  <c r="C181" i="37"/>
  <c r="G180" i="37"/>
  <c r="C180" i="37"/>
  <c r="G179" i="37"/>
  <c r="C179" i="37"/>
  <c r="G178" i="37"/>
  <c r="C178" i="37"/>
  <c r="G177" i="37"/>
  <c r="C177" i="37"/>
  <c r="G176" i="37"/>
  <c r="C176" i="37"/>
  <c r="G175" i="37"/>
  <c r="C175" i="37"/>
  <c r="G174" i="37"/>
  <c r="C174" i="37"/>
  <c r="G173" i="37"/>
  <c r="C173" i="37"/>
  <c r="G172" i="37"/>
  <c r="C172" i="37"/>
  <c r="G171" i="37"/>
  <c r="C171" i="37"/>
  <c r="G170" i="37"/>
  <c r="C170" i="37"/>
  <c r="G169" i="37"/>
  <c r="C169" i="37"/>
  <c r="G168" i="37"/>
  <c r="C168" i="37"/>
  <c r="G167" i="37"/>
  <c r="C167" i="37"/>
  <c r="G166" i="37"/>
  <c r="C166" i="37"/>
  <c r="G165" i="37"/>
  <c r="C165" i="37"/>
  <c r="G164" i="37"/>
  <c r="C164" i="37"/>
  <c r="G163" i="37"/>
  <c r="C163" i="37"/>
  <c r="G162" i="37"/>
  <c r="C162" i="37"/>
  <c r="G161" i="37"/>
  <c r="C161" i="37"/>
  <c r="G160" i="37"/>
  <c r="C160" i="37"/>
  <c r="G159" i="37"/>
  <c r="C159" i="37"/>
  <c r="G158" i="37"/>
  <c r="C158" i="37"/>
  <c r="G157" i="37"/>
  <c r="C157" i="37"/>
  <c r="G156" i="37"/>
  <c r="C156" i="37"/>
  <c r="G155" i="37"/>
  <c r="C155" i="37"/>
  <c r="G154" i="37"/>
  <c r="C154" i="37"/>
  <c r="G153" i="37"/>
  <c r="C153" i="37"/>
  <c r="I3" i="1"/>
  <c r="I3" i="42" l="1"/>
  <c r="I3" i="44"/>
  <c r="H3" i="14"/>
  <c r="M53" i="38"/>
  <c r="M85" i="38"/>
  <c r="M125" i="38"/>
  <c r="M165" i="38"/>
  <c r="M213" i="38"/>
  <c r="M261" i="38"/>
  <c r="M309" i="38"/>
  <c r="M341" i="38"/>
  <c r="M381" i="38"/>
  <c r="M551" i="38"/>
  <c r="M599" i="38"/>
  <c r="M655" i="38"/>
  <c r="M680" i="38"/>
  <c r="M730" i="38"/>
  <c r="M773" i="38"/>
  <c r="M823" i="38"/>
  <c r="M855" i="38"/>
  <c r="M6" i="38"/>
  <c r="M14" i="38"/>
  <c r="M22" i="38"/>
  <c r="M30" i="38"/>
  <c r="M38" i="38"/>
  <c r="M46" i="38"/>
  <c r="M54" i="38"/>
  <c r="M62" i="38"/>
  <c r="M70" i="38"/>
  <c r="M78" i="38"/>
  <c r="M86" i="38"/>
  <c r="M94" i="38"/>
  <c r="M102" i="38"/>
  <c r="M110" i="38"/>
  <c r="M118" i="38"/>
  <c r="M126" i="38"/>
  <c r="M134" i="38"/>
  <c r="M142" i="38"/>
  <c r="M150" i="38"/>
  <c r="M158" i="38"/>
  <c r="M166" i="38"/>
  <c r="M174" i="38"/>
  <c r="M182" i="38"/>
  <c r="M190" i="38"/>
  <c r="M198" i="38"/>
  <c r="M206" i="38"/>
  <c r="M214" i="38"/>
  <c r="M222" i="38"/>
  <c r="M230" i="38"/>
  <c r="M238" i="38"/>
  <c r="M246" i="38"/>
  <c r="M254" i="38"/>
  <c r="M262" i="38"/>
  <c r="M270" i="38"/>
  <c r="M278" i="38"/>
  <c r="M286" i="38"/>
  <c r="M294" i="38"/>
  <c r="M302" i="38"/>
  <c r="M310" i="38"/>
  <c r="M318" i="38"/>
  <c r="M326" i="38"/>
  <c r="M334" i="38"/>
  <c r="M342" i="38"/>
  <c r="M350" i="38"/>
  <c r="M358" i="38"/>
  <c r="M366" i="38"/>
  <c r="M374" i="38"/>
  <c r="M382" i="38"/>
  <c r="M512" i="38"/>
  <c r="M520" i="38"/>
  <c r="M528" i="38"/>
  <c r="M536" i="38"/>
  <c r="M544" i="38"/>
  <c r="M552" i="38"/>
  <c r="M560" i="38"/>
  <c r="M568" i="38"/>
  <c r="M576" i="38"/>
  <c r="M584" i="38"/>
  <c r="M592" i="38"/>
  <c r="M600" i="38"/>
  <c r="M608" i="38"/>
  <c r="M616" i="38"/>
  <c r="M624" i="38"/>
  <c r="M632" i="38"/>
  <c r="M640" i="38"/>
  <c r="M648" i="38"/>
  <c r="M656" i="38"/>
  <c r="M664" i="38"/>
  <c r="M672" i="38"/>
  <c r="M681" i="38"/>
  <c r="M689" i="38"/>
  <c r="M698" i="38"/>
  <c r="M706" i="38"/>
  <c r="M714" i="38"/>
  <c r="M723" i="38"/>
  <c r="M731" i="38"/>
  <c r="M740" i="38"/>
  <c r="M748" i="38"/>
  <c r="M757" i="38"/>
  <c r="M765" i="38"/>
  <c r="M774" i="38"/>
  <c r="M782" i="38"/>
  <c r="M790" i="38"/>
  <c r="M799" i="38"/>
  <c r="M808" i="38"/>
  <c r="M816" i="38"/>
  <c r="M824" i="38"/>
  <c r="M832" i="38"/>
  <c r="M840" i="38"/>
  <c r="M848" i="38"/>
  <c r="M856" i="38"/>
  <c r="M864" i="38"/>
  <c r="M872" i="38"/>
  <c r="M880" i="38"/>
  <c r="M888" i="38"/>
  <c r="M45" i="38"/>
  <c r="M101" i="38"/>
  <c r="M141" i="38"/>
  <c r="M197" i="38"/>
  <c r="M245" i="38"/>
  <c r="M293" i="38"/>
  <c r="M357" i="38"/>
  <c r="M535" i="38"/>
  <c r="M583" i="38"/>
  <c r="M647" i="38"/>
  <c r="M705" i="38"/>
  <c r="M756" i="38"/>
  <c r="M798" i="38"/>
  <c r="M847" i="38"/>
  <c r="M7" i="38"/>
  <c r="M15" i="38"/>
  <c r="M23" i="38"/>
  <c r="M31" i="38"/>
  <c r="M39" i="38"/>
  <c r="M47" i="38"/>
  <c r="M55" i="38"/>
  <c r="M63" i="38"/>
  <c r="M71" i="38"/>
  <c r="M79" i="38"/>
  <c r="M87" i="38"/>
  <c r="M95" i="38"/>
  <c r="M103" i="38"/>
  <c r="M111" i="38"/>
  <c r="M119" i="38"/>
  <c r="M127" i="38"/>
  <c r="M135" i="38"/>
  <c r="M143" i="38"/>
  <c r="M151" i="38"/>
  <c r="M159" i="38"/>
  <c r="M167" i="38"/>
  <c r="M175" i="38"/>
  <c r="M183" i="38"/>
  <c r="M191" i="38"/>
  <c r="M199" i="38"/>
  <c r="M207" i="38"/>
  <c r="M215" i="38"/>
  <c r="M223" i="38"/>
  <c r="M231" i="38"/>
  <c r="M239" i="38"/>
  <c r="M247" i="38"/>
  <c r="M255" i="38"/>
  <c r="M263" i="38"/>
  <c r="M271" i="38"/>
  <c r="M279" i="38"/>
  <c r="M287" i="38"/>
  <c r="M295" i="38"/>
  <c r="M303" i="38"/>
  <c r="M311" i="38"/>
  <c r="M319" i="38"/>
  <c r="M327" i="38"/>
  <c r="M335" i="38"/>
  <c r="M343" i="38"/>
  <c r="M351" i="38"/>
  <c r="M359" i="38"/>
  <c r="M367" i="38"/>
  <c r="M375" i="38"/>
  <c r="M383" i="38"/>
  <c r="M513" i="38"/>
  <c r="M521" i="38"/>
  <c r="M529" i="38"/>
  <c r="M537" i="38"/>
  <c r="M545" i="38"/>
  <c r="M553" i="38"/>
  <c r="M561" i="38"/>
  <c r="M569" i="38"/>
  <c r="M577" i="38"/>
  <c r="M585" i="38"/>
  <c r="M593" i="38"/>
  <c r="M601" i="38"/>
  <c r="M609" i="38"/>
  <c r="M617" i="38"/>
  <c r="M625" i="38"/>
  <c r="M633" i="38"/>
  <c r="M641" i="38"/>
  <c r="M649" i="38"/>
  <c r="M657" i="38"/>
  <c r="M665" i="38"/>
  <c r="M673" i="38"/>
  <c r="M682" i="38"/>
  <c r="M690" i="38"/>
  <c r="M699" i="38"/>
  <c r="M707" i="38"/>
  <c r="M716" i="38"/>
  <c r="M724" i="38"/>
  <c r="M732" i="38"/>
  <c r="M741" i="38"/>
  <c r="M749" i="38"/>
  <c r="M758" i="38"/>
  <c r="M766" i="38"/>
  <c r="M775" i="38"/>
  <c r="M783" i="38"/>
  <c r="M792" i="38"/>
  <c r="M800" i="38"/>
  <c r="M809" i="38"/>
  <c r="M817" i="38"/>
  <c r="M825" i="38"/>
  <c r="M833" i="38"/>
  <c r="M841" i="38"/>
  <c r="M849" i="38"/>
  <c r="M857" i="38"/>
  <c r="M865" i="38"/>
  <c r="M873" i="38"/>
  <c r="M881" i="38"/>
  <c r="M889" i="38"/>
  <c r="M29" i="38"/>
  <c r="M607" i="38"/>
  <c r="M8" i="38"/>
  <c r="M16" i="38"/>
  <c r="M24" i="38"/>
  <c r="M32" i="38"/>
  <c r="M40" i="38"/>
  <c r="M48" i="38"/>
  <c r="M56" i="38"/>
  <c r="M64" i="38"/>
  <c r="M72" i="38"/>
  <c r="M80" i="38"/>
  <c r="M88" i="38"/>
  <c r="M96" i="38"/>
  <c r="M104" i="38"/>
  <c r="M112" i="38"/>
  <c r="M120" i="38"/>
  <c r="M128" i="38"/>
  <c r="M136" i="38"/>
  <c r="M144" i="38"/>
  <c r="M152" i="38"/>
  <c r="M160" i="38"/>
  <c r="M168" i="38"/>
  <c r="M176" i="38"/>
  <c r="M184" i="38"/>
  <c r="M192" i="38"/>
  <c r="M200" i="38"/>
  <c r="M208" i="38"/>
  <c r="M216" i="38"/>
  <c r="M224" i="38"/>
  <c r="M232" i="38"/>
  <c r="M240" i="38"/>
  <c r="M248" i="38"/>
  <c r="M256" i="38"/>
  <c r="M264" i="38"/>
  <c r="M272" i="38"/>
  <c r="M280" i="38"/>
  <c r="M288" i="38"/>
  <c r="M296" i="38"/>
  <c r="M304" i="38"/>
  <c r="M312" i="38"/>
  <c r="M320" i="38"/>
  <c r="M328" i="38"/>
  <c r="M336" i="38"/>
  <c r="M344" i="38"/>
  <c r="M352" i="38"/>
  <c r="M360" i="38"/>
  <c r="M368" i="38"/>
  <c r="M376" i="38"/>
  <c r="M384" i="38"/>
  <c r="M514" i="38"/>
  <c r="M522" i="38"/>
  <c r="M530" i="38"/>
  <c r="M538" i="38"/>
  <c r="M546" i="38"/>
  <c r="M554" i="38"/>
  <c r="M562" i="38"/>
  <c r="M570" i="38"/>
  <c r="M578" i="38"/>
  <c r="M586" i="38"/>
  <c r="M594" i="38"/>
  <c r="M602" i="38"/>
  <c r="M610" i="38"/>
  <c r="M618" i="38"/>
  <c r="M626" i="38"/>
  <c r="M634" i="38"/>
  <c r="M642" i="38"/>
  <c r="M650" i="38"/>
  <c r="M658" i="38"/>
  <c r="M666" i="38"/>
  <c r="M674" i="38"/>
  <c r="M683" i="38"/>
  <c r="M691" i="38"/>
  <c r="M700" i="38"/>
  <c r="M708" i="38"/>
  <c r="M717" i="38"/>
  <c r="M725" i="38"/>
  <c r="M733" i="38"/>
  <c r="M742" i="38"/>
  <c r="M750" i="38"/>
  <c r="M759" i="38"/>
  <c r="M767" i="38"/>
  <c r="M776" i="38"/>
  <c r="M784" i="38"/>
  <c r="M793" i="38"/>
  <c r="M801" i="38"/>
  <c r="M810" i="38"/>
  <c r="M818" i="38"/>
  <c r="M826" i="38"/>
  <c r="M834" i="38"/>
  <c r="M842" i="38"/>
  <c r="M850" i="38"/>
  <c r="M858" i="38"/>
  <c r="M866" i="38"/>
  <c r="M874" i="38"/>
  <c r="M882" i="38"/>
  <c r="M890" i="38"/>
  <c r="M13" i="38"/>
  <c r="M69" i="38"/>
  <c r="M117" i="38"/>
  <c r="M173" i="38"/>
  <c r="M221" i="38"/>
  <c r="M269" i="38"/>
  <c r="M317" i="38"/>
  <c r="M365" i="38"/>
  <c r="M527" i="38"/>
  <c r="M567" i="38"/>
  <c r="M623" i="38"/>
  <c r="M663" i="38"/>
  <c r="M713" i="38"/>
  <c r="M764" i="38"/>
  <c r="M815" i="38"/>
  <c r="M863" i="38"/>
  <c r="M9" i="38"/>
  <c r="M17" i="38"/>
  <c r="M25" i="38"/>
  <c r="M33" i="38"/>
  <c r="M41" i="38"/>
  <c r="M49" i="38"/>
  <c r="M57" i="38"/>
  <c r="M65" i="38"/>
  <c r="M73" i="38"/>
  <c r="M81" i="38"/>
  <c r="M89" i="38"/>
  <c r="M97" i="38"/>
  <c r="M105" i="38"/>
  <c r="M113" i="38"/>
  <c r="M121" i="38"/>
  <c r="M129" i="38"/>
  <c r="M137" i="38"/>
  <c r="M145" i="38"/>
  <c r="M153" i="38"/>
  <c r="M161" i="38"/>
  <c r="M169" i="38"/>
  <c r="M177" i="38"/>
  <c r="M185" i="38"/>
  <c r="M193" i="38"/>
  <c r="M201" i="38"/>
  <c r="M209" i="38"/>
  <c r="M217" i="38"/>
  <c r="M225" i="38"/>
  <c r="M233" i="38"/>
  <c r="M241" i="38"/>
  <c r="M249" i="38"/>
  <c r="M257" i="38"/>
  <c r="M265" i="38"/>
  <c r="M273" i="38"/>
  <c r="M281" i="38"/>
  <c r="M289" i="38"/>
  <c r="M297" i="38"/>
  <c r="M305" i="38"/>
  <c r="M313" i="38"/>
  <c r="M321" i="38"/>
  <c r="M329" i="38"/>
  <c r="M337" i="38"/>
  <c r="M345" i="38"/>
  <c r="M353" i="38"/>
  <c r="M361" i="38"/>
  <c r="M369" i="38"/>
  <c r="M377" i="38"/>
  <c r="M385" i="38"/>
  <c r="M515" i="38"/>
  <c r="M523" i="38"/>
  <c r="M531" i="38"/>
  <c r="M539" i="38"/>
  <c r="M547" i="38"/>
  <c r="M555" i="38"/>
  <c r="M563" i="38"/>
  <c r="M571" i="38"/>
  <c r="M579" i="38"/>
  <c r="M587" i="38"/>
  <c r="M595" i="38"/>
  <c r="M603" i="38"/>
  <c r="M611" i="38"/>
  <c r="M619" i="38"/>
  <c r="M627" i="38"/>
  <c r="M635" i="38"/>
  <c r="M643" i="38"/>
  <c r="M651" i="38"/>
  <c r="M659" i="38"/>
  <c r="M667" i="38"/>
  <c r="M675" i="38"/>
  <c r="M684" i="38"/>
  <c r="M692" i="38"/>
  <c r="M701" i="38"/>
  <c r="M709" i="38"/>
  <c r="M718" i="38"/>
  <c r="M726" i="38"/>
  <c r="M735" i="38"/>
  <c r="M743" i="38"/>
  <c r="M751" i="38"/>
  <c r="M760" i="38"/>
  <c r="M768" i="38"/>
  <c r="M777" i="38"/>
  <c r="M785" i="38"/>
  <c r="M794" i="38"/>
  <c r="M802" i="38"/>
  <c r="M811" i="38"/>
  <c r="M819" i="38"/>
  <c r="M827" i="38"/>
  <c r="M835" i="38"/>
  <c r="M843" i="38"/>
  <c r="M851" i="38"/>
  <c r="M859" i="38"/>
  <c r="M867" i="38"/>
  <c r="M875" i="38"/>
  <c r="M883" i="38"/>
  <c r="M891" i="38"/>
  <c r="M5" i="38"/>
  <c r="M61" i="38"/>
  <c r="M109" i="38"/>
  <c r="M157" i="38"/>
  <c r="M205" i="38"/>
  <c r="M253" i="38"/>
  <c r="M301" i="38"/>
  <c r="M349" i="38"/>
  <c r="M519" i="38"/>
  <c r="M559" i="38"/>
  <c r="M615" i="38"/>
  <c r="M688" i="38"/>
  <c r="M739" i="38"/>
  <c r="M789" i="38"/>
  <c r="M839" i="38"/>
  <c r="M871" i="38"/>
  <c r="M10" i="38"/>
  <c r="M18" i="38"/>
  <c r="M26" i="38"/>
  <c r="M34" i="38"/>
  <c r="M42" i="38"/>
  <c r="M50" i="38"/>
  <c r="M58" i="38"/>
  <c r="M66" i="38"/>
  <c r="M74" i="38"/>
  <c r="M82" i="38"/>
  <c r="M90" i="38"/>
  <c r="M98" i="38"/>
  <c r="M106" i="38"/>
  <c r="M114" i="38"/>
  <c r="M122" i="38"/>
  <c r="M130" i="38"/>
  <c r="M138" i="38"/>
  <c r="M146" i="38"/>
  <c r="M154" i="38"/>
  <c r="M162" i="38"/>
  <c r="M170" i="38"/>
  <c r="M178" i="38"/>
  <c r="M186" i="38"/>
  <c r="M194" i="38"/>
  <c r="M202" i="38"/>
  <c r="M210" i="38"/>
  <c r="M218" i="38"/>
  <c r="M226" i="38"/>
  <c r="M234" i="38"/>
  <c r="M242" i="38"/>
  <c r="M250" i="38"/>
  <c r="M258" i="38"/>
  <c r="M266" i="38"/>
  <c r="M274" i="38"/>
  <c r="M282" i="38"/>
  <c r="M290" i="38"/>
  <c r="M298" i="38"/>
  <c r="M306" i="38"/>
  <c r="M314" i="38"/>
  <c r="M322" i="38"/>
  <c r="M330" i="38"/>
  <c r="M338" i="38"/>
  <c r="M346" i="38"/>
  <c r="M354" i="38"/>
  <c r="M362" i="38"/>
  <c r="M370" i="38"/>
  <c r="M378" i="38"/>
  <c r="M386" i="38"/>
  <c r="M516" i="38"/>
  <c r="M524" i="38"/>
  <c r="M532" i="38"/>
  <c r="M540" i="38"/>
  <c r="M548" i="38"/>
  <c r="M556" i="38"/>
  <c r="M564" i="38"/>
  <c r="M572" i="38"/>
  <c r="M580" i="38"/>
  <c r="M588" i="38"/>
  <c r="M596" i="38"/>
  <c r="M604" i="38"/>
  <c r="M612" i="38"/>
  <c r="M620" i="38"/>
  <c r="M628" i="38"/>
  <c r="M636" i="38"/>
  <c r="M644" i="38"/>
  <c r="M652" i="38"/>
  <c r="M660" i="38"/>
  <c r="M668" i="38"/>
  <c r="M676" i="38"/>
  <c r="M685" i="38"/>
  <c r="M693" i="38"/>
  <c r="M702" i="38"/>
  <c r="M710" i="38"/>
  <c r="M719" i="38"/>
  <c r="M727" i="38"/>
  <c r="M736" i="38"/>
  <c r="M744" i="38"/>
  <c r="M752" i="38"/>
  <c r="M761" i="38"/>
  <c r="M769" i="38"/>
  <c r="M778" i="38"/>
  <c r="M786" i="38"/>
  <c r="M795" i="38"/>
  <c r="M803" i="38"/>
  <c r="M812" i="38"/>
  <c r="M820" i="38"/>
  <c r="M828" i="38"/>
  <c r="M836" i="38"/>
  <c r="M844" i="38"/>
  <c r="M852" i="38"/>
  <c r="M860" i="38"/>
  <c r="M868" i="38"/>
  <c r="M876" i="38"/>
  <c r="M884" i="38"/>
  <c r="M892" i="38"/>
  <c r="M21" i="38"/>
  <c r="M77" i="38"/>
  <c r="M133" i="38"/>
  <c r="M181" i="38"/>
  <c r="M229" i="38"/>
  <c r="M277" i="38"/>
  <c r="M325" i="38"/>
  <c r="M373" i="38"/>
  <c r="M543" i="38"/>
  <c r="M591" i="38"/>
  <c r="M631" i="38"/>
  <c r="M671" i="38"/>
  <c r="M722" i="38"/>
  <c r="M781" i="38"/>
  <c r="M831" i="38"/>
  <c r="M887" i="38"/>
  <c r="M3" i="38"/>
  <c r="M11" i="38"/>
  <c r="M19" i="38"/>
  <c r="M27" i="38"/>
  <c r="M35" i="38"/>
  <c r="M43" i="38"/>
  <c r="M51" i="38"/>
  <c r="M59" i="38"/>
  <c r="M67" i="38"/>
  <c r="M75" i="38"/>
  <c r="M83" i="38"/>
  <c r="M91" i="38"/>
  <c r="M99" i="38"/>
  <c r="M107" i="38"/>
  <c r="M115" i="38"/>
  <c r="M123" i="38"/>
  <c r="M131" i="38"/>
  <c r="M139" i="38"/>
  <c r="M147" i="38"/>
  <c r="M155" i="38"/>
  <c r="M163" i="38"/>
  <c r="M171" i="38"/>
  <c r="M179" i="38"/>
  <c r="M187" i="38"/>
  <c r="M195" i="38"/>
  <c r="M203" i="38"/>
  <c r="M211" i="38"/>
  <c r="M219" i="38"/>
  <c r="M227" i="38"/>
  <c r="M235" i="38"/>
  <c r="M243" i="38"/>
  <c r="M251" i="38"/>
  <c r="M259" i="38"/>
  <c r="M267" i="38"/>
  <c r="M275" i="38"/>
  <c r="M283" i="38"/>
  <c r="M291" i="38"/>
  <c r="M299" i="38"/>
  <c r="M307" i="38"/>
  <c r="M315" i="38"/>
  <c r="M323" i="38"/>
  <c r="M331" i="38"/>
  <c r="M339" i="38"/>
  <c r="M347" i="38"/>
  <c r="M355" i="38"/>
  <c r="M363" i="38"/>
  <c r="M371" i="38"/>
  <c r="M379" i="38"/>
  <c r="M387" i="38"/>
  <c r="M517" i="38"/>
  <c r="M525" i="38"/>
  <c r="M533" i="38"/>
  <c r="M541" i="38"/>
  <c r="M549" i="38"/>
  <c r="M557" i="38"/>
  <c r="M565" i="38"/>
  <c r="M573" i="38"/>
  <c r="M581" i="38"/>
  <c r="M589" i="38"/>
  <c r="M597" i="38"/>
  <c r="M605" i="38"/>
  <c r="M613" i="38"/>
  <c r="M621" i="38"/>
  <c r="M629" i="38"/>
  <c r="M637" i="38"/>
  <c r="M645" i="38"/>
  <c r="M653" i="38"/>
  <c r="M661" i="38"/>
  <c r="M669" i="38"/>
  <c r="M678" i="38"/>
  <c r="M686" i="38"/>
  <c r="M694" i="38"/>
  <c r="M703" i="38"/>
  <c r="M711" i="38"/>
  <c r="M720" i="38"/>
  <c r="M728" i="38"/>
  <c r="M737" i="38"/>
  <c r="M745" i="38"/>
  <c r="M754" i="38"/>
  <c r="M762" i="38"/>
  <c r="M770" i="38"/>
  <c r="M779" i="38"/>
  <c r="M787" i="38"/>
  <c r="M796" i="38"/>
  <c r="M804" i="38"/>
  <c r="M813" i="38"/>
  <c r="M821" i="38"/>
  <c r="M829" i="38"/>
  <c r="M837" i="38"/>
  <c r="M845" i="38"/>
  <c r="M853" i="38"/>
  <c r="M861" i="38"/>
  <c r="M869" i="38"/>
  <c r="M877" i="38"/>
  <c r="M885" i="38"/>
  <c r="M893" i="38"/>
  <c r="M37" i="38"/>
  <c r="M93" i="38"/>
  <c r="M149" i="38"/>
  <c r="M189" i="38"/>
  <c r="M237" i="38"/>
  <c r="M285" i="38"/>
  <c r="M333" i="38"/>
  <c r="M389" i="38"/>
  <c r="M575" i="38"/>
  <c r="M639" i="38"/>
  <c r="M697" i="38"/>
  <c r="M747" i="38"/>
  <c r="M807" i="38"/>
  <c r="M879" i="38"/>
  <c r="M4" i="38"/>
  <c r="M12" i="38"/>
  <c r="M20" i="38"/>
  <c r="M28" i="38"/>
  <c r="M36" i="38"/>
  <c r="M44" i="38"/>
  <c r="M52" i="38"/>
  <c r="M60" i="38"/>
  <c r="M68" i="38"/>
  <c r="M76" i="38"/>
  <c r="M84" i="38"/>
  <c r="M92" i="38"/>
  <c r="M100" i="38"/>
  <c r="M108" i="38"/>
  <c r="M116" i="38"/>
  <c r="M124" i="38"/>
  <c r="M132" i="38"/>
  <c r="M140" i="38"/>
  <c r="M148" i="38"/>
  <c r="M156" i="38"/>
  <c r="M164" i="38"/>
  <c r="M172" i="38"/>
  <c r="M180" i="38"/>
  <c r="M188" i="38"/>
  <c r="M196" i="38"/>
  <c r="M204" i="38"/>
  <c r="M212" i="38"/>
  <c r="M220" i="38"/>
  <c r="M228" i="38"/>
  <c r="M236" i="38"/>
  <c r="M244" i="38"/>
  <c r="M252" i="38"/>
  <c r="M260" i="38"/>
  <c r="M268" i="38"/>
  <c r="M276" i="38"/>
  <c r="M284" i="38"/>
  <c r="M292" i="38"/>
  <c r="M300" i="38"/>
  <c r="M308" i="38"/>
  <c r="M316" i="38"/>
  <c r="M324" i="38"/>
  <c r="M332" i="38"/>
  <c r="M340" i="38"/>
  <c r="M348" i="38"/>
  <c r="M356" i="38"/>
  <c r="M364" i="38"/>
  <c r="M372" i="38"/>
  <c r="M380" i="38"/>
  <c r="M388" i="38"/>
  <c r="M518" i="38"/>
  <c r="M526" i="38"/>
  <c r="M534" i="38"/>
  <c r="M542" i="38"/>
  <c r="M550" i="38"/>
  <c r="M558" i="38"/>
  <c r="M566" i="38"/>
  <c r="M574" i="38"/>
  <c r="M582" i="38"/>
  <c r="M590" i="38"/>
  <c r="M598" i="38"/>
  <c r="M606" i="38"/>
  <c r="M614" i="38"/>
  <c r="M622" i="38"/>
  <c r="M630" i="38"/>
  <c r="M638" i="38"/>
  <c r="M646" i="38"/>
  <c r="M654" i="38"/>
  <c r="M662" i="38"/>
  <c r="M670" i="38"/>
  <c r="M679" i="38"/>
  <c r="M687" i="38"/>
  <c r="M695" i="38"/>
  <c r="M704" i="38"/>
  <c r="M712" i="38"/>
  <c r="M721" i="38"/>
  <c r="M729" i="38"/>
  <c r="M738" i="38"/>
  <c r="M746" i="38"/>
  <c r="M755" i="38"/>
  <c r="M763" i="38"/>
  <c r="M771" i="38"/>
  <c r="M780" i="38"/>
  <c r="M788" i="38"/>
  <c r="M797" i="38"/>
  <c r="M805" i="38"/>
  <c r="M814" i="38"/>
  <c r="M822" i="38"/>
  <c r="M830" i="38"/>
  <c r="M838" i="38"/>
  <c r="M846" i="38"/>
  <c r="M854" i="38"/>
  <c r="M862" i="38"/>
  <c r="M870" i="38"/>
  <c r="M878" i="38"/>
  <c r="M886" i="38"/>
  <c r="G54" i="37"/>
  <c r="G53" i="37"/>
  <c r="G52" i="37"/>
  <c r="G51" i="37"/>
  <c r="G50" i="37"/>
  <c r="G49" i="37"/>
  <c r="G48" i="37"/>
  <c r="G47" i="37"/>
  <c r="G46" i="37"/>
  <c r="G45" i="37"/>
  <c r="G44" i="37"/>
  <c r="G43" i="37"/>
  <c r="G42" i="37"/>
  <c r="G41" i="37"/>
  <c r="G40" i="37"/>
  <c r="G39" i="37"/>
  <c r="G38" i="37"/>
  <c r="G37" i="37"/>
  <c r="G36" i="37"/>
  <c r="G35"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7" i="37"/>
  <c r="C6" i="37"/>
  <c r="D53" i="34"/>
  <c r="D52" i="34"/>
  <c r="D51" i="34"/>
  <c r="D50" i="34"/>
  <c r="D49" i="34"/>
  <c r="D48" i="34"/>
  <c r="D47" i="34"/>
  <c r="D46" i="34"/>
  <c r="D45" i="34"/>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6" i="34"/>
  <c r="D15" i="34"/>
  <c r="D14" i="34"/>
  <c r="D13" i="34"/>
  <c r="D12" i="34"/>
  <c r="D11" i="34"/>
  <c r="D10" i="34"/>
  <c r="D9" i="34"/>
  <c r="D8" i="34"/>
  <c r="D7" i="34"/>
  <c r="D6" i="34"/>
  <c r="D5" i="34"/>
  <c r="D4" i="34"/>
  <c r="E53" i="34"/>
  <c r="E52" i="34"/>
  <c r="E51" i="34"/>
  <c r="E50" i="34"/>
  <c r="E49" i="34"/>
  <c r="E48" i="34"/>
  <c r="E47" i="34"/>
  <c r="E46" i="34"/>
  <c r="E45" i="34"/>
  <c r="E44" i="34"/>
  <c r="E43" i="34"/>
  <c r="E42" i="34"/>
  <c r="E41" i="34"/>
  <c r="E40" i="34"/>
  <c r="E39" i="34"/>
  <c r="E38" i="34"/>
  <c r="E37" i="34"/>
  <c r="E36" i="34"/>
  <c r="E35" i="34"/>
  <c r="E34" i="34"/>
  <c r="E33" i="34"/>
  <c r="E32" i="34"/>
  <c r="E31" i="34"/>
  <c r="E30" i="34"/>
  <c r="E29" i="34"/>
  <c r="E28" i="34"/>
  <c r="E27" i="34"/>
  <c r="E26" i="34"/>
  <c r="E25" i="34"/>
  <c r="E24" i="34"/>
  <c r="E23" i="34"/>
  <c r="E22" i="34"/>
  <c r="E21" i="34"/>
  <c r="E20" i="34"/>
  <c r="E19" i="34"/>
  <c r="E16" i="34"/>
  <c r="E15" i="34"/>
  <c r="E14" i="34"/>
  <c r="E13" i="34"/>
  <c r="E12" i="34"/>
  <c r="E11" i="34"/>
  <c r="E10" i="34"/>
  <c r="E9" i="34"/>
  <c r="E8" i="34"/>
  <c r="E7" i="34"/>
  <c r="E6" i="34"/>
  <c r="E5" i="34"/>
  <c r="E4" i="34"/>
  <c r="F85" i="39"/>
  <c r="D85" i="39" s="1"/>
  <c r="F84" i="39"/>
  <c r="D84" i="39" s="1"/>
  <c r="F83" i="39"/>
  <c r="D83" i="39" s="1"/>
  <c r="F82" i="39"/>
  <c r="D82" i="39" s="1"/>
  <c r="F81" i="39"/>
  <c r="D81" i="39" s="1"/>
  <c r="F80" i="39"/>
  <c r="D80" i="39" s="1"/>
  <c r="F79" i="39"/>
  <c r="D79" i="39" s="1"/>
  <c r="F78" i="39"/>
  <c r="D78" i="39" s="1"/>
  <c r="F77" i="39"/>
  <c r="D77" i="39" s="1"/>
  <c r="F76" i="39"/>
  <c r="D76" i="39" s="1"/>
  <c r="F75" i="39"/>
  <c r="D75" i="39" s="1"/>
  <c r="F74" i="39"/>
  <c r="D74" i="39" s="1"/>
  <c r="F73" i="39"/>
  <c r="D73" i="39" s="1"/>
  <c r="F72" i="39"/>
  <c r="D72" i="39" s="1"/>
  <c r="F71" i="39"/>
  <c r="D71" i="39" s="1"/>
  <c r="F70" i="39"/>
  <c r="D70" i="39" s="1"/>
  <c r="F69" i="39"/>
  <c r="D69" i="39" s="1"/>
  <c r="F68" i="39"/>
  <c r="D68" i="39" s="1"/>
  <c r="F67" i="39"/>
  <c r="D67" i="39" s="1"/>
  <c r="F66" i="39"/>
  <c r="D66" i="39" s="1"/>
  <c r="F65" i="39"/>
  <c r="D65" i="39" s="1"/>
  <c r="F64" i="39"/>
  <c r="D64" i="39" s="1"/>
  <c r="F63" i="39"/>
  <c r="D63" i="39" s="1"/>
  <c r="F62" i="39"/>
  <c r="D62" i="39" s="1"/>
  <c r="F61" i="39"/>
  <c r="D61" i="39" s="1"/>
  <c r="F60" i="39"/>
  <c r="D60" i="39" s="1"/>
  <c r="F59" i="39"/>
  <c r="D59" i="39" s="1"/>
  <c r="F58" i="39"/>
  <c r="D58" i="39" s="1"/>
  <c r="F57" i="39"/>
  <c r="D57" i="39" s="1"/>
  <c r="F56" i="39"/>
  <c r="D56" i="39" s="1"/>
  <c r="F55" i="39"/>
  <c r="D55" i="39" s="1"/>
  <c r="F54" i="39"/>
  <c r="D54" i="39" s="1"/>
  <c r="F53" i="39"/>
  <c r="D53" i="39" s="1"/>
  <c r="F52" i="39"/>
  <c r="D52" i="39" s="1"/>
  <c r="F51" i="39"/>
  <c r="D51" i="39" s="1"/>
  <c r="F50" i="39"/>
  <c r="D50" i="39" s="1"/>
  <c r="F49" i="39"/>
  <c r="D49" i="39" s="1"/>
  <c r="F48" i="39"/>
  <c r="D48" i="39" s="1"/>
  <c r="F47" i="39"/>
  <c r="D47" i="39" s="1"/>
  <c r="F46" i="39"/>
  <c r="D46" i="39" s="1"/>
  <c r="F45" i="39"/>
  <c r="D45" i="39" s="1"/>
  <c r="F44" i="39"/>
  <c r="D44" i="39" s="1"/>
  <c r="F43" i="39"/>
  <c r="D43" i="39" s="1"/>
  <c r="F42" i="39"/>
  <c r="D42" i="39" s="1"/>
  <c r="F41" i="39"/>
  <c r="D41" i="39" s="1"/>
  <c r="F40" i="39"/>
  <c r="D40" i="39" s="1"/>
  <c r="F39" i="39"/>
  <c r="D39" i="39" s="1"/>
  <c r="F38" i="39"/>
  <c r="D38" i="39" s="1"/>
  <c r="F37" i="39"/>
  <c r="D37" i="39" s="1"/>
  <c r="F36" i="39"/>
  <c r="D36" i="39" s="1"/>
  <c r="F35" i="39"/>
  <c r="D35" i="39" s="1"/>
  <c r="F34" i="39"/>
  <c r="D34" i="39" s="1"/>
  <c r="F33" i="39"/>
  <c r="D33" i="39" s="1"/>
  <c r="F32" i="39"/>
  <c r="D32" i="39" s="1"/>
  <c r="F31" i="39"/>
  <c r="D31" i="39" s="1"/>
  <c r="F30" i="39"/>
  <c r="D30" i="39" s="1"/>
  <c r="F29" i="39"/>
  <c r="D29" i="39" s="1"/>
  <c r="F28" i="39"/>
  <c r="D28" i="39" s="1"/>
  <c r="F27" i="39"/>
  <c r="D27" i="39" s="1"/>
  <c r="F26" i="39"/>
  <c r="D26" i="39" s="1"/>
  <c r="F25" i="39"/>
  <c r="D25" i="39" s="1"/>
  <c r="F24" i="39"/>
  <c r="D24" i="39" s="1"/>
  <c r="F23" i="39"/>
  <c r="D23" i="39" s="1"/>
  <c r="F22" i="39"/>
  <c r="D22" i="39" s="1"/>
  <c r="F21" i="39"/>
  <c r="D21" i="39" s="1"/>
  <c r="F20" i="39"/>
  <c r="D20" i="39" s="1"/>
  <c r="F19" i="39"/>
  <c r="D19" i="39" s="1"/>
  <c r="F18" i="39"/>
  <c r="D18" i="39" s="1"/>
  <c r="F17" i="39"/>
  <c r="D17" i="39" s="1"/>
  <c r="F16" i="39"/>
  <c r="D16" i="39" s="1"/>
  <c r="F15" i="39"/>
  <c r="D15" i="39" s="1"/>
  <c r="F14" i="39"/>
  <c r="D14" i="39" s="1"/>
  <c r="F13" i="39"/>
  <c r="D13" i="39" s="1"/>
  <c r="F12" i="39"/>
  <c r="D12" i="39" s="1"/>
  <c r="F11" i="39"/>
  <c r="D11" i="39" s="1"/>
  <c r="F10" i="39"/>
  <c r="D10" i="39" s="1"/>
  <c r="F9" i="39"/>
  <c r="D9" i="39" s="1"/>
  <c r="F8" i="39"/>
  <c r="D8" i="39" s="1"/>
  <c r="F7" i="39"/>
  <c r="D7" i="39" s="1"/>
  <c r="F6" i="39"/>
  <c r="D6" i="39" s="1"/>
  <c r="F5" i="39"/>
  <c r="D5" i="39" s="1"/>
  <c r="F4" i="39"/>
  <c r="D4" i="39" s="1"/>
  <c r="F3" i="39"/>
  <c r="D3" i="39" s="1"/>
  <c r="F2" i="39"/>
  <c r="D2" i="39" s="1"/>
  <c r="S14" i="1"/>
  <c r="Q14" i="1"/>
  <c r="N14" i="1"/>
  <c r="L14" i="1"/>
  <c r="J14" i="1"/>
  <c r="H14" i="1"/>
  <c r="R14" i="1"/>
  <c r="M14" i="1"/>
  <c r="K14" i="1"/>
  <c r="I14" i="1"/>
  <c r="G14" i="1"/>
  <c r="S13" i="1"/>
  <c r="Q13" i="1"/>
  <c r="N13" i="1"/>
  <c r="L13" i="1"/>
  <c r="J13" i="1"/>
  <c r="H13" i="1"/>
  <c r="R13" i="1"/>
  <c r="O13" i="1"/>
  <c r="M13" i="1"/>
  <c r="K13" i="1"/>
  <c r="I13" i="1"/>
  <c r="G13" i="1"/>
  <c r="S11" i="1"/>
  <c r="Q11" i="1"/>
  <c r="N11" i="1"/>
  <c r="L11" i="1"/>
  <c r="R11" i="1"/>
  <c r="M11" i="1"/>
  <c r="K11" i="1"/>
  <c r="I11" i="1"/>
  <c r="G11" i="1"/>
  <c r="J11" i="1"/>
  <c r="H11" i="1"/>
  <c r="H801" i="38" l="1"/>
  <c r="E934" i="37"/>
  <c r="A932" i="37"/>
  <c r="K932" i="37" s="1"/>
  <c r="E922" i="37"/>
  <c r="A920" i="37"/>
  <c r="K920" i="37" s="1"/>
  <c r="E910" i="37"/>
  <c r="A908" i="37"/>
  <c r="K908" i="37" s="1"/>
  <c r="E898" i="37"/>
  <c r="A896" i="37"/>
  <c r="K896" i="37" s="1"/>
  <c r="E886" i="37"/>
  <c r="A884" i="37"/>
  <c r="K884" i="37" s="1"/>
  <c r="E874" i="37"/>
  <c r="A872" i="37"/>
  <c r="K872" i="37" s="1"/>
  <c r="E862" i="37"/>
  <c r="A860" i="37"/>
  <c r="K860" i="37" s="1"/>
  <c r="E850" i="37"/>
  <c r="A848" i="37"/>
  <c r="K848" i="37" s="1"/>
  <c r="E544" i="37"/>
  <c r="A542" i="37"/>
  <c r="K542" i="37" s="1"/>
  <c r="E532" i="37"/>
  <c r="A530" i="37"/>
  <c r="K530" i="37" s="1"/>
  <c r="E520" i="37"/>
  <c r="A518" i="37"/>
  <c r="K518" i="37" s="1"/>
  <c r="E508" i="37"/>
  <c r="A506" i="37"/>
  <c r="K506" i="37" s="1"/>
  <c r="E496" i="37"/>
  <c r="A494" i="37"/>
  <c r="K494" i="37" s="1"/>
  <c r="E484" i="37"/>
  <c r="A482" i="37"/>
  <c r="K482" i="37" s="1"/>
  <c r="E472" i="37"/>
  <c r="A470" i="37"/>
  <c r="K470" i="37" s="1"/>
  <c r="E460" i="37"/>
  <c r="A458" i="37"/>
  <c r="K458" i="37" s="1"/>
  <c r="E448" i="37"/>
  <c r="A152" i="37"/>
  <c r="K152" i="37" s="1"/>
  <c r="E142" i="37"/>
  <c r="A140" i="37"/>
  <c r="K140" i="37" s="1"/>
  <c r="E130" i="37"/>
  <c r="A128" i="37"/>
  <c r="K128" i="37" s="1"/>
  <c r="E118" i="37"/>
  <c r="A116" i="37"/>
  <c r="K116" i="37" s="1"/>
  <c r="E106" i="37"/>
  <c r="A104" i="37"/>
  <c r="K104" i="37" s="1"/>
  <c r="E94" i="37"/>
  <c r="A92" i="37"/>
  <c r="K92" i="37" s="1"/>
  <c r="E82" i="37"/>
  <c r="A80" i="37"/>
  <c r="K80" i="37" s="1"/>
  <c r="E70" i="37"/>
  <c r="A68" i="37"/>
  <c r="K68" i="37" s="1"/>
  <c r="E58" i="37"/>
  <c r="A56" i="37"/>
  <c r="K56" i="37" s="1"/>
  <c r="E479" i="37"/>
  <c r="A477" i="37"/>
  <c r="K477" i="37" s="1"/>
  <c r="E467" i="37"/>
  <c r="A453" i="37"/>
  <c r="K453" i="37" s="1"/>
  <c r="E149" i="37"/>
  <c r="A135" i="37"/>
  <c r="K135" i="37" s="1"/>
  <c r="E125" i="37"/>
  <c r="A123" i="37"/>
  <c r="K123" i="37" s="1"/>
  <c r="E113" i="37"/>
  <c r="A111" i="37"/>
  <c r="K111" i="37" s="1"/>
  <c r="E101" i="37"/>
  <c r="A99" i="37"/>
  <c r="K99" i="37" s="1"/>
  <c r="E89" i="37"/>
  <c r="A87" i="37"/>
  <c r="K87" i="37" s="1"/>
  <c r="E77" i="37"/>
  <c r="A63" i="37"/>
  <c r="K63" i="37" s="1"/>
  <c r="E84" i="37"/>
  <c r="A70" i="37"/>
  <c r="K70" i="37" s="1"/>
  <c r="E60" i="37"/>
  <c r="A58" i="37"/>
  <c r="K58" i="37" s="1"/>
  <c r="E500" i="37"/>
  <c r="A474" i="37"/>
  <c r="K474" i="37" s="1"/>
  <c r="A144" i="37"/>
  <c r="K144" i="37" s="1"/>
  <c r="A132" i="37"/>
  <c r="K132" i="37" s="1"/>
  <c r="A120" i="37"/>
  <c r="K120" i="37" s="1"/>
  <c r="A108" i="37"/>
  <c r="K108" i="37" s="1"/>
  <c r="A84" i="37"/>
  <c r="K84" i="37" s="1"/>
  <c r="A60" i="37"/>
  <c r="K60" i="37" s="1"/>
  <c r="E921" i="37"/>
  <c r="A919" i="37"/>
  <c r="K919" i="37" s="1"/>
  <c r="A907" i="37"/>
  <c r="K907" i="37" s="1"/>
  <c r="E897" i="37"/>
  <c r="A883" i="37"/>
  <c r="K883" i="37" s="1"/>
  <c r="A847" i="37"/>
  <c r="K847" i="37" s="1"/>
  <c r="E929" i="37"/>
  <c r="A927" i="37"/>
  <c r="K927" i="37" s="1"/>
  <c r="E917" i="37"/>
  <c r="A915" i="37"/>
  <c r="K915" i="37" s="1"/>
  <c r="E905" i="37"/>
  <c r="A903" i="37"/>
  <c r="K903" i="37" s="1"/>
  <c r="E893" i="37"/>
  <c r="A891" i="37"/>
  <c r="K891" i="37" s="1"/>
  <c r="E881" i="37"/>
  <c r="A879" i="37"/>
  <c r="K879" i="37" s="1"/>
  <c r="E869" i="37"/>
  <c r="A867" i="37"/>
  <c r="K867" i="37" s="1"/>
  <c r="E857" i="37"/>
  <c r="A855" i="37"/>
  <c r="K855" i="37" s="1"/>
  <c r="E845" i="37"/>
  <c r="A843" i="37"/>
  <c r="K843" i="37" s="1"/>
  <c r="E539" i="37"/>
  <c r="A537" i="37"/>
  <c r="K537" i="37" s="1"/>
  <c r="E527" i="37"/>
  <c r="A525" i="37"/>
  <c r="K525" i="37" s="1"/>
  <c r="E515" i="37"/>
  <c r="A513" i="37"/>
  <c r="K513" i="37" s="1"/>
  <c r="E503" i="37"/>
  <c r="A501" i="37"/>
  <c r="K501" i="37" s="1"/>
  <c r="E491" i="37"/>
  <c r="A489" i="37"/>
  <c r="K489" i="37" s="1"/>
  <c r="A465" i="37"/>
  <c r="K465" i="37" s="1"/>
  <c r="E455" i="37"/>
  <c r="A147" i="37"/>
  <c r="K147" i="37" s="1"/>
  <c r="E137" i="37"/>
  <c r="A75" i="37"/>
  <c r="K75" i="37" s="1"/>
  <c r="E65" i="37"/>
  <c r="A82" i="37"/>
  <c r="K82" i="37" s="1"/>
  <c r="E72" i="37"/>
  <c r="E476" i="37"/>
  <c r="E464" i="37"/>
  <c r="E452" i="37"/>
  <c r="E122" i="37"/>
  <c r="E98" i="37"/>
  <c r="E86" i="37"/>
  <c r="A931" i="37"/>
  <c r="K931" i="37" s="1"/>
  <c r="A871" i="37"/>
  <c r="K871" i="37" s="1"/>
  <c r="E936" i="37"/>
  <c r="A934" i="37"/>
  <c r="K934" i="37" s="1"/>
  <c r="E924" i="37"/>
  <c r="A922" i="37"/>
  <c r="K922" i="37" s="1"/>
  <c r="E912" i="37"/>
  <c r="A910" i="37"/>
  <c r="K910" i="37" s="1"/>
  <c r="E900" i="37"/>
  <c r="A898" i="37"/>
  <c r="K898" i="37" s="1"/>
  <c r="E888" i="37"/>
  <c r="A886" i="37"/>
  <c r="K886" i="37" s="1"/>
  <c r="E876" i="37"/>
  <c r="A874" i="37"/>
  <c r="K874" i="37" s="1"/>
  <c r="E864" i="37"/>
  <c r="A862" i="37"/>
  <c r="K862" i="37" s="1"/>
  <c r="E852" i="37"/>
  <c r="A850" i="37"/>
  <c r="K850" i="37" s="1"/>
  <c r="E840" i="37"/>
  <c r="A544" i="37"/>
  <c r="K544" i="37" s="1"/>
  <c r="E534" i="37"/>
  <c r="A532" i="37"/>
  <c r="K532" i="37" s="1"/>
  <c r="E522" i="37"/>
  <c r="A520" i="37"/>
  <c r="K520" i="37" s="1"/>
  <c r="E510" i="37"/>
  <c r="A508" i="37"/>
  <c r="K508" i="37" s="1"/>
  <c r="E498" i="37"/>
  <c r="A496" i="37"/>
  <c r="K496" i="37" s="1"/>
  <c r="E486" i="37"/>
  <c r="A484" i="37"/>
  <c r="K484" i="37" s="1"/>
  <c r="E474" i="37"/>
  <c r="A472" i="37"/>
  <c r="K472" i="37" s="1"/>
  <c r="E462" i="37"/>
  <c r="A460" i="37"/>
  <c r="K460" i="37" s="1"/>
  <c r="E450" i="37"/>
  <c r="A448" i="37"/>
  <c r="K448" i="37" s="1"/>
  <c r="E144" i="37"/>
  <c r="A142" i="37"/>
  <c r="K142" i="37" s="1"/>
  <c r="E132" i="37"/>
  <c r="A130" i="37"/>
  <c r="K130" i="37" s="1"/>
  <c r="E120" i="37"/>
  <c r="A118" i="37"/>
  <c r="K118" i="37" s="1"/>
  <c r="E108" i="37"/>
  <c r="A106" i="37"/>
  <c r="K106" i="37" s="1"/>
  <c r="E96" i="37"/>
  <c r="A94" i="37"/>
  <c r="K94" i="37" s="1"/>
  <c r="E536" i="37"/>
  <c r="A510" i="37"/>
  <c r="K510" i="37" s="1"/>
  <c r="A462" i="37"/>
  <c r="K462" i="37" s="1"/>
  <c r="E146" i="37"/>
  <c r="A72" i="37"/>
  <c r="K72" i="37" s="1"/>
  <c r="E885" i="37"/>
  <c r="E873" i="37"/>
  <c r="E931" i="37"/>
  <c r="A929" i="37"/>
  <c r="K929" i="37" s="1"/>
  <c r="E919" i="37"/>
  <c r="A917" i="37"/>
  <c r="K917" i="37" s="1"/>
  <c r="E907" i="37"/>
  <c r="A905" i="37"/>
  <c r="K905" i="37" s="1"/>
  <c r="E895" i="37"/>
  <c r="A893" i="37"/>
  <c r="K893" i="37" s="1"/>
  <c r="E883" i="37"/>
  <c r="A881" i="37"/>
  <c r="K881" i="37" s="1"/>
  <c r="E871" i="37"/>
  <c r="A869" i="37"/>
  <c r="K869" i="37" s="1"/>
  <c r="E859" i="37"/>
  <c r="A857" i="37"/>
  <c r="K857" i="37" s="1"/>
  <c r="E847" i="37"/>
  <c r="A845" i="37"/>
  <c r="K845" i="37" s="1"/>
  <c r="E541" i="37"/>
  <c r="A539" i="37"/>
  <c r="K539" i="37" s="1"/>
  <c r="E529" i="37"/>
  <c r="A527" i="37"/>
  <c r="K527" i="37" s="1"/>
  <c r="E517" i="37"/>
  <c r="A515" i="37"/>
  <c r="K515" i="37" s="1"/>
  <c r="E505" i="37"/>
  <c r="A503" i="37"/>
  <c r="K503" i="37" s="1"/>
  <c r="E493" i="37"/>
  <c r="A491" i="37"/>
  <c r="K491" i="37" s="1"/>
  <c r="E481" i="37"/>
  <c r="A479" i="37"/>
  <c r="K479" i="37" s="1"/>
  <c r="E469" i="37"/>
  <c r="A467" i="37"/>
  <c r="K467" i="37" s="1"/>
  <c r="E457" i="37"/>
  <c r="A455" i="37"/>
  <c r="K455" i="37" s="1"/>
  <c r="E151" i="37"/>
  <c r="A149" i="37"/>
  <c r="K149" i="37" s="1"/>
  <c r="E139" i="37"/>
  <c r="A137" i="37"/>
  <c r="K137" i="37" s="1"/>
  <c r="E127" i="37"/>
  <c r="A125" i="37"/>
  <c r="K125" i="37" s="1"/>
  <c r="E115" i="37"/>
  <c r="A113" i="37"/>
  <c r="K113" i="37" s="1"/>
  <c r="E103" i="37"/>
  <c r="A101" i="37"/>
  <c r="K101" i="37" s="1"/>
  <c r="E91" i="37"/>
  <c r="A89" i="37"/>
  <c r="K89" i="37" s="1"/>
  <c r="E79" i="37"/>
  <c r="A77" i="37"/>
  <c r="K77" i="37" s="1"/>
  <c r="E67" i="37"/>
  <c r="A65" i="37"/>
  <c r="K65" i="37" s="1"/>
  <c r="E55" i="37"/>
  <c r="A936" i="37"/>
  <c r="K936" i="37" s="1"/>
  <c r="E926" i="37"/>
  <c r="A924" i="37"/>
  <c r="K924" i="37" s="1"/>
  <c r="E914" i="37"/>
  <c r="A912" i="37"/>
  <c r="K912" i="37" s="1"/>
  <c r="E902" i="37"/>
  <c r="A900" i="37"/>
  <c r="K900" i="37" s="1"/>
  <c r="E890" i="37"/>
  <c r="A888" i="37"/>
  <c r="K888" i="37" s="1"/>
  <c r="E878" i="37"/>
  <c r="A876" i="37"/>
  <c r="K876" i="37" s="1"/>
  <c r="E866" i="37"/>
  <c r="A864" i="37"/>
  <c r="K864" i="37" s="1"/>
  <c r="E854" i="37"/>
  <c r="A852" i="37"/>
  <c r="K852" i="37" s="1"/>
  <c r="E842" i="37"/>
  <c r="A840" i="37"/>
  <c r="K840" i="37" s="1"/>
  <c r="A534" i="37"/>
  <c r="K534" i="37" s="1"/>
  <c r="E524" i="37"/>
  <c r="A522" i="37"/>
  <c r="K522" i="37" s="1"/>
  <c r="E512" i="37"/>
  <c r="A498" i="37"/>
  <c r="K498" i="37" s="1"/>
  <c r="E488" i="37"/>
  <c r="A486" i="37"/>
  <c r="K486" i="37" s="1"/>
  <c r="A450" i="37"/>
  <c r="K450" i="37" s="1"/>
  <c r="E134" i="37"/>
  <c r="E110" i="37"/>
  <c r="A96" i="37"/>
  <c r="K96" i="37" s="1"/>
  <c r="E74" i="37"/>
  <c r="E62" i="37"/>
  <c r="E933" i="37"/>
  <c r="E909" i="37"/>
  <c r="A895" i="37"/>
  <c r="K895" i="37" s="1"/>
  <c r="E861" i="37"/>
  <c r="A859" i="37"/>
  <c r="K859" i="37" s="1"/>
  <c r="E849" i="37"/>
  <c r="E930" i="37"/>
  <c r="E918" i="37"/>
  <c r="E906" i="37"/>
  <c r="E894" i="37"/>
  <c r="E882" i="37"/>
  <c r="E870" i="37"/>
  <c r="E858" i="37"/>
  <c r="E846" i="37"/>
  <c r="A538" i="37"/>
  <c r="K538" i="37" s="1"/>
  <c r="E526" i="37"/>
  <c r="A512" i="37"/>
  <c r="K512" i="37" s="1"/>
  <c r="E506" i="37"/>
  <c r="A492" i="37"/>
  <c r="K492" i="37" s="1"/>
  <c r="E480" i="37"/>
  <c r="A466" i="37"/>
  <c r="K466" i="37" s="1"/>
  <c r="E454" i="37"/>
  <c r="A146" i="37"/>
  <c r="K146" i="37" s="1"/>
  <c r="E140" i="37"/>
  <c r="A126" i="37"/>
  <c r="K126" i="37" s="1"/>
  <c r="E114" i="37"/>
  <c r="A100" i="37"/>
  <c r="K100" i="37" s="1"/>
  <c r="E88" i="37"/>
  <c r="A74" i="37"/>
  <c r="K74" i="37" s="1"/>
  <c r="E68" i="37"/>
  <c r="E451" i="37"/>
  <c r="A143" i="37"/>
  <c r="K143" i="37" s="1"/>
  <c r="A117" i="37"/>
  <c r="K117" i="37" s="1"/>
  <c r="A97" i="37"/>
  <c r="K97" i="37" s="1"/>
  <c r="E85" i="37"/>
  <c r="A930" i="37"/>
  <c r="K930" i="37" s="1"/>
  <c r="A918" i="37"/>
  <c r="K918" i="37" s="1"/>
  <c r="A906" i="37"/>
  <c r="K906" i="37" s="1"/>
  <c r="A894" i="37"/>
  <c r="K894" i="37" s="1"/>
  <c r="A882" i="37"/>
  <c r="K882" i="37" s="1"/>
  <c r="A870" i="37"/>
  <c r="K870" i="37" s="1"/>
  <c r="A858" i="37"/>
  <c r="K858" i="37" s="1"/>
  <c r="A846" i="37"/>
  <c r="K846" i="37" s="1"/>
  <c r="E540" i="37"/>
  <c r="A500" i="37"/>
  <c r="K500" i="37" s="1"/>
  <c r="E494" i="37"/>
  <c r="A114" i="37"/>
  <c r="K114" i="37" s="1"/>
  <c r="E102" i="37"/>
  <c r="A88" i="37"/>
  <c r="K88" i="37" s="1"/>
  <c r="E537" i="37"/>
  <c r="E531" i="37"/>
  <c r="A523" i="37"/>
  <c r="K523" i="37" s="1"/>
  <c r="A517" i="37"/>
  <c r="K517" i="37" s="1"/>
  <c r="E485" i="37"/>
  <c r="A471" i="37"/>
  <c r="K471" i="37" s="1"/>
  <c r="E465" i="37"/>
  <c r="E459" i="37"/>
  <c r="A151" i="37"/>
  <c r="K151" i="37" s="1"/>
  <c r="E145" i="37"/>
  <c r="A105" i="37"/>
  <c r="K105" i="37" s="1"/>
  <c r="A79" i="37"/>
  <c r="K79" i="37" s="1"/>
  <c r="E73" i="37"/>
  <c r="A59" i="37"/>
  <c r="K59" i="37" s="1"/>
  <c r="A459" i="37"/>
  <c r="K459" i="37" s="1"/>
  <c r="E447" i="37"/>
  <c r="A145" i="37"/>
  <c r="K145" i="37" s="1"/>
  <c r="A119" i="37"/>
  <c r="K119" i="37" s="1"/>
  <c r="A93" i="37"/>
  <c r="K93" i="37" s="1"/>
  <c r="E87" i="37"/>
  <c r="E81" i="37"/>
  <c r="A67" i="37"/>
  <c r="K67" i="37" s="1"/>
  <c r="E61" i="37"/>
  <c r="A914" i="37"/>
  <c r="K914" i="37" s="1"/>
  <c r="A902" i="37"/>
  <c r="K902" i="37" s="1"/>
  <c r="A866" i="37"/>
  <c r="K866" i="37" s="1"/>
  <c r="A854" i="37"/>
  <c r="K854" i="37" s="1"/>
  <c r="A502" i="37"/>
  <c r="K502" i="37" s="1"/>
  <c r="E490" i="37"/>
  <c r="A476" i="37"/>
  <c r="K476" i="37" s="1"/>
  <c r="E470" i="37"/>
  <c r="A456" i="37"/>
  <c r="K456" i="37" s="1"/>
  <c r="E104" i="37"/>
  <c r="E78" i="37"/>
  <c r="A64" i="37"/>
  <c r="K64" i="37" s="1"/>
  <c r="A911" i="37"/>
  <c r="K911" i="37" s="1"/>
  <c r="A887" i="37"/>
  <c r="K887" i="37" s="1"/>
  <c r="A875" i="37"/>
  <c r="K875" i="37" s="1"/>
  <c r="A851" i="37"/>
  <c r="K851" i="37" s="1"/>
  <c r="E533" i="37"/>
  <c r="A519" i="37"/>
  <c r="K519" i="37" s="1"/>
  <c r="E513" i="37"/>
  <c r="E927" i="37"/>
  <c r="E915" i="37"/>
  <c r="E903" i="37"/>
  <c r="E891" i="37"/>
  <c r="E879" i="37"/>
  <c r="E867" i="37"/>
  <c r="E855" i="37"/>
  <c r="E843" i="37"/>
  <c r="E543" i="37"/>
  <c r="A535" i="37"/>
  <c r="K535" i="37" s="1"/>
  <c r="A529" i="37"/>
  <c r="K529" i="37" s="1"/>
  <c r="E523" i="37"/>
  <c r="A509" i="37"/>
  <c r="K509" i="37" s="1"/>
  <c r="E497" i="37"/>
  <c r="A483" i="37"/>
  <c r="K483" i="37" s="1"/>
  <c r="E477" i="37"/>
  <c r="E471" i="37"/>
  <c r="A463" i="37"/>
  <c r="K463" i="37" s="1"/>
  <c r="A457" i="37"/>
  <c r="K457" i="37" s="1"/>
  <c r="E131" i="37"/>
  <c r="E111" i="37"/>
  <c r="E105" i="37"/>
  <c r="A91" i="37"/>
  <c r="K91" i="37" s="1"/>
  <c r="A71" i="37"/>
  <c r="K71" i="37" s="1"/>
  <c r="E59" i="37"/>
  <c r="A933" i="37"/>
  <c r="K933" i="37" s="1"/>
  <c r="A921" i="37"/>
  <c r="K921" i="37" s="1"/>
  <c r="A909" i="37"/>
  <c r="K909" i="37" s="1"/>
  <c r="A897" i="37"/>
  <c r="K897" i="37" s="1"/>
  <c r="A885" i="37"/>
  <c r="K885" i="37" s="1"/>
  <c r="A873" i="37"/>
  <c r="K873" i="37" s="1"/>
  <c r="A861" i="37"/>
  <c r="K861" i="37" s="1"/>
  <c r="A849" i="37"/>
  <c r="K849" i="37" s="1"/>
  <c r="A526" i="37"/>
  <c r="K526" i="37" s="1"/>
  <c r="E514" i="37"/>
  <c r="A480" i="37"/>
  <c r="K480" i="37" s="1"/>
  <c r="E468" i="37"/>
  <c r="A454" i="37"/>
  <c r="K454" i="37" s="1"/>
  <c r="E148" i="37"/>
  <c r="A134" i="37"/>
  <c r="K134" i="37" s="1"/>
  <c r="E128" i="37"/>
  <c r="E76" i="37"/>
  <c r="A62" i="37"/>
  <c r="K62" i="37" s="1"/>
  <c r="E56" i="37"/>
  <c r="A543" i="37"/>
  <c r="K543" i="37" s="1"/>
  <c r="E511" i="37"/>
  <c r="A497" i="37"/>
  <c r="K497" i="37" s="1"/>
  <c r="A451" i="37"/>
  <c r="K451" i="37" s="1"/>
  <c r="A131" i="37"/>
  <c r="K131" i="37" s="1"/>
  <c r="E119" i="37"/>
  <c r="E99" i="37"/>
  <c r="E93" i="37"/>
  <c r="A85" i="37"/>
  <c r="K85" i="37" s="1"/>
  <c r="E499" i="37"/>
  <c r="E473" i="37"/>
  <c r="A139" i="37"/>
  <c r="K139" i="37" s="1"/>
  <c r="E107" i="37"/>
  <c r="A890" i="37"/>
  <c r="K890" i="37" s="1"/>
  <c r="A878" i="37"/>
  <c r="K878" i="37" s="1"/>
  <c r="A842" i="37"/>
  <c r="K842" i="37" s="1"/>
  <c r="E542" i="37"/>
  <c r="E516" i="37"/>
  <c r="E124" i="37"/>
  <c r="A110" i="37"/>
  <c r="K110" i="37" s="1"/>
  <c r="A935" i="37"/>
  <c r="K935" i="37" s="1"/>
  <c r="A923" i="37"/>
  <c r="K923" i="37" s="1"/>
  <c r="A540" i="37"/>
  <c r="K540" i="37" s="1"/>
  <c r="E528" i="37"/>
  <c r="A514" i="37"/>
  <c r="K514" i="37" s="1"/>
  <c r="E502" i="37"/>
  <c r="A488" i="37"/>
  <c r="K488" i="37" s="1"/>
  <c r="E482" i="37"/>
  <c r="A468" i="37"/>
  <c r="K468" i="37" s="1"/>
  <c r="E456" i="37"/>
  <c r="A148" i="37"/>
  <c r="K148" i="37" s="1"/>
  <c r="E136" i="37"/>
  <c r="A122" i="37"/>
  <c r="K122" i="37" s="1"/>
  <c r="E116" i="37"/>
  <c r="A102" i="37"/>
  <c r="K102" i="37" s="1"/>
  <c r="E90" i="37"/>
  <c r="A76" i="37"/>
  <c r="K76" i="37" s="1"/>
  <c r="E64" i="37"/>
  <c r="E935" i="37"/>
  <c r="E932" i="37"/>
  <c r="E923" i="37"/>
  <c r="E920" i="37"/>
  <c r="E911" i="37"/>
  <c r="E908" i="37"/>
  <c r="E899" i="37"/>
  <c r="E896" i="37"/>
  <c r="E887" i="37"/>
  <c r="E884" i="37"/>
  <c r="E875" i="37"/>
  <c r="E872" i="37"/>
  <c r="E863" i="37"/>
  <c r="E860" i="37"/>
  <c r="E851" i="37"/>
  <c r="E848" i="37"/>
  <c r="E839" i="37"/>
  <c r="A531" i="37"/>
  <c r="K531" i="37" s="1"/>
  <c r="E525" i="37"/>
  <c r="E519" i="37"/>
  <c r="A511" i="37"/>
  <c r="K511" i="37" s="1"/>
  <c r="A505" i="37"/>
  <c r="K505" i="37" s="1"/>
  <c r="A485" i="37"/>
  <c r="K485" i="37" s="1"/>
  <c r="E453" i="37"/>
  <c r="E133" i="37"/>
  <c r="A73" i="37"/>
  <c r="K73" i="37" s="1"/>
  <c r="A926" i="37"/>
  <c r="K926" i="37" s="1"/>
  <c r="A528" i="37"/>
  <c r="K528" i="37" s="1"/>
  <c r="E150" i="37"/>
  <c r="A136" i="37"/>
  <c r="K136" i="37" s="1"/>
  <c r="A90" i="37"/>
  <c r="K90" i="37" s="1"/>
  <c r="A899" i="37"/>
  <c r="K899" i="37" s="1"/>
  <c r="A863" i="37"/>
  <c r="K863" i="37" s="1"/>
  <c r="A839" i="37"/>
  <c r="K839" i="37" s="1"/>
  <c r="A904" i="37"/>
  <c r="K904" i="37" s="1"/>
  <c r="A868" i="37"/>
  <c r="K868" i="37" s="1"/>
  <c r="E509" i="37"/>
  <c r="E489" i="37"/>
  <c r="E143" i="37"/>
  <c r="E123" i="37"/>
  <c r="E71" i="37"/>
  <c r="A61" i="37"/>
  <c r="K61" i="37" s="1"/>
  <c r="E856" i="37"/>
  <c r="A541" i="37"/>
  <c r="K541" i="37" s="1"/>
  <c r="E461" i="37"/>
  <c r="E112" i="37"/>
  <c r="E95" i="37"/>
  <c r="A78" i="37"/>
  <c r="K78" i="37" s="1"/>
  <c r="A495" i="37"/>
  <c r="K495" i="37" s="1"/>
  <c r="A475" i="37"/>
  <c r="K475" i="37" s="1"/>
  <c r="A129" i="37"/>
  <c r="K129" i="37" s="1"/>
  <c r="A109" i="37"/>
  <c r="K109" i="37" s="1"/>
  <c r="A81" i="37"/>
  <c r="K81" i="37" s="1"/>
  <c r="E135" i="37"/>
  <c r="E916" i="37"/>
  <c r="E880" i="37"/>
  <c r="E844" i="37"/>
  <c r="A533" i="37"/>
  <c r="K533" i="37" s="1"/>
  <c r="E504" i="37"/>
  <c r="E152" i="37"/>
  <c r="A913" i="37"/>
  <c r="K913" i="37" s="1"/>
  <c r="A536" i="37"/>
  <c r="K536" i="37" s="1"/>
  <c r="E487" i="37"/>
  <c r="E141" i="37"/>
  <c r="E121" i="37"/>
  <c r="E97" i="37"/>
  <c r="E69" i="37"/>
  <c r="A880" i="37"/>
  <c r="K880" i="37" s="1"/>
  <c r="E466" i="37"/>
  <c r="E100" i="37"/>
  <c r="E865" i="37"/>
  <c r="A507" i="37"/>
  <c r="K507" i="37" s="1"/>
  <c r="A490" i="37"/>
  <c r="K490" i="37" s="1"/>
  <c r="A141" i="37"/>
  <c r="K141" i="37" s="1"/>
  <c r="A124" i="37"/>
  <c r="K124" i="37" s="1"/>
  <c r="E117" i="37"/>
  <c r="A69" i="37"/>
  <c r="K69" i="37" s="1"/>
  <c r="E868" i="37"/>
  <c r="E535" i="37"/>
  <c r="A473" i="37"/>
  <c r="K473" i="37" s="1"/>
  <c r="A55" i="37"/>
  <c r="K55" i="37" s="1"/>
  <c r="E538" i="37"/>
  <c r="A524" i="37"/>
  <c r="K524" i="37" s="1"/>
  <c r="A469" i="37"/>
  <c r="K469" i="37" s="1"/>
  <c r="E75" i="37"/>
  <c r="E925" i="37"/>
  <c r="E889" i="37"/>
  <c r="E853" i="37"/>
  <c r="A499" i="37"/>
  <c r="K499" i="37" s="1"/>
  <c r="E495" i="37"/>
  <c r="E492" i="37"/>
  <c r="E475" i="37"/>
  <c r="E458" i="37"/>
  <c r="A133" i="37"/>
  <c r="K133" i="37" s="1"/>
  <c r="E129" i="37"/>
  <c r="E126" i="37"/>
  <c r="E109" i="37"/>
  <c r="E92" i="37"/>
  <c r="E57" i="37"/>
  <c r="E928" i="37"/>
  <c r="E892" i="37"/>
  <c r="E478" i="37"/>
  <c r="A150" i="37"/>
  <c r="K150" i="37" s="1"/>
  <c r="A925" i="37"/>
  <c r="K925" i="37" s="1"/>
  <c r="A889" i="37"/>
  <c r="K889" i="37" s="1"/>
  <c r="A853" i="37"/>
  <c r="K853" i="37" s="1"/>
  <c r="E530" i="37"/>
  <c r="A516" i="37"/>
  <c r="K516" i="37" s="1"/>
  <c r="A447" i="37"/>
  <c r="K447" i="37" s="1"/>
  <c r="A57" i="37"/>
  <c r="K57" i="37" s="1"/>
  <c r="E63" i="37"/>
  <c r="E449" i="37"/>
  <c r="E138" i="37"/>
  <c r="E80" i="37"/>
  <c r="E66" i="37"/>
  <c r="A841" i="37"/>
  <c r="K841" i="37" s="1"/>
  <c r="E518" i="37"/>
  <c r="A916" i="37"/>
  <c r="K916" i="37" s="1"/>
  <c r="E521" i="37"/>
  <c r="A449" i="37"/>
  <c r="K449" i="37" s="1"/>
  <c r="A83" i="37"/>
  <c r="K83" i="37" s="1"/>
  <c r="A66" i="37"/>
  <c r="K66" i="37" s="1"/>
  <c r="A487" i="37"/>
  <c r="K487" i="37" s="1"/>
  <c r="A121" i="37"/>
  <c r="K121" i="37" s="1"/>
  <c r="A86" i="37"/>
  <c r="K86" i="37" s="1"/>
  <c r="E904" i="37"/>
  <c r="A521" i="37"/>
  <c r="K521" i="37" s="1"/>
  <c r="A127" i="37"/>
  <c r="K127" i="37" s="1"/>
  <c r="A107" i="37"/>
  <c r="K107" i="37" s="1"/>
  <c r="A901" i="37"/>
  <c r="K901" i="37" s="1"/>
  <c r="E147" i="37"/>
  <c r="A103" i="37"/>
  <c r="K103" i="37" s="1"/>
  <c r="A928" i="37"/>
  <c r="K928" i="37" s="1"/>
  <c r="A892" i="37"/>
  <c r="K892" i="37" s="1"/>
  <c r="A856" i="37"/>
  <c r="K856" i="37" s="1"/>
  <c r="A478" i="37"/>
  <c r="K478" i="37" s="1"/>
  <c r="A464" i="37"/>
  <c r="K464" i="37" s="1"/>
  <c r="A461" i="37"/>
  <c r="K461" i="37" s="1"/>
  <c r="A112" i="37"/>
  <c r="K112" i="37" s="1"/>
  <c r="A98" i="37"/>
  <c r="K98" i="37" s="1"/>
  <c r="A95" i="37"/>
  <c r="K95" i="37" s="1"/>
  <c r="E913" i="37"/>
  <c r="E877" i="37"/>
  <c r="E841" i="37"/>
  <c r="E501" i="37"/>
  <c r="A481" i="37"/>
  <c r="K481" i="37" s="1"/>
  <c r="A115" i="37"/>
  <c r="K115" i="37" s="1"/>
  <c r="E83" i="37"/>
  <c r="A877" i="37"/>
  <c r="K877" i="37" s="1"/>
  <c r="E507" i="37"/>
  <c r="E463" i="37"/>
  <c r="A844" i="37"/>
  <c r="K844" i="37" s="1"/>
  <c r="A504" i="37"/>
  <c r="K504" i="37" s="1"/>
  <c r="A138" i="37"/>
  <c r="K138" i="37" s="1"/>
  <c r="E901" i="37"/>
  <c r="E483" i="37"/>
  <c r="A452" i="37"/>
  <c r="K452" i="37" s="1"/>
  <c r="A493" i="37"/>
  <c r="K493" i="37" s="1"/>
  <c r="A865" i="37"/>
  <c r="K865" i="37" s="1"/>
  <c r="AJ975" i="38"/>
  <c r="AJ967" i="38"/>
  <c r="AJ959" i="38"/>
  <c r="AJ951" i="38"/>
  <c r="AJ943" i="38"/>
  <c r="AJ935" i="38"/>
  <c r="AJ927" i="38"/>
  <c r="AJ919" i="38"/>
  <c r="AJ911" i="38"/>
  <c r="AJ903" i="38"/>
  <c r="AJ895" i="38"/>
  <c r="AJ887" i="38"/>
  <c r="AJ879" i="38"/>
  <c r="AJ871" i="38"/>
  <c r="AJ863" i="38"/>
  <c r="AJ855" i="38"/>
  <c r="AJ847" i="38"/>
  <c r="AJ839" i="38"/>
  <c r="AJ831" i="38"/>
  <c r="AJ823" i="38"/>
  <c r="AJ815" i="38"/>
  <c r="AJ807" i="38"/>
  <c r="AJ799" i="38"/>
  <c r="AJ791" i="38"/>
  <c r="AJ783" i="38"/>
  <c r="AJ775" i="38"/>
  <c r="AJ767" i="38"/>
  <c r="AJ759" i="38"/>
  <c r="AJ751" i="38"/>
  <c r="AJ743" i="38"/>
  <c r="AJ735" i="38"/>
  <c r="AJ727" i="38"/>
  <c r="AJ719" i="38"/>
  <c r="AJ711" i="38"/>
  <c r="AJ703" i="38"/>
  <c r="AJ695" i="38"/>
  <c r="AJ687" i="38"/>
  <c r="AJ679" i="38"/>
  <c r="AJ671" i="38"/>
  <c r="AJ663" i="38"/>
  <c r="AJ655" i="38"/>
  <c r="AJ647" i="38"/>
  <c r="AJ639" i="38"/>
  <c r="AJ631" i="38"/>
  <c r="AJ623" i="38"/>
  <c r="AJ615" i="38"/>
  <c r="AJ607" i="38"/>
  <c r="AJ599" i="38"/>
  <c r="AJ591" i="38"/>
  <c r="AJ583" i="38"/>
  <c r="AJ575" i="38"/>
  <c r="AJ567" i="38"/>
  <c r="AJ559" i="38"/>
  <c r="AJ551" i="38"/>
  <c r="AJ543" i="38"/>
  <c r="AJ535" i="38"/>
  <c r="AJ527" i="38"/>
  <c r="AJ519" i="38"/>
  <c r="AJ511" i="38"/>
  <c r="AJ503" i="38"/>
  <c r="AJ495" i="38"/>
  <c r="AJ487" i="38"/>
  <c r="AJ479" i="38"/>
  <c r="AJ471" i="38"/>
  <c r="AJ463" i="38"/>
  <c r="AJ455" i="38"/>
  <c r="AJ447" i="38"/>
  <c r="AJ439" i="38"/>
  <c r="AJ431" i="38"/>
  <c r="AJ423" i="38"/>
  <c r="AJ415" i="38"/>
  <c r="AJ407" i="38"/>
  <c r="AJ399" i="38"/>
  <c r="AJ391" i="38"/>
  <c r="AJ383" i="38"/>
  <c r="AJ375" i="38"/>
  <c r="AJ367" i="38"/>
  <c r="AJ359" i="38"/>
  <c r="AJ351" i="38"/>
  <c r="AJ343" i="38"/>
  <c r="AJ335" i="38"/>
  <c r="AJ327" i="38"/>
  <c r="AJ319" i="38"/>
  <c r="AJ311" i="38"/>
  <c r="AJ303" i="38"/>
  <c r="AJ974" i="38"/>
  <c r="AJ966" i="38"/>
  <c r="AJ958" i="38"/>
  <c r="AJ950" i="38"/>
  <c r="AJ942" i="38"/>
  <c r="AJ934" i="38"/>
  <c r="AJ926" i="38"/>
  <c r="AJ918" i="38"/>
  <c r="AJ910" i="38"/>
  <c r="AJ902" i="38"/>
  <c r="AJ894" i="38"/>
  <c r="AJ886" i="38"/>
  <c r="AJ878" i="38"/>
  <c r="AJ870" i="38"/>
  <c r="AJ862" i="38"/>
  <c r="AJ854" i="38"/>
  <c r="AJ846" i="38"/>
  <c r="AJ838" i="38"/>
  <c r="AJ830" i="38"/>
  <c r="AJ822" i="38"/>
  <c r="AJ814" i="38"/>
  <c r="AJ806" i="38"/>
  <c r="AJ798" i="38"/>
  <c r="AJ790" i="38"/>
  <c r="AJ782" i="38"/>
  <c r="AJ774" i="38"/>
  <c r="AJ766" i="38"/>
  <c r="AJ758" i="38"/>
  <c r="AJ750" i="38"/>
  <c r="AJ742" i="38"/>
  <c r="AJ734" i="38"/>
  <c r="AJ726" i="38"/>
  <c r="AJ718" i="38"/>
  <c r="AJ710" i="38"/>
  <c r="AJ702" i="38"/>
  <c r="AJ694" i="38"/>
  <c r="AJ686" i="38"/>
  <c r="AJ678" i="38"/>
  <c r="AJ670" i="38"/>
  <c r="AJ662" i="38"/>
  <c r="AJ654" i="38"/>
  <c r="AJ646" i="38"/>
  <c r="AJ638" i="38"/>
  <c r="AJ630" i="38"/>
  <c r="AJ622" i="38"/>
  <c r="AJ614" i="38"/>
  <c r="AJ606" i="38"/>
  <c r="AJ598" i="38"/>
  <c r="AJ590" i="38"/>
  <c r="AJ582" i="38"/>
  <c r="AJ574" i="38"/>
  <c r="AJ566" i="38"/>
  <c r="AJ558" i="38"/>
  <c r="AJ550" i="38"/>
  <c r="AJ542" i="38"/>
  <c r="AJ534" i="38"/>
  <c r="AJ526" i="38"/>
  <c r="AJ518" i="38"/>
  <c r="AJ510" i="38"/>
  <c r="AJ502" i="38"/>
  <c r="AJ494" i="38"/>
  <c r="AJ486" i="38"/>
  <c r="AJ478" i="38"/>
  <c r="AJ470" i="38"/>
  <c r="AJ462" i="38"/>
  <c r="AJ454" i="38"/>
  <c r="AJ446" i="38"/>
  <c r="AJ438" i="38"/>
  <c r="AJ430" i="38"/>
  <c r="AJ422" i="38"/>
  <c r="AJ414" i="38"/>
  <c r="AJ406" i="38"/>
  <c r="AJ398" i="38"/>
  <c r="AJ390" i="38"/>
  <c r="AJ382" i="38"/>
  <c r="AJ374" i="38"/>
  <c r="AJ366" i="38"/>
  <c r="AJ358" i="38"/>
  <c r="AJ350" i="38"/>
  <c r="AJ342" i="38"/>
  <c r="AJ334" i="38"/>
  <c r="AJ326" i="38"/>
  <c r="AJ318" i="38"/>
  <c r="AJ310" i="38"/>
  <c r="AJ302" i="38"/>
  <c r="AJ973" i="38"/>
  <c r="AJ965" i="38"/>
  <c r="AJ957" i="38"/>
  <c r="AJ949" i="38"/>
  <c r="AJ941" i="38"/>
  <c r="AJ933" i="38"/>
  <c r="AJ925" i="38"/>
  <c r="AJ917" i="38"/>
  <c r="AJ909" i="38"/>
  <c r="AJ901" i="38"/>
  <c r="AJ893" i="38"/>
  <c r="AJ885" i="38"/>
  <c r="AJ877" i="38"/>
  <c r="AJ869" i="38"/>
  <c r="AJ861" i="38"/>
  <c r="AJ853" i="38"/>
  <c r="AJ845" i="38"/>
  <c r="AJ837" i="38"/>
  <c r="AJ829" i="38"/>
  <c r="AJ821" i="38"/>
  <c r="AJ813" i="38"/>
  <c r="AJ805" i="38"/>
  <c r="AJ797" i="38"/>
  <c r="AJ789" i="38"/>
  <c r="AJ781" i="38"/>
  <c r="AJ773" i="38"/>
  <c r="AJ765" i="38"/>
  <c r="AJ757" i="38"/>
  <c r="AJ749" i="38"/>
  <c r="AJ741" i="38"/>
  <c r="AJ733" i="38"/>
  <c r="AJ725" i="38"/>
  <c r="AJ717" i="38"/>
  <c r="AJ709" i="38"/>
  <c r="AJ701" i="38"/>
  <c r="AJ693" i="38"/>
  <c r="AJ685" i="38"/>
  <c r="AJ677" i="38"/>
  <c r="AJ669" i="38"/>
  <c r="AJ661" i="38"/>
  <c r="AJ653" i="38"/>
  <c r="AJ645" i="38"/>
  <c r="AJ637" i="38"/>
  <c r="AJ629" i="38"/>
  <c r="AJ621" i="38"/>
  <c r="AJ613" i="38"/>
  <c r="AJ605" i="38"/>
  <c r="AJ597" i="38"/>
  <c r="AJ589" i="38"/>
  <c r="AJ581" i="38"/>
  <c r="AJ573" i="38"/>
  <c r="AJ565" i="38"/>
  <c r="AJ557" i="38"/>
  <c r="AJ549" i="38"/>
  <c r="AJ541" i="38"/>
  <c r="AJ533" i="38"/>
  <c r="AJ525" i="38"/>
  <c r="AJ517" i="38"/>
  <c r="AJ509" i="38"/>
  <c r="AJ501" i="38"/>
  <c r="AJ493" i="38"/>
  <c r="AJ485" i="38"/>
  <c r="AJ477" i="38"/>
  <c r="AJ469" i="38"/>
  <c r="AJ461" i="38"/>
  <c r="AJ453" i="38"/>
  <c r="AJ445" i="38"/>
  <c r="AJ437" i="38"/>
  <c r="AJ429" i="38"/>
  <c r="AJ421" i="38"/>
  <c r="AJ413" i="38"/>
  <c r="AJ405" i="38"/>
  <c r="AJ397" i="38"/>
  <c r="AJ389" i="38"/>
  <c r="AJ381" i="38"/>
  <c r="AJ373" i="38"/>
  <c r="AJ365" i="38"/>
  <c r="AJ357" i="38"/>
  <c r="AJ349" i="38"/>
  <c r="AJ341" i="38"/>
  <c r="AJ333" i="38"/>
  <c r="AJ325" i="38"/>
  <c r="AJ317" i="38"/>
  <c r="AJ309" i="38"/>
  <c r="AJ301" i="38"/>
  <c r="AJ972" i="38"/>
  <c r="AJ964" i="38"/>
  <c r="AJ956" i="38"/>
  <c r="AJ948" i="38"/>
  <c r="AJ940" i="38"/>
  <c r="AJ932" i="38"/>
  <c r="AJ924" i="38"/>
  <c r="AJ916" i="38"/>
  <c r="AJ908" i="38"/>
  <c r="AJ900" i="38"/>
  <c r="AJ892" i="38"/>
  <c r="AJ884" i="38"/>
  <c r="AJ876" i="38"/>
  <c r="AJ868" i="38"/>
  <c r="AJ860" i="38"/>
  <c r="AJ852" i="38"/>
  <c r="AJ844" i="38"/>
  <c r="AJ836" i="38"/>
  <c r="AJ828" i="38"/>
  <c r="AJ820" i="38"/>
  <c r="AJ812" i="38"/>
  <c r="AJ804" i="38"/>
  <c r="AJ796" i="38"/>
  <c r="AJ788" i="38"/>
  <c r="AJ780" i="38"/>
  <c r="AJ772" i="38"/>
  <c r="AJ764" i="38"/>
  <c r="AJ756" i="38"/>
  <c r="AJ748" i="38"/>
  <c r="AJ740" i="38"/>
  <c r="AJ732" i="38"/>
  <c r="AJ724" i="38"/>
  <c r="AJ716" i="38"/>
  <c r="AJ708" i="38"/>
  <c r="AJ700" i="38"/>
  <c r="AJ692" i="38"/>
  <c r="AJ684" i="38"/>
  <c r="AJ676" i="38"/>
  <c r="AJ668" i="38"/>
  <c r="AJ660" i="38"/>
  <c r="AJ652" i="38"/>
  <c r="AJ644" i="38"/>
  <c r="AJ636" i="38"/>
  <c r="AJ628" i="38"/>
  <c r="AJ620" i="38"/>
  <c r="AJ612" i="38"/>
  <c r="AJ604" i="38"/>
  <c r="AJ596" i="38"/>
  <c r="AJ588" i="38"/>
  <c r="AJ580" i="38"/>
  <c r="AJ572" i="38"/>
  <c r="AJ564" i="38"/>
  <c r="AJ556" i="38"/>
  <c r="AJ548" i="38"/>
  <c r="AJ540" i="38"/>
  <c r="AJ532" i="38"/>
  <c r="AJ524" i="38"/>
  <c r="AJ516" i="38"/>
  <c r="AJ508" i="38"/>
  <c r="AJ500" i="38"/>
  <c r="AJ492" i="38"/>
  <c r="AJ484" i="38"/>
  <c r="AJ476" i="38"/>
  <c r="AJ468" i="38"/>
  <c r="AJ460" i="38"/>
  <c r="AJ452" i="38"/>
  <c r="AJ444" i="38"/>
  <c r="AJ436" i="38"/>
  <c r="AJ428" i="38"/>
  <c r="AJ420" i="38"/>
  <c r="AJ412" i="38"/>
  <c r="AJ404" i="38"/>
  <c r="AJ396" i="38"/>
  <c r="AJ388" i="38"/>
  <c r="AJ380" i="38"/>
  <c r="AJ372" i="38"/>
  <c r="AJ364" i="38"/>
  <c r="AJ356" i="38"/>
  <c r="AJ348" i="38"/>
  <c r="AJ340" i="38"/>
  <c r="AJ332" i="38"/>
  <c r="AJ324" i="38"/>
  <c r="AJ316" i="38"/>
  <c r="AJ308" i="38"/>
  <c r="AJ300" i="38"/>
  <c r="AJ971" i="38"/>
  <c r="AJ963" i="38"/>
  <c r="AJ955" i="38"/>
  <c r="AJ947" i="38"/>
  <c r="AJ939" i="38"/>
  <c r="AJ931" i="38"/>
  <c r="AJ923" i="38"/>
  <c r="AJ915" i="38"/>
  <c r="AJ907" i="38"/>
  <c r="AJ899" i="38"/>
  <c r="AJ891" i="38"/>
  <c r="AJ883" i="38"/>
  <c r="AJ875" i="38"/>
  <c r="AJ867" i="38"/>
  <c r="AJ859" i="38"/>
  <c r="AJ851" i="38"/>
  <c r="AJ843" i="38"/>
  <c r="AJ835" i="38"/>
  <c r="AJ827" i="38"/>
  <c r="AJ819" i="38"/>
  <c r="AJ811" i="38"/>
  <c r="AJ803" i="38"/>
  <c r="AJ795" i="38"/>
  <c r="AJ787" i="38"/>
  <c r="AJ779" i="38"/>
  <c r="AJ771" i="38"/>
  <c r="AJ763" i="38"/>
  <c r="AJ755" i="38"/>
  <c r="AJ747" i="38"/>
  <c r="AJ739" i="38"/>
  <c r="AJ731" i="38"/>
  <c r="AJ723" i="38"/>
  <c r="AJ715" i="38"/>
  <c r="AJ707" i="38"/>
  <c r="AJ699" i="38"/>
  <c r="AJ691" i="38"/>
  <c r="AJ683" i="38"/>
  <c r="AJ675" i="38"/>
  <c r="AJ667" i="38"/>
  <c r="AJ659" i="38"/>
  <c r="AJ651" i="38"/>
  <c r="AJ643" i="38"/>
  <c r="AJ635" i="38"/>
  <c r="AJ627" i="38"/>
  <c r="AJ619" i="38"/>
  <c r="AJ611" i="38"/>
  <c r="AJ603" i="38"/>
  <c r="AJ595" i="38"/>
  <c r="AJ587" i="38"/>
  <c r="AJ579" i="38"/>
  <c r="AJ571" i="38"/>
  <c r="AJ563" i="38"/>
  <c r="AJ555" i="38"/>
  <c r="AJ547" i="38"/>
  <c r="AJ539" i="38"/>
  <c r="AJ531" i="38"/>
  <c r="AJ523" i="38"/>
  <c r="AJ515" i="38"/>
  <c r="AJ507" i="38"/>
  <c r="AJ499" i="38"/>
  <c r="AJ491" i="38"/>
  <c r="AJ483" i="38"/>
  <c r="AJ475" i="38"/>
  <c r="AJ467" i="38"/>
  <c r="AJ459" i="38"/>
  <c r="AJ451" i="38"/>
  <c r="AJ443" i="38"/>
  <c r="AJ435" i="38"/>
  <c r="AJ427" i="38"/>
  <c r="AJ419" i="38"/>
  <c r="AJ411" i="38"/>
  <c r="AJ403" i="38"/>
  <c r="AJ395" i="38"/>
  <c r="AJ387" i="38"/>
  <c r="AJ379" i="38"/>
  <c r="AJ371" i="38"/>
  <c r="AJ363" i="38"/>
  <c r="AJ355" i="38"/>
  <c r="AJ347" i="38"/>
  <c r="AJ339" i="38"/>
  <c r="AJ331" i="38"/>
  <c r="AJ323" i="38"/>
  <c r="AJ315" i="38"/>
  <c r="AJ307" i="38"/>
  <c r="AJ299" i="38"/>
  <c r="AJ970" i="38"/>
  <c r="AJ962" i="38"/>
  <c r="AJ954" i="38"/>
  <c r="AJ946" i="38"/>
  <c r="AJ938" i="38"/>
  <c r="AJ930" i="38"/>
  <c r="AJ922" i="38"/>
  <c r="AJ914" i="38"/>
  <c r="AJ906" i="38"/>
  <c r="AJ898" i="38"/>
  <c r="AJ890" i="38"/>
  <c r="AJ882" i="38"/>
  <c r="AJ874" i="38"/>
  <c r="AJ866" i="38"/>
  <c r="AJ858" i="38"/>
  <c r="AJ850" i="38"/>
  <c r="AJ842" i="38"/>
  <c r="AJ834" i="38"/>
  <c r="AJ826" i="38"/>
  <c r="AJ818" i="38"/>
  <c r="AJ810" i="38"/>
  <c r="AJ802" i="38"/>
  <c r="AJ794" i="38"/>
  <c r="AJ786" i="38"/>
  <c r="AJ778" i="38"/>
  <c r="AJ770" i="38"/>
  <c r="AJ762" i="38"/>
  <c r="AJ754" i="38"/>
  <c r="AJ746" i="38"/>
  <c r="AJ738" i="38"/>
  <c r="AJ730" i="38"/>
  <c r="AJ722" i="38"/>
  <c r="AJ714" i="38"/>
  <c r="AJ706" i="38"/>
  <c r="AJ698" i="38"/>
  <c r="AJ690" i="38"/>
  <c r="AJ682" i="38"/>
  <c r="AJ674" i="38"/>
  <c r="AJ666" i="38"/>
  <c r="AJ658" i="38"/>
  <c r="AJ650" i="38"/>
  <c r="AJ642" i="38"/>
  <c r="AJ634" i="38"/>
  <c r="AJ626" i="38"/>
  <c r="AJ618" i="38"/>
  <c r="AJ610" i="38"/>
  <c r="AJ602" i="38"/>
  <c r="AJ594" i="38"/>
  <c r="AJ586" i="38"/>
  <c r="AJ578" i="38"/>
  <c r="AJ570" i="38"/>
  <c r="AJ562" i="38"/>
  <c r="AJ554" i="38"/>
  <c r="AJ546" i="38"/>
  <c r="AJ538" i="38"/>
  <c r="AJ530" i="38"/>
  <c r="AJ522" i="38"/>
  <c r="AJ514" i="38"/>
  <c r="AJ506" i="38"/>
  <c r="AJ498" i="38"/>
  <c r="AJ490" i="38"/>
  <c r="AJ482" i="38"/>
  <c r="AJ474" i="38"/>
  <c r="AJ466" i="38"/>
  <c r="AJ458" i="38"/>
  <c r="AJ450" i="38"/>
  <c r="AJ442" i="38"/>
  <c r="AJ434" i="38"/>
  <c r="AJ426" i="38"/>
  <c r="AJ418" i="38"/>
  <c r="AJ410" i="38"/>
  <c r="AJ402" i="38"/>
  <c r="AJ394" i="38"/>
  <c r="AJ386" i="38"/>
  <c r="AJ378" i="38"/>
  <c r="AJ370" i="38"/>
  <c r="AJ362" i="38"/>
  <c r="AJ354" i="38"/>
  <c r="AJ346" i="38"/>
  <c r="AJ338" i="38"/>
  <c r="AJ330" i="38"/>
  <c r="AJ322" i="38"/>
  <c r="AJ314" i="38"/>
  <c r="AJ306" i="38"/>
  <c r="AJ298" i="38"/>
  <c r="AJ969" i="38"/>
  <c r="AJ961" i="38"/>
  <c r="AJ953" i="38"/>
  <c r="AJ945" i="38"/>
  <c r="AJ937" i="38"/>
  <c r="AJ929" i="38"/>
  <c r="AJ921" i="38"/>
  <c r="AJ913" i="38"/>
  <c r="AJ905" i="38"/>
  <c r="AJ897" i="38"/>
  <c r="AJ889" i="38"/>
  <c r="AJ881" i="38"/>
  <c r="AJ873" i="38"/>
  <c r="AJ865" i="38"/>
  <c r="AJ857" i="38"/>
  <c r="AJ849" i="38"/>
  <c r="AJ841" i="38"/>
  <c r="AJ833" i="38"/>
  <c r="AJ825" i="38"/>
  <c r="AJ817" i="38"/>
  <c r="AJ809" i="38"/>
  <c r="AJ801" i="38"/>
  <c r="AJ793" i="38"/>
  <c r="AJ785" i="38"/>
  <c r="AJ777" i="38"/>
  <c r="AJ769" i="38"/>
  <c r="AJ761" i="38"/>
  <c r="AJ753" i="38"/>
  <c r="AJ745" i="38"/>
  <c r="AJ737" i="38"/>
  <c r="AJ729" i="38"/>
  <c r="AJ721" i="38"/>
  <c r="AJ713" i="38"/>
  <c r="AJ705" i="38"/>
  <c r="AJ697" i="38"/>
  <c r="AJ689" i="38"/>
  <c r="AJ681" i="38"/>
  <c r="AJ673" i="38"/>
  <c r="AJ665" i="38"/>
  <c r="AJ657" i="38"/>
  <c r="AJ649" i="38"/>
  <c r="AJ641" i="38"/>
  <c r="AJ633" i="38"/>
  <c r="AJ625" i="38"/>
  <c r="AJ617" i="38"/>
  <c r="AJ609" i="38"/>
  <c r="AJ601" i="38"/>
  <c r="AJ593" i="38"/>
  <c r="AJ585" i="38"/>
  <c r="AJ577" i="38"/>
  <c r="AJ569" i="38"/>
  <c r="AJ561" i="38"/>
  <c r="AJ553" i="38"/>
  <c r="AJ545" i="38"/>
  <c r="AJ537" i="38"/>
  <c r="AJ529" i="38"/>
  <c r="AJ521" i="38"/>
  <c r="AJ513" i="38"/>
  <c r="AJ505" i="38"/>
  <c r="AJ497" i="38"/>
  <c r="AJ489" i="38"/>
  <c r="AJ481" i="38"/>
  <c r="AJ473" i="38"/>
  <c r="AJ465" i="38"/>
  <c r="AJ457" i="38"/>
  <c r="AJ449" i="38"/>
  <c r="AJ441" i="38"/>
  <c r="AJ433" i="38"/>
  <c r="AJ425" i="38"/>
  <c r="AJ417" i="38"/>
  <c r="AJ409" i="38"/>
  <c r="AJ401" i="38"/>
  <c r="AJ393" i="38"/>
  <c r="AJ385" i="38"/>
  <c r="AJ377" i="38"/>
  <c r="AJ369" i="38"/>
  <c r="AJ361" i="38"/>
  <c r="AJ353" i="38"/>
  <c r="AJ345" i="38"/>
  <c r="AJ337" i="38"/>
  <c r="AJ329" i="38"/>
  <c r="AJ321" i="38"/>
  <c r="AJ313" i="38"/>
  <c r="AJ305" i="38"/>
  <c r="AJ976" i="38"/>
  <c r="AJ968" i="38"/>
  <c r="AJ960" i="38"/>
  <c r="AJ952" i="38"/>
  <c r="AJ944" i="38"/>
  <c r="AJ936" i="38"/>
  <c r="AJ928" i="38"/>
  <c r="AJ920" i="38"/>
  <c r="AJ912" i="38"/>
  <c r="AJ904" i="38"/>
  <c r="AJ896" i="38"/>
  <c r="AJ888" i="38"/>
  <c r="AJ880" i="38"/>
  <c r="AJ872" i="38"/>
  <c r="AJ864" i="38"/>
  <c r="AJ856" i="38"/>
  <c r="AJ848" i="38"/>
  <c r="AJ840" i="38"/>
  <c r="AJ832" i="38"/>
  <c r="AJ824" i="38"/>
  <c r="AJ816" i="38"/>
  <c r="AJ808" i="38"/>
  <c r="AJ800" i="38"/>
  <c r="AJ792" i="38"/>
  <c r="AJ784" i="38"/>
  <c r="AJ776" i="38"/>
  <c r="AJ768" i="38"/>
  <c r="AJ760" i="38"/>
  <c r="AJ752" i="38"/>
  <c r="AJ744" i="38"/>
  <c r="AJ736" i="38"/>
  <c r="AJ728" i="38"/>
  <c r="AJ720" i="38"/>
  <c r="AJ712" i="38"/>
  <c r="AJ704" i="38"/>
  <c r="AJ696" i="38"/>
  <c r="AJ688" i="38"/>
  <c r="AJ680" i="38"/>
  <c r="AJ672" i="38"/>
  <c r="AJ664" i="38"/>
  <c r="AJ656" i="38"/>
  <c r="AJ648" i="38"/>
  <c r="AJ640" i="38"/>
  <c r="AJ632" i="38"/>
  <c r="AJ624" i="38"/>
  <c r="AJ616" i="38"/>
  <c r="AJ608" i="38"/>
  <c r="AJ600" i="38"/>
  <c r="AJ592" i="38"/>
  <c r="AJ584" i="38"/>
  <c r="AJ576" i="38"/>
  <c r="AJ568" i="38"/>
  <c r="AJ560" i="38"/>
  <c r="AJ552" i="38"/>
  <c r="AJ544" i="38"/>
  <c r="AJ536" i="38"/>
  <c r="AJ528" i="38"/>
  <c r="AJ520" i="38"/>
  <c r="AJ512" i="38"/>
  <c r="AJ504" i="38"/>
  <c r="AJ496" i="38"/>
  <c r="AJ488" i="38"/>
  <c r="AJ480" i="38"/>
  <c r="AJ472" i="38"/>
  <c r="AJ464" i="38"/>
  <c r="AJ456" i="38"/>
  <c r="AJ448" i="38"/>
  <c r="AJ440" i="38"/>
  <c r="AJ432" i="38"/>
  <c r="AJ424" i="38"/>
  <c r="AJ416" i="38"/>
  <c r="AJ408" i="38"/>
  <c r="AJ400" i="38"/>
  <c r="AJ392" i="38"/>
  <c r="AJ384" i="38"/>
  <c r="AJ376" i="38"/>
  <c r="AJ368" i="38"/>
  <c r="AJ360" i="38"/>
  <c r="AJ352" i="38"/>
  <c r="AJ344" i="38"/>
  <c r="AJ336" i="38"/>
  <c r="AJ328" i="38"/>
  <c r="AJ320" i="38"/>
  <c r="AJ312" i="38"/>
  <c r="AJ304" i="38"/>
  <c r="AJ296" i="38"/>
  <c r="AJ288" i="38"/>
  <c r="AJ280" i="38"/>
  <c r="AJ272" i="38"/>
  <c r="AJ264" i="38"/>
  <c r="AJ256" i="38"/>
  <c r="AJ248" i="38"/>
  <c r="AJ240" i="38"/>
  <c r="AJ232" i="38"/>
  <c r="AJ224" i="38"/>
  <c r="AJ216" i="38"/>
  <c r="AJ208" i="38"/>
  <c r="AJ200" i="38"/>
  <c r="AJ192" i="38"/>
  <c r="AJ184" i="38"/>
  <c r="AJ176" i="38"/>
  <c r="AJ168" i="38"/>
  <c r="AJ160" i="38"/>
  <c r="AJ152" i="38"/>
  <c r="AJ144" i="38"/>
  <c r="AJ136" i="38"/>
  <c r="AJ128" i="38"/>
  <c r="AJ120" i="38"/>
  <c r="AJ112" i="38"/>
  <c r="AJ104" i="38"/>
  <c r="AJ96" i="38"/>
  <c r="AJ88" i="38"/>
  <c r="AJ80" i="38"/>
  <c r="AJ72" i="38"/>
  <c r="AJ64" i="38"/>
  <c r="AJ56" i="38"/>
  <c r="AJ48" i="38"/>
  <c r="AJ40" i="38"/>
  <c r="AJ32" i="38"/>
  <c r="AJ24" i="38"/>
  <c r="AJ16" i="38"/>
  <c r="AJ8" i="38"/>
  <c r="AJ295" i="38"/>
  <c r="AJ287" i="38"/>
  <c r="AJ279" i="38"/>
  <c r="AJ271" i="38"/>
  <c r="AJ263" i="38"/>
  <c r="AJ255" i="38"/>
  <c r="AJ247" i="38"/>
  <c r="AJ239" i="38"/>
  <c r="AJ231" i="38"/>
  <c r="AJ223" i="38"/>
  <c r="AJ215" i="38"/>
  <c r="AJ207" i="38"/>
  <c r="AJ199" i="38"/>
  <c r="AJ191" i="38"/>
  <c r="AJ183" i="38"/>
  <c r="AJ175" i="38"/>
  <c r="AJ167" i="38"/>
  <c r="AJ159" i="38"/>
  <c r="AJ151" i="38"/>
  <c r="AJ143" i="38"/>
  <c r="AJ135" i="38"/>
  <c r="AJ127" i="38"/>
  <c r="AJ119" i="38"/>
  <c r="AJ111" i="38"/>
  <c r="AJ103" i="38"/>
  <c r="AJ95" i="38"/>
  <c r="AJ87" i="38"/>
  <c r="AJ79" i="38"/>
  <c r="AJ71" i="38"/>
  <c r="AJ63" i="38"/>
  <c r="AJ55" i="38"/>
  <c r="AJ47" i="38"/>
  <c r="AJ39" i="38"/>
  <c r="AJ31" i="38"/>
  <c r="AJ23" i="38"/>
  <c r="AJ15" i="38"/>
  <c r="AJ7" i="38"/>
  <c r="AJ294" i="38"/>
  <c r="AJ286" i="38"/>
  <c r="AJ278" i="38"/>
  <c r="AJ270" i="38"/>
  <c r="AJ262" i="38"/>
  <c r="AJ254" i="38"/>
  <c r="AJ246" i="38"/>
  <c r="AJ238" i="38"/>
  <c r="AJ230" i="38"/>
  <c r="AJ222" i="38"/>
  <c r="AJ214" i="38"/>
  <c r="AJ206" i="38"/>
  <c r="AJ198" i="38"/>
  <c r="AJ190" i="38"/>
  <c r="AJ182" i="38"/>
  <c r="AJ174" i="38"/>
  <c r="AJ166" i="38"/>
  <c r="AJ158" i="38"/>
  <c r="AJ150" i="38"/>
  <c r="AJ142" i="38"/>
  <c r="AJ134" i="38"/>
  <c r="AJ126" i="38"/>
  <c r="AJ118" i="38"/>
  <c r="AJ110" i="38"/>
  <c r="AJ102" i="38"/>
  <c r="AJ94" i="38"/>
  <c r="AJ86" i="38"/>
  <c r="AJ78" i="38"/>
  <c r="AJ70" i="38"/>
  <c r="AJ62" i="38"/>
  <c r="AJ54" i="38"/>
  <c r="AJ46" i="38"/>
  <c r="AJ38" i="38"/>
  <c r="AJ30" i="38"/>
  <c r="AJ22" i="38"/>
  <c r="AJ14" i="38"/>
  <c r="AJ6" i="38"/>
  <c r="AJ293" i="38"/>
  <c r="AJ285" i="38"/>
  <c r="AJ277" i="38"/>
  <c r="AJ269" i="38"/>
  <c r="AJ261" i="38"/>
  <c r="AJ253" i="38"/>
  <c r="AJ245" i="38"/>
  <c r="AJ237" i="38"/>
  <c r="AJ229" i="38"/>
  <c r="AJ221" i="38"/>
  <c r="AJ213" i="38"/>
  <c r="AJ205" i="38"/>
  <c r="AJ197" i="38"/>
  <c r="AJ189" i="38"/>
  <c r="AJ181" i="38"/>
  <c r="AJ173" i="38"/>
  <c r="AJ165" i="38"/>
  <c r="AJ157" i="38"/>
  <c r="AJ149" i="38"/>
  <c r="AJ141" i="38"/>
  <c r="AJ133" i="38"/>
  <c r="AJ125" i="38"/>
  <c r="AJ117" i="38"/>
  <c r="AJ109" i="38"/>
  <c r="AJ101" i="38"/>
  <c r="AJ93" i="38"/>
  <c r="AJ85" i="38"/>
  <c r="AJ77" i="38"/>
  <c r="AJ69" i="38"/>
  <c r="AJ61" i="38"/>
  <c r="AJ53" i="38"/>
  <c r="AJ45" i="38"/>
  <c r="AJ37" i="38"/>
  <c r="AJ29" i="38"/>
  <c r="AJ21" i="38"/>
  <c r="AJ13" i="38"/>
  <c r="AJ5" i="38"/>
  <c r="AJ292" i="38"/>
  <c r="AJ284" i="38"/>
  <c r="AJ276" i="38"/>
  <c r="AJ268" i="38"/>
  <c r="AJ260" i="38"/>
  <c r="AJ252" i="38"/>
  <c r="AJ244" i="38"/>
  <c r="AJ236" i="38"/>
  <c r="AJ228" i="38"/>
  <c r="AJ220" i="38"/>
  <c r="AJ212" i="38"/>
  <c r="AJ204" i="38"/>
  <c r="AJ196" i="38"/>
  <c r="AJ188" i="38"/>
  <c r="AJ180" i="38"/>
  <c r="AJ172" i="38"/>
  <c r="AJ164" i="38"/>
  <c r="AJ156" i="38"/>
  <c r="AJ148" i="38"/>
  <c r="AJ140" i="38"/>
  <c r="AJ132" i="38"/>
  <c r="AJ124" i="38"/>
  <c r="AJ116" i="38"/>
  <c r="AJ108" i="38"/>
  <c r="AJ100" i="38"/>
  <c r="AJ92" i="38"/>
  <c r="AJ84" i="38"/>
  <c r="AJ76" i="38"/>
  <c r="AJ68" i="38"/>
  <c r="AJ60" i="38"/>
  <c r="AJ52" i="38"/>
  <c r="AJ44" i="38"/>
  <c r="AJ36" i="38"/>
  <c r="AJ28" i="38"/>
  <c r="AJ20" i="38"/>
  <c r="AJ12" i="38"/>
  <c r="AJ4" i="38"/>
  <c r="AJ291" i="38"/>
  <c r="AJ283" i="38"/>
  <c r="AJ275" i="38"/>
  <c r="AJ267" i="38"/>
  <c r="AJ259" i="38"/>
  <c r="AJ251" i="38"/>
  <c r="AJ243" i="38"/>
  <c r="AJ235" i="38"/>
  <c r="AJ227" i="38"/>
  <c r="AJ219" i="38"/>
  <c r="AJ211" i="38"/>
  <c r="AJ203" i="38"/>
  <c r="AJ195" i="38"/>
  <c r="AJ187" i="38"/>
  <c r="AJ179" i="38"/>
  <c r="AJ171" i="38"/>
  <c r="AJ163" i="38"/>
  <c r="AJ155" i="38"/>
  <c r="AJ147" i="38"/>
  <c r="AJ139" i="38"/>
  <c r="AJ131" i="38"/>
  <c r="AJ123" i="38"/>
  <c r="AJ115" i="38"/>
  <c r="AJ107" i="38"/>
  <c r="AJ99" i="38"/>
  <c r="AJ91" i="38"/>
  <c r="AJ83" i="38"/>
  <c r="AJ75" i="38"/>
  <c r="AJ67" i="38"/>
  <c r="AJ59" i="38"/>
  <c r="AJ51" i="38"/>
  <c r="AJ43" i="38"/>
  <c r="AJ35" i="38"/>
  <c r="AJ27" i="38"/>
  <c r="AJ19" i="38"/>
  <c r="AJ11" i="38"/>
  <c r="AJ3" i="38"/>
  <c r="AJ290" i="38"/>
  <c r="AJ282" i="38"/>
  <c r="AJ274" i="38"/>
  <c r="AJ266" i="38"/>
  <c r="AJ258" i="38"/>
  <c r="AJ250" i="38"/>
  <c r="AJ242" i="38"/>
  <c r="AJ234" i="38"/>
  <c r="AJ226" i="38"/>
  <c r="AJ218" i="38"/>
  <c r="AJ210" i="38"/>
  <c r="AJ202" i="38"/>
  <c r="AJ194" i="38"/>
  <c r="AJ186" i="38"/>
  <c r="AJ178" i="38"/>
  <c r="AJ170" i="38"/>
  <c r="AJ162" i="38"/>
  <c r="AJ154" i="38"/>
  <c r="AJ146" i="38"/>
  <c r="AJ138" i="38"/>
  <c r="AJ130" i="38"/>
  <c r="AJ122" i="38"/>
  <c r="AJ114" i="38"/>
  <c r="AJ106" i="38"/>
  <c r="AJ98" i="38"/>
  <c r="AJ90" i="38"/>
  <c r="AJ82" i="38"/>
  <c r="AJ74" i="38"/>
  <c r="AJ66" i="38"/>
  <c r="AJ58" i="38"/>
  <c r="AJ50" i="38"/>
  <c r="AJ42" i="38"/>
  <c r="AJ34" i="38"/>
  <c r="AJ26" i="38"/>
  <c r="AJ18" i="38"/>
  <c r="AJ10" i="38"/>
  <c r="AJ2" i="38"/>
  <c r="AJ297" i="38"/>
  <c r="AJ289" i="38"/>
  <c r="AJ281" i="38"/>
  <c r="AJ273" i="38"/>
  <c r="AJ265" i="38"/>
  <c r="AJ257" i="38"/>
  <c r="AJ249" i="38"/>
  <c r="AJ241" i="38"/>
  <c r="AJ233" i="38"/>
  <c r="AJ225" i="38"/>
  <c r="AJ217" i="38"/>
  <c r="AJ209" i="38"/>
  <c r="AJ201" i="38"/>
  <c r="AJ193" i="38"/>
  <c r="AJ185" i="38"/>
  <c r="AJ177" i="38"/>
  <c r="AJ169" i="38"/>
  <c r="AJ161" i="38"/>
  <c r="AJ153" i="38"/>
  <c r="AJ145" i="38"/>
  <c r="AJ137" i="38"/>
  <c r="AJ129" i="38"/>
  <c r="AJ121" i="38"/>
  <c r="AJ113" i="38"/>
  <c r="AJ105" i="38"/>
  <c r="AJ97" i="38"/>
  <c r="AJ89" i="38"/>
  <c r="AJ81" i="38"/>
  <c r="AJ73" i="38"/>
  <c r="AJ65" i="38"/>
  <c r="AJ57" i="38"/>
  <c r="AJ49" i="38"/>
  <c r="AJ41" i="38"/>
  <c r="AJ33" i="38"/>
  <c r="AJ25" i="38"/>
  <c r="AJ17" i="38"/>
  <c r="AJ9" i="38"/>
  <c r="AN455" i="38"/>
  <c r="AC455" i="38" s="1"/>
  <c r="AN599" i="38"/>
  <c r="AC599" i="38" s="1"/>
  <c r="AN506" i="38"/>
  <c r="AC506" i="38" s="1"/>
  <c r="AN491" i="38"/>
  <c r="AC491" i="38" s="1"/>
  <c r="AN446" i="38"/>
  <c r="AC446" i="38" s="1"/>
  <c r="AN497" i="38"/>
  <c r="AC497" i="38" s="1"/>
  <c r="AN361" i="38"/>
  <c r="AC361" i="38" s="1"/>
  <c r="AN474" i="38"/>
  <c r="AC474" i="38" s="1"/>
  <c r="AN445" i="38"/>
  <c r="AC445" i="38" s="1"/>
  <c r="AN422" i="38"/>
  <c r="AC422" i="38" s="1"/>
  <c r="AN375" i="38"/>
  <c r="AC375" i="38" s="1"/>
  <c r="AN525" i="38"/>
  <c r="AC525" i="38" s="1"/>
  <c r="AN547" i="38"/>
  <c r="AC547" i="38" s="1"/>
  <c r="AN284" i="38"/>
  <c r="AC284" i="38" s="1"/>
  <c r="AN168" i="38"/>
  <c r="AC168" i="38" s="1"/>
  <c r="AN116" i="38"/>
  <c r="AC116" i="38" s="1"/>
  <c r="AN28" i="38"/>
  <c r="AC28" i="38" s="1"/>
  <c r="AN122" i="38"/>
  <c r="AC122" i="38" s="1"/>
  <c r="AN92" i="38"/>
  <c r="AC92" i="38" s="1"/>
  <c r="AN86" i="38"/>
  <c r="AC86" i="38" s="1"/>
  <c r="AN232" i="38"/>
  <c r="AC232" i="38" s="1"/>
  <c r="AN203" i="38"/>
  <c r="AC203" i="38" s="1"/>
  <c r="AN63" i="38"/>
  <c r="AC63" i="38" s="1"/>
  <c r="AN186" i="38"/>
  <c r="AC186" i="38" s="1"/>
  <c r="AN250" i="38"/>
  <c r="AC250" i="38" s="1"/>
  <c r="AN214" i="38"/>
  <c r="AC214" i="38" s="1"/>
  <c r="AN162" i="38"/>
  <c r="AC162" i="38" s="1"/>
  <c r="AN127" i="38"/>
  <c r="AC127" i="38" s="1"/>
  <c r="AN40" i="38"/>
  <c r="AC40" i="38" s="1"/>
  <c r="AN84" i="38"/>
  <c r="AC84" i="38" s="1"/>
  <c r="AN329" i="38"/>
  <c r="AC329" i="38" s="1"/>
  <c r="AN299" i="38"/>
  <c r="AC299" i="38" s="1"/>
  <c r="AN275" i="38"/>
  <c r="AC275" i="38" s="1"/>
  <c r="AN268" i="38"/>
  <c r="AC268" i="38" s="1"/>
  <c r="AN191" i="38"/>
  <c r="AC191" i="38" s="1"/>
  <c r="AN90" i="38"/>
  <c r="AC90" i="38" s="1"/>
  <c r="AN22" i="38"/>
  <c r="AC22" i="38" s="1"/>
  <c r="AN301" i="38"/>
  <c r="AC301" i="38" s="1"/>
  <c r="AN296" i="38"/>
  <c r="AC296" i="38" s="1"/>
  <c r="AN43" i="38"/>
  <c r="AC43" i="38" s="1"/>
  <c r="AN220" i="38"/>
  <c r="AC220" i="38" s="1"/>
  <c r="AN234" i="38"/>
  <c r="AC234" i="38" s="1"/>
  <c r="AN278" i="38"/>
  <c r="AC278" i="38" s="1"/>
  <c r="AN19" i="38"/>
  <c r="AC19" i="38" s="1"/>
  <c r="AN12" i="38"/>
  <c r="AC12" i="38" s="1"/>
  <c r="AN293" i="38"/>
  <c r="AC293" i="38" s="1"/>
  <c r="AN873" i="38"/>
  <c r="AC873" i="38" s="1"/>
  <c r="AN102" i="38"/>
  <c r="AC102" i="38" s="1"/>
  <c r="AN272" i="38"/>
  <c r="AC272" i="38" s="1"/>
  <c r="AN181" i="38"/>
  <c r="AC181" i="38" s="1"/>
  <c r="AN745" i="38"/>
  <c r="AC745" i="38" s="1"/>
  <c r="AN288" i="38"/>
  <c r="AC288" i="38" s="1"/>
  <c r="AN37" i="38"/>
  <c r="AC37" i="38" s="1"/>
  <c r="AN252" i="38"/>
  <c r="AC252" i="38" s="1"/>
  <c r="AN333" i="38"/>
  <c r="AC333" i="38" s="1"/>
  <c r="AN673" i="38"/>
  <c r="AC673" i="38" s="1"/>
  <c r="AN388" i="38"/>
  <c r="AC388" i="38" s="1"/>
  <c r="AN199" i="38"/>
  <c r="AC199" i="38" s="1"/>
  <c r="AN202" i="38"/>
  <c r="AC202" i="38" s="1"/>
  <c r="AN809" i="38"/>
  <c r="AC809" i="38" s="1"/>
  <c r="AN77" i="38"/>
  <c r="AC77" i="38" s="1"/>
  <c r="AN238" i="38"/>
  <c r="AC238" i="38" s="1"/>
  <c r="AN449" i="38"/>
  <c r="AC449" i="38" s="1"/>
  <c r="AN857" i="38"/>
  <c r="AC857" i="38" s="1"/>
  <c r="AN62" i="38"/>
  <c r="AC62" i="38" s="1"/>
  <c r="AN155" i="38"/>
  <c r="AC155" i="38" s="1"/>
  <c r="AN38" i="38"/>
  <c r="AC38" i="38" s="1"/>
  <c r="AN95" i="38"/>
  <c r="AC95" i="38" s="1"/>
  <c r="AN156" i="38"/>
  <c r="AC156" i="38" s="1"/>
  <c r="AN229" i="38"/>
  <c r="AC229" i="38" s="1"/>
  <c r="AN294" i="38"/>
  <c r="AC294" i="38" s="1"/>
  <c r="AN3" i="38"/>
  <c r="AC3" i="38" s="1"/>
  <c r="AN61" i="38"/>
  <c r="AC61" i="38" s="1"/>
  <c r="AN133" i="38"/>
  <c r="AC133" i="38" s="1"/>
  <c r="AN201" i="38"/>
  <c r="AC201" i="38" s="1"/>
  <c r="AN259" i="38"/>
  <c r="AC259" i="38" s="1"/>
  <c r="AN443" i="38"/>
  <c r="AC443" i="38" s="1"/>
  <c r="AN41" i="38"/>
  <c r="AC41" i="38" s="1"/>
  <c r="AN128" i="38"/>
  <c r="AC128" i="38" s="1"/>
  <c r="AN189" i="38"/>
  <c r="AC189" i="38" s="1"/>
  <c r="AN262" i="38"/>
  <c r="AC262" i="38" s="1"/>
  <c r="AN319" i="38"/>
  <c r="AC319" i="38" s="1"/>
  <c r="AN14" i="38"/>
  <c r="AC14" i="38" s="1"/>
  <c r="AN80" i="38"/>
  <c r="AC80" i="38" s="1"/>
  <c r="AN175" i="38"/>
  <c r="AC175" i="38" s="1"/>
  <c r="AN233" i="38"/>
  <c r="AC233" i="38" s="1"/>
  <c r="AN298" i="38"/>
  <c r="AC298" i="38" s="1"/>
  <c r="AN65" i="38"/>
  <c r="AC65" i="38" s="1"/>
  <c r="AN130" i="38"/>
  <c r="AC130" i="38" s="1"/>
  <c r="AN213" i="38"/>
  <c r="AC213" i="38" s="1"/>
  <c r="AN456" i="38"/>
  <c r="AC456" i="38" s="1"/>
  <c r="AN343" i="38"/>
  <c r="AC343" i="38" s="1"/>
  <c r="AN405" i="38"/>
  <c r="AC405" i="38" s="1"/>
  <c r="AN465" i="38"/>
  <c r="AC465" i="38" s="1"/>
  <c r="AN532" i="38"/>
  <c r="AC532" i="38" s="1"/>
  <c r="AN602" i="38"/>
  <c r="AC602" i="38" s="1"/>
  <c r="AN666" i="38"/>
  <c r="AC666" i="38" s="1"/>
  <c r="AN730" i="38"/>
  <c r="AC730" i="38" s="1"/>
  <c r="AN794" i="38"/>
  <c r="AC794" i="38" s="1"/>
  <c r="AN858" i="38"/>
  <c r="AC858" i="38" s="1"/>
  <c r="AN922" i="38"/>
  <c r="AC922" i="38" s="1"/>
  <c r="AN313" i="38"/>
  <c r="AC313" i="38" s="1"/>
  <c r="AN390" i="38"/>
  <c r="AC390" i="38" s="1"/>
  <c r="AN466" i="38"/>
  <c r="AC466" i="38" s="1"/>
  <c r="AN541" i="38"/>
  <c r="AC541" i="38" s="1"/>
  <c r="AN603" i="38"/>
  <c r="AC603" i="38" s="1"/>
  <c r="AN667" i="38"/>
  <c r="AC667" i="38" s="1"/>
  <c r="AN731" i="38"/>
  <c r="AC731" i="38" s="1"/>
  <c r="AN795" i="38"/>
  <c r="AC795" i="38" s="1"/>
  <c r="AN859" i="38"/>
  <c r="AC859" i="38" s="1"/>
  <c r="AN923" i="38"/>
  <c r="AC923" i="38" s="1"/>
  <c r="AN353" i="38"/>
  <c r="AC353" i="38" s="1"/>
  <c r="AN438" i="38"/>
  <c r="AC438" i="38" s="1"/>
  <c r="AN519" i="38"/>
  <c r="AC519" i="38" s="1"/>
  <c r="AN581" i="38"/>
  <c r="AC581" i="38" s="1"/>
  <c r="AN644" i="38"/>
  <c r="AC644" i="38" s="1"/>
  <c r="AN708" i="38"/>
  <c r="AC708" i="38" s="1"/>
  <c r="AN772" i="38"/>
  <c r="AC772" i="38" s="1"/>
  <c r="AN836" i="38"/>
  <c r="AC836" i="38" s="1"/>
  <c r="AN601" i="38"/>
  <c r="AC601" i="38" s="1"/>
  <c r="AN897" i="38"/>
  <c r="AC897" i="38" s="1"/>
  <c r="AN110" i="38"/>
  <c r="AC110" i="38" s="1"/>
  <c r="AN88" i="38"/>
  <c r="AC88" i="38" s="1"/>
  <c r="AN242" i="38"/>
  <c r="AC242" i="38" s="1"/>
  <c r="AN785" i="38"/>
  <c r="AC785" i="38" s="1"/>
  <c r="AN380" i="38"/>
  <c r="AC380" i="38" s="1"/>
  <c r="AN51" i="38"/>
  <c r="AC51" i="38" s="1"/>
  <c r="AN260" i="38"/>
  <c r="AC260" i="38" s="1"/>
  <c r="AN341" i="38"/>
  <c r="AC341" i="38" s="1"/>
  <c r="AN737" i="38"/>
  <c r="AC737" i="38" s="1"/>
  <c r="AN420" i="38"/>
  <c r="AC420" i="38" s="1"/>
  <c r="AN237" i="38"/>
  <c r="AC237" i="38" s="1"/>
  <c r="AN285" i="38"/>
  <c r="AC285" i="38" s="1"/>
  <c r="AN841" i="38"/>
  <c r="AC841" i="38" s="1"/>
  <c r="AN91" i="38"/>
  <c r="AC91" i="38" s="1"/>
  <c r="AN246" i="38"/>
  <c r="AC246" i="38" s="1"/>
  <c r="AN625" i="38"/>
  <c r="AC625" i="38" s="1"/>
  <c r="AN881" i="38"/>
  <c r="AC881" i="38" s="1"/>
  <c r="AN70" i="38"/>
  <c r="AC70" i="38" s="1"/>
  <c r="AN209" i="38"/>
  <c r="AC209" i="38" s="1"/>
  <c r="AN44" i="38"/>
  <c r="AC44" i="38" s="1"/>
  <c r="AN103" i="38"/>
  <c r="AC103" i="38" s="1"/>
  <c r="AN163" i="38"/>
  <c r="AC163" i="38" s="1"/>
  <c r="AN235" i="38"/>
  <c r="AC235" i="38" s="1"/>
  <c r="AN300" i="38"/>
  <c r="AC300" i="38" s="1"/>
  <c r="AN11" i="38"/>
  <c r="AC11" i="38" s="1"/>
  <c r="AN68" i="38"/>
  <c r="AC68" i="38" s="1"/>
  <c r="AN141" i="38"/>
  <c r="AC141" i="38" s="1"/>
  <c r="AN208" i="38"/>
  <c r="AC208" i="38" s="1"/>
  <c r="AN267" i="38"/>
  <c r="AC267" i="38" s="1"/>
  <c r="AN531" i="38"/>
  <c r="AC531" i="38" s="1"/>
  <c r="AN48" i="38"/>
  <c r="AC48" i="38" s="1"/>
  <c r="AN136" i="38"/>
  <c r="AC136" i="38" s="1"/>
  <c r="AN196" i="38"/>
  <c r="AC196" i="38" s="1"/>
  <c r="AN269" i="38"/>
  <c r="AC269" i="38" s="1"/>
  <c r="AN327" i="38"/>
  <c r="AC327" i="38" s="1"/>
  <c r="AN21" i="38"/>
  <c r="AC21" i="38" s="1"/>
  <c r="AN100" i="38"/>
  <c r="AC100" i="38" s="1"/>
  <c r="AN183" i="38"/>
  <c r="AC183" i="38" s="1"/>
  <c r="AN240" i="38"/>
  <c r="AC240" i="38" s="1"/>
  <c r="AN479" i="38"/>
  <c r="AC479" i="38" s="1"/>
  <c r="AN73" i="38"/>
  <c r="AC73" i="38" s="1"/>
  <c r="AN138" i="38"/>
  <c r="AC138" i="38" s="1"/>
  <c r="AN227" i="38"/>
  <c r="AC227" i="38" s="1"/>
  <c r="AN464" i="38"/>
  <c r="AC464" i="38" s="1"/>
  <c r="AN351" i="38"/>
  <c r="AC351" i="38" s="1"/>
  <c r="AN413" i="38"/>
  <c r="AC413" i="38" s="1"/>
  <c r="AN473" i="38"/>
  <c r="AC473" i="38" s="1"/>
  <c r="AN540" i="38"/>
  <c r="AC540" i="38" s="1"/>
  <c r="AN610" i="38"/>
  <c r="AC610" i="38" s="1"/>
  <c r="AN674" i="38"/>
  <c r="AC674" i="38" s="1"/>
  <c r="AN738" i="38"/>
  <c r="AC738" i="38" s="1"/>
  <c r="AN802" i="38"/>
  <c r="AC802" i="38" s="1"/>
  <c r="AN866" i="38"/>
  <c r="AC866" i="38" s="1"/>
  <c r="AN930" i="38"/>
  <c r="AC930" i="38" s="1"/>
  <c r="AN321" i="38"/>
  <c r="AC321" i="38" s="1"/>
  <c r="AN398" i="38"/>
  <c r="AC398" i="38" s="1"/>
  <c r="AN481" i="38"/>
  <c r="AC481" i="38" s="1"/>
  <c r="AN548" i="38"/>
  <c r="AC548" i="38" s="1"/>
  <c r="AN611" i="38"/>
  <c r="AC611" i="38" s="1"/>
  <c r="AN675" i="38"/>
  <c r="AC675" i="38" s="1"/>
  <c r="AN739" i="38"/>
  <c r="AC739" i="38" s="1"/>
  <c r="AN803" i="38"/>
  <c r="AC803" i="38" s="1"/>
  <c r="AN867" i="38"/>
  <c r="AC867" i="38" s="1"/>
  <c r="AN931" i="38"/>
  <c r="AC931" i="38" s="1"/>
  <c r="AN368" i="38"/>
  <c r="AC368" i="38" s="1"/>
  <c r="AN452" i="38"/>
  <c r="AC452" i="38" s="1"/>
  <c r="AN526" i="38"/>
  <c r="AC526" i="38" s="1"/>
  <c r="AN589" i="38"/>
  <c r="AC589" i="38" s="1"/>
  <c r="AN652" i="38"/>
  <c r="AC652" i="38" s="1"/>
  <c r="AN716" i="38"/>
  <c r="AC716" i="38" s="1"/>
  <c r="AN780" i="38"/>
  <c r="AC780" i="38" s="1"/>
  <c r="AN844" i="38"/>
  <c r="AC844" i="38" s="1"/>
  <c r="AN908" i="38"/>
  <c r="AC908" i="38" s="1"/>
  <c r="AN972" i="38"/>
  <c r="AC972" i="38" s="1"/>
  <c r="AN369" i="38"/>
  <c r="AC369" i="38" s="1"/>
  <c r="AN431" i="38"/>
  <c r="AC431" i="38" s="1"/>
  <c r="AN512" i="38"/>
  <c r="AC512" i="38" s="1"/>
  <c r="AN574" i="38"/>
  <c r="AC574" i="38" s="1"/>
  <c r="AN637" i="38"/>
  <c r="AC637" i="38" s="1"/>
  <c r="AN701" i="38"/>
  <c r="AC701" i="38" s="1"/>
  <c r="AN765" i="38"/>
  <c r="AC765" i="38" s="1"/>
  <c r="AN829" i="38"/>
  <c r="AC829" i="38" s="1"/>
  <c r="AN893" i="38"/>
  <c r="AC893" i="38" s="1"/>
  <c r="AN957" i="38"/>
  <c r="AC957" i="38" s="1"/>
  <c r="AN347" i="38"/>
  <c r="AC347" i="38" s="1"/>
  <c r="AN409" i="38"/>
  <c r="AC409" i="38" s="1"/>
  <c r="AN476" i="38"/>
  <c r="AC476" i="38" s="1"/>
  <c r="AN641" i="38"/>
  <c r="AC641" i="38" s="1"/>
  <c r="AN921" i="38"/>
  <c r="AC921" i="38" s="1"/>
  <c r="AN172" i="38"/>
  <c r="AC172" i="38" s="1"/>
  <c r="AN134" i="38"/>
  <c r="AC134" i="38" s="1"/>
  <c r="AN33" i="38"/>
  <c r="AC33" i="38" s="1"/>
  <c r="AN833" i="38"/>
  <c r="AC833" i="38" s="1"/>
  <c r="AN396" i="38"/>
  <c r="AC396" i="38" s="1"/>
  <c r="AN59" i="38"/>
  <c r="AC59" i="38" s="1"/>
  <c r="AN281" i="38"/>
  <c r="AC281" i="38" s="1"/>
  <c r="AN365" i="38"/>
  <c r="AC365" i="38" s="1"/>
  <c r="AN801" i="38"/>
  <c r="AC801" i="38" s="1"/>
  <c r="AN516" i="38"/>
  <c r="AC516" i="38" s="1"/>
  <c r="AN245" i="38"/>
  <c r="AC245" i="38" s="1"/>
  <c r="AN609" i="38"/>
  <c r="AC609" i="38" s="1"/>
  <c r="AN889" i="38"/>
  <c r="AC889" i="38" s="1"/>
  <c r="AN169" i="38"/>
  <c r="AC169" i="38" s="1"/>
  <c r="AN4" i="38"/>
  <c r="AC4" i="38" s="1"/>
  <c r="AN657" i="38"/>
  <c r="AC657" i="38" s="1"/>
  <c r="AN905" i="38"/>
  <c r="AC905" i="38" s="1"/>
  <c r="AN78" i="38"/>
  <c r="AC78" i="38" s="1"/>
  <c r="AN217" i="38"/>
  <c r="AC217" i="38" s="1"/>
  <c r="AN52" i="38"/>
  <c r="AC52" i="38" s="1"/>
  <c r="AN111" i="38"/>
  <c r="AC111" i="38" s="1"/>
  <c r="AN170" i="38"/>
  <c r="AC170" i="38" s="1"/>
  <c r="AN243" i="38"/>
  <c r="AC243" i="38" s="1"/>
  <c r="AN554" i="38"/>
  <c r="AC554" i="38" s="1"/>
  <c r="AN18" i="38"/>
  <c r="AC18" i="38" s="1"/>
  <c r="AN76" i="38"/>
  <c r="AC76" i="38" s="1"/>
  <c r="AN149" i="38"/>
  <c r="AC149" i="38" s="1"/>
  <c r="AN215" i="38"/>
  <c r="AC215" i="38" s="1"/>
  <c r="AN274" i="38"/>
  <c r="AC274" i="38" s="1"/>
  <c r="AN539" i="38"/>
  <c r="AC539" i="38" s="1"/>
  <c r="AN56" i="38"/>
  <c r="AC56" i="38" s="1"/>
  <c r="AN144" i="38"/>
  <c r="AC144" i="38" s="1"/>
  <c r="AN211" i="38"/>
  <c r="AC211" i="38" s="1"/>
  <c r="AN276" i="38"/>
  <c r="AC276" i="38" s="1"/>
  <c r="AN334" i="38"/>
  <c r="AC334" i="38" s="1"/>
  <c r="AN35" i="38"/>
  <c r="AC35" i="38" s="1"/>
  <c r="AN108" i="38"/>
  <c r="AC108" i="38" s="1"/>
  <c r="AN190" i="38"/>
  <c r="AC190" i="38" s="1"/>
  <c r="AN248" i="38"/>
  <c r="AC248" i="38" s="1"/>
  <c r="AN487" i="38"/>
  <c r="AC487" i="38" s="1"/>
  <c r="AN81" i="38"/>
  <c r="AC81" i="38" s="1"/>
  <c r="AN146" i="38"/>
  <c r="AC146" i="38" s="1"/>
  <c r="AN241" i="38"/>
  <c r="AC241" i="38" s="1"/>
  <c r="AN472" i="38"/>
  <c r="AC472" i="38" s="1"/>
  <c r="AN359" i="38"/>
  <c r="AC359" i="38" s="1"/>
  <c r="AN421" i="38"/>
  <c r="AC421" i="38" s="1"/>
  <c r="AN480" i="38"/>
  <c r="AC480" i="38" s="1"/>
  <c r="AN555" i="38"/>
  <c r="AC555" i="38" s="1"/>
  <c r="AN618" i="38"/>
  <c r="AC618" i="38" s="1"/>
  <c r="AN682" i="38"/>
  <c r="AC682" i="38" s="1"/>
  <c r="AN746" i="38"/>
  <c r="AC746" i="38" s="1"/>
  <c r="AN810" i="38"/>
  <c r="AC810" i="38" s="1"/>
  <c r="AN874" i="38"/>
  <c r="AC874" i="38" s="1"/>
  <c r="AN938" i="38"/>
  <c r="AC938" i="38" s="1"/>
  <c r="AN336" i="38"/>
  <c r="AC336" i="38" s="1"/>
  <c r="AN406" i="38"/>
  <c r="AC406" i="38" s="1"/>
  <c r="AN489" i="38"/>
  <c r="AC489" i="38" s="1"/>
  <c r="AN556" i="38"/>
  <c r="AC556" i="38" s="1"/>
  <c r="AN619" i="38"/>
  <c r="AC619" i="38" s="1"/>
  <c r="AN683" i="38"/>
  <c r="AC683" i="38" s="1"/>
  <c r="AN747" i="38"/>
  <c r="AC747" i="38" s="1"/>
  <c r="AN811" i="38"/>
  <c r="AC811" i="38" s="1"/>
  <c r="AN875" i="38"/>
  <c r="AC875" i="38" s="1"/>
  <c r="AN939" i="38"/>
  <c r="AC939" i="38" s="1"/>
  <c r="AN383" i="38"/>
  <c r="AC383" i="38" s="1"/>
  <c r="AN459" i="38"/>
  <c r="AC459" i="38" s="1"/>
  <c r="AN534" i="38"/>
  <c r="AC534" i="38" s="1"/>
  <c r="AN597" i="38"/>
  <c r="AC597" i="38" s="1"/>
  <c r="AN660" i="38"/>
  <c r="AC660" i="38" s="1"/>
  <c r="AN724" i="38"/>
  <c r="AC724" i="38" s="1"/>
  <c r="AN788" i="38"/>
  <c r="AC788" i="38" s="1"/>
  <c r="AN852" i="38"/>
  <c r="AC852" i="38" s="1"/>
  <c r="AN916" i="38"/>
  <c r="AC916" i="38" s="1"/>
  <c r="AN307" i="38"/>
  <c r="AC307" i="38" s="1"/>
  <c r="AN376" i="38"/>
  <c r="AC376" i="38" s="1"/>
  <c r="AN439" i="38"/>
  <c r="AC439" i="38" s="1"/>
  <c r="AN520" i="38"/>
  <c r="AC520" i="38" s="1"/>
  <c r="AN582" i="38"/>
  <c r="AC582" i="38" s="1"/>
  <c r="AN645" i="38"/>
  <c r="AC645" i="38" s="1"/>
  <c r="AN709" i="38"/>
  <c r="AC709" i="38" s="1"/>
  <c r="AN773" i="38"/>
  <c r="AC773" i="38" s="1"/>
  <c r="AN837" i="38"/>
  <c r="AC837" i="38" s="1"/>
  <c r="AN901" i="38"/>
  <c r="AC901" i="38" s="1"/>
  <c r="AN965" i="38"/>
  <c r="AC965" i="38" s="1"/>
  <c r="AN355" i="38"/>
  <c r="AC355" i="38" s="1"/>
  <c r="AN417" i="38"/>
  <c r="AC417" i="38" s="1"/>
  <c r="AN484" i="38"/>
  <c r="AC484" i="38" s="1"/>
  <c r="AN697" i="38"/>
  <c r="AC697" i="38" s="1"/>
  <c r="AN929" i="38"/>
  <c r="AC929" i="38" s="1"/>
  <c r="AN180" i="38"/>
  <c r="AC180" i="38" s="1"/>
  <c r="AN142" i="38"/>
  <c r="AC142" i="38" s="1"/>
  <c r="AN117" i="38"/>
  <c r="AC117" i="38" s="1"/>
  <c r="AN865" i="38"/>
  <c r="AC865" i="38" s="1"/>
  <c r="AN404" i="38"/>
  <c r="AC404" i="38" s="1"/>
  <c r="AN97" i="38"/>
  <c r="AC97" i="38" s="1"/>
  <c r="AN289" i="38"/>
  <c r="AC289" i="38" s="1"/>
  <c r="AN373" i="38"/>
  <c r="AC373" i="38" s="1"/>
  <c r="AN937" i="38"/>
  <c r="AC937" i="38" s="1"/>
  <c r="AN9" i="38"/>
  <c r="AC9" i="38" s="1"/>
  <c r="AN253" i="38"/>
  <c r="AC253" i="38" s="1"/>
  <c r="AN649" i="38"/>
  <c r="AC649" i="38" s="1"/>
  <c r="AN913" i="38"/>
  <c r="AC913" i="38" s="1"/>
  <c r="AN177" i="38"/>
  <c r="AC177" i="38" s="1"/>
  <c r="AN47" i="38"/>
  <c r="AC47" i="38" s="1"/>
  <c r="AN689" i="38"/>
  <c r="AC689" i="38" s="1"/>
  <c r="AN961" i="38"/>
  <c r="AC961" i="38" s="1"/>
  <c r="AN85" i="38"/>
  <c r="AC85" i="38" s="1"/>
  <c r="AN224" i="38"/>
  <c r="AC224" i="38" s="1"/>
  <c r="AN60" i="38"/>
  <c r="AC60" i="38" s="1"/>
  <c r="AN118" i="38"/>
  <c r="AC118" i="38" s="1"/>
  <c r="AN178" i="38"/>
  <c r="AC178" i="38" s="1"/>
  <c r="AN258" i="38"/>
  <c r="AC258" i="38" s="1"/>
  <c r="AN562" i="38"/>
  <c r="AC562" i="38" s="1"/>
  <c r="AN24" i="38"/>
  <c r="AC24" i="38" s="1"/>
  <c r="AN96" i="38"/>
  <c r="AC96" i="38" s="1"/>
  <c r="AN157" i="38"/>
  <c r="AC157" i="38" s="1"/>
  <c r="AN222" i="38"/>
  <c r="AC222" i="38" s="1"/>
  <c r="AN280" i="38"/>
  <c r="AC280" i="38" s="1"/>
  <c r="AN6" i="38"/>
  <c r="AC6" i="38" s="1"/>
  <c r="AN71" i="38"/>
  <c r="AC71" i="38" s="1"/>
  <c r="AN152" i="38"/>
  <c r="AC152" i="38" s="1"/>
  <c r="AN218" i="38"/>
  <c r="AC218" i="38" s="1"/>
  <c r="AN283" i="38"/>
  <c r="AC283" i="38" s="1"/>
  <c r="AN342" i="38"/>
  <c r="AC342" i="38" s="1"/>
  <c r="AN42" i="38"/>
  <c r="AC42" i="38" s="1"/>
  <c r="AN129" i="38"/>
  <c r="AC129" i="38" s="1"/>
  <c r="AN197" i="38"/>
  <c r="AC197" i="38" s="1"/>
  <c r="AN255" i="38"/>
  <c r="AC255" i="38" s="1"/>
  <c r="AN8" i="38"/>
  <c r="AC8" i="38" s="1"/>
  <c r="AN87" i="38"/>
  <c r="AC87" i="38" s="1"/>
  <c r="AN154" i="38"/>
  <c r="AC154" i="38" s="1"/>
  <c r="AN249" i="38"/>
  <c r="AC249" i="38" s="1"/>
  <c r="AN304" i="38"/>
  <c r="AC304" i="38" s="1"/>
  <c r="AN366" i="38"/>
  <c r="AC366" i="38" s="1"/>
  <c r="AN428" i="38"/>
  <c r="AC428" i="38" s="1"/>
  <c r="AN488" i="38"/>
  <c r="AC488" i="38" s="1"/>
  <c r="AN563" i="38"/>
  <c r="AC563" i="38" s="1"/>
  <c r="AN626" i="38"/>
  <c r="AC626" i="38" s="1"/>
  <c r="AN690" i="38"/>
  <c r="AC690" i="38" s="1"/>
  <c r="AN754" i="38"/>
  <c r="AC754" i="38" s="1"/>
  <c r="AN818" i="38"/>
  <c r="AC818" i="38" s="1"/>
  <c r="AN882" i="38"/>
  <c r="AC882" i="38" s="1"/>
  <c r="AN946" i="38"/>
  <c r="AC946" i="38" s="1"/>
  <c r="AN344" i="38"/>
  <c r="AC344" i="38" s="1"/>
  <c r="AN414" i="38"/>
  <c r="AC414" i="38" s="1"/>
  <c r="AN496" i="38"/>
  <c r="AC496" i="38" s="1"/>
  <c r="AN564" i="38"/>
  <c r="AC564" i="38" s="1"/>
  <c r="AN627" i="38"/>
  <c r="AC627" i="38" s="1"/>
  <c r="AN691" i="38"/>
  <c r="AC691" i="38" s="1"/>
  <c r="AN755" i="38"/>
  <c r="AC755" i="38" s="1"/>
  <c r="AN819" i="38"/>
  <c r="AC819" i="38" s="1"/>
  <c r="AN883" i="38"/>
  <c r="AC883" i="38" s="1"/>
  <c r="AN947" i="38"/>
  <c r="AC947" i="38" s="1"/>
  <c r="AN391" i="38"/>
  <c r="AC391" i="38" s="1"/>
  <c r="AN467" i="38"/>
  <c r="AC467" i="38" s="1"/>
  <c r="AN542" i="38"/>
  <c r="AC542" i="38" s="1"/>
  <c r="AN604" i="38"/>
  <c r="AC604" i="38" s="1"/>
  <c r="AN668" i="38"/>
  <c r="AC668" i="38" s="1"/>
  <c r="AN732" i="38"/>
  <c r="AC732" i="38" s="1"/>
  <c r="AN796" i="38"/>
  <c r="AC796" i="38" s="1"/>
  <c r="AN860" i="38"/>
  <c r="AC860" i="38" s="1"/>
  <c r="AN924" i="38"/>
  <c r="AC924" i="38" s="1"/>
  <c r="AN315" i="38"/>
  <c r="AC315" i="38" s="1"/>
  <c r="AN384" i="38"/>
  <c r="AC384" i="38" s="1"/>
  <c r="AN453" i="38"/>
  <c r="AC453" i="38" s="1"/>
  <c r="AN527" i="38"/>
  <c r="AC527" i="38" s="1"/>
  <c r="AN590" i="38"/>
  <c r="AC590" i="38" s="1"/>
  <c r="AN653" i="38"/>
  <c r="AC653" i="38" s="1"/>
  <c r="AN717" i="38"/>
  <c r="AC717" i="38" s="1"/>
  <c r="AN781" i="38"/>
  <c r="AC781" i="38" s="1"/>
  <c r="AN845" i="38"/>
  <c r="AC845" i="38" s="1"/>
  <c r="AN909" i="38"/>
  <c r="AC909" i="38" s="1"/>
  <c r="AN769" i="38"/>
  <c r="AC769" i="38" s="1"/>
  <c r="AN5" i="38"/>
  <c r="AC5" i="38" s="1"/>
  <c r="AN195" i="38"/>
  <c r="AC195" i="38" s="1"/>
  <c r="AN158" i="38"/>
  <c r="AC158" i="38" s="1"/>
  <c r="AN633" i="38"/>
  <c r="AC633" i="38" s="1"/>
  <c r="AN120" i="38"/>
  <c r="AC120" i="38" s="1"/>
  <c r="AN508" i="38"/>
  <c r="AC508" i="38" s="1"/>
  <c r="AN113" i="38"/>
  <c r="AC113" i="38" s="1"/>
  <c r="AN310" i="38"/>
  <c r="AC310" i="38" s="1"/>
  <c r="AN194" i="38"/>
  <c r="AC194" i="38" s="1"/>
  <c r="AN151" i="38"/>
  <c r="AC151" i="38" s="1"/>
  <c r="AN98" i="38"/>
  <c r="AC98" i="38" s="1"/>
  <c r="AN282" i="38"/>
  <c r="AC282" i="38" s="1"/>
  <c r="AN713" i="38"/>
  <c r="AC713" i="38" s="1"/>
  <c r="AN74" i="38"/>
  <c r="AC74" i="38" s="1"/>
  <c r="AN216" i="38"/>
  <c r="AC216" i="38" s="1"/>
  <c r="AN210" i="38"/>
  <c r="AC210" i="38" s="1"/>
  <c r="AN761" i="38"/>
  <c r="AC761" i="38" s="1"/>
  <c r="AN32" i="38"/>
  <c r="AC32" i="38" s="1"/>
  <c r="AN131" i="38"/>
  <c r="AC131" i="38" s="1"/>
  <c r="AN17" i="38"/>
  <c r="AC17" i="38" s="1"/>
  <c r="AN75" i="38"/>
  <c r="AC75" i="38" s="1"/>
  <c r="AN132" i="38"/>
  <c r="AC132" i="38" s="1"/>
  <c r="AN200" i="38"/>
  <c r="AC200" i="38" s="1"/>
  <c r="AN273" i="38"/>
  <c r="AC273" i="38" s="1"/>
  <c r="AN578" i="38"/>
  <c r="AC578" i="38" s="1"/>
  <c r="AN39" i="38"/>
  <c r="AC39" i="38" s="1"/>
  <c r="AN112" i="38"/>
  <c r="AC112" i="38" s="1"/>
  <c r="AN171" i="38"/>
  <c r="AC171" i="38" s="1"/>
  <c r="AN236" i="38"/>
  <c r="AC236" i="38" s="1"/>
  <c r="AN295" i="38"/>
  <c r="AC295" i="38" s="1"/>
  <c r="AN20" i="38"/>
  <c r="AC20" i="38" s="1"/>
  <c r="AN99" i="38"/>
  <c r="AC99" i="38" s="1"/>
  <c r="AN167" i="38"/>
  <c r="AC167" i="38" s="1"/>
  <c r="AN239" i="38"/>
  <c r="AC239" i="38" s="1"/>
  <c r="AN297" i="38"/>
  <c r="AC297" i="38" s="1"/>
  <c r="AN358" i="38"/>
  <c r="AC358" i="38" s="1"/>
  <c r="AN57" i="38"/>
  <c r="AC57" i="38" s="1"/>
  <c r="AN145" i="38"/>
  <c r="AC145" i="38" s="1"/>
  <c r="AN212" i="38"/>
  <c r="AC212" i="38" s="1"/>
  <c r="AN270" i="38"/>
  <c r="AC270" i="38" s="1"/>
  <c r="AN36" i="38"/>
  <c r="AC36" i="38" s="1"/>
  <c r="AN101" i="38"/>
  <c r="AC101" i="38" s="1"/>
  <c r="AN184" i="38"/>
  <c r="AC184" i="38" s="1"/>
  <c r="AN264" i="38"/>
  <c r="AC264" i="38" s="1"/>
  <c r="AN320" i="38"/>
  <c r="AC320" i="38" s="1"/>
  <c r="AN381" i="38"/>
  <c r="AC381" i="38" s="1"/>
  <c r="AN444" i="38"/>
  <c r="AC444" i="38" s="1"/>
  <c r="AN502" i="38"/>
  <c r="AC502" i="38" s="1"/>
  <c r="AN579" i="38"/>
  <c r="AC579" i="38" s="1"/>
  <c r="AN642" i="38"/>
  <c r="AC642" i="38" s="1"/>
  <c r="AN706" i="38"/>
  <c r="AC706" i="38" s="1"/>
  <c r="AN770" i="38"/>
  <c r="AC770" i="38" s="1"/>
  <c r="AN834" i="38"/>
  <c r="AC834" i="38" s="1"/>
  <c r="AN898" i="38"/>
  <c r="AC898" i="38" s="1"/>
  <c r="AN962" i="38"/>
  <c r="AC962" i="38" s="1"/>
  <c r="AN360" i="38"/>
  <c r="AC360" i="38" s="1"/>
  <c r="AN437" i="38"/>
  <c r="AC437" i="38" s="1"/>
  <c r="AN510" i="38"/>
  <c r="AC510" i="38" s="1"/>
  <c r="AN580" i="38"/>
  <c r="AC580" i="38" s="1"/>
  <c r="AN643" i="38"/>
  <c r="AC643" i="38" s="1"/>
  <c r="AN707" i="38"/>
  <c r="AC707" i="38" s="1"/>
  <c r="AN771" i="38"/>
  <c r="AC771" i="38" s="1"/>
  <c r="AN835" i="38"/>
  <c r="AC835" i="38" s="1"/>
  <c r="AN899" i="38"/>
  <c r="AC899" i="38" s="1"/>
  <c r="AN963" i="38"/>
  <c r="AC963" i="38" s="1"/>
  <c r="AN407" i="38"/>
  <c r="AC407" i="38" s="1"/>
  <c r="AN490" i="38"/>
  <c r="AC490" i="38" s="1"/>
  <c r="AN557" i="38"/>
  <c r="AC557" i="38" s="1"/>
  <c r="AN620" i="38"/>
  <c r="AC620" i="38" s="1"/>
  <c r="AN684" i="38"/>
  <c r="AC684" i="38" s="1"/>
  <c r="AN748" i="38"/>
  <c r="AC748" i="38" s="1"/>
  <c r="AN729" i="38"/>
  <c r="AC729" i="38" s="1"/>
  <c r="AN265" i="38"/>
  <c r="AC265" i="38" s="1"/>
  <c r="AN143" i="38"/>
  <c r="AC143" i="38" s="1"/>
  <c r="AN302" i="38"/>
  <c r="AC302" i="38" s="1"/>
  <c r="AN228" i="38"/>
  <c r="AC228" i="38" s="1"/>
  <c r="AN753" i="38"/>
  <c r="AC753" i="38" s="1"/>
  <c r="AN187" i="38"/>
  <c r="AC187" i="38" s="1"/>
  <c r="AN54" i="38"/>
  <c r="AC54" i="38" s="1"/>
  <c r="AN83" i="38"/>
  <c r="AC83" i="38" s="1"/>
  <c r="AN266" i="38"/>
  <c r="AC266" i="38" s="1"/>
  <c r="AN53" i="38"/>
  <c r="AC53" i="38" s="1"/>
  <c r="AN244" i="38"/>
  <c r="AC244" i="38" s="1"/>
  <c r="AN79" i="38"/>
  <c r="AC79" i="38" s="1"/>
  <c r="AN254" i="38"/>
  <c r="AC254" i="38" s="1"/>
  <c r="AN64" i="38"/>
  <c r="AC64" i="38" s="1"/>
  <c r="AN263" i="38"/>
  <c r="AC263" i="38" s="1"/>
  <c r="AN123" i="38"/>
  <c r="AC123" i="38" s="1"/>
  <c r="AN328" i="38"/>
  <c r="AC328" i="38" s="1"/>
  <c r="AN495" i="38"/>
  <c r="AC495" i="38" s="1"/>
  <c r="AN658" i="38"/>
  <c r="AC658" i="38" s="1"/>
  <c r="AN842" i="38"/>
  <c r="AC842" i="38" s="1"/>
  <c r="AN352" i="38"/>
  <c r="AC352" i="38" s="1"/>
  <c r="AN533" i="38"/>
  <c r="AC533" i="38" s="1"/>
  <c r="AN715" i="38"/>
  <c r="AC715" i="38" s="1"/>
  <c r="AN891" i="38"/>
  <c r="AC891" i="38" s="1"/>
  <c r="AN430" i="38"/>
  <c r="AC430" i="38" s="1"/>
  <c r="AN628" i="38"/>
  <c r="AC628" i="38" s="1"/>
  <c r="AN804" i="38"/>
  <c r="AC804" i="38" s="1"/>
  <c r="AN900" i="38"/>
  <c r="AC900" i="38" s="1"/>
  <c r="AN338" i="38"/>
  <c r="AC338" i="38" s="1"/>
  <c r="AN460" i="38"/>
  <c r="AC460" i="38" s="1"/>
  <c r="AN558" i="38"/>
  <c r="AC558" i="38" s="1"/>
  <c r="AN669" i="38"/>
  <c r="AC669" i="38" s="1"/>
  <c r="AN757" i="38"/>
  <c r="AC757" i="38" s="1"/>
  <c r="AN869" i="38"/>
  <c r="AC869" i="38" s="1"/>
  <c r="AN973" i="38"/>
  <c r="AC973" i="38" s="1"/>
  <c r="AN377" i="38"/>
  <c r="AC377" i="38" s="1"/>
  <c r="AN461" i="38"/>
  <c r="AC461" i="38" s="1"/>
  <c r="AN551" i="38"/>
  <c r="AC551" i="38" s="1"/>
  <c r="AN622" i="38"/>
  <c r="AC622" i="38" s="1"/>
  <c r="AN686" i="38"/>
  <c r="AC686" i="38" s="1"/>
  <c r="AN750" i="38"/>
  <c r="AC750" i="38" s="1"/>
  <c r="AN814" i="38"/>
  <c r="AC814" i="38" s="1"/>
  <c r="AN878" i="38"/>
  <c r="AC878" i="38" s="1"/>
  <c r="AN942" i="38"/>
  <c r="AC942" i="38" s="1"/>
  <c r="AN332" i="38"/>
  <c r="AC332" i="38" s="1"/>
  <c r="AN394" i="38"/>
  <c r="AC394" i="38" s="1"/>
  <c r="AN462" i="38"/>
  <c r="AC462" i="38" s="1"/>
  <c r="AN529" i="38"/>
  <c r="AC529" i="38" s="1"/>
  <c r="AN592" i="38"/>
  <c r="AC592" i="38" s="1"/>
  <c r="AN663" i="38"/>
  <c r="AC663" i="38" s="1"/>
  <c r="AN727" i="38"/>
  <c r="AC727" i="38" s="1"/>
  <c r="AN791" i="38"/>
  <c r="AC791" i="38" s="1"/>
  <c r="AN855" i="38"/>
  <c r="AC855" i="38" s="1"/>
  <c r="AN919" i="38"/>
  <c r="AC919" i="38" s="1"/>
  <c r="AN349" i="38"/>
  <c r="AC349" i="38" s="1"/>
  <c r="AN411" i="38"/>
  <c r="AC411" i="38" s="1"/>
  <c r="AN478" i="38"/>
  <c r="AC478" i="38" s="1"/>
  <c r="AN538" i="38"/>
  <c r="AC538" i="38" s="1"/>
  <c r="AN600" i="38"/>
  <c r="AC600" i="38" s="1"/>
  <c r="AN664" i="38"/>
  <c r="AC664" i="38" s="1"/>
  <c r="AN728" i="38"/>
  <c r="AC728" i="38" s="1"/>
  <c r="AN792" i="38"/>
  <c r="AC792" i="38" s="1"/>
  <c r="AN856" i="38"/>
  <c r="AC856" i="38" s="1"/>
  <c r="AN920" i="38"/>
  <c r="AC920" i="38" s="1"/>
  <c r="AN817" i="38"/>
  <c r="AC817" i="38" s="1"/>
  <c r="AN150" i="38"/>
  <c r="AC150" i="38" s="1"/>
  <c r="AN159" i="38"/>
  <c r="AC159" i="38" s="1"/>
  <c r="AN318" i="38"/>
  <c r="AC318" i="38" s="1"/>
  <c r="AN16" i="38"/>
  <c r="AC16" i="38" s="1"/>
  <c r="AN777" i="38"/>
  <c r="AC777" i="38" s="1"/>
  <c r="AN306" i="38"/>
  <c r="AC306" i="38" s="1"/>
  <c r="AN124" i="38"/>
  <c r="AC124" i="38" s="1"/>
  <c r="AN89" i="38"/>
  <c r="AC89" i="38" s="1"/>
  <c r="AN279" i="38"/>
  <c r="AC279" i="38" s="1"/>
  <c r="AN104" i="38"/>
  <c r="AC104" i="38" s="1"/>
  <c r="AN251" i="38"/>
  <c r="AC251" i="38" s="1"/>
  <c r="AN107" i="38"/>
  <c r="AC107" i="38" s="1"/>
  <c r="AN290" i="38"/>
  <c r="AC290" i="38" s="1"/>
  <c r="AN72" i="38"/>
  <c r="AC72" i="38" s="1"/>
  <c r="AN277" i="38"/>
  <c r="AC277" i="38" s="1"/>
  <c r="AN176" i="38"/>
  <c r="AC176" i="38" s="1"/>
  <c r="AN335" i="38"/>
  <c r="AC335" i="38" s="1"/>
  <c r="AN509" i="38"/>
  <c r="AC509" i="38" s="1"/>
  <c r="AN698" i="38"/>
  <c r="AC698" i="38" s="1"/>
  <c r="AN850" i="38"/>
  <c r="AC850" i="38" s="1"/>
  <c r="AN367" i="38"/>
  <c r="AC367" i="38" s="1"/>
  <c r="AN572" i="38"/>
  <c r="AC572" i="38" s="1"/>
  <c r="AN723" i="38"/>
  <c r="AC723" i="38" s="1"/>
  <c r="AN907" i="38"/>
  <c r="AC907" i="38" s="1"/>
  <c r="AN482" i="38"/>
  <c r="AC482" i="38" s="1"/>
  <c r="AN636" i="38"/>
  <c r="AC636" i="38" s="1"/>
  <c r="AN812" i="38"/>
  <c r="AC812" i="38" s="1"/>
  <c r="AN932" i="38"/>
  <c r="AC932" i="38" s="1"/>
  <c r="AN346" i="38"/>
  <c r="AC346" i="38" s="1"/>
  <c r="AN468" i="38"/>
  <c r="AC468" i="38" s="1"/>
  <c r="AN566" i="38"/>
  <c r="AC566" i="38" s="1"/>
  <c r="AN677" i="38"/>
  <c r="AC677" i="38" s="1"/>
  <c r="AN789" i="38"/>
  <c r="AC789" i="38" s="1"/>
  <c r="AN877" i="38"/>
  <c r="AC877" i="38" s="1"/>
  <c r="AN308" i="38"/>
  <c r="AC308" i="38" s="1"/>
  <c r="AN385" i="38"/>
  <c r="AC385" i="38" s="1"/>
  <c r="AN469" i="38"/>
  <c r="AC469" i="38" s="1"/>
  <c r="AN559" i="38"/>
  <c r="AC559" i="38" s="1"/>
  <c r="AN630" i="38"/>
  <c r="AC630" i="38" s="1"/>
  <c r="AN694" i="38"/>
  <c r="AC694" i="38" s="1"/>
  <c r="AN758" i="38"/>
  <c r="AC758" i="38" s="1"/>
  <c r="AN822" i="38"/>
  <c r="AC822" i="38" s="1"/>
  <c r="AN886" i="38"/>
  <c r="AC886" i="38" s="1"/>
  <c r="AN950" i="38"/>
  <c r="AC950" i="38" s="1"/>
  <c r="AN340" i="38"/>
  <c r="AC340" i="38" s="1"/>
  <c r="AN402" i="38"/>
  <c r="AC402" i="38" s="1"/>
  <c r="AN470" i="38"/>
  <c r="AC470" i="38" s="1"/>
  <c r="AN537" i="38"/>
  <c r="AC537" i="38" s="1"/>
  <c r="AN607" i="38"/>
  <c r="AC607" i="38" s="1"/>
  <c r="AN671" i="38"/>
  <c r="AC671" i="38" s="1"/>
  <c r="AN735" i="38"/>
  <c r="AC735" i="38" s="1"/>
  <c r="AN799" i="38"/>
  <c r="AC799" i="38" s="1"/>
  <c r="AN863" i="38"/>
  <c r="AC863" i="38" s="1"/>
  <c r="AN927" i="38"/>
  <c r="AC927" i="38" s="1"/>
  <c r="AN357" i="38"/>
  <c r="AC357" i="38" s="1"/>
  <c r="AN419" i="38"/>
  <c r="AC419" i="38" s="1"/>
  <c r="AN486" i="38"/>
  <c r="AC486" i="38" s="1"/>
  <c r="AN546" i="38"/>
  <c r="AC546" i="38" s="1"/>
  <c r="AN608" i="38"/>
  <c r="AC608" i="38" s="1"/>
  <c r="AN672" i="38"/>
  <c r="AC672" i="38" s="1"/>
  <c r="AN736" i="38"/>
  <c r="AC736" i="38" s="1"/>
  <c r="AN800" i="38"/>
  <c r="AC800" i="38" s="1"/>
  <c r="AN864" i="38"/>
  <c r="AC864" i="38" s="1"/>
  <c r="AN928" i="38"/>
  <c r="AC928" i="38" s="1"/>
  <c r="AN849" i="38"/>
  <c r="AC849" i="38" s="1"/>
  <c r="AN165" i="38"/>
  <c r="AC165" i="38" s="1"/>
  <c r="AN412" i="38"/>
  <c r="AC412" i="38" s="1"/>
  <c r="AN326" i="38"/>
  <c r="AC326" i="38" s="1"/>
  <c r="AN106" i="38"/>
  <c r="AC106" i="38" s="1"/>
  <c r="AN953" i="38"/>
  <c r="AC953" i="38" s="1"/>
  <c r="AN337" i="38"/>
  <c r="AC337" i="38" s="1"/>
  <c r="AN139" i="38"/>
  <c r="AC139" i="38" s="1"/>
  <c r="AN125" i="38"/>
  <c r="AC125" i="38" s="1"/>
  <c r="AN286" i="38"/>
  <c r="AC286" i="38" s="1"/>
  <c r="AN119" i="38"/>
  <c r="AC119" i="38" s="1"/>
  <c r="AN287" i="38"/>
  <c r="AC287" i="38" s="1"/>
  <c r="AN115" i="38"/>
  <c r="AC115" i="38" s="1"/>
  <c r="AN303" i="38"/>
  <c r="AC303" i="38" s="1"/>
  <c r="AN137" i="38"/>
  <c r="AC137" i="38" s="1"/>
  <c r="AN291" i="38"/>
  <c r="AC291" i="38" s="1"/>
  <c r="AN198" i="38"/>
  <c r="AC198" i="38" s="1"/>
  <c r="AN374" i="38"/>
  <c r="AC374" i="38" s="1"/>
  <c r="AN517" i="38"/>
  <c r="AC517" i="38" s="1"/>
  <c r="AN714" i="38"/>
  <c r="AC714" i="38" s="1"/>
  <c r="AN890" i="38"/>
  <c r="AC890" i="38" s="1"/>
  <c r="AN382" i="38"/>
  <c r="AC382" i="38" s="1"/>
  <c r="AN588" i="38"/>
  <c r="AC588" i="38" s="1"/>
  <c r="AN763" i="38"/>
  <c r="AC763" i="38" s="1"/>
  <c r="AN915" i="38"/>
  <c r="AC915" i="38" s="1"/>
  <c r="AN504" i="38"/>
  <c r="AC504" i="38" s="1"/>
  <c r="AN676" i="38"/>
  <c r="AC676" i="38" s="1"/>
  <c r="AN820" i="38"/>
  <c r="AC820" i="38" s="1"/>
  <c r="AN940" i="38"/>
  <c r="AC940" i="38" s="1"/>
  <c r="AN354" i="38"/>
  <c r="AC354" i="38" s="1"/>
  <c r="AN475" i="38"/>
  <c r="AC475" i="38" s="1"/>
  <c r="AN598" i="38"/>
  <c r="AC598" i="38" s="1"/>
  <c r="AN685" i="38"/>
  <c r="AC685" i="38" s="1"/>
  <c r="AN797" i="38"/>
  <c r="AC797" i="38" s="1"/>
  <c r="AN885" i="38"/>
  <c r="AC885" i="38" s="1"/>
  <c r="AN316" i="38"/>
  <c r="AC316" i="38" s="1"/>
  <c r="AN393" i="38"/>
  <c r="AC393" i="38" s="1"/>
  <c r="AN498" i="38"/>
  <c r="AC498" i="38" s="1"/>
  <c r="AN567" i="38"/>
  <c r="AC567" i="38" s="1"/>
  <c r="AN638" i="38"/>
  <c r="AC638" i="38" s="1"/>
  <c r="AN702" i="38"/>
  <c r="AC702" i="38" s="1"/>
  <c r="AN766" i="38"/>
  <c r="AC766" i="38" s="1"/>
  <c r="AN830" i="38"/>
  <c r="AC830" i="38" s="1"/>
  <c r="AN894" i="38"/>
  <c r="AC894" i="38" s="1"/>
  <c r="AN958" i="38"/>
  <c r="AC958" i="38" s="1"/>
  <c r="AN348" i="38"/>
  <c r="AC348" i="38" s="1"/>
  <c r="AN410" i="38"/>
  <c r="AC410" i="38" s="1"/>
  <c r="AN477" i="38"/>
  <c r="AC477" i="38" s="1"/>
  <c r="AN545" i="38"/>
  <c r="AC545" i="38" s="1"/>
  <c r="AN615" i="38"/>
  <c r="AC615" i="38" s="1"/>
  <c r="AN679" i="38"/>
  <c r="AC679" i="38" s="1"/>
  <c r="AN743" i="38"/>
  <c r="AC743" i="38" s="1"/>
  <c r="AN807" i="38"/>
  <c r="AC807" i="38" s="1"/>
  <c r="AN871" i="38"/>
  <c r="AC871" i="38" s="1"/>
  <c r="AN935" i="38"/>
  <c r="AC935" i="38" s="1"/>
  <c r="AN364" i="38"/>
  <c r="AC364" i="38" s="1"/>
  <c r="AN426" i="38"/>
  <c r="AC426" i="38" s="1"/>
  <c r="AN493" i="38"/>
  <c r="AC493" i="38" s="1"/>
  <c r="AN553" i="38"/>
  <c r="AC553" i="38" s="1"/>
  <c r="AN616" i="38"/>
  <c r="AC616" i="38" s="1"/>
  <c r="AN680" i="38"/>
  <c r="AC680" i="38" s="1"/>
  <c r="AN744" i="38"/>
  <c r="AC744" i="38" s="1"/>
  <c r="AN808" i="38"/>
  <c r="AC808" i="38" s="1"/>
  <c r="AN872" i="38"/>
  <c r="AC872" i="38" s="1"/>
  <c r="AN936" i="38"/>
  <c r="AC936" i="38" s="1"/>
  <c r="AN314" i="38"/>
  <c r="AC314" i="38" s="1"/>
  <c r="AN29" i="38"/>
  <c r="AC29" i="38" s="1"/>
  <c r="AN322" i="38"/>
  <c r="AC322" i="38" s="1"/>
  <c r="AN69" i="38"/>
  <c r="AC69" i="38" s="1"/>
  <c r="AN148" i="38"/>
  <c r="AC148" i="38" s="1"/>
  <c r="AN164" i="38"/>
  <c r="AC164" i="38" s="1"/>
  <c r="AN435" i="38"/>
  <c r="AC435" i="38" s="1"/>
  <c r="AN174" i="38"/>
  <c r="AC174" i="38" s="1"/>
  <c r="AN161" i="38"/>
  <c r="AC161" i="38" s="1"/>
  <c r="AN256" i="38"/>
  <c r="AC256" i="38" s="1"/>
  <c r="AN587" i="38"/>
  <c r="AC587" i="38" s="1"/>
  <c r="AN914" i="38"/>
  <c r="AC914" i="38" s="1"/>
  <c r="AN635" i="38"/>
  <c r="AC635" i="38" s="1"/>
  <c r="AN971" i="38"/>
  <c r="AC971" i="38" s="1"/>
  <c r="AN700" i="38"/>
  <c r="AC700" i="38" s="1"/>
  <c r="AN868" i="38"/>
  <c r="AC868" i="38" s="1"/>
  <c r="AN613" i="38"/>
  <c r="AC613" i="38" s="1"/>
  <c r="AN424" i="38"/>
  <c r="AC424" i="38" s="1"/>
  <c r="AN583" i="38"/>
  <c r="AC583" i="38" s="1"/>
  <c r="AN718" i="38"/>
  <c r="AC718" i="38" s="1"/>
  <c r="AN846" i="38"/>
  <c r="AC846" i="38" s="1"/>
  <c r="AN974" i="38"/>
  <c r="AC974" i="38" s="1"/>
  <c r="AN425" i="38"/>
  <c r="AC425" i="38" s="1"/>
  <c r="AN560" i="38"/>
  <c r="AC560" i="38" s="1"/>
  <c r="AN969" i="38"/>
  <c r="AC969" i="38" s="1"/>
  <c r="AN173" i="38"/>
  <c r="AC173" i="38" s="1"/>
  <c r="AN524" i="38"/>
  <c r="AC524" i="38" s="1"/>
  <c r="AN501" i="38"/>
  <c r="AC501" i="38" s="1"/>
  <c r="AN114" i="38"/>
  <c r="AC114" i="38" s="1"/>
  <c r="AN135" i="38"/>
  <c r="AC135" i="38" s="1"/>
  <c r="AN721" i="38"/>
  <c r="AC721" i="38" s="1"/>
  <c r="AN147" i="38"/>
  <c r="AC147" i="38" s="1"/>
  <c r="AN140" i="38"/>
  <c r="AC140" i="38" s="1"/>
  <c r="AN570" i="38"/>
  <c r="AC570" i="38" s="1"/>
  <c r="AN126" i="38"/>
  <c r="AC126" i="38" s="1"/>
  <c r="AN427" i="38"/>
  <c r="AC427" i="38" s="1"/>
  <c r="AN160" i="38"/>
  <c r="AC160" i="38" s="1"/>
  <c r="AN311" i="38"/>
  <c r="AC311" i="38" s="1"/>
  <c r="AN153" i="38"/>
  <c r="AC153" i="38" s="1"/>
  <c r="AN15" i="38"/>
  <c r="AC15" i="38" s="1"/>
  <c r="AN205" i="38"/>
  <c r="AC205" i="38" s="1"/>
  <c r="AN389" i="38"/>
  <c r="AC389" i="38" s="1"/>
  <c r="AN571" i="38"/>
  <c r="AC571" i="38" s="1"/>
  <c r="AN722" i="38"/>
  <c r="AC722" i="38" s="1"/>
  <c r="AN906" i="38"/>
  <c r="AC906" i="38" s="1"/>
  <c r="AN429" i="38"/>
  <c r="AC429" i="38" s="1"/>
  <c r="AN596" i="38"/>
  <c r="AC596" i="38" s="1"/>
  <c r="AN779" i="38"/>
  <c r="AC779" i="38" s="1"/>
  <c r="AN955" i="38"/>
  <c r="AC955" i="38" s="1"/>
  <c r="AN511" i="38"/>
  <c r="AC511" i="38" s="1"/>
  <c r="AN692" i="38"/>
  <c r="AC692" i="38" s="1"/>
  <c r="AN828" i="38"/>
  <c r="AC828" i="38" s="1"/>
  <c r="AN948" i="38"/>
  <c r="AC948" i="38" s="1"/>
  <c r="AN392" i="38"/>
  <c r="AC392" i="38" s="1"/>
  <c r="AN483" i="38"/>
  <c r="AC483" i="38" s="1"/>
  <c r="AN605" i="38"/>
  <c r="AC605" i="38" s="1"/>
  <c r="AN693" i="38"/>
  <c r="AC693" i="38" s="1"/>
  <c r="AN805" i="38"/>
  <c r="AC805" i="38" s="1"/>
  <c r="AN917" i="38"/>
  <c r="AC917" i="38" s="1"/>
  <c r="AN324" i="38"/>
  <c r="AC324" i="38" s="1"/>
  <c r="AN401" i="38"/>
  <c r="AC401" i="38" s="1"/>
  <c r="AN513" i="38"/>
  <c r="AC513" i="38" s="1"/>
  <c r="AN575" i="38"/>
  <c r="AC575" i="38" s="1"/>
  <c r="AN646" i="38"/>
  <c r="AC646" i="38" s="1"/>
  <c r="AN710" i="38"/>
  <c r="AC710" i="38" s="1"/>
  <c r="AN774" i="38"/>
  <c r="AC774" i="38" s="1"/>
  <c r="AN838" i="38"/>
  <c r="AC838" i="38" s="1"/>
  <c r="AN902" i="38"/>
  <c r="AC902" i="38" s="1"/>
  <c r="AN966" i="38"/>
  <c r="AC966" i="38" s="1"/>
  <c r="AN356" i="38"/>
  <c r="AC356" i="38" s="1"/>
  <c r="AN418" i="38"/>
  <c r="AC418" i="38" s="1"/>
  <c r="AN485" i="38"/>
  <c r="AC485" i="38" s="1"/>
  <c r="AN552" i="38"/>
  <c r="AC552" i="38" s="1"/>
  <c r="AN623" i="38"/>
  <c r="AC623" i="38" s="1"/>
  <c r="AN687" i="38"/>
  <c r="AC687" i="38" s="1"/>
  <c r="AN751" i="38"/>
  <c r="AC751" i="38" s="1"/>
  <c r="AN815" i="38"/>
  <c r="AC815" i="38" s="1"/>
  <c r="AN879" i="38"/>
  <c r="AC879" i="38" s="1"/>
  <c r="AN943" i="38"/>
  <c r="AC943" i="38" s="1"/>
  <c r="AN372" i="38"/>
  <c r="AC372" i="38" s="1"/>
  <c r="AN434" i="38"/>
  <c r="AC434" i="38" s="1"/>
  <c r="AN500" i="38"/>
  <c r="AC500" i="38" s="1"/>
  <c r="AN561" i="38"/>
  <c r="AC561" i="38" s="1"/>
  <c r="AN624" i="38"/>
  <c r="AC624" i="38" s="1"/>
  <c r="AN688" i="38"/>
  <c r="AC688" i="38" s="1"/>
  <c r="AN752" i="38"/>
  <c r="AC752" i="38" s="1"/>
  <c r="AN816" i="38"/>
  <c r="AC816" i="38" s="1"/>
  <c r="AN880" i="38"/>
  <c r="AC880" i="38" s="1"/>
  <c r="AN944" i="38"/>
  <c r="AC944" i="38" s="1"/>
  <c r="AN26" i="38"/>
  <c r="AC26" i="38" s="1"/>
  <c r="AN261" i="38"/>
  <c r="AC261" i="38" s="1"/>
  <c r="AN793" i="38"/>
  <c r="AC793" i="38" s="1"/>
  <c r="AN10" i="38"/>
  <c r="AC10" i="38" s="1"/>
  <c r="AN586" i="38"/>
  <c r="AC586" i="38" s="1"/>
  <c r="AN350" i="38"/>
  <c r="AC350" i="38" s="1"/>
  <c r="AN50" i="38"/>
  <c r="AC50" i="38" s="1"/>
  <c r="AN397" i="38"/>
  <c r="AC397" i="38" s="1"/>
  <c r="AN762" i="38"/>
  <c r="AC762" i="38" s="1"/>
  <c r="AN451" i="38"/>
  <c r="AC451" i="38" s="1"/>
  <c r="AN787" i="38"/>
  <c r="AC787" i="38" s="1"/>
  <c r="AN549" i="38"/>
  <c r="AC549" i="38" s="1"/>
  <c r="AN956" i="38"/>
  <c r="AC956" i="38" s="1"/>
  <c r="AN400" i="38"/>
  <c r="AC400" i="38" s="1"/>
  <c r="AN505" i="38"/>
  <c r="AC505" i="38" s="1"/>
  <c r="AN725" i="38"/>
  <c r="AC725" i="38" s="1"/>
  <c r="AN813" i="38"/>
  <c r="AC813" i="38" s="1"/>
  <c r="AN925" i="38"/>
  <c r="AC925" i="38" s="1"/>
  <c r="AN331" i="38"/>
  <c r="AC331" i="38" s="1"/>
  <c r="AN521" i="38"/>
  <c r="AC521" i="38" s="1"/>
  <c r="AN654" i="38"/>
  <c r="AC654" i="38" s="1"/>
  <c r="AN782" i="38"/>
  <c r="AC782" i="38" s="1"/>
  <c r="AN910" i="38"/>
  <c r="AC910" i="38" s="1"/>
  <c r="AN363" i="38"/>
  <c r="AC363" i="38" s="1"/>
  <c r="AN492" i="38"/>
  <c r="AC492" i="38" s="1"/>
  <c r="AN94" i="38"/>
  <c r="AC94" i="38" s="1"/>
  <c r="AN665" i="38"/>
  <c r="AC665" i="38" s="1"/>
  <c r="AN105" i="38"/>
  <c r="AC105" i="38" s="1"/>
  <c r="AN617" i="38"/>
  <c r="AC617" i="38" s="1"/>
  <c r="AN25" i="38"/>
  <c r="AC25" i="38" s="1"/>
  <c r="AN185" i="38"/>
  <c r="AC185" i="38" s="1"/>
  <c r="AN825" i="38"/>
  <c r="AC825" i="38" s="1"/>
  <c r="AN23" i="38"/>
  <c r="AC23" i="38" s="1"/>
  <c r="AN192" i="38"/>
  <c r="AC192" i="38" s="1"/>
  <c r="AN594" i="38"/>
  <c r="AC594" i="38" s="1"/>
  <c r="AN179" i="38"/>
  <c r="AC179" i="38" s="1"/>
  <c r="AN13" i="38"/>
  <c r="AC13" i="38" s="1"/>
  <c r="AN182" i="38"/>
  <c r="AC182" i="38" s="1"/>
  <c r="AN494" i="38"/>
  <c r="AC494" i="38" s="1"/>
  <c r="AN204" i="38"/>
  <c r="AC204" i="38" s="1"/>
  <c r="AN58" i="38"/>
  <c r="AC58" i="38" s="1"/>
  <c r="AN271" i="38"/>
  <c r="AC271" i="38" s="1"/>
  <c r="AN436" i="38"/>
  <c r="AC436" i="38" s="1"/>
  <c r="AN595" i="38"/>
  <c r="AC595" i="38" s="1"/>
  <c r="AN778" i="38"/>
  <c r="AC778" i="38" s="1"/>
  <c r="AN954" i="38"/>
  <c r="AC954" i="38" s="1"/>
  <c r="AN458" i="38"/>
  <c r="AC458" i="38" s="1"/>
  <c r="AN651" i="38"/>
  <c r="AC651" i="38" s="1"/>
  <c r="AN827" i="38"/>
  <c r="AC827" i="38" s="1"/>
  <c r="AN345" i="38"/>
  <c r="AC345" i="38" s="1"/>
  <c r="AN565" i="38"/>
  <c r="AC565" i="38" s="1"/>
  <c r="AN740" i="38"/>
  <c r="AC740" i="38" s="1"/>
  <c r="AN876" i="38"/>
  <c r="AC876" i="38" s="1"/>
  <c r="AN964" i="38"/>
  <c r="AC964" i="38" s="1"/>
  <c r="AN408" i="38"/>
  <c r="AC408" i="38" s="1"/>
  <c r="AN535" i="38"/>
  <c r="AC535" i="38" s="1"/>
  <c r="AN621" i="38"/>
  <c r="AC621" i="38" s="1"/>
  <c r="AN733" i="38"/>
  <c r="AC733" i="38" s="1"/>
  <c r="AN821" i="38"/>
  <c r="AC821" i="38" s="1"/>
  <c r="AN933" i="38"/>
  <c r="AC933" i="38" s="1"/>
  <c r="AN339" i="38"/>
  <c r="AC339" i="38" s="1"/>
  <c r="AN432" i="38"/>
  <c r="AC432" i="38" s="1"/>
  <c r="AN528" i="38"/>
  <c r="AC528" i="38" s="1"/>
  <c r="AN591" i="38"/>
  <c r="AC591" i="38" s="1"/>
  <c r="AN662" i="38"/>
  <c r="AC662" i="38" s="1"/>
  <c r="AN726" i="38"/>
  <c r="AC726" i="38" s="1"/>
  <c r="AN790" i="38"/>
  <c r="AC790" i="38" s="1"/>
  <c r="AN854" i="38"/>
  <c r="AC854" i="38" s="1"/>
  <c r="AN918" i="38"/>
  <c r="AC918" i="38" s="1"/>
  <c r="AN309" i="38"/>
  <c r="AC309" i="38" s="1"/>
  <c r="AN371" i="38"/>
  <c r="AC371" i="38" s="1"/>
  <c r="AN433" i="38"/>
  <c r="AC433" i="38" s="1"/>
  <c r="AN499" i="38"/>
  <c r="AC499" i="38" s="1"/>
  <c r="AN568" i="38"/>
  <c r="AC568" i="38" s="1"/>
  <c r="AN639" i="38"/>
  <c r="AC639" i="38" s="1"/>
  <c r="AN703" i="38"/>
  <c r="AC703" i="38" s="1"/>
  <c r="AN767" i="38"/>
  <c r="AC767" i="38" s="1"/>
  <c r="AN831" i="38"/>
  <c r="AC831" i="38" s="1"/>
  <c r="AN895" i="38"/>
  <c r="AC895" i="38" s="1"/>
  <c r="AN959" i="38"/>
  <c r="AC959" i="38" s="1"/>
  <c r="AN387" i="38"/>
  <c r="AC387" i="38" s="1"/>
  <c r="AN448" i="38"/>
  <c r="AC448" i="38" s="1"/>
  <c r="AN515" i="38"/>
  <c r="AC515" i="38" s="1"/>
  <c r="AN577" i="38"/>
  <c r="AC577" i="38" s="1"/>
  <c r="AN640" i="38"/>
  <c r="AC640" i="38" s="1"/>
  <c r="AN704" i="38"/>
  <c r="AC704" i="38" s="1"/>
  <c r="AN768" i="38"/>
  <c r="AC768" i="38" s="1"/>
  <c r="AN832" i="38"/>
  <c r="AC832" i="38" s="1"/>
  <c r="AN896" i="38"/>
  <c r="AC896" i="38" s="1"/>
  <c r="AN960" i="38"/>
  <c r="AC960" i="38" s="1"/>
  <c r="AN188" i="38"/>
  <c r="AC188" i="38" s="1"/>
  <c r="AN705" i="38"/>
  <c r="AC705" i="38" s="1"/>
  <c r="AN121" i="38"/>
  <c r="AC121" i="38" s="1"/>
  <c r="AN66" i="38"/>
  <c r="AC66" i="38" s="1"/>
  <c r="AN55" i="38"/>
  <c r="AC55" i="38" s="1"/>
  <c r="AN223" i="38"/>
  <c r="AC223" i="38" s="1"/>
  <c r="AN82" i="38"/>
  <c r="AC82" i="38" s="1"/>
  <c r="AN30" i="38"/>
  <c r="AC30" i="38" s="1"/>
  <c r="AN207" i="38"/>
  <c r="AC207" i="38" s="1"/>
  <c r="AN31" i="38"/>
  <c r="AC31" i="38" s="1"/>
  <c r="AN193" i="38"/>
  <c r="AC193" i="38" s="1"/>
  <c r="AN27" i="38"/>
  <c r="AC27" i="38" s="1"/>
  <c r="AN225" i="38"/>
  <c r="AC225" i="38" s="1"/>
  <c r="AN7" i="38"/>
  <c r="AC7" i="38" s="1"/>
  <c r="AN219" i="38"/>
  <c r="AC219" i="38" s="1"/>
  <c r="AN93" i="38"/>
  <c r="AC93" i="38" s="1"/>
  <c r="AN292" i="38"/>
  <c r="AC292" i="38" s="1"/>
  <c r="AN450" i="38"/>
  <c r="AC450" i="38" s="1"/>
  <c r="AN257" i="38"/>
  <c r="AC257" i="38" s="1"/>
  <c r="AN221" i="38"/>
  <c r="AC221" i="38" s="1"/>
  <c r="AN312" i="38"/>
  <c r="AC312" i="38" s="1"/>
  <c r="AN503" i="38"/>
  <c r="AC503" i="38" s="1"/>
  <c r="AN573" i="38"/>
  <c r="AC573" i="38" s="1"/>
  <c r="AN416" i="38"/>
  <c r="AC416" i="38" s="1"/>
  <c r="AN853" i="38"/>
  <c r="AC853" i="38" s="1"/>
  <c r="AN536" i="38"/>
  <c r="AC536" i="38" s="1"/>
  <c r="AN798" i="38"/>
  <c r="AC798" i="38" s="1"/>
  <c r="AN378" i="38"/>
  <c r="AC378" i="38" s="1"/>
  <c r="AN631" i="38"/>
  <c r="AC631" i="38" s="1"/>
  <c r="AN783" i="38"/>
  <c r="AC783" i="38" s="1"/>
  <c r="AN967" i="38"/>
  <c r="AC967" i="38" s="1"/>
  <c r="AN507" i="38"/>
  <c r="AC507" i="38" s="1"/>
  <c r="AN656" i="38"/>
  <c r="AC656" i="38" s="1"/>
  <c r="AN840" i="38"/>
  <c r="AC840" i="38" s="1"/>
  <c r="AN843" i="38"/>
  <c r="AC843" i="38" s="1"/>
  <c r="AN226" i="38"/>
  <c r="AC226" i="38" s="1"/>
  <c r="AN317" i="38"/>
  <c r="AC317" i="38" s="1"/>
  <c r="AN911" i="38"/>
  <c r="AC911" i="38" s="1"/>
  <c r="AN784" i="38"/>
  <c r="AC784" i="38" s="1"/>
  <c r="AN109" i="38"/>
  <c r="AC109" i="38" s="1"/>
  <c r="AN584" i="38"/>
  <c r="AC584" i="38" s="1"/>
  <c r="AN648" i="38"/>
  <c r="AC648" i="38" s="1"/>
  <c r="AN945" i="38"/>
  <c r="AC945" i="38" s="1"/>
  <c r="AN45" i="38"/>
  <c r="AC45" i="38" s="1"/>
  <c r="AN457" i="38"/>
  <c r="AC457" i="38" s="1"/>
  <c r="AN518" i="38"/>
  <c r="AC518" i="38" s="1"/>
  <c r="AN612" i="38"/>
  <c r="AC612" i="38" s="1"/>
  <c r="AN423" i="38"/>
  <c r="AC423" i="38" s="1"/>
  <c r="AN861" i="38"/>
  <c r="AC861" i="38" s="1"/>
  <c r="AN544" i="38"/>
  <c r="AC544" i="38" s="1"/>
  <c r="AN806" i="38"/>
  <c r="AC806" i="38" s="1"/>
  <c r="AN386" i="38"/>
  <c r="AC386" i="38" s="1"/>
  <c r="AN647" i="38"/>
  <c r="AC647" i="38" s="1"/>
  <c r="AN823" i="38"/>
  <c r="AC823" i="38" s="1"/>
  <c r="AN975" i="38"/>
  <c r="AC975" i="38" s="1"/>
  <c r="AN523" i="38"/>
  <c r="AC523" i="38" s="1"/>
  <c r="AN696" i="38"/>
  <c r="AC696" i="38" s="1"/>
  <c r="AN848" i="38"/>
  <c r="AC848" i="38" s="1"/>
  <c r="AN887" i="38"/>
  <c r="AC887" i="38" s="1"/>
  <c r="AN970" i="38"/>
  <c r="AC970" i="38" s="1"/>
  <c r="AN323" i="38"/>
  <c r="AC323" i="38" s="1"/>
  <c r="AN440" i="38"/>
  <c r="AC440" i="38" s="1"/>
  <c r="AN576" i="38"/>
  <c r="AC576" i="38" s="1"/>
  <c r="AN463" i="38"/>
  <c r="AC463" i="38" s="1"/>
  <c r="AN415" i="38"/>
  <c r="AC415" i="38" s="1"/>
  <c r="AN749" i="38"/>
  <c r="AC749" i="38" s="1"/>
  <c r="AN742" i="38"/>
  <c r="AC742" i="38" s="1"/>
  <c r="AN775" i="38"/>
  <c r="AC775" i="38" s="1"/>
  <c r="AN471" i="38"/>
  <c r="AC471" i="38" s="1"/>
  <c r="AN976" i="38"/>
  <c r="AC976" i="38" s="1"/>
  <c r="AN206" i="38"/>
  <c r="AC206" i="38" s="1"/>
  <c r="AN230" i="38"/>
  <c r="AC230" i="38" s="1"/>
  <c r="AN634" i="38"/>
  <c r="AC634" i="38" s="1"/>
  <c r="AN659" i="38"/>
  <c r="AC659" i="38" s="1"/>
  <c r="AN756" i="38"/>
  <c r="AC756" i="38" s="1"/>
  <c r="AN543" i="38"/>
  <c r="AC543" i="38" s="1"/>
  <c r="AN941" i="38"/>
  <c r="AC941" i="38" s="1"/>
  <c r="AN606" i="38"/>
  <c r="AC606" i="38" s="1"/>
  <c r="AN862" i="38"/>
  <c r="AC862" i="38" s="1"/>
  <c r="AN441" i="38"/>
  <c r="AC441" i="38" s="1"/>
  <c r="AN655" i="38"/>
  <c r="AC655" i="38" s="1"/>
  <c r="AN839" i="38"/>
  <c r="AC839" i="38" s="1"/>
  <c r="AN379" i="38"/>
  <c r="AC379" i="38" s="1"/>
  <c r="AN530" i="38"/>
  <c r="AC530" i="38" s="1"/>
  <c r="AN712" i="38"/>
  <c r="AC712" i="38" s="1"/>
  <c r="AN888" i="38"/>
  <c r="AC888" i="38" s="1"/>
  <c r="AN166" i="38"/>
  <c r="AC166" i="38" s="1"/>
  <c r="AN34" i="38"/>
  <c r="AC34" i="38" s="1"/>
  <c r="AN650" i="38"/>
  <c r="AC650" i="38" s="1"/>
  <c r="AN699" i="38"/>
  <c r="AC699" i="38" s="1"/>
  <c r="AN764" i="38"/>
  <c r="AC764" i="38" s="1"/>
  <c r="AN550" i="38"/>
  <c r="AC550" i="38" s="1"/>
  <c r="AN949" i="38"/>
  <c r="AC949" i="38" s="1"/>
  <c r="AN614" i="38"/>
  <c r="AC614" i="38" s="1"/>
  <c r="AN870" i="38"/>
  <c r="AC870" i="38" s="1"/>
  <c r="AN447" i="38"/>
  <c r="AC447" i="38" s="1"/>
  <c r="AN695" i="38"/>
  <c r="AC695" i="38" s="1"/>
  <c r="AN847" i="38"/>
  <c r="AC847" i="38" s="1"/>
  <c r="AN395" i="38"/>
  <c r="AC395" i="38" s="1"/>
  <c r="AN569" i="38"/>
  <c r="AC569" i="38" s="1"/>
  <c r="AN720" i="38"/>
  <c r="AC720" i="38" s="1"/>
  <c r="AN904" i="38"/>
  <c r="AC904" i="38" s="1"/>
  <c r="AN681" i="38"/>
  <c r="AC681" i="38" s="1"/>
  <c r="AN247" i="38"/>
  <c r="AC247" i="38" s="1"/>
  <c r="AN786" i="38"/>
  <c r="AC786" i="38" s="1"/>
  <c r="AN884" i="38"/>
  <c r="AC884" i="38" s="1"/>
  <c r="AN629" i="38"/>
  <c r="AC629" i="38" s="1"/>
  <c r="AN362" i="38"/>
  <c r="AC362" i="38" s="1"/>
  <c r="AN670" i="38"/>
  <c r="AC670" i="38" s="1"/>
  <c r="AN926" i="38"/>
  <c r="AC926" i="38" s="1"/>
  <c r="AN514" i="38"/>
  <c r="AC514" i="38" s="1"/>
  <c r="AN711" i="38"/>
  <c r="AC711" i="38" s="1"/>
  <c r="AN403" i="38"/>
  <c r="AC403" i="38" s="1"/>
  <c r="AN585" i="38"/>
  <c r="AC585" i="38" s="1"/>
  <c r="AN760" i="38"/>
  <c r="AC760" i="38" s="1"/>
  <c r="AN912" i="38"/>
  <c r="AC912" i="38" s="1"/>
  <c r="AN399" i="38"/>
  <c r="AC399" i="38" s="1"/>
  <c r="AN330" i="38"/>
  <c r="AC330" i="38" s="1"/>
  <c r="AN305" i="38"/>
  <c r="AC305" i="38" s="1"/>
  <c r="AN231" i="38"/>
  <c r="AC231" i="38" s="1"/>
  <c r="AN49" i="38"/>
  <c r="AC49" i="38" s="1"/>
  <c r="AN826" i="38"/>
  <c r="AC826" i="38" s="1"/>
  <c r="AN851" i="38"/>
  <c r="AC851" i="38" s="1"/>
  <c r="AN892" i="38"/>
  <c r="AC892" i="38" s="1"/>
  <c r="AN661" i="38"/>
  <c r="AC661" i="38" s="1"/>
  <c r="AN370" i="38"/>
  <c r="AC370" i="38" s="1"/>
  <c r="AN678" i="38"/>
  <c r="AC678" i="38" s="1"/>
  <c r="AN934" i="38"/>
  <c r="AC934" i="38" s="1"/>
  <c r="AN522" i="38"/>
  <c r="AC522" i="38" s="1"/>
  <c r="AN719" i="38"/>
  <c r="AC719" i="38" s="1"/>
  <c r="AN903" i="38"/>
  <c r="AC903" i="38" s="1"/>
  <c r="AN442" i="38"/>
  <c r="AC442" i="38" s="1"/>
  <c r="AN593" i="38"/>
  <c r="AC593" i="38" s="1"/>
  <c r="AN776" i="38"/>
  <c r="AC776" i="38" s="1"/>
  <c r="AN952" i="38"/>
  <c r="AC952" i="38" s="1"/>
  <c r="AN46" i="38"/>
  <c r="AC46" i="38" s="1"/>
  <c r="AN741" i="38"/>
  <c r="AC741" i="38" s="1"/>
  <c r="AN734" i="38"/>
  <c r="AC734" i="38" s="1"/>
  <c r="AN759" i="38"/>
  <c r="AC759" i="38" s="1"/>
  <c r="AN632" i="38"/>
  <c r="AC632" i="38" s="1"/>
  <c r="AN968" i="38"/>
  <c r="AC968" i="38" s="1"/>
  <c r="AN67" i="38"/>
  <c r="AC67" i="38" s="1"/>
  <c r="AN454" i="38"/>
  <c r="AC454" i="38" s="1"/>
  <c r="AN325" i="38"/>
  <c r="AC325" i="38" s="1"/>
  <c r="AN951" i="38"/>
  <c r="AC951" i="38" s="1"/>
  <c r="AN824" i="38"/>
  <c r="AC824" i="38" s="1"/>
  <c r="W903" i="38"/>
  <c r="X903" i="38" s="1"/>
  <c r="W944" i="38"/>
  <c r="X944" i="38" s="1"/>
  <c r="W904" i="38"/>
  <c r="X904" i="38" s="1"/>
  <c r="AN2" i="38"/>
  <c r="AC2" i="38" s="1"/>
  <c r="W967" i="38"/>
  <c r="X967" i="38" s="1"/>
  <c r="W935" i="38"/>
  <c r="X935" i="38" s="1"/>
  <c r="W933" i="38"/>
  <c r="X933" i="38" s="1"/>
  <c r="W936" i="38"/>
  <c r="X936" i="38" s="1"/>
  <c r="W932" i="38"/>
  <c r="X932" i="38" s="1"/>
  <c r="W922" i="38"/>
  <c r="X922" i="38" s="1"/>
  <c r="W914" i="38"/>
  <c r="X914" i="38" s="1"/>
  <c r="W902" i="38"/>
  <c r="X902" i="38" s="1"/>
  <c r="W923" i="38"/>
  <c r="X923" i="38" s="1"/>
  <c r="W955" i="38"/>
  <c r="X955" i="38" s="1"/>
  <c r="W952" i="38"/>
  <c r="X952" i="38" s="1"/>
  <c r="W928" i="38"/>
  <c r="X928" i="38" s="1"/>
  <c r="W925" i="38"/>
  <c r="X925" i="38" s="1"/>
  <c r="W972" i="38"/>
  <c r="X972" i="38" s="1"/>
  <c r="W951" i="38"/>
  <c r="X951" i="38" s="1"/>
  <c r="W956" i="38"/>
  <c r="X956" i="38" s="1"/>
  <c r="W915" i="38"/>
  <c r="X915" i="38" s="1"/>
  <c r="W917" i="38"/>
  <c r="X917" i="38" s="1"/>
  <c r="W957" i="38"/>
  <c r="X957" i="38" s="1"/>
  <c r="W960" i="38"/>
  <c r="X960" i="38" s="1"/>
  <c r="W941" i="38"/>
  <c r="X941" i="38" s="1"/>
  <c r="W911" i="38"/>
  <c r="X911" i="38" s="1"/>
  <c r="W975" i="38"/>
  <c r="X975" i="38" s="1"/>
  <c r="W916" i="38"/>
  <c r="X916" i="38" s="1"/>
  <c r="W954" i="38"/>
  <c r="X954" i="38" s="1"/>
  <c r="W968" i="38"/>
  <c r="X968" i="38" s="1"/>
  <c r="W976" i="38"/>
  <c r="X976" i="38" s="1"/>
  <c r="W940" i="38"/>
  <c r="X940" i="38" s="1"/>
  <c r="W930" i="38"/>
  <c r="X930" i="38" s="1"/>
  <c r="W929" i="38"/>
  <c r="X929" i="38" s="1"/>
  <c r="W899" i="38"/>
  <c r="X899" i="38" s="1"/>
  <c r="W931" i="38"/>
  <c r="X931" i="38" s="1"/>
  <c r="W969" i="38"/>
  <c r="X969" i="38" s="1"/>
  <c r="W906" i="38"/>
  <c r="X906" i="38" s="1"/>
  <c r="W901" i="38"/>
  <c r="X901" i="38" s="1"/>
  <c r="W949" i="38"/>
  <c r="X949" i="38" s="1"/>
  <c r="W963" i="38"/>
  <c r="X963" i="38" s="1"/>
  <c r="W938" i="38"/>
  <c r="X938" i="38" s="1"/>
  <c r="W959" i="38"/>
  <c r="X959" i="38" s="1"/>
  <c r="W973" i="38"/>
  <c r="X973" i="38" s="1"/>
  <c r="W919" i="38"/>
  <c r="X919" i="38" s="1"/>
  <c r="W961" i="38"/>
  <c r="X961" i="38" s="1"/>
  <c r="W920" i="38"/>
  <c r="X920" i="38" s="1"/>
  <c r="W943" i="38"/>
  <c r="X943" i="38" s="1"/>
  <c r="W924" i="38"/>
  <c r="X924" i="38" s="1"/>
  <c r="W974" i="38"/>
  <c r="X974" i="38" s="1"/>
  <c r="W900" i="38"/>
  <c r="X900" i="38" s="1"/>
  <c r="W948" i="38"/>
  <c r="X948" i="38" s="1"/>
  <c r="W945" i="38"/>
  <c r="X945" i="38" s="1"/>
  <c r="W937" i="38"/>
  <c r="X937" i="38" s="1"/>
  <c r="W907" i="38"/>
  <c r="X907" i="38" s="1"/>
  <c r="W939" i="38"/>
  <c r="X939" i="38" s="1"/>
  <c r="W926" i="38"/>
  <c r="X926" i="38" s="1"/>
  <c r="W912" i="38"/>
  <c r="X912" i="38" s="1"/>
  <c r="W909" i="38"/>
  <c r="X909" i="38" s="1"/>
  <c r="W965" i="38"/>
  <c r="X965" i="38" s="1"/>
  <c r="W971" i="38"/>
  <c r="X971" i="38" s="1"/>
  <c r="W953" i="38"/>
  <c r="X953" i="38" s="1"/>
  <c r="W966" i="38"/>
  <c r="X966" i="38" s="1"/>
  <c r="W970" i="38"/>
  <c r="X970" i="38" s="1"/>
  <c r="W946" i="38"/>
  <c r="X946" i="38" s="1"/>
  <c r="W927" i="38"/>
  <c r="X927" i="38" s="1"/>
  <c r="W962" i="38"/>
  <c r="X962" i="38" s="1"/>
  <c r="W908" i="38"/>
  <c r="X908" i="38" s="1"/>
  <c r="W947" i="38"/>
  <c r="X947" i="38" s="1"/>
  <c r="W964" i="38"/>
  <c r="X964" i="38" s="1"/>
  <c r="W958" i="38"/>
  <c r="X958" i="38" s="1"/>
  <c r="W921" i="38"/>
  <c r="X921" i="38" s="1"/>
  <c r="W905" i="38"/>
  <c r="X905" i="38" s="1"/>
  <c r="W913" i="38"/>
  <c r="X913" i="38" s="1"/>
  <c r="W950" i="38"/>
  <c r="X950" i="38" s="1"/>
  <c r="W942" i="38"/>
  <c r="X942" i="38" s="1"/>
  <c r="W934" i="38"/>
  <c r="X934" i="38" s="1"/>
  <c r="W918" i="38"/>
  <c r="X918" i="38" s="1"/>
  <c r="W910" i="38"/>
  <c r="X910" i="38" s="1"/>
  <c r="W451" i="38"/>
  <c r="X451" i="38" s="1"/>
  <c r="W397" i="38"/>
  <c r="X397" i="38" s="1"/>
  <c r="W424" i="38"/>
  <c r="X424" i="38" s="1"/>
  <c r="W456" i="38"/>
  <c r="X456" i="38" s="1"/>
  <c r="W467" i="38"/>
  <c r="X467" i="38" s="1"/>
  <c r="W402" i="38"/>
  <c r="X402" i="38" s="1"/>
  <c r="W390" i="38"/>
  <c r="X390" i="38" s="1"/>
  <c r="W435" i="38"/>
  <c r="X435" i="38" s="1"/>
  <c r="W409" i="38"/>
  <c r="X409" i="38" s="1"/>
  <c r="W472" i="38"/>
  <c r="X472" i="38" s="1"/>
  <c r="W419" i="38"/>
  <c r="X419" i="38" s="1"/>
  <c r="W440" i="38"/>
  <c r="X440" i="38" s="1"/>
  <c r="W394" i="38"/>
  <c r="X394" i="38" s="1"/>
  <c r="W396" i="38"/>
  <c r="X396" i="38" s="1"/>
  <c r="W422" i="38"/>
  <c r="X422" i="38" s="1"/>
  <c r="W418" i="38"/>
  <c r="X418" i="38" s="1"/>
  <c r="W412" i="38"/>
  <c r="X412" i="38" s="1"/>
  <c r="W484" i="38"/>
  <c r="X484" i="38" s="1"/>
  <c r="W499" i="38"/>
  <c r="X499" i="38" s="1"/>
  <c r="W392" i="38"/>
  <c r="X392" i="38" s="1"/>
  <c r="W430" i="38"/>
  <c r="X430" i="38" s="1"/>
  <c r="W423" i="38"/>
  <c r="X423" i="38" s="1"/>
  <c r="W399" i="38"/>
  <c r="X399" i="38" s="1"/>
  <c r="W471" i="38"/>
  <c r="X471" i="38" s="1"/>
  <c r="W458" i="38"/>
  <c r="X458" i="38" s="1"/>
  <c r="W404" i="38"/>
  <c r="X404" i="38" s="1"/>
  <c r="W425" i="38"/>
  <c r="X425" i="38" s="1"/>
  <c r="W433" i="38"/>
  <c r="X433" i="38" s="1"/>
  <c r="W505" i="38"/>
  <c r="X505" i="38" s="1"/>
  <c r="W448" i="38"/>
  <c r="X448" i="38" s="1"/>
  <c r="W507" i="38"/>
  <c r="X507" i="38" s="1"/>
  <c r="W461" i="38"/>
  <c r="X461" i="38" s="1"/>
  <c r="W894" i="38"/>
  <c r="X894" i="38" s="1"/>
  <c r="W449" i="38"/>
  <c r="X449" i="38" s="1"/>
  <c r="W431" i="38"/>
  <c r="X431" i="38" s="1"/>
  <c r="W427" i="38"/>
  <c r="X427" i="38" s="1"/>
  <c r="W437" i="38"/>
  <c r="X437" i="38" s="1"/>
  <c r="W428" i="38"/>
  <c r="X428" i="38" s="1"/>
  <c r="W504" i="38"/>
  <c r="X504" i="38" s="1"/>
  <c r="W480" i="38"/>
  <c r="X480" i="38" s="1"/>
  <c r="W408" i="38"/>
  <c r="X408" i="38" s="1"/>
  <c r="W441" i="38"/>
  <c r="X441" i="38" s="1"/>
  <c r="W438" i="38"/>
  <c r="X438" i="38" s="1"/>
  <c r="W482" i="38"/>
  <c r="X482" i="38" s="1"/>
  <c r="W395" i="38"/>
  <c r="X395" i="38" s="1"/>
  <c r="W481" i="38"/>
  <c r="X481" i="38" s="1"/>
  <c r="W486" i="38"/>
  <c r="X486" i="38" s="1"/>
  <c r="W455" i="38"/>
  <c r="X455" i="38" s="1"/>
  <c r="W406" i="38"/>
  <c r="X406" i="38" s="1"/>
  <c r="W470" i="38"/>
  <c r="X470" i="38" s="1"/>
  <c r="W443" i="38"/>
  <c r="X443" i="38" s="1"/>
  <c r="W460" i="38"/>
  <c r="X460" i="38" s="1"/>
  <c r="W432" i="38"/>
  <c r="X432" i="38" s="1"/>
  <c r="W501" i="38"/>
  <c r="X501" i="38" s="1"/>
  <c r="W457" i="38"/>
  <c r="X457" i="38" s="1"/>
  <c r="W446" i="38"/>
  <c r="X446" i="38" s="1"/>
  <c r="W483" i="38"/>
  <c r="X483" i="38" s="1"/>
  <c r="W477" i="38"/>
  <c r="X477" i="38" s="1"/>
  <c r="W896" i="38"/>
  <c r="X896" i="38" s="1"/>
  <c r="W510" i="38"/>
  <c r="X510" i="38" s="1"/>
  <c r="W466" i="38"/>
  <c r="X466" i="38" s="1"/>
  <c r="W420" i="38"/>
  <c r="X420" i="38" s="1"/>
  <c r="W439" i="38"/>
  <c r="X439" i="38" s="1"/>
  <c r="W405" i="38"/>
  <c r="X405" i="38" s="1"/>
  <c r="W400" i="38"/>
  <c r="X400" i="38" s="1"/>
  <c r="W511" i="38"/>
  <c r="X511" i="38" s="1"/>
  <c r="W403" i="38"/>
  <c r="X403" i="38" s="1"/>
  <c r="W450" i="38"/>
  <c r="X450" i="38" s="1"/>
  <c r="W479" i="38"/>
  <c r="X479" i="38" s="1"/>
  <c r="W498" i="38"/>
  <c r="X498" i="38" s="1"/>
  <c r="W490" i="38"/>
  <c r="X490" i="38" s="1"/>
  <c r="W897" i="38"/>
  <c r="X897" i="38" s="1"/>
  <c r="W413" i="38"/>
  <c r="X413" i="38" s="1"/>
  <c r="W447" i="38"/>
  <c r="X447" i="38" s="1"/>
  <c r="W495" i="38"/>
  <c r="X495" i="38" s="1"/>
  <c r="W407" i="38"/>
  <c r="X407" i="38" s="1"/>
  <c r="W401" i="38"/>
  <c r="X401" i="38" s="1"/>
  <c r="W508" i="38"/>
  <c r="X508" i="38" s="1"/>
  <c r="W393" i="38"/>
  <c r="X393" i="38" s="1"/>
  <c r="W503" i="38"/>
  <c r="X503" i="38" s="1"/>
  <c r="W465" i="38"/>
  <c r="X465" i="38" s="1"/>
  <c r="W478" i="38"/>
  <c r="X478" i="38" s="1"/>
  <c r="W459" i="38"/>
  <c r="X459" i="38" s="1"/>
  <c r="W445" i="38"/>
  <c r="X445" i="38" s="1"/>
  <c r="W469" i="38"/>
  <c r="X469" i="38" s="1"/>
  <c r="W417" i="38"/>
  <c r="X417" i="38" s="1"/>
  <c r="W895" i="38"/>
  <c r="X895" i="38" s="1"/>
  <c r="W415" i="38"/>
  <c r="X415" i="38" s="1"/>
  <c r="W398" i="38"/>
  <c r="X398" i="38" s="1"/>
  <c r="W421" i="38"/>
  <c r="X421" i="38" s="1"/>
  <c r="W493" i="38"/>
  <c r="X493" i="38" s="1"/>
  <c r="W436" i="38"/>
  <c r="X436" i="38" s="1"/>
  <c r="W489" i="38"/>
  <c r="X489" i="38" s="1"/>
  <c r="W474" i="38"/>
  <c r="X474" i="38" s="1"/>
  <c r="W410" i="38"/>
  <c r="X410" i="38" s="1"/>
  <c r="W494" i="38"/>
  <c r="X494" i="38" s="1"/>
  <c r="W429" i="38"/>
  <c r="X429" i="38" s="1"/>
  <c r="W473" i="38"/>
  <c r="X473" i="38" s="1"/>
  <c r="W500" i="38"/>
  <c r="X500" i="38" s="1"/>
  <c r="W416" i="38"/>
  <c r="X416" i="38" s="1"/>
  <c r="W414" i="38"/>
  <c r="X414" i="38" s="1"/>
  <c r="W475" i="38"/>
  <c r="X475" i="38" s="1"/>
  <c r="W468" i="38"/>
  <c r="X468" i="38" s="1"/>
  <c r="W426" i="38"/>
  <c r="X426" i="38" s="1"/>
  <c r="W502" i="38"/>
  <c r="X502" i="38" s="1"/>
  <c r="W492" i="38"/>
  <c r="X492" i="38" s="1"/>
  <c r="W454" i="38"/>
  <c r="X454" i="38" s="1"/>
  <c r="W898" i="38"/>
  <c r="X898" i="38" s="1"/>
  <c r="W444" i="38"/>
  <c r="X444" i="38" s="1"/>
  <c r="W488" i="38"/>
  <c r="X488" i="38" s="1"/>
  <c r="W391" i="38"/>
  <c r="X391" i="38" s="1"/>
  <c r="W453" i="38"/>
  <c r="X453" i="38" s="1"/>
  <c r="W497" i="38"/>
  <c r="X497" i="38" s="1"/>
  <c r="W485" i="38"/>
  <c r="X485" i="38" s="1"/>
  <c r="W491" i="38"/>
  <c r="X491" i="38" s="1"/>
  <c r="W434" i="38"/>
  <c r="X434" i="38" s="1"/>
  <c r="W476" i="38"/>
  <c r="X476" i="38" s="1"/>
  <c r="W487" i="38"/>
  <c r="X487" i="38" s="1"/>
  <c r="W506" i="38"/>
  <c r="X506" i="38" s="1"/>
  <c r="W462" i="38"/>
  <c r="X462" i="38" s="1"/>
  <c r="W411" i="38"/>
  <c r="X411" i="38" s="1"/>
  <c r="W509" i="38"/>
  <c r="X509" i="38" s="1"/>
  <c r="W452" i="38"/>
  <c r="X452" i="38" s="1"/>
  <c r="W496" i="38"/>
  <c r="X496" i="38" s="1"/>
  <c r="W464" i="38"/>
  <c r="X464" i="38" s="1"/>
  <c r="W463" i="38"/>
  <c r="X463" i="38" s="1"/>
  <c r="W442" i="38"/>
  <c r="X442" i="38" s="1"/>
  <c r="W886" i="38"/>
  <c r="X886" i="38" s="1"/>
  <c r="W340" i="38"/>
  <c r="X340" i="38" s="1"/>
  <c r="W710" i="38"/>
  <c r="X710" i="38" s="1"/>
  <c r="W838" i="38"/>
  <c r="X838" i="38" s="1"/>
  <c r="W21" i="38"/>
  <c r="X21" i="38" s="1"/>
  <c r="W85" i="38"/>
  <c r="X85" i="38" s="1"/>
  <c r="W372" i="38"/>
  <c r="X372" i="38" s="1"/>
  <c r="W46" i="38"/>
  <c r="X46" i="38" s="1"/>
  <c r="W20" i="38"/>
  <c r="X20" i="38" s="1"/>
  <c r="W518" i="38"/>
  <c r="X518" i="38" s="1"/>
  <c r="W62" i="38"/>
  <c r="X62" i="38" s="1"/>
  <c r="W228" i="38"/>
  <c r="X228" i="38" s="1"/>
  <c r="W22" i="38"/>
  <c r="X22" i="38" s="1"/>
  <c r="W71" i="38"/>
  <c r="X71" i="38" s="1"/>
  <c r="W64" i="38"/>
  <c r="X64" i="38" s="1"/>
  <c r="W188" i="38"/>
  <c r="X188" i="38" s="1"/>
  <c r="W630" i="38"/>
  <c r="X630" i="38" s="1"/>
  <c r="W38" i="38"/>
  <c r="X38" i="38" s="1"/>
  <c r="W79" i="38"/>
  <c r="X79" i="38" s="1"/>
  <c r="W65" i="38"/>
  <c r="X65" i="38" s="1"/>
  <c r="W212" i="38"/>
  <c r="X212" i="38" s="1"/>
  <c r="W50" i="38"/>
  <c r="X50" i="38" s="1"/>
  <c r="W114" i="38"/>
  <c r="X114" i="38" s="1"/>
  <c r="W178" i="38"/>
  <c r="X178" i="38" s="1"/>
  <c r="W59" i="38"/>
  <c r="X59" i="38" s="1"/>
  <c r="W117" i="38"/>
  <c r="X117" i="38" s="1"/>
  <c r="W181" i="38"/>
  <c r="X181" i="38" s="1"/>
  <c r="W245" i="38"/>
  <c r="X245" i="38" s="1"/>
  <c r="W309" i="38"/>
  <c r="X309" i="38" s="1"/>
  <c r="W373" i="38"/>
  <c r="X373" i="38" s="1"/>
  <c r="W559" i="38"/>
  <c r="X559" i="38" s="1"/>
  <c r="W623" i="38"/>
  <c r="X623" i="38" s="1"/>
  <c r="W687" i="38"/>
  <c r="X687" i="38" s="1"/>
  <c r="W751" i="38"/>
  <c r="X751" i="38" s="1"/>
  <c r="W815" i="38"/>
  <c r="X815" i="38" s="1"/>
  <c r="W879" i="38"/>
  <c r="X879" i="38" s="1"/>
  <c r="W238" i="38"/>
  <c r="X238" i="38" s="1"/>
  <c r="W302" i="38"/>
  <c r="X302" i="38" s="1"/>
  <c r="W366" i="38"/>
  <c r="X366" i="38" s="1"/>
  <c r="W552" i="38"/>
  <c r="X552" i="38" s="1"/>
  <c r="W616" i="38"/>
  <c r="X616" i="38" s="1"/>
  <c r="W680" i="38"/>
  <c r="X680" i="38" s="1"/>
  <c r="W744" i="38"/>
  <c r="X744" i="38" s="1"/>
  <c r="W808" i="38"/>
  <c r="X808" i="38" s="1"/>
  <c r="W872" i="38"/>
  <c r="X872" i="38" s="1"/>
  <c r="W135" i="38"/>
  <c r="X135" i="38" s="1"/>
  <c r="W199" i="38"/>
  <c r="X199" i="38" s="1"/>
  <c r="W263" i="38"/>
  <c r="X263" i="38" s="1"/>
  <c r="W327" i="38"/>
  <c r="X327" i="38" s="1"/>
  <c r="W513" i="38"/>
  <c r="X513" i="38" s="1"/>
  <c r="W577" i="38"/>
  <c r="X577" i="38" s="1"/>
  <c r="W641" i="38"/>
  <c r="X641" i="38" s="1"/>
  <c r="W705" i="38"/>
  <c r="X705" i="38" s="1"/>
  <c r="W769" i="38"/>
  <c r="X769" i="38" s="1"/>
  <c r="W833" i="38"/>
  <c r="X833" i="38" s="1"/>
  <c r="W96" i="38"/>
  <c r="X96" i="38" s="1"/>
  <c r="W160" i="38"/>
  <c r="X160" i="38" s="1"/>
  <c r="W224" i="38"/>
  <c r="X224" i="38" s="1"/>
  <c r="W288" i="38"/>
  <c r="X288" i="38" s="1"/>
  <c r="W352" i="38"/>
  <c r="X352" i="38" s="1"/>
  <c r="W538" i="38"/>
  <c r="X538" i="38" s="1"/>
  <c r="W602" i="38"/>
  <c r="X602" i="38" s="1"/>
  <c r="W666" i="38"/>
  <c r="X666" i="38" s="1"/>
  <c r="W730" i="38"/>
  <c r="X730" i="38" s="1"/>
  <c r="W794" i="38"/>
  <c r="X794" i="38" s="1"/>
  <c r="W858" i="38"/>
  <c r="X858" i="38" s="1"/>
  <c r="W121" i="38"/>
  <c r="X121" i="38" s="1"/>
  <c r="W185" i="38"/>
  <c r="X185" i="38" s="1"/>
  <c r="W249" i="38"/>
  <c r="X249" i="38" s="1"/>
  <c r="W313" i="38"/>
  <c r="X313" i="38" s="1"/>
  <c r="W377" i="38"/>
  <c r="X377" i="38" s="1"/>
  <c r="W563" i="38"/>
  <c r="X563" i="38" s="1"/>
  <c r="W627" i="38"/>
  <c r="X627" i="38" s="1"/>
  <c r="W691" i="38"/>
  <c r="X691" i="38" s="1"/>
  <c r="W755" i="38"/>
  <c r="X755" i="38" s="1"/>
  <c r="W819" i="38"/>
  <c r="X819" i="38" s="1"/>
  <c r="W883" i="38"/>
  <c r="X883" i="38" s="1"/>
  <c r="W242" i="38"/>
  <c r="X242" i="38" s="1"/>
  <c r="W306" i="38"/>
  <c r="X306" i="38" s="1"/>
  <c r="W370" i="38"/>
  <c r="X370" i="38" s="1"/>
  <c r="W556" i="38"/>
  <c r="X556" i="38" s="1"/>
  <c r="W620" i="38"/>
  <c r="X620" i="38" s="1"/>
  <c r="W28" i="38"/>
  <c r="X28" i="38" s="1"/>
  <c r="W356" i="38"/>
  <c r="X356" i="38" s="1"/>
  <c r="W726" i="38"/>
  <c r="X726" i="38" s="1"/>
  <c r="W846" i="38"/>
  <c r="X846" i="38" s="1"/>
  <c r="W29" i="38"/>
  <c r="X29" i="38" s="1"/>
  <c r="W44" i="38"/>
  <c r="X44" i="38" s="1"/>
  <c r="W534" i="38"/>
  <c r="X534" i="38" s="1"/>
  <c r="W86" i="38"/>
  <c r="X86" i="38" s="1"/>
  <c r="W60" i="38"/>
  <c r="X60" i="38" s="1"/>
  <c r="W566" i="38"/>
  <c r="X566" i="38" s="1"/>
  <c r="W78" i="38"/>
  <c r="X78" i="38" s="1"/>
  <c r="W276" i="38"/>
  <c r="X276" i="38" s="1"/>
  <c r="W54" i="38"/>
  <c r="X54" i="38" s="1"/>
  <c r="W8" i="38"/>
  <c r="X8" i="38" s="1"/>
  <c r="W72" i="38"/>
  <c r="X72" i="38" s="1"/>
  <c r="W236" i="38"/>
  <c r="X236" i="38" s="1"/>
  <c r="W662" i="38"/>
  <c r="X662" i="38" s="1"/>
  <c r="W70" i="38"/>
  <c r="X70" i="38" s="1"/>
  <c r="W9" i="38"/>
  <c r="X9" i="38" s="1"/>
  <c r="W73" i="38"/>
  <c r="X73" i="38" s="1"/>
  <c r="W260" i="38"/>
  <c r="X260" i="38" s="1"/>
  <c r="W58" i="38"/>
  <c r="X58" i="38" s="1"/>
  <c r="W122" i="38"/>
  <c r="X122" i="38" s="1"/>
  <c r="W186" i="38"/>
  <c r="X186" i="38" s="1"/>
  <c r="W67" i="38"/>
  <c r="X67" i="38" s="1"/>
  <c r="W125" i="38"/>
  <c r="X125" i="38" s="1"/>
  <c r="W189" i="38"/>
  <c r="X189" i="38" s="1"/>
  <c r="W253" i="38"/>
  <c r="X253" i="38" s="1"/>
  <c r="W317" i="38"/>
  <c r="X317" i="38" s="1"/>
  <c r="W381" i="38"/>
  <c r="X381" i="38" s="1"/>
  <c r="W567" i="38"/>
  <c r="X567" i="38" s="1"/>
  <c r="W631" i="38"/>
  <c r="X631" i="38" s="1"/>
  <c r="W695" i="38"/>
  <c r="X695" i="38" s="1"/>
  <c r="W759" i="38"/>
  <c r="X759" i="38" s="1"/>
  <c r="W823" i="38"/>
  <c r="X823" i="38" s="1"/>
  <c r="W887" i="38"/>
  <c r="X887" i="38" s="1"/>
  <c r="W246" i="38"/>
  <c r="X246" i="38" s="1"/>
  <c r="W310" i="38"/>
  <c r="X310" i="38" s="1"/>
  <c r="W374" i="38"/>
  <c r="X374" i="38" s="1"/>
  <c r="W560" i="38"/>
  <c r="X560" i="38" s="1"/>
  <c r="W624" i="38"/>
  <c r="X624" i="38" s="1"/>
  <c r="W688" i="38"/>
  <c r="X688" i="38" s="1"/>
  <c r="W752" i="38"/>
  <c r="X752" i="38" s="1"/>
  <c r="W816" i="38"/>
  <c r="X816" i="38" s="1"/>
  <c r="W880" i="38"/>
  <c r="X880" i="38" s="1"/>
  <c r="W143" i="38"/>
  <c r="X143" i="38" s="1"/>
  <c r="W207" i="38"/>
  <c r="X207" i="38" s="1"/>
  <c r="W271" i="38"/>
  <c r="X271" i="38" s="1"/>
  <c r="W335" i="38"/>
  <c r="X335" i="38" s="1"/>
  <c r="W521" i="38"/>
  <c r="X521" i="38" s="1"/>
  <c r="W585" i="38"/>
  <c r="X585" i="38" s="1"/>
  <c r="W649" i="38"/>
  <c r="X649" i="38" s="1"/>
  <c r="W713" i="38"/>
  <c r="X713" i="38" s="1"/>
  <c r="W777" i="38"/>
  <c r="X777" i="38" s="1"/>
  <c r="W841" i="38"/>
  <c r="X841" i="38" s="1"/>
  <c r="W104" i="38"/>
  <c r="X104" i="38" s="1"/>
  <c r="W168" i="38"/>
  <c r="X168" i="38" s="1"/>
  <c r="W232" i="38"/>
  <c r="X232" i="38" s="1"/>
  <c r="W296" i="38"/>
  <c r="X296" i="38" s="1"/>
  <c r="W360" i="38"/>
  <c r="X360" i="38" s="1"/>
  <c r="W546" i="38"/>
  <c r="X546" i="38" s="1"/>
  <c r="W610" i="38"/>
  <c r="X610" i="38" s="1"/>
  <c r="W674" i="38"/>
  <c r="X674" i="38" s="1"/>
  <c r="W738" i="38"/>
  <c r="X738" i="38" s="1"/>
  <c r="W802" i="38"/>
  <c r="X802" i="38" s="1"/>
  <c r="W866" i="38"/>
  <c r="X866" i="38" s="1"/>
  <c r="W129" i="38"/>
  <c r="X129" i="38" s="1"/>
  <c r="W193" i="38"/>
  <c r="X193" i="38" s="1"/>
  <c r="W257" i="38"/>
  <c r="X257" i="38" s="1"/>
  <c r="W321" i="38"/>
  <c r="X321" i="38" s="1"/>
  <c r="W385" i="38"/>
  <c r="X385" i="38" s="1"/>
  <c r="W571" i="38"/>
  <c r="X571" i="38" s="1"/>
  <c r="W635" i="38"/>
  <c r="X635" i="38" s="1"/>
  <c r="W699" i="38"/>
  <c r="X699" i="38" s="1"/>
  <c r="W763" i="38"/>
  <c r="X763" i="38" s="1"/>
  <c r="W68" i="38"/>
  <c r="X68" i="38" s="1"/>
  <c r="W388" i="38"/>
  <c r="X388" i="38" s="1"/>
  <c r="W742" i="38"/>
  <c r="X742" i="38" s="1"/>
  <c r="W854" i="38"/>
  <c r="X854" i="38" s="1"/>
  <c r="W37" i="38"/>
  <c r="X37" i="38" s="1"/>
  <c r="W84" i="38"/>
  <c r="X84" i="38" s="1"/>
  <c r="W574" i="38"/>
  <c r="X574" i="38" s="1"/>
  <c r="W110" i="38"/>
  <c r="X110" i="38" s="1"/>
  <c r="W108" i="38"/>
  <c r="X108" i="38" s="1"/>
  <c r="W590" i="38"/>
  <c r="X590" i="38" s="1"/>
  <c r="W118" i="38"/>
  <c r="X118" i="38" s="1"/>
  <c r="W324" i="38"/>
  <c r="X324" i="38" s="1"/>
  <c r="W94" i="38"/>
  <c r="X94" i="38" s="1"/>
  <c r="W16" i="38"/>
  <c r="X16" i="38" s="1"/>
  <c r="W80" i="38"/>
  <c r="X80" i="38" s="1"/>
  <c r="W284" i="38"/>
  <c r="X284" i="38" s="1"/>
  <c r="W702" i="38"/>
  <c r="X702" i="38" s="1"/>
  <c r="W102" i="38"/>
  <c r="X102" i="38" s="1"/>
  <c r="W17" i="38"/>
  <c r="X17" i="38" s="1"/>
  <c r="W81" i="38"/>
  <c r="X81" i="38" s="1"/>
  <c r="W308" i="38"/>
  <c r="X308" i="38" s="1"/>
  <c r="W66" i="38"/>
  <c r="X66" i="38" s="1"/>
  <c r="W130" i="38"/>
  <c r="X130" i="38" s="1"/>
  <c r="W11" i="38"/>
  <c r="X11" i="38" s="1"/>
  <c r="W75" i="38"/>
  <c r="X75" i="38" s="1"/>
  <c r="W133" i="38"/>
  <c r="X133" i="38" s="1"/>
  <c r="W197" i="38"/>
  <c r="X197" i="38" s="1"/>
  <c r="W261" i="38"/>
  <c r="X261" i="38" s="1"/>
  <c r="W325" i="38"/>
  <c r="X325" i="38" s="1"/>
  <c r="W389" i="38"/>
  <c r="X389" i="38" s="1"/>
  <c r="W575" i="38"/>
  <c r="X575" i="38" s="1"/>
  <c r="W639" i="38"/>
  <c r="X639" i="38" s="1"/>
  <c r="W703" i="38"/>
  <c r="X703" i="38" s="1"/>
  <c r="W767" i="38"/>
  <c r="X767" i="38" s="1"/>
  <c r="W831" i="38"/>
  <c r="X831" i="38" s="1"/>
  <c r="W190" i="38"/>
  <c r="X190" i="38" s="1"/>
  <c r="W254" i="38"/>
  <c r="X254" i="38" s="1"/>
  <c r="W318" i="38"/>
  <c r="X318" i="38" s="1"/>
  <c r="W382" i="38"/>
  <c r="X382" i="38" s="1"/>
  <c r="W568" i="38"/>
  <c r="X568" i="38" s="1"/>
  <c r="W632" i="38"/>
  <c r="X632" i="38" s="1"/>
  <c r="W696" i="38"/>
  <c r="X696" i="38" s="1"/>
  <c r="W760" i="38"/>
  <c r="X760" i="38" s="1"/>
  <c r="W824" i="38"/>
  <c r="X824" i="38" s="1"/>
  <c r="W888" i="38"/>
  <c r="X888" i="38" s="1"/>
  <c r="W151" i="38"/>
  <c r="X151" i="38" s="1"/>
  <c r="W215" i="38"/>
  <c r="X215" i="38" s="1"/>
  <c r="W279" i="38"/>
  <c r="X279" i="38" s="1"/>
  <c r="W343" i="38"/>
  <c r="X343" i="38" s="1"/>
  <c r="W529" i="38"/>
  <c r="X529" i="38" s="1"/>
  <c r="W593" i="38"/>
  <c r="X593" i="38" s="1"/>
  <c r="W657" i="38"/>
  <c r="X657" i="38" s="1"/>
  <c r="W721" i="38"/>
  <c r="X721" i="38" s="1"/>
  <c r="W785" i="38"/>
  <c r="X785" i="38" s="1"/>
  <c r="W849" i="38"/>
  <c r="X849" i="38" s="1"/>
  <c r="W112" i="38"/>
  <c r="X112" i="38" s="1"/>
  <c r="W176" i="38"/>
  <c r="X176" i="38" s="1"/>
  <c r="W240" i="38"/>
  <c r="X240" i="38" s="1"/>
  <c r="W304" i="38"/>
  <c r="X304" i="38" s="1"/>
  <c r="W368" i="38"/>
  <c r="X368" i="38" s="1"/>
  <c r="W554" i="38"/>
  <c r="X554" i="38" s="1"/>
  <c r="W618" i="38"/>
  <c r="X618" i="38" s="1"/>
  <c r="W682" i="38"/>
  <c r="X682" i="38" s="1"/>
  <c r="W746" i="38"/>
  <c r="X746" i="38" s="1"/>
  <c r="W810" i="38"/>
  <c r="X810" i="38" s="1"/>
  <c r="W874" i="38"/>
  <c r="X874" i="38" s="1"/>
  <c r="W137" i="38"/>
  <c r="X137" i="38" s="1"/>
  <c r="W201" i="38"/>
  <c r="X201" i="38" s="1"/>
  <c r="W265" i="38"/>
  <c r="X265" i="38" s="1"/>
  <c r="W329" i="38"/>
  <c r="X329" i="38" s="1"/>
  <c r="W515" i="38"/>
  <c r="X515" i="38" s="1"/>
  <c r="W579" i="38"/>
  <c r="X579" i="38" s="1"/>
  <c r="W643" i="38"/>
  <c r="X643" i="38" s="1"/>
  <c r="W707" i="38"/>
  <c r="X707" i="38" s="1"/>
  <c r="W771" i="38"/>
  <c r="X771" i="38" s="1"/>
  <c r="W116" i="38"/>
  <c r="X116" i="38" s="1"/>
  <c r="W558" i="38"/>
  <c r="X558" i="38" s="1"/>
  <c r="W758" i="38"/>
  <c r="X758" i="38" s="1"/>
  <c r="W862" i="38"/>
  <c r="X862" i="38" s="1"/>
  <c r="W45" i="38"/>
  <c r="X45" i="38" s="1"/>
  <c r="W124" i="38"/>
  <c r="X124" i="38" s="1"/>
  <c r="W614" i="38"/>
  <c r="X614" i="38" s="1"/>
  <c r="W142" i="38"/>
  <c r="X142" i="38" s="1"/>
  <c r="W148" i="38"/>
  <c r="X148" i="38" s="1"/>
  <c r="W622" i="38"/>
  <c r="X622" i="38" s="1"/>
  <c r="W15" i="38"/>
  <c r="X15" i="38" s="1"/>
  <c r="W380" i="38"/>
  <c r="X380" i="38" s="1"/>
  <c r="W134" i="38"/>
  <c r="X134" i="38" s="1"/>
  <c r="W24" i="38"/>
  <c r="X24" i="38" s="1"/>
  <c r="W88" i="38"/>
  <c r="X88" i="38" s="1"/>
  <c r="W332" i="38"/>
  <c r="X332" i="38" s="1"/>
  <c r="W718" i="38"/>
  <c r="X718" i="38" s="1"/>
  <c r="W126" i="38"/>
  <c r="X126" i="38" s="1"/>
  <c r="W25" i="38"/>
  <c r="X25" i="38" s="1"/>
  <c r="W89" i="38"/>
  <c r="X89" i="38" s="1"/>
  <c r="W10" i="38"/>
  <c r="X10" i="38" s="1"/>
  <c r="W74" i="38"/>
  <c r="X74" i="38" s="1"/>
  <c r="W138" i="38"/>
  <c r="X138" i="38" s="1"/>
  <c r="W19" i="38"/>
  <c r="X19" i="38" s="1"/>
  <c r="W83" i="38"/>
  <c r="X83" i="38" s="1"/>
  <c r="W141" i="38"/>
  <c r="X141" i="38" s="1"/>
  <c r="W205" i="38"/>
  <c r="X205" i="38" s="1"/>
  <c r="W269" i="38"/>
  <c r="X269" i="38" s="1"/>
  <c r="W333" i="38"/>
  <c r="X333" i="38" s="1"/>
  <c r="W519" i="38"/>
  <c r="X519" i="38" s="1"/>
  <c r="W583" i="38"/>
  <c r="X583" i="38" s="1"/>
  <c r="W647" i="38"/>
  <c r="X647" i="38" s="1"/>
  <c r="W711" i="38"/>
  <c r="X711" i="38" s="1"/>
  <c r="W775" i="38"/>
  <c r="X775" i="38" s="1"/>
  <c r="W839" i="38"/>
  <c r="X839" i="38" s="1"/>
  <c r="W198" i="38"/>
  <c r="X198" i="38" s="1"/>
  <c r="W262" i="38"/>
  <c r="X262" i="38" s="1"/>
  <c r="W326" i="38"/>
  <c r="X326" i="38" s="1"/>
  <c r="W512" i="38"/>
  <c r="X512" i="38" s="1"/>
  <c r="W576" i="38"/>
  <c r="X576" i="38" s="1"/>
  <c r="W640" i="38"/>
  <c r="X640" i="38" s="1"/>
  <c r="W704" i="38"/>
  <c r="X704" i="38" s="1"/>
  <c r="W768" i="38"/>
  <c r="X768" i="38" s="1"/>
  <c r="W832" i="38"/>
  <c r="X832" i="38" s="1"/>
  <c r="W95" i="38"/>
  <c r="X95" i="38" s="1"/>
  <c r="W159" i="38"/>
  <c r="X159" i="38" s="1"/>
  <c r="W223" i="38"/>
  <c r="X223" i="38" s="1"/>
  <c r="W287" i="38"/>
  <c r="X287" i="38" s="1"/>
  <c r="W351" i="38"/>
  <c r="X351" i="38" s="1"/>
  <c r="W537" i="38"/>
  <c r="X537" i="38" s="1"/>
  <c r="W601" i="38"/>
  <c r="X601" i="38" s="1"/>
  <c r="W665" i="38"/>
  <c r="X665" i="38" s="1"/>
  <c r="W729" i="38"/>
  <c r="X729" i="38" s="1"/>
  <c r="W793" i="38"/>
  <c r="X793" i="38" s="1"/>
  <c r="W857" i="38"/>
  <c r="X857" i="38" s="1"/>
  <c r="W120" i="38"/>
  <c r="X120" i="38" s="1"/>
  <c r="W184" i="38"/>
  <c r="X184" i="38" s="1"/>
  <c r="W248" i="38"/>
  <c r="X248" i="38" s="1"/>
  <c r="W312" i="38"/>
  <c r="X312" i="38" s="1"/>
  <c r="W376" i="38"/>
  <c r="X376" i="38" s="1"/>
  <c r="W562" i="38"/>
  <c r="X562" i="38" s="1"/>
  <c r="W626" i="38"/>
  <c r="X626" i="38" s="1"/>
  <c r="W690" i="38"/>
  <c r="X690" i="38" s="1"/>
  <c r="W754" i="38"/>
  <c r="X754" i="38" s="1"/>
  <c r="W818" i="38"/>
  <c r="X818" i="38" s="1"/>
  <c r="W882" i="38"/>
  <c r="X882" i="38" s="1"/>
  <c r="W145" i="38"/>
  <c r="X145" i="38" s="1"/>
  <c r="W209" i="38"/>
  <c r="X209" i="38" s="1"/>
  <c r="W273" i="38"/>
  <c r="X273" i="38" s="1"/>
  <c r="W337" i="38"/>
  <c r="X337" i="38" s="1"/>
  <c r="W523" i="38"/>
  <c r="X523" i="38" s="1"/>
  <c r="W587" i="38"/>
  <c r="X587" i="38" s="1"/>
  <c r="W651" i="38"/>
  <c r="X651" i="38" s="1"/>
  <c r="W715" i="38"/>
  <c r="X715" i="38" s="1"/>
  <c r="W779" i="38"/>
  <c r="X779" i="38" s="1"/>
  <c r="W843" i="38"/>
  <c r="X843" i="38" s="1"/>
  <c r="W202" i="38"/>
  <c r="X202" i="38" s="1"/>
  <c r="W266" i="38"/>
  <c r="X266" i="38" s="1"/>
  <c r="W330" i="38"/>
  <c r="X330" i="38" s="1"/>
  <c r="W516" i="38"/>
  <c r="X516" i="38" s="1"/>
  <c r="W580" i="38"/>
  <c r="X580" i="38" s="1"/>
  <c r="W644" i="38"/>
  <c r="X644" i="38" s="1"/>
  <c r="W708" i="38"/>
  <c r="X708" i="38" s="1"/>
  <c r="W772" i="38"/>
  <c r="X772" i="38" s="1"/>
  <c r="W836" i="38"/>
  <c r="X836" i="38" s="1"/>
  <c r="W99" i="38"/>
  <c r="X99" i="38" s="1"/>
  <c r="W163" i="38"/>
  <c r="X163" i="38" s="1"/>
  <c r="W227" i="38"/>
  <c r="X227" i="38" s="1"/>
  <c r="W291" i="38"/>
  <c r="X291" i="38" s="1"/>
  <c r="W355" i="38"/>
  <c r="X355" i="38" s="1"/>
  <c r="W164" i="38"/>
  <c r="X164" i="38" s="1"/>
  <c r="W606" i="38"/>
  <c r="X606" i="38" s="1"/>
  <c r="W774" i="38"/>
  <c r="X774" i="38" s="1"/>
  <c r="W870" i="38"/>
  <c r="X870" i="38" s="1"/>
  <c r="W53" i="38"/>
  <c r="X53" i="38" s="1"/>
  <c r="W180" i="38"/>
  <c r="X180" i="38" s="1"/>
  <c r="W638" i="38"/>
  <c r="X638" i="38" s="1"/>
  <c r="W158" i="38"/>
  <c r="X158" i="38" s="1"/>
  <c r="W196" i="38"/>
  <c r="X196" i="38" s="1"/>
  <c r="W678" i="38"/>
  <c r="X678" i="38" s="1"/>
  <c r="W87" i="38"/>
  <c r="X87" i="38" s="1"/>
  <c r="W542" i="38"/>
  <c r="X542" i="38" s="1"/>
  <c r="W7" i="38"/>
  <c r="X7" i="38" s="1"/>
  <c r="W32" i="38"/>
  <c r="X32" i="38" s="1"/>
  <c r="W4" i="38"/>
  <c r="X4" i="38" s="1"/>
  <c r="W364" i="38"/>
  <c r="X364" i="38" s="1"/>
  <c r="W734" i="38"/>
  <c r="X734" i="38" s="1"/>
  <c r="W150" i="38"/>
  <c r="X150" i="38" s="1"/>
  <c r="W33" i="38"/>
  <c r="X33" i="38" s="1"/>
  <c r="W36" i="38"/>
  <c r="X36" i="38" s="1"/>
  <c r="W18" i="38"/>
  <c r="X18" i="38" s="1"/>
  <c r="W82" i="38"/>
  <c r="X82" i="38" s="1"/>
  <c r="W146" i="38"/>
  <c r="X146" i="38" s="1"/>
  <c r="W27" i="38"/>
  <c r="X27" i="38" s="1"/>
  <c r="W91" i="38"/>
  <c r="X91" i="38" s="1"/>
  <c r="W149" i="38"/>
  <c r="X149" i="38" s="1"/>
  <c r="W213" i="38"/>
  <c r="X213" i="38" s="1"/>
  <c r="W277" i="38"/>
  <c r="X277" i="38" s="1"/>
  <c r="W341" i="38"/>
  <c r="X341" i="38" s="1"/>
  <c r="W527" i="38"/>
  <c r="X527" i="38" s="1"/>
  <c r="W591" i="38"/>
  <c r="X591" i="38" s="1"/>
  <c r="W655" i="38"/>
  <c r="X655" i="38" s="1"/>
  <c r="W719" i="38"/>
  <c r="X719" i="38" s="1"/>
  <c r="W783" i="38"/>
  <c r="X783" i="38" s="1"/>
  <c r="W847" i="38"/>
  <c r="X847" i="38" s="1"/>
  <c r="W206" i="38"/>
  <c r="X206" i="38" s="1"/>
  <c r="W270" i="38"/>
  <c r="X270" i="38" s="1"/>
  <c r="W334" i="38"/>
  <c r="X334" i="38" s="1"/>
  <c r="W520" i="38"/>
  <c r="X520" i="38" s="1"/>
  <c r="W584" i="38"/>
  <c r="X584" i="38" s="1"/>
  <c r="W648" i="38"/>
  <c r="X648" i="38" s="1"/>
  <c r="W712" i="38"/>
  <c r="X712" i="38" s="1"/>
  <c r="W776" i="38"/>
  <c r="X776" i="38" s="1"/>
  <c r="W840" i="38"/>
  <c r="X840" i="38" s="1"/>
  <c r="W103" i="38"/>
  <c r="X103" i="38" s="1"/>
  <c r="W167" i="38"/>
  <c r="X167" i="38" s="1"/>
  <c r="W231" i="38"/>
  <c r="X231" i="38" s="1"/>
  <c r="W295" i="38"/>
  <c r="X295" i="38" s="1"/>
  <c r="W359" i="38"/>
  <c r="X359" i="38" s="1"/>
  <c r="W545" i="38"/>
  <c r="X545" i="38" s="1"/>
  <c r="W609" i="38"/>
  <c r="X609" i="38" s="1"/>
  <c r="W673" i="38"/>
  <c r="X673" i="38" s="1"/>
  <c r="W737" i="38"/>
  <c r="X737" i="38" s="1"/>
  <c r="W801" i="38"/>
  <c r="X801" i="38" s="1"/>
  <c r="W865" i="38"/>
  <c r="X865" i="38" s="1"/>
  <c r="W128" i="38"/>
  <c r="X128" i="38" s="1"/>
  <c r="W192" i="38"/>
  <c r="X192" i="38" s="1"/>
  <c r="W256" i="38"/>
  <c r="X256" i="38" s="1"/>
  <c r="W320" i="38"/>
  <c r="X320" i="38" s="1"/>
  <c r="W384" i="38"/>
  <c r="X384" i="38" s="1"/>
  <c r="W570" i="38"/>
  <c r="X570" i="38" s="1"/>
  <c r="W634" i="38"/>
  <c r="X634" i="38" s="1"/>
  <c r="W698" i="38"/>
  <c r="X698" i="38" s="1"/>
  <c r="W762" i="38"/>
  <c r="X762" i="38" s="1"/>
  <c r="W826" i="38"/>
  <c r="X826" i="38" s="1"/>
  <c r="W890" i="38"/>
  <c r="X890" i="38" s="1"/>
  <c r="W153" i="38"/>
  <c r="X153" i="38" s="1"/>
  <c r="W217" i="38"/>
  <c r="X217" i="38" s="1"/>
  <c r="W281" i="38"/>
  <c r="X281" i="38" s="1"/>
  <c r="W345" i="38"/>
  <c r="X345" i="38" s="1"/>
  <c r="W531" i="38"/>
  <c r="X531" i="38" s="1"/>
  <c r="W595" i="38"/>
  <c r="X595" i="38" s="1"/>
  <c r="W659" i="38"/>
  <c r="X659" i="38" s="1"/>
  <c r="W723" i="38"/>
  <c r="X723" i="38" s="1"/>
  <c r="W787" i="38"/>
  <c r="X787" i="38" s="1"/>
  <c r="W851" i="38"/>
  <c r="X851" i="38" s="1"/>
  <c r="W210" i="38"/>
  <c r="X210" i="38" s="1"/>
  <c r="W274" i="38"/>
  <c r="X274" i="38" s="1"/>
  <c r="W338" i="38"/>
  <c r="X338" i="38" s="1"/>
  <c r="W524" i="38"/>
  <c r="X524" i="38" s="1"/>
  <c r="W588" i="38"/>
  <c r="X588" i="38" s="1"/>
  <c r="W652" i="38"/>
  <c r="X652" i="38" s="1"/>
  <c r="W716" i="38"/>
  <c r="X716" i="38" s="1"/>
  <c r="W780" i="38"/>
  <c r="X780" i="38" s="1"/>
  <c r="W844" i="38"/>
  <c r="X844" i="38" s="1"/>
  <c r="W204" i="38"/>
  <c r="X204" i="38" s="1"/>
  <c r="W646" i="38"/>
  <c r="X646" i="38" s="1"/>
  <c r="W782" i="38"/>
  <c r="X782" i="38" s="1"/>
  <c r="W878" i="38"/>
  <c r="X878" i="38" s="1"/>
  <c r="W61" i="38"/>
  <c r="X61" i="38" s="1"/>
  <c r="W220" i="38"/>
  <c r="X220" i="38" s="1"/>
  <c r="W686" i="38"/>
  <c r="X686" i="38" s="1"/>
  <c r="W166" i="38"/>
  <c r="X166" i="38" s="1"/>
  <c r="W252" i="38"/>
  <c r="X252" i="38" s="1"/>
  <c r="W806" i="38"/>
  <c r="X806" i="38" s="1"/>
  <c r="W12" i="38"/>
  <c r="X12" i="38" s="1"/>
  <c r="W582" i="38"/>
  <c r="X582" i="38" s="1"/>
  <c r="W23" i="38"/>
  <c r="X23" i="38" s="1"/>
  <c r="W40" i="38"/>
  <c r="X40" i="38" s="1"/>
  <c r="W52" i="38"/>
  <c r="X52" i="38" s="1"/>
  <c r="W526" i="38"/>
  <c r="X526" i="38" s="1"/>
  <c r="W750" i="38"/>
  <c r="X750" i="38" s="1"/>
  <c r="W31" i="38"/>
  <c r="X31" i="38" s="1"/>
  <c r="W41" i="38"/>
  <c r="X41" i="38" s="1"/>
  <c r="W92" i="38"/>
  <c r="X92" i="38" s="1"/>
  <c r="W26" i="38"/>
  <c r="X26" i="38" s="1"/>
  <c r="W90" i="38"/>
  <c r="X90" i="38" s="1"/>
  <c r="W154" i="38"/>
  <c r="X154" i="38" s="1"/>
  <c r="W35" i="38"/>
  <c r="X35" i="38" s="1"/>
  <c r="W93" i="38"/>
  <c r="X93" i="38" s="1"/>
  <c r="W157" i="38"/>
  <c r="X157" i="38" s="1"/>
  <c r="W221" i="38"/>
  <c r="X221" i="38" s="1"/>
  <c r="W285" i="38"/>
  <c r="X285" i="38" s="1"/>
  <c r="W349" i="38"/>
  <c r="X349" i="38" s="1"/>
  <c r="W535" i="38"/>
  <c r="X535" i="38" s="1"/>
  <c r="W599" i="38"/>
  <c r="X599" i="38" s="1"/>
  <c r="W663" i="38"/>
  <c r="X663" i="38" s="1"/>
  <c r="W727" i="38"/>
  <c r="X727" i="38" s="1"/>
  <c r="W791" i="38"/>
  <c r="X791" i="38" s="1"/>
  <c r="W855" i="38"/>
  <c r="X855" i="38" s="1"/>
  <c r="W214" i="38"/>
  <c r="X214" i="38" s="1"/>
  <c r="W278" i="38"/>
  <c r="X278" i="38" s="1"/>
  <c r="W342" i="38"/>
  <c r="X342" i="38" s="1"/>
  <c r="W528" i="38"/>
  <c r="X528" i="38" s="1"/>
  <c r="W592" i="38"/>
  <c r="X592" i="38" s="1"/>
  <c r="W656" i="38"/>
  <c r="X656" i="38" s="1"/>
  <c r="W720" i="38"/>
  <c r="X720" i="38" s="1"/>
  <c r="W784" i="38"/>
  <c r="X784" i="38" s="1"/>
  <c r="W848" i="38"/>
  <c r="X848" i="38" s="1"/>
  <c r="W111" i="38"/>
  <c r="X111" i="38" s="1"/>
  <c r="W175" i="38"/>
  <c r="X175" i="38" s="1"/>
  <c r="W239" i="38"/>
  <c r="X239" i="38" s="1"/>
  <c r="W303" i="38"/>
  <c r="X303" i="38" s="1"/>
  <c r="W367" i="38"/>
  <c r="X367" i="38" s="1"/>
  <c r="W553" i="38"/>
  <c r="X553" i="38" s="1"/>
  <c r="W617" i="38"/>
  <c r="X617" i="38" s="1"/>
  <c r="W681" i="38"/>
  <c r="X681" i="38" s="1"/>
  <c r="W745" i="38"/>
  <c r="X745" i="38" s="1"/>
  <c r="W809" i="38"/>
  <c r="X809" i="38" s="1"/>
  <c r="W873" i="38"/>
  <c r="X873" i="38" s="1"/>
  <c r="W136" i="38"/>
  <c r="X136" i="38" s="1"/>
  <c r="W200" i="38"/>
  <c r="X200" i="38" s="1"/>
  <c r="W264" i="38"/>
  <c r="X264" i="38" s="1"/>
  <c r="W328" i="38"/>
  <c r="X328" i="38" s="1"/>
  <c r="W514" i="38"/>
  <c r="X514" i="38" s="1"/>
  <c r="W578" i="38"/>
  <c r="X578" i="38" s="1"/>
  <c r="W642" i="38"/>
  <c r="X642" i="38" s="1"/>
  <c r="W706" i="38"/>
  <c r="X706" i="38" s="1"/>
  <c r="W770" i="38"/>
  <c r="X770" i="38" s="1"/>
  <c r="W834" i="38"/>
  <c r="X834" i="38" s="1"/>
  <c r="W97" i="38"/>
  <c r="X97" i="38" s="1"/>
  <c r="W161" i="38"/>
  <c r="X161" i="38" s="1"/>
  <c r="W225" i="38"/>
  <c r="X225" i="38" s="1"/>
  <c r="W289" i="38"/>
  <c r="X289" i="38" s="1"/>
  <c r="W353" i="38"/>
  <c r="X353" i="38" s="1"/>
  <c r="W539" i="38"/>
  <c r="X539" i="38" s="1"/>
  <c r="W603" i="38"/>
  <c r="X603" i="38" s="1"/>
  <c r="W667" i="38"/>
  <c r="X667" i="38" s="1"/>
  <c r="W731" i="38"/>
  <c r="X731" i="38" s="1"/>
  <c r="W795" i="38"/>
  <c r="X795" i="38" s="1"/>
  <c r="W859" i="38"/>
  <c r="X859" i="38" s="1"/>
  <c r="W218" i="38"/>
  <c r="X218" i="38" s="1"/>
  <c r="W282" i="38"/>
  <c r="X282" i="38" s="1"/>
  <c r="W346" i="38"/>
  <c r="X346" i="38" s="1"/>
  <c r="W532" i="38"/>
  <c r="X532" i="38" s="1"/>
  <c r="W596" i="38"/>
  <c r="X596" i="38" s="1"/>
  <c r="W660" i="38"/>
  <c r="X660" i="38" s="1"/>
  <c r="W292" i="38"/>
  <c r="X292" i="38" s="1"/>
  <c r="W694" i="38"/>
  <c r="X694" i="38" s="1"/>
  <c r="W830" i="38"/>
  <c r="X830" i="38" s="1"/>
  <c r="W13" i="38"/>
  <c r="X13" i="38" s="1"/>
  <c r="W77" i="38"/>
  <c r="X77" i="38" s="1"/>
  <c r="W316" i="38"/>
  <c r="X316" i="38" s="1"/>
  <c r="W14" i="38"/>
  <c r="X14" i="38" s="1"/>
  <c r="W182" i="38"/>
  <c r="X182" i="38" s="1"/>
  <c r="W348" i="38"/>
  <c r="X348" i="38" s="1"/>
  <c r="W30" i="38"/>
  <c r="X30" i="38" s="1"/>
  <c r="W156" i="38"/>
  <c r="X156" i="38" s="1"/>
  <c r="W814" i="38"/>
  <c r="X814" i="38" s="1"/>
  <c r="W55" i="38"/>
  <c r="X55" i="38" s="1"/>
  <c r="W56" i="38"/>
  <c r="X56" i="38" s="1"/>
  <c r="W140" i="38"/>
  <c r="X140" i="38" s="1"/>
  <c r="W598" i="38"/>
  <c r="X598" i="38" s="1"/>
  <c r="W822" i="38"/>
  <c r="X822" i="38" s="1"/>
  <c r="W63" i="38"/>
  <c r="X63" i="38" s="1"/>
  <c r="W57" i="38"/>
  <c r="X57" i="38" s="1"/>
  <c r="W172" i="38"/>
  <c r="X172" i="38" s="1"/>
  <c r="W42" i="38"/>
  <c r="X42" i="38" s="1"/>
  <c r="W106" i="38"/>
  <c r="X106" i="38" s="1"/>
  <c r="W170" i="38"/>
  <c r="X170" i="38" s="1"/>
  <c r="W51" i="38"/>
  <c r="X51" i="38" s="1"/>
  <c r="W109" i="38"/>
  <c r="X109" i="38" s="1"/>
  <c r="W173" i="38"/>
  <c r="X173" i="38" s="1"/>
  <c r="W237" i="38"/>
  <c r="X237" i="38" s="1"/>
  <c r="W301" i="38"/>
  <c r="X301" i="38" s="1"/>
  <c r="W365" i="38"/>
  <c r="X365" i="38" s="1"/>
  <c r="W551" i="38"/>
  <c r="X551" i="38" s="1"/>
  <c r="W615" i="38"/>
  <c r="X615" i="38" s="1"/>
  <c r="W679" i="38"/>
  <c r="X679" i="38" s="1"/>
  <c r="W743" i="38"/>
  <c r="X743" i="38" s="1"/>
  <c r="W807" i="38"/>
  <c r="X807" i="38" s="1"/>
  <c r="W871" i="38"/>
  <c r="X871" i="38" s="1"/>
  <c r="W230" i="38"/>
  <c r="X230" i="38" s="1"/>
  <c r="W294" i="38"/>
  <c r="X294" i="38" s="1"/>
  <c r="W358" i="38"/>
  <c r="X358" i="38" s="1"/>
  <c r="W544" i="38"/>
  <c r="X544" i="38" s="1"/>
  <c r="W608" i="38"/>
  <c r="X608" i="38" s="1"/>
  <c r="W672" i="38"/>
  <c r="X672" i="38" s="1"/>
  <c r="W736" i="38"/>
  <c r="X736" i="38" s="1"/>
  <c r="W800" i="38"/>
  <c r="X800" i="38" s="1"/>
  <c r="W864" i="38"/>
  <c r="X864" i="38" s="1"/>
  <c r="W127" i="38"/>
  <c r="X127" i="38" s="1"/>
  <c r="W191" i="38"/>
  <c r="X191" i="38" s="1"/>
  <c r="W255" i="38"/>
  <c r="X255" i="38" s="1"/>
  <c r="W319" i="38"/>
  <c r="X319" i="38" s="1"/>
  <c r="W383" i="38"/>
  <c r="X383" i="38" s="1"/>
  <c r="W569" i="38"/>
  <c r="X569" i="38" s="1"/>
  <c r="W633" i="38"/>
  <c r="X633" i="38" s="1"/>
  <c r="W697" i="38"/>
  <c r="X697" i="38" s="1"/>
  <c r="W761" i="38"/>
  <c r="X761" i="38" s="1"/>
  <c r="W825" i="38"/>
  <c r="X825" i="38" s="1"/>
  <c r="W889" i="38"/>
  <c r="X889" i="38" s="1"/>
  <c r="W152" i="38"/>
  <c r="X152" i="38" s="1"/>
  <c r="W216" i="38"/>
  <c r="X216" i="38" s="1"/>
  <c r="W280" i="38"/>
  <c r="X280" i="38" s="1"/>
  <c r="W344" i="38"/>
  <c r="X344" i="38" s="1"/>
  <c r="W530" i="38"/>
  <c r="X530" i="38" s="1"/>
  <c r="W594" i="38"/>
  <c r="X594" i="38" s="1"/>
  <c r="W658" i="38"/>
  <c r="X658" i="38" s="1"/>
  <c r="W722" i="38"/>
  <c r="X722" i="38" s="1"/>
  <c r="W786" i="38"/>
  <c r="X786" i="38" s="1"/>
  <c r="W850" i="38"/>
  <c r="X850" i="38" s="1"/>
  <c r="W113" i="38"/>
  <c r="X113" i="38" s="1"/>
  <c r="W177" i="38"/>
  <c r="X177" i="38" s="1"/>
  <c r="W241" i="38"/>
  <c r="X241" i="38" s="1"/>
  <c r="W305" i="38"/>
  <c r="X305" i="38" s="1"/>
  <c r="W369" i="38"/>
  <c r="X369" i="38" s="1"/>
  <c r="W555" i="38"/>
  <c r="X555" i="38" s="1"/>
  <c r="W619" i="38"/>
  <c r="X619" i="38" s="1"/>
  <c r="W683" i="38"/>
  <c r="X683" i="38" s="1"/>
  <c r="W747" i="38"/>
  <c r="X747" i="38" s="1"/>
  <c r="W811" i="38"/>
  <c r="X811" i="38" s="1"/>
  <c r="W875" i="38"/>
  <c r="X875" i="38" s="1"/>
  <c r="W234" i="38"/>
  <c r="X234" i="38" s="1"/>
  <c r="W298" i="38"/>
  <c r="X298" i="38" s="1"/>
  <c r="W362" i="38"/>
  <c r="X362" i="38" s="1"/>
  <c r="W548" i="38"/>
  <c r="X548" i="38" s="1"/>
  <c r="W612" i="38"/>
  <c r="X612" i="38" s="1"/>
  <c r="W676" i="38"/>
  <c r="X676" i="38" s="1"/>
  <c r="W740" i="38"/>
  <c r="X740" i="38" s="1"/>
  <c r="W804" i="38"/>
  <c r="X804" i="38" s="1"/>
  <c r="W868" i="38"/>
  <c r="X868" i="38" s="1"/>
  <c r="W244" i="38"/>
  <c r="X244" i="38" s="1"/>
  <c r="W300" i="38"/>
  <c r="X300" i="38" s="1"/>
  <c r="W766" i="38"/>
  <c r="X766" i="38" s="1"/>
  <c r="W101" i="38"/>
  <c r="X101" i="38" s="1"/>
  <c r="W735" i="38"/>
  <c r="X735" i="38" s="1"/>
  <c r="W664" i="38"/>
  <c r="X664" i="38" s="1"/>
  <c r="W375" i="38"/>
  <c r="X375" i="38" s="1"/>
  <c r="W208" i="38"/>
  <c r="X208" i="38" s="1"/>
  <c r="W842" i="38"/>
  <c r="X842" i="38" s="1"/>
  <c r="W675" i="38"/>
  <c r="X675" i="38" s="1"/>
  <c r="W226" i="38"/>
  <c r="X226" i="38" s="1"/>
  <c r="W386" i="38"/>
  <c r="X386" i="38" s="1"/>
  <c r="W684" i="38"/>
  <c r="X684" i="38" s="1"/>
  <c r="W788" i="38"/>
  <c r="X788" i="38" s="1"/>
  <c r="W884" i="38"/>
  <c r="X884" i="38" s="1"/>
  <c r="W155" i="38"/>
  <c r="X155" i="38" s="1"/>
  <c r="W235" i="38"/>
  <c r="X235" i="38" s="1"/>
  <c r="W307" i="38"/>
  <c r="X307" i="38" s="1"/>
  <c r="W379" i="38"/>
  <c r="X379" i="38" s="1"/>
  <c r="W565" i="38"/>
  <c r="X565" i="38" s="1"/>
  <c r="W629" i="38"/>
  <c r="X629" i="38" s="1"/>
  <c r="W693" i="38"/>
  <c r="X693" i="38" s="1"/>
  <c r="W670" i="38"/>
  <c r="X670" i="38" s="1"/>
  <c r="W6" i="38"/>
  <c r="X6" i="38" s="1"/>
  <c r="W47" i="38"/>
  <c r="X47" i="38" s="1"/>
  <c r="W165" i="38"/>
  <c r="X165" i="38" s="1"/>
  <c r="W799" i="38"/>
  <c r="X799" i="38" s="1"/>
  <c r="W728" i="38"/>
  <c r="X728" i="38" s="1"/>
  <c r="W561" i="38"/>
  <c r="X561" i="38" s="1"/>
  <c r="W272" i="38"/>
  <c r="X272" i="38" s="1"/>
  <c r="W105" i="38"/>
  <c r="X105" i="38" s="1"/>
  <c r="W739" i="38"/>
  <c r="X739" i="38" s="1"/>
  <c r="W250" i="38"/>
  <c r="X250" i="38" s="1"/>
  <c r="W540" i="38"/>
  <c r="X540" i="38" s="1"/>
  <c r="W692" i="38"/>
  <c r="X692" i="38" s="1"/>
  <c r="W796" i="38"/>
  <c r="X796" i="38" s="1"/>
  <c r="W892" i="38"/>
  <c r="X892" i="38" s="1"/>
  <c r="W171" i="38"/>
  <c r="X171" i="38" s="1"/>
  <c r="W243" i="38"/>
  <c r="X243" i="38" s="1"/>
  <c r="W315" i="38"/>
  <c r="X315" i="38" s="1"/>
  <c r="W387" i="38"/>
  <c r="X387" i="38" s="1"/>
  <c r="W573" i="38"/>
  <c r="X573" i="38" s="1"/>
  <c r="W637" i="38"/>
  <c r="X637" i="38" s="1"/>
  <c r="W701" i="38"/>
  <c r="X701" i="38" s="1"/>
  <c r="W765" i="38"/>
  <c r="X765" i="38" s="1"/>
  <c r="W829" i="38"/>
  <c r="X829" i="38" s="1"/>
  <c r="W893" i="38"/>
  <c r="X893" i="38" s="1"/>
  <c r="W147" i="38"/>
  <c r="X147" i="38" s="1"/>
  <c r="W685" i="38"/>
  <c r="X685" i="38" s="1"/>
  <c r="W757" i="38"/>
  <c r="X757" i="38" s="1"/>
  <c r="W790" i="38"/>
  <c r="X790" i="38" s="1"/>
  <c r="W76" i="38"/>
  <c r="X76" i="38" s="1"/>
  <c r="W49" i="38"/>
  <c r="X49" i="38" s="1"/>
  <c r="W229" i="38"/>
  <c r="X229" i="38" s="1"/>
  <c r="W863" i="38"/>
  <c r="X863" i="38" s="1"/>
  <c r="W792" i="38"/>
  <c r="X792" i="38" s="1"/>
  <c r="W625" i="38"/>
  <c r="X625" i="38" s="1"/>
  <c r="W336" i="38"/>
  <c r="X336" i="38" s="1"/>
  <c r="W169" i="38"/>
  <c r="X169" i="38" s="1"/>
  <c r="W803" i="38"/>
  <c r="X803" i="38" s="1"/>
  <c r="W258" i="38"/>
  <c r="X258" i="38" s="1"/>
  <c r="W564" i="38"/>
  <c r="X564" i="38" s="1"/>
  <c r="W700" i="38"/>
  <c r="X700" i="38" s="1"/>
  <c r="W812" i="38"/>
  <c r="X812" i="38" s="1"/>
  <c r="W107" i="38"/>
  <c r="X107" i="38" s="1"/>
  <c r="W179" i="38"/>
  <c r="X179" i="38" s="1"/>
  <c r="W251" i="38"/>
  <c r="X251" i="38" s="1"/>
  <c r="W323" i="38"/>
  <c r="X323" i="38" s="1"/>
  <c r="W517" i="38"/>
  <c r="X517" i="38" s="1"/>
  <c r="W581" i="38"/>
  <c r="X581" i="38" s="1"/>
  <c r="W645" i="38"/>
  <c r="X645" i="38" s="1"/>
  <c r="W709" i="38"/>
  <c r="X709" i="38" s="1"/>
  <c r="W773" i="38"/>
  <c r="X773" i="38" s="1"/>
  <c r="W837" i="38"/>
  <c r="X837" i="38" s="1"/>
  <c r="W354" i="38"/>
  <c r="X354" i="38" s="1"/>
  <c r="W363" i="38"/>
  <c r="X363" i="38" s="1"/>
  <c r="W741" i="38"/>
  <c r="X741" i="38" s="1"/>
  <c r="W671" i="38"/>
  <c r="X671" i="38" s="1"/>
  <c r="W778" i="38"/>
  <c r="X778" i="38" s="1"/>
  <c r="W668" i="38"/>
  <c r="X668" i="38" s="1"/>
  <c r="W371" i="38"/>
  <c r="X371" i="38" s="1"/>
  <c r="W877" i="38"/>
  <c r="X877" i="38" s="1"/>
  <c r="W5" i="38"/>
  <c r="X5" i="38" s="1"/>
  <c r="W654" i="38"/>
  <c r="X654" i="38" s="1"/>
  <c r="W132" i="38"/>
  <c r="X132" i="38" s="1"/>
  <c r="W293" i="38"/>
  <c r="X293" i="38" s="1"/>
  <c r="W222" i="38"/>
  <c r="X222" i="38" s="1"/>
  <c r="W856" i="38"/>
  <c r="X856" i="38" s="1"/>
  <c r="W689" i="38"/>
  <c r="X689" i="38" s="1"/>
  <c r="W522" i="38"/>
  <c r="X522" i="38" s="1"/>
  <c r="W233" i="38"/>
  <c r="X233" i="38" s="1"/>
  <c r="W827" i="38"/>
  <c r="X827" i="38" s="1"/>
  <c r="W290" i="38"/>
  <c r="X290" i="38" s="1"/>
  <c r="W572" i="38"/>
  <c r="X572" i="38" s="1"/>
  <c r="W724" i="38"/>
  <c r="X724" i="38" s="1"/>
  <c r="W820" i="38"/>
  <c r="X820" i="38" s="1"/>
  <c r="W115" i="38"/>
  <c r="X115" i="38" s="1"/>
  <c r="W187" i="38"/>
  <c r="X187" i="38" s="1"/>
  <c r="W259" i="38"/>
  <c r="X259" i="38" s="1"/>
  <c r="W331" i="38"/>
  <c r="X331" i="38" s="1"/>
  <c r="W525" i="38"/>
  <c r="X525" i="38" s="1"/>
  <c r="W589" i="38"/>
  <c r="X589" i="38" s="1"/>
  <c r="W653" i="38"/>
  <c r="X653" i="38" s="1"/>
  <c r="W717" i="38"/>
  <c r="X717" i="38" s="1"/>
  <c r="W781" i="38"/>
  <c r="X781" i="38" s="1"/>
  <c r="W845" i="38"/>
  <c r="X845" i="38" s="1"/>
  <c r="W732" i="38"/>
  <c r="X732" i="38" s="1"/>
  <c r="W195" i="38"/>
  <c r="X195" i="38" s="1"/>
  <c r="W339" i="38"/>
  <c r="X339" i="38" s="1"/>
  <c r="W597" i="38"/>
  <c r="X597" i="38" s="1"/>
  <c r="W725" i="38"/>
  <c r="X725" i="38" s="1"/>
  <c r="W853" i="38"/>
  <c r="X853" i="38" s="1"/>
  <c r="W756" i="38"/>
  <c r="X756" i="38" s="1"/>
  <c r="W211" i="38"/>
  <c r="X211" i="38" s="1"/>
  <c r="W549" i="38"/>
  <c r="X549" i="38" s="1"/>
  <c r="W805" i="38"/>
  <c r="X805" i="38" s="1"/>
  <c r="W144" i="38"/>
  <c r="X144" i="38" s="1"/>
  <c r="W876" i="38"/>
  <c r="X876" i="38" s="1"/>
  <c r="W621" i="38"/>
  <c r="X621" i="38" s="1"/>
  <c r="W821" i="38"/>
  <c r="X821" i="38" s="1"/>
  <c r="W69" i="38"/>
  <c r="X69" i="38" s="1"/>
  <c r="W39" i="38"/>
  <c r="X39" i="38" s="1"/>
  <c r="W34" i="38"/>
  <c r="X34" i="38" s="1"/>
  <c r="W357" i="38"/>
  <c r="X357" i="38" s="1"/>
  <c r="W286" i="38"/>
  <c r="X286" i="38" s="1"/>
  <c r="W119" i="38"/>
  <c r="X119" i="38" s="1"/>
  <c r="W753" i="38"/>
  <c r="X753" i="38" s="1"/>
  <c r="W586" i="38"/>
  <c r="X586" i="38" s="1"/>
  <c r="W297" i="38"/>
  <c r="X297" i="38" s="1"/>
  <c r="W835" i="38"/>
  <c r="X835" i="38" s="1"/>
  <c r="W314" i="38"/>
  <c r="X314" i="38" s="1"/>
  <c r="W604" i="38"/>
  <c r="X604" i="38" s="1"/>
  <c r="W828" i="38"/>
  <c r="X828" i="38" s="1"/>
  <c r="W123" i="38"/>
  <c r="X123" i="38" s="1"/>
  <c r="W267" i="38"/>
  <c r="X267" i="38" s="1"/>
  <c r="W533" i="38"/>
  <c r="X533" i="38" s="1"/>
  <c r="W661" i="38"/>
  <c r="X661" i="38" s="1"/>
  <c r="W789" i="38"/>
  <c r="X789" i="38" s="1"/>
  <c r="W636" i="38"/>
  <c r="X636" i="38" s="1"/>
  <c r="W139" i="38"/>
  <c r="X139" i="38" s="1"/>
  <c r="W613" i="38"/>
  <c r="X613" i="38" s="1"/>
  <c r="W869" i="38"/>
  <c r="X869" i="38" s="1"/>
  <c r="W600" i="38"/>
  <c r="X600" i="38" s="1"/>
  <c r="W378" i="38"/>
  <c r="X378" i="38" s="1"/>
  <c r="W219" i="38"/>
  <c r="X219" i="38" s="1"/>
  <c r="W749" i="38"/>
  <c r="X749" i="38" s="1"/>
  <c r="W885" i="38"/>
  <c r="X885" i="38" s="1"/>
  <c r="W268" i="38"/>
  <c r="X268" i="38" s="1"/>
  <c r="W48" i="38"/>
  <c r="X48" i="38" s="1"/>
  <c r="W98" i="38"/>
  <c r="X98" i="38" s="1"/>
  <c r="W543" i="38"/>
  <c r="X543" i="38" s="1"/>
  <c r="W350" i="38"/>
  <c r="X350" i="38" s="1"/>
  <c r="W183" i="38"/>
  <c r="X183" i="38" s="1"/>
  <c r="W817" i="38"/>
  <c r="X817" i="38" s="1"/>
  <c r="W650" i="38"/>
  <c r="X650" i="38" s="1"/>
  <c r="W361" i="38"/>
  <c r="X361" i="38" s="1"/>
  <c r="W867" i="38"/>
  <c r="X867" i="38" s="1"/>
  <c r="W322" i="38"/>
  <c r="X322" i="38" s="1"/>
  <c r="W628" i="38"/>
  <c r="X628" i="38" s="1"/>
  <c r="W748" i="38"/>
  <c r="X748" i="38" s="1"/>
  <c r="W852" i="38"/>
  <c r="X852" i="38" s="1"/>
  <c r="W131" i="38"/>
  <c r="X131" i="38" s="1"/>
  <c r="W203" i="38"/>
  <c r="X203" i="38" s="1"/>
  <c r="W275" i="38"/>
  <c r="X275" i="38" s="1"/>
  <c r="W347" i="38"/>
  <c r="X347" i="38" s="1"/>
  <c r="W541" i="38"/>
  <c r="X541" i="38" s="1"/>
  <c r="W605" i="38"/>
  <c r="X605" i="38" s="1"/>
  <c r="W669" i="38"/>
  <c r="X669" i="38" s="1"/>
  <c r="W733" i="38"/>
  <c r="X733" i="38" s="1"/>
  <c r="W797" i="38"/>
  <c r="X797" i="38" s="1"/>
  <c r="W861" i="38"/>
  <c r="X861" i="38" s="1"/>
  <c r="W798" i="38"/>
  <c r="X798" i="38" s="1"/>
  <c r="W100" i="38"/>
  <c r="X100" i="38" s="1"/>
  <c r="W162" i="38"/>
  <c r="X162" i="38" s="1"/>
  <c r="W607" i="38"/>
  <c r="X607" i="38" s="1"/>
  <c r="W536" i="38"/>
  <c r="X536" i="38" s="1"/>
  <c r="W247" i="38"/>
  <c r="X247" i="38" s="1"/>
  <c r="W881" i="38"/>
  <c r="X881" i="38" s="1"/>
  <c r="W714" i="38"/>
  <c r="X714" i="38" s="1"/>
  <c r="W547" i="38"/>
  <c r="X547" i="38" s="1"/>
  <c r="W891" i="38"/>
  <c r="X891" i="38" s="1"/>
  <c r="W860" i="38"/>
  <c r="X860" i="38" s="1"/>
  <c r="W283" i="38"/>
  <c r="X283" i="38" s="1"/>
  <c r="W677" i="38"/>
  <c r="X677" i="38" s="1"/>
  <c r="W43" i="38"/>
  <c r="X43" i="38" s="1"/>
  <c r="W611" i="38"/>
  <c r="X611" i="38" s="1"/>
  <c r="W764" i="38"/>
  <c r="X764" i="38" s="1"/>
  <c r="W299" i="38"/>
  <c r="X299" i="38" s="1"/>
  <c r="W813" i="38"/>
  <c r="X813" i="38" s="1"/>
  <c r="W174" i="38"/>
  <c r="X174" i="38" s="1"/>
  <c r="W550" i="38"/>
  <c r="X550" i="38" s="1"/>
  <c r="W311" i="38"/>
  <c r="X311" i="38" s="1"/>
  <c r="W194" i="38"/>
  <c r="X194" i="38" s="1"/>
  <c r="W557" i="38"/>
  <c r="X557" i="38" s="1"/>
  <c r="W3" i="38"/>
  <c r="X3" i="38" s="1"/>
  <c r="A1230" i="37"/>
  <c r="K1230" i="37" s="1"/>
  <c r="E1227" i="37"/>
  <c r="R1227" i="37" s="1"/>
  <c r="E1220" i="37"/>
  <c r="R1220" i="37" s="1"/>
  <c r="A1219" i="37"/>
  <c r="K1219" i="37" s="1"/>
  <c r="E1210" i="37"/>
  <c r="R1210" i="37" s="1"/>
  <c r="E1200" i="37"/>
  <c r="R1200" i="37" s="1"/>
  <c r="A1199" i="37"/>
  <c r="K1199" i="37" s="1"/>
  <c r="A1198" i="37"/>
  <c r="K1198" i="37" s="1"/>
  <c r="A1197" i="37"/>
  <c r="K1197" i="37" s="1"/>
  <c r="A1191" i="37"/>
  <c r="K1191" i="37" s="1"/>
  <c r="E1189" i="37"/>
  <c r="R1189" i="37" s="1"/>
  <c r="A1188" i="37"/>
  <c r="K1188" i="37" s="1"/>
  <c r="A1205" i="37"/>
  <c r="K1205" i="37" s="1"/>
  <c r="E1224" i="37"/>
  <c r="R1224" i="37" s="1"/>
  <c r="A1223" i="37"/>
  <c r="K1223" i="37" s="1"/>
  <c r="E1216" i="37"/>
  <c r="R1216" i="37" s="1"/>
  <c r="A1215" i="37"/>
  <c r="K1215" i="37" s="1"/>
  <c r="A1209" i="37"/>
  <c r="K1209" i="37" s="1"/>
  <c r="A1208" i="37"/>
  <c r="K1208" i="37" s="1"/>
  <c r="E1206" i="37"/>
  <c r="R1206" i="37" s="1"/>
  <c r="E1205" i="37"/>
  <c r="R1205" i="37" s="1"/>
  <c r="A1204" i="37"/>
  <c r="K1204" i="37" s="1"/>
  <c r="E1201" i="37"/>
  <c r="R1201" i="37" s="1"/>
  <c r="E1194" i="37"/>
  <c r="R1194" i="37" s="1"/>
  <c r="E1193" i="37"/>
  <c r="R1193" i="37" s="1"/>
  <c r="A1192" i="37"/>
  <c r="K1192" i="37" s="1"/>
  <c r="E1184" i="37"/>
  <c r="R1184" i="37" s="1"/>
  <c r="A1183" i="37"/>
  <c r="K1183" i="37" s="1"/>
  <c r="E1221" i="37"/>
  <c r="R1221" i="37" s="1"/>
  <c r="E1218" i="37"/>
  <c r="R1218" i="37" s="1"/>
  <c r="A1216" i="37"/>
  <c r="K1216" i="37" s="1"/>
  <c r="E1228" i="37"/>
  <c r="R1228" i="37" s="1"/>
  <c r="A1227" i="37"/>
  <c r="K1227" i="37" s="1"/>
  <c r="E1225" i="37"/>
  <c r="R1225" i="37" s="1"/>
  <c r="A1220" i="37"/>
  <c r="K1220" i="37" s="1"/>
  <c r="E1217" i="37"/>
  <c r="R1217" i="37" s="1"/>
  <c r="E1211" i="37"/>
  <c r="R1211" i="37" s="1"/>
  <c r="A1210" i="37"/>
  <c r="K1210" i="37" s="1"/>
  <c r="A1200" i="37"/>
  <c r="K1200" i="37" s="1"/>
  <c r="A1189" i="37"/>
  <c r="K1189" i="37" s="1"/>
  <c r="A1224" i="37"/>
  <c r="K1224" i="37" s="1"/>
  <c r="E1212" i="37"/>
  <c r="R1212" i="37" s="1"/>
  <c r="A1228" i="37"/>
  <c r="K1228" i="37" s="1"/>
  <c r="A1225" i="37"/>
  <c r="K1225" i="37" s="1"/>
  <c r="E1222" i="37"/>
  <c r="R1222" i="37" s="1"/>
  <c r="A1217" i="37"/>
  <c r="K1217" i="37" s="1"/>
  <c r="A1211" i="37"/>
  <c r="K1211" i="37" s="1"/>
  <c r="E1207" i="37"/>
  <c r="R1207" i="37" s="1"/>
  <c r="E1203" i="37"/>
  <c r="R1203" i="37" s="1"/>
  <c r="E1185" i="37"/>
  <c r="R1185" i="37" s="1"/>
  <c r="A1229" i="37"/>
  <c r="K1229" i="37" s="1"/>
  <c r="E1215" i="37"/>
  <c r="R1215" i="37" s="1"/>
  <c r="E1208" i="37"/>
  <c r="R1208" i="37" s="1"/>
  <c r="A1196" i="37"/>
  <c r="K1196" i="37" s="1"/>
  <c r="A1193" i="37"/>
  <c r="K1193" i="37" s="1"/>
  <c r="E1187" i="37"/>
  <c r="R1187" i="37" s="1"/>
  <c r="A1186" i="37"/>
  <c r="K1186" i="37" s="1"/>
  <c r="A1184" i="37"/>
  <c r="K1184" i="37" s="1"/>
  <c r="A1187" i="37"/>
  <c r="K1187" i="37" s="1"/>
  <c r="A1226" i="37"/>
  <c r="K1226" i="37" s="1"/>
  <c r="A1202" i="37"/>
  <c r="K1202" i="37" s="1"/>
  <c r="E1188" i="37"/>
  <c r="R1188" i="37" s="1"/>
  <c r="A1185" i="37"/>
  <c r="K1185" i="37" s="1"/>
  <c r="A1221" i="37"/>
  <c r="K1221" i="37" s="1"/>
  <c r="E1213" i="37"/>
  <c r="R1213" i="37" s="1"/>
  <c r="A1206" i="37"/>
  <c r="K1206" i="37" s="1"/>
  <c r="E1204" i="37"/>
  <c r="R1204" i="37" s="1"/>
  <c r="A1201" i="37"/>
  <c r="K1201" i="37" s="1"/>
  <c r="E1199" i="37"/>
  <c r="R1199" i="37" s="1"/>
  <c r="A1182" i="37"/>
  <c r="K1182" i="37" s="1"/>
  <c r="A1213" i="37"/>
  <c r="K1213" i="37" s="1"/>
  <c r="E1192" i="37"/>
  <c r="R1192" i="37" s="1"/>
  <c r="E1183" i="37"/>
  <c r="R1183" i="37" s="1"/>
  <c r="A1222" i="37"/>
  <c r="K1222" i="37" s="1"/>
  <c r="E1214" i="37"/>
  <c r="R1214" i="37" s="1"/>
  <c r="E1230" i="37"/>
  <c r="R1230" i="37" s="1"/>
  <c r="E1226" i="37"/>
  <c r="R1226" i="37" s="1"/>
  <c r="E1202" i="37"/>
  <c r="R1202" i="37" s="1"/>
  <c r="E1197" i="37"/>
  <c r="R1197" i="37" s="1"/>
  <c r="A1194" i="37"/>
  <c r="K1194" i="37" s="1"/>
  <c r="E1209" i="37"/>
  <c r="R1209" i="37" s="1"/>
  <c r="E1195" i="37"/>
  <c r="R1195" i="37" s="1"/>
  <c r="E1190" i="37"/>
  <c r="R1190" i="37" s="1"/>
  <c r="A1218" i="37"/>
  <c r="K1218" i="37" s="1"/>
  <c r="E1219" i="37"/>
  <c r="R1219" i="37" s="1"/>
  <c r="E1191" i="37"/>
  <c r="R1191" i="37" s="1"/>
  <c r="A1207" i="37"/>
  <c r="K1207" i="37" s="1"/>
  <c r="A1195" i="37"/>
  <c r="K1195" i="37" s="1"/>
  <c r="A1190" i="37"/>
  <c r="K1190" i="37" s="1"/>
  <c r="E1229" i="37"/>
  <c r="R1229" i="37" s="1"/>
  <c r="A1214" i="37"/>
  <c r="K1214" i="37" s="1"/>
  <c r="A1203" i="37"/>
  <c r="K1203" i="37" s="1"/>
  <c r="E1198" i="37"/>
  <c r="R1198" i="37" s="1"/>
  <c r="E1196" i="37"/>
  <c r="R1196" i="37" s="1"/>
  <c r="E1186" i="37"/>
  <c r="R1186" i="37" s="1"/>
  <c r="E1223" i="37"/>
  <c r="R1223" i="37" s="1"/>
  <c r="A1212" i="37"/>
  <c r="K1212" i="37" s="1"/>
  <c r="E1182" i="37"/>
  <c r="R1182" i="37" s="1"/>
  <c r="W2" i="38"/>
  <c r="X2" i="38" s="1"/>
  <c r="H806" i="38"/>
  <c r="D317" i="41"/>
  <c r="P317" i="41" s="1"/>
  <c r="D313" i="41"/>
  <c r="P313" i="41" s="1"/>
  <c r="D309" i="41"/>
  <c r="P309" i="41" s="1"/>
  <c r="D266" i="41"/>
  <c r="P266" i="41" s="1"/>
  <c r="D262" i="41"/>
  <c r="P262" i="41" s="1"/>
  <c r="D258" i="41"/>
  <c r="P258" i="41" s="1"/>
  <c r="D254" i="41"/>
  <c r="P254" i="41" s="1"/>
  <c r="D250" i="41"/>
  <c r="P250" i="41" s="1"/>
  <c r="D246" i="41"/>
  <c r="P246" i="41" s="1"/>
  <c r="D242" i="41"/>
  <c r="P242" i="41" s="1"/>
  <c r="D238" i="41"/>
  <c r="P238" i="41" s="1"/>
  <c r="D234" i="41"/>
  <c r="P234" i="41" s="1"/>
  <c r="D230" i="41"/>
  <c r="P230" i="41" s="1"/>
  <c r="D226" i="41"/>
  <c r="P226" i="41" s="1"/>
  <c r="D222" i="41"/>
  <c r="P222" i="41" s="1"/>
  <c r="D218" i="41"/>
  <c r="P218" i="41" s="1"/>
  <c r="D214" i="41"/>
  <c r="P214" i="41" s="1"/>
  <c r="D210" i="41"/>
  <c r="P210" i="41" s="1"/>
  <c r="D206" i="41"/>
  <c r="P206" i="41" s="1"/>
  <c r="D202" i="41"/>
  <c r="P202" i="41" s="1"/>
  <c r="D198" i="41"/>
  <c r="P198" i="41" s="1"/>
  <c r="D194" i="41"/>
  <c r="P194" i="41" s="1"/>
  <c r="D190" i="41"/>
  <c r="P190" i="41" s="1"/>
  <c r="D186" i="41"/>
  <c r="P186" i="41" s="1"/>
  <c r="D182" i="41"/>
  <c r="P182" i="41" s="1"/>
  <c r="D178" i="41"/>
  <c r="P178" i="41" s="1"/>
  <c r="D174" i="41"/>
  <c r="P174" i="41" s="1"/>
  <c r="D170" i="41"/>
  <c r="P170" i="41" s="1"/>
  <c r="D166" i="41"/>
  <c r="P166" i="41" s="1"/>
  <c r="D162" i="41"/>
  <c r="P162" i="41" s="1"/>
  <c r="D158" i="41"/>
  <c r="P158" i="41" s="1"/>
  <c r="D154" i="41"/>
  <c r="P154" i="41" s="1"/>
  <c r="D150" i="41"/>
  <c r="P150" i="41" s="1"/>
  <c r="D146" i="41"/>
  <c r="P146" i="41" s="1"/>
  <c r="D142" i="41"/>
  <c r="P142" i="41" s="1"/>
  <c r="D138" i="41"/>
  <c r="P138" i="41" s="1"/>
  <c r="D134" i="41"/>
  <c r="P134" i="41" s="1"/>
  <c r="D130" i="41"/>
  <c r="P130" i="41" s="1"/>
  <c r="D126" i="41"/>
  <c r="P126" i="41" s="1"/>
  <c r="D122" i="41"/>
  <c r="P122" i="41" s="1"/>
  <c r="D118" i="41"/>
  <c r="P118" i="41" s="1"/>
  <c r="D114" i="41"/>
  <c r="P114" i="41" s="1"/>
  <c r="D110" i="41"/>
  <c r="P110" i="41" s="1"/>
  <c r="D106" i="41"/>
  <c r="P106" i="41" s="1"/>
  <c r="D102" i="41"/>
  <c r="P102" i="41" s="1"/>
  <c r="D98" i="41"/>
  <c r="P98" i="41" s="1"/>
  <c r="D94" i="41"/>
  <c r="P94" i="41" s="1"/>
  <c r="D90" i="41"/>
  <c r="P90" i="41" s="1"/>
  <c r="D86" i="41"/>
  <c r="P86" i="41" s="1"/>
  <c r="D82" i="41"/>
  <c r="P82" i="41" s="1"/>
  <c r="D78" i="41"/>
  <c r="P78" i="41" s="1"/>
  <c r="D74" i="41"/>
  <c r="P74" i="41" s="1"/>
  <c r="D70" i="41"/>
  <c r="P70" i="41" s="1"/>
  <c r="D66" i="41"/>
  <c r="P66" i="41" s="1"/>
  <c r="D62" i="41"/>
  <c r="P62" i="41" s="1"/>
  <c r="D58" i="41"/>
  <c r="P58" i="41" s="1"/>
  <c r="D47" i="41"/>
  <c r="P47" i="41" s="1"/>
  <c r="D39" i="41"/>
  <c r="P39" i="41" s="1"/>
  <c r="D31" i="41"/>
  <c r="P31" i="41" s="1"/>
  <c r="D23" i="41"/>
  <c r="P23" i="41" s="1"/>
  <c r="D15" i="41"/>
  <c r="P15" i="41" s="1"/>
  <c r="D7" i="41"/>
  <c r="P7" i="41" s="1"/>
  <c r="D348" i="41"/>
  <c r="P348" i="41" s="1"/>
  <c r="D344" i="41"/>
  <c r="P344" i="41" s="1"/>
  <c r="D340" i="41"/>
  <c r="P340" i="41" s="1"/>
  <c r="D336" i="41"/>
  <c r="P336" i="41" s="1"/>
  <c r="D332" i="41"/>
  <c r="P332" i="41" s="1"/>
  <c r="D328" i="41"/>
  <c r="P328" i="41" s="1"/>
  <c r="D324" i="41"/>
  <c r="P324" i="41" s="1"/>
  <c r="D320" i="41"/>
  <c r="P320" i="41" s="1"/>
  <c r="D305" i="41"/>
  <c r="P305" i="41" s="1"/>
  <c r="D301" i="41"/>
  <c r="P301" i="41" s="1"/>
  <c r="D297" i="41"/>
  <c r="P297" i="41" s="1"/>
  <c r="D293" i="41"/>
  <c r="P293" i="41" s="1"/>
  <c r="D289" i="41"/>
  <c r="P289" i="41" s="1"/>
  <c r="D285" i="41"/>
  <c r="P285" i="41" s="1"/>
  <c r="D281" i="41"/>
  <c r="P281" i="41" s="1"/>
  <c r="D277" i="41"/>
  <c r="P277" i="41" s="1"/>
  <c r="D273" i="41"/>
  <c r="P273" i="41" s="1"/>
  <c r="D269" i="41"/>
  <c r="P269" i="41" s="1"/>
  <c r="D54" i="41"/>
  <c r="P54" i="41" s="1"/>
  <c r="D46" i="41"/>
  <c r="P46" i="41" s="1"/>
  <c r="D38" i="41"/>
  <c r="P38" i="41" s="1"/>
  <c r="D30" i="41"/>
  <c r="P30" i="41" s="1"/>
  <c r="D22" i="41"/>
  <c r="P22" i="41" s="1"/>
  <c r="D14" i="41"/>
  <c r="P14" i="41" s="1"/>
  <c r="D6" i="41"/>
  <c r="P6" i="41" s="1"/>
  <c r="D316" i="41"/>
  <c r="P316" i="41" s="1"/>
  <c r="D312" i="41"/>
  <c r="P312" i="41" s="1"/>
  <c r="D308" i="41"/>
  <c r="P308" i="41" s="1"/>
  <c r="D265" i="41"/>
  <c r="P265" i="41" s="1"/>
  <c r="D261" i="41"/>
  <c r="P261" i="41" s="1"/>
  <c r="D257" i="41"/>
  <c r="P257" i="41" s="1"/>
  <c r="D253" i="41"/>
  <c r="P253" i="41" s="1"/>
  <c r="D249" i="41"/>
  <c r="P249" i="41" s="1"/>
  <c r="D245" i="41"/>
  <c r="P245" i="41" s="1"/>
  <c r="D241" i="41"/>
  <c r="P241" i="41" s="1"/>
  <c r="D237" i="41"/>
  <c r="P237" i="41" s="1"/>
  <c r="D233" i="41"/>
  <c r="P233" i="41" s="1"/>
  <c r="D229" i="41"/>
  <c r="P229" i="41" s="1"/>
  <c r="D225" i="41"/>
  <c r="P225" i="41" s="1"/>
  <c r="D221" i="41"/>
  <c r="P221" i="41" s="1"/>
  <c r="D217" i="41"/>
  <c r="P217" i="41" s="1"/>
  <c r="D213" i="41"/>
  <c r="P213" i="41" s="1"/>
  <c r="D209" i="41"/>
  <c r="P209" i="41" s="1"/>
  <c r="D205" i="41"/>
  <c r="P205" i="41" s="1"/>
  <c r="D201" i="41"/>
  <c r="P201" i="41" s="1"/>
  <c r="D197" i="41"/>
  <c r="P197" i="41" s="1"/>
  <c r="D193" i="41"/>
  <c r="P193" i="41" s="1"/>
  <c r="D189" i="41"/>
  <c r="P189" i="41" s="1"/>
  <c r="D185" i="41"/>
  <c r="P185" i="41" s="1"/>
  <c r="D181" i="41"/>
  <c r="P181" i="41" s="1"/>
  <c r="D177" i="41"/>
  <c r="P177" i="41" s="1"/>
  <c r="D173" i="41"/>
  <c r="P173" i="41" s="1"/>
  <c r="D169" i="41"/>
  <c r="P169" i="41" s="1"/>
  <c r="D165" i="41"/>
  <c r="P165" i="41" s="1"/>
  <c r="D161" i="41"/>
  <c r="P161" i="41" s="1"/>
  <c r="D157" i="41"/>
  <c r="P157" i="41" s="1"/>
  <c r="D153" i="41"/>
  <c r="P153" i="41" s="1"/>
  <c r="D149" i="41"/>
  <c r="P149" i="41" s="1"/>
  <c r="D145" i="41"/>
  <c r="P145" i="41" s="1"/>
  <c r="D141" i="41"/>
  <c r="P141" i="41" s="1"/>
  <c r="D137" i="41"/>
  <c r="P137" i="41" s="1"/>
  <c r="D133" i="41"/>
  <c r="P133" i="41" s="1"/>
  <c r="D129" i="41"/>
  <c r="P129" i="41" s="1"/>
  <c r="D125" i="41"/>
  <c r="P125" i="41" s="1"/>
  <c r="D121" i="41"/>
  <c r="P121" i="41" s="1"/>
  <c r="D117" i="41"/>
  <c r="P117" i="41" s="1"/>
  <c r="D113" i="41"/>
  <c r="P113" i="41" s="1"/>
  <c r="D109" i="41"/>
  <c r="P109" i="41" s="1"/>
  <c r="D105" i="41"/>
  <c r="P105" i="41" s="1"/>
  <c r="D101" i="41"/>
  <c r="P101" i="41" s="1"/>
  <c r="D97" i="41"/>
  <c r="P97" i="41" s="1"/>
  <c r="D93" i="41"/>
  <c r="P93" i="41" s="1"/>
  <c r="D89" i="41"/>
  <c r="P89" i="41" s="1"/>
  <c r="D85" i="41"/>
  <c r="P85" i="41" s="1"/>
  <c r="D81" i="41"/>
  <c r="P81" i="41" s="1"/>
  <c r="D77" i="41"/>
  <c r="P77" i="41" s="1"/>
  <c r="D73" i="41"/>
  <c r="P73" i="41" s="1"/>
  <c r="D69" i="41"/>
  <c r="P69" i="41" s="1"/>
  <c r="D65" i="41"/>
  <c r="P65" i="41" s="1"/>
  <c r="D61" i="41"/>
  <c r="P61" i="41" s="1"/>
  <c r="D57" i="41"/>
  <c r="P57" i="41" s="1"/>
  <c r="D53" i="41"/>
  <c r="P53" i="41" s="1"/>
  <c r="D45" i="41"/>
  <c r="P45" i="41" s="1"/>
  <c r="D37" i="41"/>
  <c r="P37" i="41" s="1"/>
  <c r="D29" i="41"/>
  <c r="P29" i="41" s="1"/>
  <c r="D21" i="41"/>
  <c r="P21" i="41" s="1"/>
  <c r="D13" i="41"/>
  <c r="P13" i="41" s="1"/>
  <c r="D347" i="41"/>
  <c r="P347" i="41" s="1"/>
  <c r="D343" i="41"/>
  <c r="P343" i="41" s="1"/>
  <c r="D339" i="41"/>
  <c r="P339" i="41" s="1"/>
  <c r="D335" i="41"/>
  <c r="P335" i="41" s="1"/>
  <c r="D331" i="41"/>
  <c r="P331" i="41" s="1"/>
  <c r="D327" i="41"/>
  <c r="P327" i="41" s="1"/>
  <c r="D323" i="41"/>
  <c r="P323" i="41" s="1"/>
  <c r="D319" i="41"/>
  <c r="P319" i="41" s="1"/>
  <c r="D304" i="41"/>
  <c r="P304" i="41" s="1"/>
  <c r="D300" i="41"/>
  <c r="P300" i="41" s="1"/>
  <c r="D296" i="41"/>
  <c r="P296" i="41" s="1"/>
  <c r="D292" i="41"/>
  <c r="P292" i="41" s="1"/>
  <c r="D288" i="41"/>
  <c r="P288" i="41" s="1"/>
  <c r="D284" i="41"/>
  <c r="P284" i="41" s="1"/>
  <c r="D280" i="41"/>
  <c r="P280" i="41" s="1"/>
  <c r="D276" i="41"/>
  <c r="P276" i="41" s="1"/>
  <c r="D272" i="41"/>
  <c r="P272" i="41" s="1"/>
  <c r="D52" i="41"/>
  <c r="P52" i="41" s="1"/>
  <c r="D44" i="41"/>
  <c r="P44" i="41" s="1"/>
  <c r="D36" i="41"/>
  <c r="P36" i="41" s="1"/>
  <c r="D28" i="41"/>
  <c r="P28" i="41" s="1"/>
  <c r="D20" i="41"/>
  <c r="P20" i="41" s="1"/>
  <c r="D12" i="41"/>
  <c r="P12" i="41" s="1"/>
  <c r="D315" i="41"/>
  <c r="P315" i="41" s="1"/>
  <c r="D311" i="41"/>
  <c r="P311" i="41" s="1"/>
  <c r="D307" i="41"/>
  <c r="P307" i="41" s="1"/>
  <c r="D268" i="41"/>
  <c r="P268" i="41" s="1"/>
  <c r="D264" i="41"/>
  <c r="P264" i="41" s="1"/>
  <c r="D260" i="41"/>
  <c r="P260" i="41" s="1"/>
  <c r="D256" i="41"/>
  <c r="P256" i="41" s="1"/>
  <c r="D252" i="41"/>
  <c r="P252" i="41" s="1"/>
  <c r="D248" i="41"/>
  <c r="P248" i="41" s="1"/>
  <c r="D244" i="41"/>
  <c r="P244" i="41" s="1"/>
  <c r="D240" i="41"/>
  <c r="P240" i="41" s="1"/>
  <c r="D236" i="41"/>
  <c r="P236" i="41" s="1"/>
  <c r="D232" i="41"/>
  <c r="P232" i="41" s="1"/>
  <c r="D228" i="41"/>
  <c r="P228" i="41" s="1"/>
  <c r="D224" i="41"/>
  <c r="P224" i="41" s="1"/>
  <c r="D220" i="41"/>
  <c r="P220" i="41" s="1"/>
  <c r="D216" i="41"/>
  <c r="P216" i="41" s="1"/>
  <c r="D212" i="41"/>
  <c r="P212" i="41" s="1"/>
  <c r="D208" i="41"/>
  <c r="P208" i="41" s="1"/>
  <c r="D204" i="41"/>
  <c r="P204" i="41" s="1"/>
  <c r="D200" i="41"/>
  <c r="P200" i="41" s="1"/>
  <c r="D196" i="41"/>
  <c r="P196" i="41" s="1"/>
  <c r="D192" i="41"/>
  <c r="P192" i="41" s="1"/>
  <c r="D188" i="41"/>
  <c r="P188" i="41" s="1"/>
  <c r="D184" i="41"/>
  <c r="P184" i="41" s="1"/>
  <c r="D180" i="41"/>
  <c r="P180" i="41" s="1"/>
  <c r="D176" i="41"/>
  <c r="P176" i="41" s="1"/>
  <c r="D172" i="41"/>
  <c r="P172" i="41" s="1"/>
  <c r="D168" i="41"/>
  <c r="P168" i="41" s="1"/>
  <c r="D164" i="41"/>
  <c r="P164" i="41" s="1"/>
  <c r="D160" i="41"/>
  <c r="P160" i="41" s="1"/>
  <c r="D156" i="41"/>
  <c r="P156" i="41" s="1"/>
  <c r="D152" i="41"/>
  <c r="P152" i="41" s="1"/>
  <c r="D148" i="41"/>
  <c r="P148" i="41" s="1"/>
  <c r="D144" i="41"/>
  <c r="P144" i="41" s="1"/>
  <c r="D140" i="41"/>
  <c r="P140" i="41" s="1"/>
  <c r="D136" i="41"/>
  <c r="P136" i="41" s="1"/>
  <c r="D132" i="41"/>
  <c r="P132" i="41" s="1"/>
  <c r="D128" i="41"/>
  <c r="P128" i="41" s="1"/>
  <c r="D124" i="41"/>
  <c r="P124" i="41" s="1"/>
  <c r="D120" i="41"/>
  <c r="P120" i="41" s="1"/>
  <c r="D116" i="41"/>
  <c r="P116" i="41" s="1"/>
  <c r="D112" i="41"/>
  <c r="P112" i="41" s="1"/>
  <c r="D108" i="41"/>
  <c r="P108" i="41" s="1"/>
  <c r="D104" i="41"/>
  <c r="P104" i="41" s="1"/>
  <c r="D100" i="41"/>
  <c r="P100" i="41" s="1"/>
  <c r="D96" i="41"/>
  <c r="P96" i="41" s="1"/>
  <c r="D92" i="41"/>
  <c r="P92" i="41" s="1"/>
  <c r="D88" i="41"/>
  <c r="P88" i="41" s="1"/>
  <c r="D84" i="41"/>
  <c r="P84" i="41" s="1"/>
  <c r="D80" i="41"/>
  <c r="P80" i="41" s="1"/>
  <c r="D76" i="41"/>
  <c r="P76" i="41" s="1"/>
  <c r="D72" i="41"/>
  <c r="P72" i="41" s="1"/>
  <c r="D68" i="41"/>
  <c r="P68" i="41" s="1"/>
  <c r="D64" i="41"/>
  <c r="P64" i="41" s="1"/>
  <c r="D60" i="41"/>
  <c r="P60" i="41" s="1"/>
  <c r="D56" i="41"/>
  <c r="P56" i="41" s="1"/>
  <c r="D51" i="41"/>
  <c r="P51" i="41" s="1"/>
  <c r="D43" i="41"/>
  <c r="P43" i="41" s="1"/>
  <c r="D35" i="41"/>
  <c r="P35" i="41" s="1"/>
  <c r="D27" i="41"/>
  <c r="P27" i="41" s="1"/>
  <c r="D19" i="41"/>
  <c r="P19" i="41" s="1"/>
  <c r="D11" i="41"/>
  <c r="P11" i="41" s="1"/>
  <c r="D346" i="41"/>
  <c r="P346" i="41" s="1"/>
  <c r="D342" i="41"/>
  <c r="P342" i="41" s="1"/>
  <c r="D338" i="41"/>
  <c r="P338" i="41" s="1"/>
  <c r="D334" i="41"/>
  <c r="P334" i="41" s="1"/>
  <c r="D330" i="41"/>
  <c r="P330" i="41" s="1"/>
  <c r="D326" i="41"/>
  <c r="P326" i="41" s="1"/>
  <c r="D322" i="41"/>
  <c r="P322" i="41" s="1"/>
  <c r="D318" i="41"/>
  <c r="P318" i="41" s="1"/>
  <c r="D303" i="41"/>
  <c r="P303" i="41" s="1"/>
  <c r="D299" i="41"/>
  <c r="P299" i="41" s="1"/>
  <c r="D295" i="41"/>
  <c r="P295" i="41" s="1"/>
  <c r="D291" i="41"/>
  <c r="P291" i="41" s="1"/>
  <c r="D287" i="41"/>
  <c r="P287" i="41" s="1"/>
  <c r="D283" i="41"/>
  <c r="P283" i="41" s="1"/>
  <c r="D279" i="41"/>
  <c r="P279" i="41" s="1"/>
  <c r="D275" i="41"/>
  <c r="P275" i="41" s="1"/>
  <c r="D271" i="41"/>
  <c r="P271" i="41" s="1"/>
  <c r="D50" i="41"/>
  <c r="P50" i="41" s="1"/>
  <c r="D42" i="41"/>
  <c r="P42" i="41" s="1"/>
  <c r="D34" i="41"/>
  <c r="P34" i="41" s="1"/>
  <c r="D26" i="41"/>
  <c r="P26" i="41" s="1"/>
  <c r="D18" i="41"/>
  <c r="P18" i="41" s="1"/>
  <c r="D10" i="41"/>
  <c r="P10" i="41" s="1"/>
  <c r="D314" i="41"/>
  <c r="P314" i="41" s="1"/>
  <c r="D310" i="41"/>
  <c r="P310" i="41" s="1"/>
  <c r="D306" i="41"/>
  <c r="P306" i="41" s="1"/>
  <c r="D267" i="41"/>
  <c r="P267" i="41" s="1"/>
  <c r="D263" i="41"/>
  <c r="P263" i="41" s="1"/>
  <c r="D259" i="41"/>
  <c r="P259" i="41" s="1"/>
  <c r="D255" i="41"/>
  <c r="P255" i="41" s="1"/>
  <c r="D251" i="41"/>
  <c r="P251" i="41" s="1"/>
  <c r="D247" i="41"/>
  <c r="P247" i="41" s="1"/>
  <c r="D243" i="41"/>
  <c r="P243" i="41" s="1"/>
  <c r="D239" i="41"/>
  <c r="P239" i="41" s="1"/>
  <c r="D235" i="41"/>
  <c r="P235" i="41" s="1"/>
  <c r="D231" i="41"/>
  <c r="P231" i="41" s="1"/>
  <c r="D227" i="41"/>
  <c r="P227" i="41" s="1"/>
  <c r="D223" i="41"/>
  <c r="P223" i="41" s="1"/>
  <c r="D219" i="41"/>
  <c r="P219" i="41" s="1"/>
  <c r="D215" i="41"/>
  <c r="P215" i="41" s="1"/>
  <c r="D211" i="41"/>
  <c r="P211" i="41" s="1"/>
  <c r="D207" i="41"/>
  <c r="P207" i="41" s="1"/>
  <c r="D203" i="41"/>
  <c r="P203" i="41" s="1"/>
  <c r="D199" i="41"/>
  <c r="P199" i="41" s="1"/>
  <c r="D195" i="41"/>
  <c r="P195" i="41" s="1"/>
  <c r="D191" i="41"/>
  <c r="P191" i="41" s="1"/>
  <c r="D187" i="41"/>
  <c r="P187" i="41" s="1"/>
  <c r="D183" i="41"/>
  <c r="P183" i="41" s="1"/>
  <c r="D179" i="41"/>
  <c r="P179" i="41" s="1"/>
  <c r="D175" i="41"/>
  <c r="P175" i="41" s="1"/>
  <c r="D171" i="41"/>
  <c r="P171" i="41" s="1"/>
  <c r="D167" i="41"/>
  <c r="P167" i="41" s="1"/>
  <c r="D163" i="41"/>
  <c r="P163" i="41" s="1"/>
  <c r="D159" i="41"/>
  <c r="P159" i="41" s="1"/>
  <c r="D155" i="41"/>
  <c r="P155" i="41" s="1"/>
  <c r="D151" i="41"/>
  <c r="P151" i="41" s="1"/>
  <c r="D147" i="41"/>
  <c r="P147" i="41" s="1"/>
  <c r="D143" i="41"/>
  <c r="P143" i="41" s="1"/>
  <c r="D139" i="41"/>
  <c r="P139" i="41" s="1"/>
  <c r="D135" i="41"/>
  <c r="P135" i="41" s="1"/>
  <c r="D131" i="41"/>
  <c r="P131" i="41" s="1"/>
  <c r="D127" i="41"/>
  <c r="P127" i="41" s="1"/>
  <c r="D123" i="41"/>
  <c r="P123" i="41" s="1"/>
  <c r="D119" i="41"/>
  <c r="P119" i="41" s="1"/>
  <c r="D115" i="41"/>
  <c r="P115" i="41" s="1"/>
  <c r="D111" i="41"/>
  <c r="P111" i="41" s="1"/>
  <c r="D107" i="41"/>
  <c r="P107" i="41" s="1"/>
  <c r="D103" i="41"/>
  <c r="P103" i="41" s="1"/>
  <c r="D99" i="41"/>
  <c r="P99" i="41" s="1"/>
  <c r="D95" i="41"/>
  <c r="P95" i="41" s="1"/>
  <c r="D91" i="41"/>
  <c r="P91" i="41" s="1"/>
  <c r="D87" i="41"/>
  <c r="P87" i="41" s="1"/>
  <c r="D83" i="41"/>
  <c r="P83" i="41" s="1"/>
  <c r="D79" i="41"/>
  <c r="P79" i="41" s="1"/>
  <c r="D75" i="41"/>
  <c r="P75" i="41" s="1"/>
  <c r="D71" i="41"/>
  <c r="P71" i="41" s="1"/>
  <c r="D67" i="41"/>
  <c r="P67" i="41" s="1"/>
  <c r="D63" i="41"/>
  <c r="P63" i="41" s="1"/>
  <c r="D59" i="41"/>
  <c r="P59" i="41" s="1"/>
  <c r="D55" i="41"/>
  <c r="P55" i="41" s="1"/>
  <c r="D49" i="41"/>
  <c r="P49" i="41" s="1"/>
  <c r="D41" i="41"/>
  <c r="P41" i="41" s="1"/>
  <c r="D33" i="41"/>
  <c r="P33" i="41" s="1"/>
  <c r="D25" i="41"/>
  <c r="P25" i="41" s="1"/>
  <c r="D17" i="41"/>
  <c r="P17" i="41" s="1"/>
  <c r="D9" i="41"/>
  <c r="P9" i="41" s="1"/>
  <c r="D345" i="41"/>
  <c r="P345" i="41" s="1"/>
  <c r="D341" i="41"/>
  <c r="P341" i="41" s="1"/>
  <c r="D337" i="41"/>
  <c r="P337" i="41" s="1"/>
  <c r="D333" i="41"/>
  <c r="P333" i="41" s="1"/>
  <c r="D329" i="41"/>
  <c r="P329" i="41" s="1"/>
  <c r="D325" i="41"/>
  <c r="P325" i="41" s="1"/>
  <c r="D321" i="41"/>
  <c r="P321" i="41" s="1"/>
  <c r="D302" i="41"/>
  <c r="P302" i="41" s="1"/>
  <c r="D298" i="41"/>
  <c r="P298" i="41" s="1"/>
  <c r="D294" i="41"/>
  <c r="P294" i="41" s="1"/>
  <c r="D290" i="41"/>
  <c r="P290" i="41" s="1"/>
  <c r="D286" i="41"/>
  <c r="P286" i="41" s="1"/>
  <c r="D282" i="41"/>
  <c r="P282" i="41" s="1"/>
  <c r="D278" i="41"/>
  <c r="P278" i="41" s="1"/>
  <c r="D274" i="41"/>
  <c r="P274" i="41" s="1"/>
  <c r="D270" i="41"/>
  <c r="P270" i="41" s="1"/>
  <c r="D48" i="41"/>
  <c r="P48" i="41" s="1"/>
  <c r="D40" i="41"/>
  <c r="P40" i="41" s="1"/>
  <c r="D32" i="41"/>
  <c r="P32" i="41" s="1"/>
  <c r="D24" i="41"/>
  <c r="P24" i="41" s="1"/>
  <c r="D16" i="41"/>
  <c r="P16" i="41" s="1"/>
  <c r="D8" i="41"/>
  <c r="P8" i="41" s="1"/>
  <c r="H805" i="38"/>
  <c r="H804" i="38"/>
  <c r="H803" i="38"/>
  <c r="H802" i="38"/>
  <c r="H808" i="38"/>
  <c r="A1178" i="37"/>
  <c r="K1178" i="37" s="1"/>
  <c r="E1176" i="37"/>
  <c r="R1176" i="37" s="1"/>
  <c r="A1173" i="37"/>
  <c r="K1173" i="37" s="1"/>
  <c r="A1171" i="37"/>
  <c r="K1171" i="37" s="1"/>
  <c r="E1169" i="37"/>
  <c r="R1169" i="37" s="1"/>
  <c r="E1162" i="37"/>
  <c r="R1162" i="37" s="1"/>
  <c r="E1157" i="37"/>
  <c r="R1157" i="37" s="1"/>
  <c r="E1155" i="37"/>
  <c r="R1155" i="37" s="1"/>
  <c r="E1143" i="37"/>
  <c r="R1143" i="37" s="1"/>
  <c r="A1138" i="37"/>
  <c r="K1138" i="37" s="1"/>
  <c r="E1127" i="37"/>
  <c r="R1127" i="37" s="1"/>
  <c r="A1122" i="37"/>
  <c r="K1122" i="37" s="1"/>
  <c r="E1111" i="37"/>
  <c r="R1111" i="37" s="1"/>
  <c r="A1106" i="37"/>
  <c r="K1106" i="37" s="1"/>
  <c r="A1101" i="37"/>
  <c r="K1101" i="37" s="1"/>
  <c r="A1099" i="37"/>
  <c r="K1099" i="37" s="1"/>
  <c r="E1097" i="37"/>
  <c r="R1097" i="37" s="1"/>
  <c r="A1094" i="37"/>
  <c r="K1094" i="37" s="1"/>
  <c r="E1090" i="37"/>
  <c r="R1090" i="37" s="1"/>
  <c r="A1087" i="37"/>
  <c r="K1087" i="37" s="1"/>
  <c r="E1085" i="37"/>
  <c r="R1085" i="37" s="1"/>
  <c r="E1083" i="37"/>
  <c r="R1083" i="37" s="1"/>
  <c r="A1080" i="37"/>
  <c r="K1080" i="37" s="1"/>
  <c r="E1078" i="37"/>
  <c r="R1078" i="37" s="1"/>
  <c r="E1071" i="37"/>
  <c r="R1071" i="37" s="1"/>
  <c r="A1068" i="37"/>
  <c r="K1068" i="37" s="1"/>
  <c r="E1064" i="37"/>
  <c r="R1064" i="37" s="1"/>
  <c r="E1052" i="37"/>
  <c r="R1052" i="37" s="1"/>
  <c r="A1049" i="37"/>
  <c r="K1049" i="37" s="1"/>
  <c r="A1042" i="37"/>
  <c r="K1042" i="37" s="1"/>
  <c r="A1037" i="37"/>
  <c r="K1037" i="37" s="1"/>
  <c r="A1035" i="37"/>
  <c r="K1035" i="37" s="1"/>
  <c r="E1033" i="37"/>
  <c r="R1033" i="37" s="1"/>
  <c r="A1030" i="37"/>
  <c r="K1030" i="37" s="1"/>
  <c r="E1026" i="37"/>
  <c r="R1026" i="37" s="1"/>
  <c r="A1023" i="37"/>
  <c r="K1023" i="37" s="1"/>
  <c r="E1021" i="37"/>
  <c r="R1021" i="37" s="1"/>
  <c r="E1019" i="37"/>
  <c r="R1019" i="37" s="1"/>
  <c r="A1016" i="37"/>
  <c r="K1016" i="37" s="1"/>
  <c r="E1014" i="37"/>
  <c r="R1014" i="37" s="1"/>
  <c r="E1007" i="37"/>
  <c r="R1007" i="37" s="1"/>
  <c r="A1004" i="37"/>
  <c r="K1004" i="37" s="1"/>
  <c r="E1000" i="37"/>
  <c r="R1000" i="37" s="1"/>
  <c r="E988" i="37"/>
  <c r="R988" i="37" s="1"/>
  <c r="A985" i="37"/>
  <c r="K985" i="37" s="1"/>
  <c r="A978" i="37"/>
  <c r="K978" i="37" s="1"/>
  <c r="A973" i="37"/>
  <c r="K973" i="37" s="1"/>
  <c r="A971" i="37"/>
  <c r="K971" i="37" s="1"/>
  <c r="E969" i="37"/>
  <c r="R969" i="37" s="1"/>
  <c r="A966" i="37"/>
  <c r="K966" i="37" s="1"/>
  <c r="E962" i="37"/>
  <c r="R962" i="37" s="1"/>
  <c r="A959" i="37"/>
  <c r="K959" i="37" s="1"/>
  <c r="E957" i="37"/>
  <c r="R957" i="37" s="1"/>
  <c r="E955" i="37"/>
  <c r="R955" i="37" s="1"/>
  <c r="A952" i="37"/>
  <c r="K952" i="37" s="1"/>
  <c r="E950" i="37"/>
  <c r="R950" i="37" s="1"/>
  <c r="E1181" i="37"/>
  <c r="R1181" i="37" s="1"/>
  <c r="E1179" i="37"/>
  <c r="R1179" i="37" s="1"/>
  <c r="A1166" i="37"/>
  <c r="K1166" i="37" s="1"/>
  <c r="A1164" i="37"/>
  <c r="K1164" i="37" s="1"/>
  <c r="A1159" i="37"/>
  <c r="K1159" i="37" s="1"/>
  <c r="A1152" i="37"/>
  <c r="K1152" i="37" s="1"/>
  <c r="E1150" i="37"/>
  <c r="R1150" i="37" s="1"/>
  <c r="E1148" i="37"/>
  <c r="R1148" i="37" s="1"/>
  <c r="A1145" i="37"/>
  <c r="K1145" i="37" s="1"/>
  <c r="E1141" i="37"/>
  <c r="R1141" i="37" s="1"/>
  <c r="E1139" i="37"/>
  <c r="R1139" i="37" s="1"/>
  <c r="A1136" i="37"/>
  <c r="K1136" i="37" s="1"/>
  <c r="E1134" i="37"/>
  <c r="R1134" i="37" s="1"/>
  <c r="E1132" i="37"/>
  <c r="R1132" i="37" s="1"/>
  <c r="A1129" i="37"/>
  <c r="K1129" i="37" s="1"/>
  <c r="E1125" i="37"/>
  <c r="R1125" i="37" s="1"/>
  <c r="E1123" i="37"/>
  <c r="R1123" i="37" s="1"/>
  <c r="A1120" i="37"/>
  <c r="K1120" i="37" s="1"/>
  <c r="E1118" i="37"/>
  <c r="R1118" i="37" s="1"/>
  <c r="E1116" i="37"/>
  <c r="R1116" i="37" s="1"/>
  <c r="A1113" i="37"/>
  <c r="K1113" i="37" s="1"/>
  <c r="E1109" i="37"/>
  <c r="R1109" i="37" s="1"/>
  <c r="E1107" i="37"/>
  <c r="R1107" i="37" s="1"/>
  <c r="A1104" i="37"/>
  <c r="K1104" i="37" s="1"/>
  <c r="E1102" i="37"/>
  <c r="R1102" i="37" s="1"/>
  <c r="E1095" i="37"/>
  <c r="R1095" i="37" s="1"/>
  <c r="A1092" i="37"/>
  <c r="K1092" i="37" s="1"/>
  <c r="E1088" i="37"/>
  <c r="R1088" i="37" s="1"/>
  <c r="E1076" i="37"/>
  <c r="R1076" i="37" s="1"/>
  <c r="A1073" i="37"/>
  <c r="K1073" i="37" s="1"/>
  <c r="A1066" i="37"/>
  <c r="K1066" i="37" s="1"/>
  <c r="A1061" i="37"/>
  <c r="K1061" i="37" s="1"/>
  <c r="A1059" i="37"/>
  <c r="K1059" i="37" s="1"/>
  <c r="E1057" i="37"/>
  <c r="R1057" i="37" s="1"/>
  <c r="A1054" i="37"/>
  <c r="K1054" i="37" s="1"/>
  <c r="E1050" i="37"/>
  <c r="R1050" i="37" s="1"/>
  <c r="A1047" i="37"/>
  <c r="K1047" i="37" s="1"/>
  <c r="E1045" i="37"/>
  <c r="R1045" i="37" s="1"/>
  <c r="E1043" i="37"/>
  <c r="R1043" i="37" s="1"/>
  <c r="A1040" i="37"/>
  <c r="K1040" i="37" s="1"/>
  <c r="E1038" i="37"/>
  <c r="R1038" i="37" s="1"/>
  <c r="E1031" i="37"/>
  <c r="R1031" i="37" s="1"/>
  <c r="A1028" i="37"/>
  <c r="K1028" i="37" s="1"/>
  <c r="E1024" i="37"/>
  <c r="R1024" i="37" s="1"/>
  <c r="E1012" i="37"/>
  <c r="R1012" i="37" s="1"/>
  <c r="A1009" i="37"/>
  <c r="K1009" i="37" s="1"/>
  <c r="A1002" i="37"/>
  <c r="K1002" i="37" s="1"/>
  <c r="A997" i="37"/>
  <c r="K997" i="37" s="1"/>
  <c r="A995" i="37"/>
  <c r="K995" i="37" s="1"/>
  <c r="E993" i="37"/>
  <c r="R993" i="37" s="1"/>
  <c r="A990" i="37"/>
  <c r="K990" i="37" s="1"/>
  <c r="E986" i="37"/>
  <c r="R986" i="37" s="1"/>
  <c r="A983" i="37"/>
  <c r="K983" i="37" s="1"/>
  <c r="E981" i="37"/>
  <c r="R981" i="37" s="1"/>
  <c r="E979" i="37"/>
  <c r="R979" i="37" s="1"/>
  <c r="A976" i="37"/>
  <c r="K976" i="37" s="1"/>
  <c r="E974" i="37"/>
  <c r="R974" i="37" s="1"/>
  <c r="E967" i="37"/>
  <c r="R967" i="37" s="1"/>
  <c r="A964" i="37"/>
  <c r="K964" i="37" s="1"/>
  <c r="E960" i="37"/>
  <c r="R960" i="37" s="1"/>
  <c r="E948" i="37"/>
  <c r="R948" i="37" s="1"/>
  <c r="A945" i="37"/>
  <c r="K945" i="37" s="1"/>
  <c r="A938" i="37"/>
  <c r="K938" i="37" s="1"/>
  <c r="A835" i="37"/>
  <c r="K835" i="37" s="1"/>
  <c r="A1176" i="37"/>
  <c r="K1176" i="37" s="1"/>
  <c r="E1174" i="37"/>
  <c r="R1174" i="37" s="1"/>
  <c r="E1172" i="37"/>
  <c r="R1172" i="37" s="1"/>
  <c r="A1169" i="37"/>
  <c r="K1169" i="37" s="1"/>
  <c r="E1167" i="37"/>
  <c r="R1167" i="37" s="1"/>
  <c r="A1162" i="37"/>
  <c r="K1162" i="37" s="1"/>
  <c r="E1160" i="37"/>
  <c r="R1160" i="37" s="1"/>
  <c r="A1157" i="37"/>
  <c r="K1157" i="37" s="1"/>
  <c r="A1155" i="37"/>
  <c r="K1155" i="37" s="1"/>
  <c r="E1153" i="37"/>
  <c r="R1153" i="37" s="1"/>
  <c r="E1146" i="37"/>
  <c r="R1146" i="37" s="1"/>
  <c r="A1143" i="37"/>
  <c r="K1143" i="37" s="1"/>
  <c r="E1130" i="37"/>
  <c r="R1130" i="37" s="1"/>
  <c r="A1127" i="37"/>
  <c r="K1127" i="37" s="1"/>
  <c r="E1114" i="37"/>
  <c r="R1114" i="37" s="1"/>
  <c r="A1111" i="37"/>
  <c r="K1111" i="37" s="1"/>
  <c r="E1100" i="37"/>
  <c r="R1100" i="37" s="1"/>
  <c r="A1097" i="37"/>
  <c r="K1097" i="37" s="1"/>
  <c r="A1090" i="37"/>
  <c r="K1090" i="37" s="1"/>
  <c r="A1085" i="37"/>
  <c r="K1085" i="37" s="1"/>
  <c r="A1083" i="37"/>
  <c r="K1083" i="37" s="1"/>
  <c r="E1081" i="37"/>
  <c r="R1081" i="37" s="1"/>
  <c r="A1078" i="37"/>
  <c r="K1078" i="37" s="1"/>
  <c r="E1074" i="37"/>
  <c r="R1074" i="37" s="1"/>
  <c r="A1071" i="37"/>
  <c r="K1071" i="37" s="1"/>
  <c r="E1069" i="37"/>
  <c r="R1069" i="37" s="1"/>
  <c r="E1067" i="37"/>
  <c r="R1067" i="37" s="1"/>
  <c r="A1064" i="37"/>
  <c r="K1064" i="37" s="1"/>
  <c r="E1062" i="37"/>
  <c r="R1062" i="37" s="1"/>
  <c r="E1055" i="37"/>
  <c r="R1055" i="37" s="1"/>
  <c r="A1052" i="37"/>
  <c r="K1052" i="37" s="1"/>
  <c r="E1048" i="37"/>
  <c r="R1048" i="37" s="1"/>
  <c r="E1036" i="37"/>
  <c r="R1036" i="37" s="1"/>
  <c r="A1033" i="37"/>
  <c r="K1033" i="37" s="1"/>
  <c r="A1026" i="37"/>
  <c r="K1026" i="37" s="1"/>
  <c r="A1021" i="37"/>
  <c r="K1021" i="37" s="1"/>
  <c r="A1019" i="37"/>
  <c r="K1019" i="37" s="1"/>
  <c r="E1017" i="37"/>
  <c r="R1017" i="37" s="1"/>
  <c r="A1014" i="37"/>
  <c r="K1014" i="37" s="1"/>
  <c r="E1010" i="37"/>
  <c r="R1010" i="37" s="1"/>
  <c r="A1007" i="37"/>
  <c r="K1007" i="37" s="1"/>
  <c r="E1005" i="37"/>
  <c r="R1005" i="37" s="1"/>
  <c r="E1003" i="37"/>
  <c r="R1003" i="37" s="1"/>
  <c r="A1000" i="37"/>
  <c r="K1000" i="37" s="1"/>
  <c r="E998" i="37"/>
  <c r="R998" i="37" s="1"/>
  <c r="E991" i="37"/>
  <c r="R991" i="37" s="1"/>
  <c r="A988" i="37"/>
  <c r="K988" i="37" s="1"/>
  <c r="E984" i="37"/>
  <c r="R984" i="37" s="1"/>
  <c r="E972" i="37"/>
  <c r="R972" i="37" s="1"/>
  <c r="A969" i="37"/>
  <c r="K969" i="37" s="1"/>
  <c r="A962" i="37"/>
  <c r="K962" i="37" s="1"/>
  <c r="A957" i="37"/>
  <c r="K957" i="37" s="1"/>
  <c r="A955" i="37"/>
  <c r="K955" i="37" s="1"/>
  <c r="E953" i="37"/>
  <c r="R953" i="37" s="1"/>
  <c r="A950" i="37"/>
  <c r="K950" i="37" s="1"/>
  <c r="E946" i="37"/>
  <c r="R946" i="37" s="1"/>
  <c r="A943" i="37"/>
  <c r="K943" i="37" s="1"/>
  <c r="E941" i="37"/>
  <c r="R941" i="37" s="1"/>
  <c r="E939" i="37"/>
  <c r="R939" i="37" s="1"/>
  <c r="A838" i="37"/>
  <c r="K838" i="37" s="1"/>
  <c r="E836" i="37"/>
  <c r="R836" i="37" s="1"/>
  <c r="E829" i="37"/>
  <c r="R829" i="37" s="1"/>
  <c r="A826" i="37"/>
  <c r="K826" i="37" s="1"/>
  <c r="E822" i="37"/>
  <c r="R822" i="37" s="1"/>
  <c r="A1181" i="37"/>
  <c r="K1181" i="37" s="1"/>
  <c r="A1179" i="37"/>
  <c r="K1179" i="37" s="1"/>
  <c r="E1177" i="37"/>
  <c r="R1177" i="37" s="1"/>
  <c r="E1170" i="37"/>
  <c r="R1170" i="37" s="1"/>
  <c r="E1165" i="37"/>
  <c r="R1165" i="37" s="1"/>
  <c r="E1163" i="37"/>
  <c r="R1163" i="37" s="1"/>
  <c r="A1150" i="37"/>
  <c r="K1150" i="37" s="1"/>
  <c r="A1148" i="37"/>
  <c r="K1148" i="37" s="1"/>
  <c r="E1144" i="37"/>
  <c r="R1144" i="37" s="1"/>
  <c r="A1141" i="37"/>
  <c r="K1141" i="37" s="1"/>
  <c r="A1139" i="37"/>
  <c r="K1139" i="37" s="1"/>
  <c r="E1137" i="37"/>
  <c r="R1137" i="37" s="1"/>
  <c r="A1134" i="37"/>
  <c r="K1134" i="37" s="1"/>
  <c r="A1132" i="37"/>
  <c r="K1132" i="37" s="1"/>
  <c r="E1128" i="37"/>
  <c r="R1128" i="37" s="1"/>
  <c r="A1125" i="37"/>
  <c r="K1125" i="37" s="1"/>
  <c r="A1123" i="37"/>
  <c r="K1123" i="37" s="1"/>
  <c r="E1121" i="37"/>
  <c r="R1121" i="37" s="1"/>
  <c r="A1118" i="37"/>
  <c r="K1118" i="37" s="1"/>
  <c r="A1116" i="37"/>
  <c r="K1116" i="37" s="1"/>
  <c r="E1112" i="37"/>
  <c r="R1112" i="37" s="1"/>
  <c r="A1109" i="37"/>
  <c r="K1109" i="37" s="1"/>
  <c r="A1107" i="37"/>
  <c r="K1107" i="37" s="1"/>
  <c r="E1105" i="37"/>
  <c r="R1105" i="37" s="1"/>
  <c r="A1102" i="37"/>
  <c r="K1102" i="37" s="1"/>
  <c r="E1098" i="37"/>
  <c r="R1098" i="37" s="1"/>
  <c r="A1095" i="37"/>
  <c r="K1095" i="37" s="1"/>
  <c r="E1093" i="37"/>
  <c r="R1093" i="37" s="1"/>
  <c r="E1091" i="37"/>
  <c r="R1091" i="37" s="1"/>
  <c r="A1088" i="37"/>
  <c r="K1088" i="37" s="1"/>
  <c r="E1086" i="37"/>
  <c r="R1086" i="37" s="1"/>
  <c r="E1079" i="37"/>
  <c r="R1079" i="37" s="1"/>
  <c r="A1076" i="37"/>
  <c r="K1076" i="37" s="1"/>
  <c r="E1072" i="37"/>
  <c r="R1072" i="37" s="1"/>
  <c r="E1060" i="37"/>
  <c r="R1060" i="37" s="1"/>
  <c r="A1057" i="37"/>
  <c r="K1057" i="37" s="1"/>
  <c r="A1050" i="37"/>
  <c r="K1050" i="37" s="1"/>
  <c r="A1045" i="37"/>
  <c r="K1045" i="37" s="1"/>
  <c r="A1043" i="37"/>
  <c r="K1043" i="37" s="1"/>
  <c r="E1041" i="37"/>
  <c r="R1041" i="37" s="1"/>
  <c r="A1038" i="37"/>
  <c r="K1038" i="37" s="1"/>
  <c r="E1034" i="37"/>
  <c r="R1034" i="37" s="1"/>
  <c r="A1031" i="37"/>
  <c r="K1031" i="37" s="1"/>
  <c r="E1029" i="37"/>
  <c r="R1029" i="37" s="1"/>
  <c r="E1027" i="37"/>
  <c r="R1027" i="37" s="1"/>
  <c r="A1024" i="37"/>
  <c r="K1024" i="37" s="1"/>
  <c r="E1022" i="37"/>
  <c r="R1022" i="37" s="1"/>
  <c r="E1015" i="37"/>
  <c r="R1015" i="37" s="1"/>
  <c r="A1012" i="37"/>
  <c r="K1012" i="37" s="1"/>
  <c r="E1008" i="37"/>
  <c r="R1008" i="37" s="1"/>
  <c r="E996" i="37"/>
  <c r="R996" i="37" s="1"/>
  <c r="A993" i="37"/>
  <c r="K993" i="37" s="1"/>
  <c r="A986" i="37"/>
  <c r="K986" i="37" s="1"/>
  <c r="A981" i="37"/>
  <c r="K981" i="37" s="1"/>
  <c r="A1174" i="37"/>
  <c r="K1174" i="37" s="1"/>
  <c r="A1172" i="37"/>
  <c r="K1172" i="37" s="1"/>
  <c r="A1167" i="37"/>
  <c r="K1167" i="37" s="1"/>
  <c r="A1160" i="37"/>
  <c r="K1160" i="37" s="1"/>
  <c r="E1158" i="37"/>
  <c r="R1158" i="37" s="1"/>
  <c r="E1156" i="37"/>
  <c r="R1156" i="37" s="1"/>
  <c r="A1153" i="37"/>
  <c r="K1153" i="37" s="1"/>
  <c r="E1151" i="37"/>
  <c r="R1151" i="37" s="1"/>
  <c r="A1146" i="37"/>
  <c r="K1146" i="37" s="1"/>
  <c r="E1135" i="37"/>
  <c r="R1135" i="37" s="1"/>
  <c r="A1130" i="37"/>
  <c r="K1130" i="37" s="1"/>
  <c r="E1119" i="37"/>
  <c r="R1119" i="37" s="1"/>
  <c r="A1114" i="37"/>
  <c r="K1114" i="37" s="1"/>
  <c r="E1103" i="37"/>
  <c r="R1103" i="37" s="1"/>
  <c r="A1100" i="37"/>
  <c r="K1100" i="37" s="1"/>
  <c r="E1096" i="37"/>
  <c r="R1096" i="37" s="1"/>
  <c r="E1084" i="37"/>
  <c r="R1084" i="37" s="1"/>
  <c r="A1081" i="37"/>
  <c r="K1081" i="37" s="1"/>
  <c r="A1074" i="37"/>
  <c r="K1074" i="37" s="1"/>
  <c r="A1069" i="37"/>
  <c r="K1069" i="37" s="1"/>
  <c r="A1067" i="37"/>
  <c r="K1067" i="37" s="1"/>
  <c r="E1065" i="37"/>
  <c r="R1065" i="37" s="1"/>
  <c r="A1062" i="37"/>
  <c r="K1062" i="37" s="1"/>
  <c r="E1058" i="37"/>
  <c r="R1058" i="37" s="1"/>
  <c r="A1055" i="37"/>
  <c r="K1055" i="37" s="1"/>
  <c r="E1053" i="37"/>
  <c r="R1053" i="37" s="1"/>
  <c r="E1051" i="37"/>
  <c r="R1051" i="37" s="1"/>
  <c r="A1048" i="37"/>
  <c r="K1048" i="37" s="1"/>
  <c r="E1046" i="37"/>
  <c r="R1046" i="37" s="1"/>
  <c r="E1039" i="37"/>
  <c r="R1039" i="37" s="1"/>
  <c r="A1036" i="37"/>
  <c r="K1036" i="37" s="1"/>
  <c r="E1032" i="37"/>
  <c r="R1032" i="37" s="1"/>
  <c r="E1020" i="37"/>
  <c r="R1020" i="37" s="1"/>
  <c r="A1017" i="37"/>
  <c r="K1017" i="37" s="1"/>
  <c r="A1010" i="37"/>
  <c r="K1010" i="37" s="1"/>
  <c r="A1005" i="37"/>
  <c r="K1005" i="37" s="1"/>
  <c r="A1003" i="37"/>
  <c r="K1003" i="37" s="1"/>
  <c r="E1001" i="37"/>
  <c r="R1001" i="37" s="1"/>
  <c r="A998" i="37"/>
  <c r="K998" i="37" s="1"/>
  <c r="E994" i="37"/>
  <c r="R994" i="37" s="1"/>
  <c r="A991" i="37"/>
  <c r="K991" i="37" s="1"/>
  <c r="E989" i="37"/>
  <c r="R989" i="37" s="1"/>
  <c r="E987" i="37"/>
  <c r="R987" i="37" s="1"/>
  <c r="A984" i="37"/>
  <c r="K984" i="37" s="1"/>
  <c r="E982" i="37"/>
  <c r="R982" i="37" s="1"/>
  <c r="E975" i="37"/>
  <c r="R975" i="37" s="1"/>
  <c r="A972" i="37"/>
  <c r="K972" i="37" s="1"/>
  <c r="E968" i="37"/>
  <c r="R968" i="37" s="1"/>
  <c r="E956" i="37"/>
  <c r="R956" i="37" s="1"/>
  <c r="A953" i="37"/>
  <c r="K953" i="37" s="1"/>
  <c r="E1180" i="37"/>
  <c r="R1180" i="37" s="1"/>
  <c r="A1177" i="37"/>
  <c r="K1177" i="37" s="1"/>
  <c r="E1175" i="37"/>
  <c r="R1175" i="37" s="1"/>
  <c r="A1170" i="37"/>
  <c r="K1170" i="37" s="1"/>
  <c r="E1168" i="37"/>
  <c r="R1168" i="37" s="1"/>
  <c r="A1165" i="37"/>
  <c r="K1165" i="37" s="1"/>
  <c r="A1163" i="37"/>
  <c r="K1163" i="37" s="1"/>
  <c r="E1161" i="37"/>
  <c r="R1161" i="37" s="1"/>
  <c r="E1154" i="37"/>
  <c r="R1154" i="37" s="1"/>
  <c r="E1149" i="37"/>
  <c r="R1149" i="37" s="1"/>
  <c r="E1147" i="37"/>
  <c r="R1147" i="37" s="1"/>
  <c r="A1144" i="37"/>
  <c r="K1144" i="37" s="1"/>
  <c r="E1142" i="37"/>
  <c r="R1142" i="37" s="1"/>
  <c r="E1140" i="37"/>
  <c r="R1140" i="37" s="1"/>
  <c r="A1137" i="37"/>
  <c r="K1137" i="37" s="1"/>
  <c r="E1133" i="37"/>
  <c r="R1133" i="37" s="1"/>
  <c r="E1131" i="37"/>
  <c r="R1131" i="37" s="1"/>
  <c r="A1128" i="37"/>
  <c r="K1128" i="37" s="1"/>
  <c r="E1126" i="37"/>
  <c r="R1126" i="37" s="1"/>
  <c r="E1124" i="37"/>
  <c r="R1124" i="37" s="1"/>
  <c r="A1121" i="37"/>
  <c r="K1121" i="37" s="1"/>
  <c r="E1117" i="37"/>
  <c r="R1117" i="37" s="1"/>
  <c r="E1115" i="37"/>
  <c r="R1115" i="37" s="1"/>
  <c r="A1112" i="37"/>
  <c r="K1112" i="37" s="1"/>
  <c r="E1110" i="37"/>
  <c r="R1110" i="37" s="1"/>
  <c r="E1108" i="37"/>
  <c r="R1108" i="37" s="1"/>
  <c r="A1105" i="37"/>
  <c r="K1105" i="37" s="1"/>
  <c r="A1098" i="37"/>
  <c r="K1098" i="37" s="1"/>
  <c r="A1093" i="37"/>
  <c r="K1093" i="37" s="1"/>
  <c r="A1091" i="37"/>
  <c r="K1091" i="37" s="1"/>
  <c r="E1089" i="37"/>
  <c r="R1089" i="37" s="1"/>
  <c r="A1086" i="37"/>
  <c r="K1086" i="37" s="1"/>
  <c r="E1082" i="37"/>
  <c r="R1082" i="37" s="1"/>
  <c r="A1079" i="37"/>
  <c r="K1079" i="37" s="1"/>
  <c r="E1077" i="37"/>
  <c r="R1077" i="37" s="1"/>
  <c r="E1075" i="37"/>
  <c r="R1075" i="37" s="1"/>
  <c r="A1072" i="37"/>
  <c r="K1072" i="37" s="1"/>
  <c r="E1070" i="37"/>
  <c r="R1070" i="37" s="1"/>
  <c r="E1063" i="37"/>
  <c r="R1063" i="37" s="1"/>
  <c r="A1060" i="37"/>
  <c r="K1060" i="37" s="1"/>
  <c r="E1056" i="37"/>
  <c r="R1056" i="37" s="1"/>
  <c r="E1044" i="37"/>
  <c r="R1044" i="37" s="1"/>
  <c r="A1041" i="37"/>
  <c r="K1041" i="37" s="1"/>
  <c r="A1034" i="37"/>
  <c r="K1034" i="37" s="1"/>
  <c r="A1029" i="37"/>
  <c r="K1029" i="37" s="1"/>
  <c r="A1027" i="37"/>
  <c r="K1027" i="37" s="1"/>
  <c r="E1025" i="37"/>
  <c r="R1025" i="37" s="1"/>
  <c r="A1022" i="37"/>
  <c r="K1022" i="37" s="1"/>
  <c r="E1018" i="37"/>
  <c r="R1018" i="37" s="1"/>
  <c r="A1015" i="37"/>
  <c r="K1015" i="37" s="1"/>
  <c r="E1013" i="37"/>
  <c r="R1013" i="37" s="1"/>
  <c r="E1011" i="37"/>
  <c r="R1011" i="37" s="1"/>
  <c r="A1008" i="37"/>
  <c r="K1008" i="37" s="1"/>
  <c r="E1006" i="37"/>
  <c r="R1006" i="37" s="1"/>
  <c r="E999" i="37"/>
  <c r="R999" i="37" s="1"/>
  <c r="A996" i="37"/>
  <c r="K996" i="37" s="1"/>
  <c r="E992" i="37"/>
  <c r="R992" i="37" s="1"/>
  <c r="E980" i="37"/>
  <c r="R980" i="37" s="1"/>
  <c r="A977" i="37"/>
  <c r="K977" i="37" s="1"/>
  <c r="A970" i="37"/>
  <c r="K970" i="37" s="1"/>
  <c r="A965" i="37"/>
  <c r="K965" i="37" s="1"/>
  <c r="A963" i="37"/>
  <c r="K963" i="37" s="1"/>
  <c r="E961" i="37"/>
  <c r="R961" i="37" s="1"/>
  <c r="A958" i="37"/>
  <c r="K958" i="37" s="1"/>
  <c r="E954" i="37"/>
  <c r="R954" i="37" s="1"/>
  <c r="A951" i="37"/>
  <c r="K951" i="37" s="1"/>
  <c r="E949" i="37"/>
  <c r="R949" i="37" s="1"/>
  <c r="E947" i="37"/>
  <c r="R947" i="37" s="1"/>
  <c r="E1178" i="37"/>
  <c r="R1178" i="37" s="1"/>
  <c r="E1173" i="37"/>
  <c r="R1173" i="37" s="1"/>
  <c r="E1171" i="37"/>
  <c r="R1171" i="37" s="1"/>
  <c r="A1158" i="37"/>
  <c r="K1158" i="37" s="1"/>
  <c r="A1156" i="37"/>
  <c r="K1156" i="37" s="1"/>
  <c r="A1151" i="37"/>
  <c r="K1151" i="37" s="1"/>
  <c r="E1138" i="37"/>
  <c r="R1138" i="37" s="1"/>
  <c r="A1135" i="37"/>
  <c r="K1135" i="37" s="1"/>
  <c r="E1122" i="37"/>
  <c r="R1122" i="37" s="1"/>
  <c r="A1119" i="37"/>
  <c r="K1119" i="37" s="1"/>
  <c r="E1106" i="37"/>
  <c r="R1106" i="37" s="1"/>
  <c r="A1103" i="37"/>
  <c r="K1103" i="37" s="1"/>
  <c r="E1101" i="37"/>
  <c r="R1101" i="37" s="1"/>
  <c r="E1099" i="37"/>
  <c r="R1099" i="37" s="1"/>
  <c r="A1096" i="37"/>
  <c r="K1096" i="37" s="1"/>
  <c r="E1094" i="37"/>
  <c r="R1094" i="37" s="1"/>
  <c r="E1087" i="37"/>
  <c r="R1087" i="37" s="1"/>
  <c r="A1084" i="37"/>
  <c r="K1084" i="37" s="1"/>
  <c r="E1080" i="37"/>
  <c r="R1080" i="37" s="1"/>
  <c r="E1068" i="37"/>
  <c r="R1068" i="37" s="1"/>
  <c r="A1065" i="37"/>
  <c r="K1065" i="37" s="1"/>
  <c r="A1058" i="37"/>
  <c r="K1058" i="37" s="1"/>
  <c r="A1053" i="37"/>
  <c r="K1053" i="37" s="1"/>
  <c r="A1051" i="37"/>
  <c r="K1051" i="37" s="1"/>
  <c r="E1049" i="37"/>
  <c r="R1049" i="37" s="1"/>
  <c r="A1046" i="37"/>
  <c r="K1046" i="37" s="1"/>
  <c r="E1042" i="37"/>
  <c r="R1042" i="37" s="1"/>
  <c r="A1039" i="37"/>
  <c r="K1039" i="37" s="1"/>
  <c r="E1037" i="37"/>
  <c r="R1037" i="37" s="1"/>
  <c r="E1035" i="37"/>
  <c r="R1035" i="37" s="1"/>
  <c r="A1032" i="37"/>
  <c r="K1032" i="37" s="1"/>
  <c r="E1030" i="37"/>
  <c r="R1030" i="37" s="1"/>
  <c r="E1023" i="37"/>
  <c r="R1023" i="37" s="1"/>
  <c r="A1020" i="37"/>
  <c r="K1020" i="37" s="1"/>
  <c r="E1016" i="37"/>
  <c r="R1016" i="37" s="1"/>
  <c r="E1004" i="37"/>
  <c r="R1004" i="37" s="1"/>
  <c r="A1001" i="37"/>
  <c r="K1001" i="37" s="1"/>
  <c r="A994" i="37"/>
  <c r="K994" i="37" s="1"/>
  <c r="A989" i="37"/>
  <c r="K989" i="37" s="1"/>
  <c r="A987" i="37"/>
  <c r="K987" i="37" s="1"/>
  <c r="E985" i="37"/>
  <c r="R985" i="37" s="1"/>
  <c r="A982" i="37"/>
  <c r="K982" i="37" s="1"/>
  <c r="E978" i="37"/>
  <c r="R978" i="37" s="1"/>
  <c r="A975" i="37"/>
  <c r="K975" i="37" s="1"/>
  <c r="E973" i="37"/>
  <c r="R973" i="37" s="1"/>
  <c r="E971" i="37"/>
  <c r="R971" i="37" s="1"/>
  <c r="A968" i="37"/>
  <c r="K968" i="37" s="1"/>
  <c r="E966" i="37"/>
  <c r="R966" i="37" s="1"/>
  <c r="E959" i="37"/>
  <c r="R959" i="37" s="1"/>
  <c r="A956" i="37"/>
  <c r="K956" i="37" s="1"/>
  <c r="E952" i="37"/>
  <c r="R952" i="37" s="1"/>
  <c r="E940" i="37"/>
  <c r="R940" i="37" s="1"/>
  <c r="A937" i="37"/>
  <c r="K937" i="37" s="1"/>
  <c r="A832" i="37"/>
  <c r="K832" i="37" s="1"/>
  <c r="A827" i="37"/>
  <c r="K827" i="37" s="1"/>
  <c r="A825" i="37"/>
  <c r="K825" i="37" s="1"/>
  <c r="E823" i="37"/>
  <c r="R823" i="37" s="1"/>
  <c r="A820" i="37"/>
  <c r="K820" i="37" s="1"/>
  <c r="A1131" i="37"/>
  <c r="K1131" i="37" s="1"/>
  <c r="A1108" i="37"/>
  <c r="K1108" i="37" s="1"/>
  <c r="E1104" i="37"/>
  <c r="R1104" i="37" s="1"/>
  <c r="A1056" i="37"/>
  <c r="K1056" i="37" s="1"/>
  <c r="E1028" i="37"/>
  <c r="R1028" i="37" s="1"/>
  <c r="A1025" i="37"/>
  <c r="K1025" i="37" s="1"/>
  <c r="E965" i="37"/>
  <c r="R965" i="37" s="1"/>
  <c r="A960" i="37"/>
  <c r="K960" i="37" s="1"/>
  <c r="E945" i="37"/>
  <c r="R945" i="37" s="1"/>
  <c r="E838" i="37"/>
  <c r="R838" i="37" s="1"/>
  <c r="E834" i="37"/>
  <c r="R834" i="37" s="1"/>
  <c r="E832" i="37"/>
  <c r="R832" i="37" s="1"/>
  <c r="E830" i="37"/>
  <c r="R830" i="37" s="1"/>
  <c r="E826" i="37"/>
  <c r="R826" i="37" s="1"/>
  <c r="A822" i="37"/>
  <c r="K822" i="37" s="1"/>
  <c r="E816" i="37"/>
  <c r="R816" i="37" s="1"/>
  <c r="A813" i="37"/>
  <c r="K813" i="37" s="1"/>
  <c r="E811" i="37"/>
  <c r="R811" i="37" s="1"/>
  <c r="E809" i="37"/>
  <c r="R809" i="37" s="1"/>
  <c r="A806" i="37"/>
  <c r="K806" i="37" s="1"/>
  <c r="E804" i="37"/>
  <c r="R804" i="37" s="1"/>
  <c r="E797" i="37"/>
  <c r="R797" i="37" s="1"/>
  <c r="A794" i="37"/>
  <c r="K794" i="37" s="1"/>
  <c r="E790" i="37"/>
  <c r="R790" i="37" s="1"/>
  <c r="A772" i="37"/>
  <c r="K772" i="37" s="1"/>
  <c r="A770" i="37"/>
  <c r="K770" i="37" s="1"/>
  <c r="E766" i="37"/>
  <c r="R766" i="37" s="1"/>
  <c r="E764" i="37"/>
  <c r="R764" i="37" s="1"/>
  <c r="E762" i="37"/>
  <c r="R762" i="37" s="1"/>
  <c r="A759" i="37"/>
  <c r="K759" i="37" s="1"/>
  <c r="A744" i="37"/>
  <c r="K744" i="37" s="1"/>
  <c r="E740" i="37"/>
  <c r="R740" i="37" s="1"/>
  <c r="E738" i="37"/>
  <c r="R738" i="37" s="1"/>
  <c r="A735" i="37"/>
  <c r="K735" i="37" s="1"/>
  <c r="A733" i="37"/>
  <c r="K733" i="37" s="1"/>
  <c r="A731" i="37"/>
  <c r="K731" i="37" s="1"/>
  <c r="A729" i="37"/>
  <c r="K729" i="37" s="1"/>
  <c r="E727" i="37"/>
  <c r="R727" i="37" s="1"/>
  <c r="A720" i="37"/>
  <c r="K720" i="37" s="1"/>
  <c r="E712" i="37"/>
  <c r="R712" i="37" s="1"/>
  <c r="A709" i="37"/>
  <c r="K709" i="37" s="1"/>
  <c r="A707" i="37"/>
  <c r="K707" i="37" s="1"/>
  <c r="A705" i="37"/>
  <c r="K705" i="37" s="1"/>
  <c r="E703" i="37"/>
  <c r="R703" i="37" s="1"/>
  <c r="E701" i="37"/>
  <c r="R701" i="37" s="1"/>
  <c r="E699" i="37"/>
  <c r="R699" i="37" s="1"/>
  <c r="E697" i="37"/>
  <c r="R697" i="37" s="1"/>
  <c r="A694" i="37"/>
  <c r="K694" i="37" s="1"/>
  <c r="E669" i="37"/>
  <c r="R669" i="37" s="1"/>
  <c r="E667" i="37"/>
  <c r="R667" i="37" s="1"/>
  <c r="E665" i="37"/>
  <c r="R665" i="37" s="1"/>
  <c r="A645" i="37"/>
  <c r="K645" i="37" s="1"/>
  <c r="A643" i="37"/>
  <c r="K643" i="37" s="1"/>
  <c r="A641" i="37"/>
  <c r="K641" i="37" s="1"/>
  <c r="A639" i="37"/>
  <c r="K639" i="37" s="1"/>
  <c r="E637" i="37"/>
  <c r="R637" i="37" s="1"/>
  <c r="E635" i="37"/>
  <c r="R635" i="37" s="1"/>
  <c r="E633" i="37"/>
  <c r="R633" i="37" s="1"/>
  <c r="A628" i="37"/>
  <c r="K628" i="37" s="1"/>
  <c r="A626" i="37"/>
  <c r="K626" i="37" s="1"/>
  <c r="A624" i="37"/>
  <c r="K624" i="37" s="1"/>
  <c r="E622" i="37"/>
  <c r="R622" i="37" s="1"/>
  <c r="E620" i="37"/>
  <c r="R620" i="37" s="1"/>
  <c r="E618" i="37"/>
  <c r="R618" i="37" s="1"/>
  <c r="E616" i="37"/>
  <c r="R616" i="37" s="1"/>
  <c r="A613" i="37"/>
  <c r="K613" i="37" s="1"/>
  <c r="A611" i="37"/>
  <c r="K611" i="37" s="1"/>
  <c r="A609" i="37"/>
  <c r="K609" i="37" s="1"/>
  <c r="A607" i="37"/>
  <c r="K607" i="37" s="1"/>
  <c r="E599" i="37"/>
  <c r="R599" i="37" s="1"/>
  <c r="E597" i="37"/>
  <c r="R597" i="37" s="1"/>
  <c r="A1147" i="37"/>
  <c r="K1147" i="37" s="1"/>
  <c r="A1124" i="37"/>
  <c r="K1124" i="37" s="1"/>
  <c r="E1120" i="37"/>
  <c r="R1120" i="37" s="1"/>
  <c r="E990" i="37"/>
  <c r="R990" i="37" s="1"/>
  <c r="E983" i="37"/>
  <c r="R983" i="37" s="1"/>
  <c r="E977" i="37"/>
  <c r="R977" i="37" s="1"/>
  <c r="A941" i="37"/>
  <c r="K941" i="37" s="1"/>
  <c r="E828" i="37"/>
  <c r="R828" i="37" s="1"/>
  <c r="A824" i="37"/>
  <c r="K824" i="37" s="1"/>
  <c r="A818" i="37"/>
  <c r="K818" i="37" s="1"/>
  <c r="E814" i="37"/>
  <c r="R814" i="37" s="1"/>
  <c r="E802" i="37"/>
  <c r="R802" i="37" s="1"/>
  <c r="A799" i="37"/>
  <c r="K799" i="37" s="1"/>
  <c r="A792" i="37"/>
  <c r="K792" i="37" s="1"/>
  <c r="E788" i="37"/>
  <c r="R788" i="37" s="1"/>
  <c r="E786" i="37"/>
  <c r="R786" i="37" s="1"/>
  <c r="A783" i="37"/>
  <c r="K783" i="37" s="1"/>
  <c r="A781" i="37"/>
  <c r="K781" i="37" s="1"/>
  <c r="A779" i="37"/>
  <c r="K779" i="37" s="1"/>
  <c r="A777" i="37"/>
  <c r="K777" i="37" s="1"/>
  <c r="E775" i="37"/>
  <c r="R775" i="37" s="1"/>
  <c r="A768" i="37"/>
  <c r="K768" i="37" s="1"/>
  <c r="E760" i="37"/>
  <c r="R760" i="37" s="1"/>
  <c r="A757" i="37"/>
  <c r="K757" i="37" s="1"/>
  <c r="A755" i="37"/>
  <c r="K755" i="37" s="1"/>
  <c r="A753" i="37"/>
  <c r="K753" i="37" s="1"/>
  <c r="E751" i="37"/>
  <c r="R751" i="37" s="1"/>
  <c r="E749" i="37"/>
  <c r="R749" i="37" s="1"/>
  <c r="E747" i="37"/>
  <c r="R747" i="37" s="1"/>
  <c r="E745" i="37"/>
  <c r="R745" i="37" s="1"/>
  <c r="A742" i="37"/>
  <c r="K742" i="37" s="1"/>
  <c r="E736" i="37"/>
  <c r="R736" i="37" s="1"/>
  <c r="E725" i="37"/>
  <c r="R725" i="37" s="1"/>
  <c r="E723" i="37"/>
  <c r="R723" i="37" s="1"/>
  <c r="E721" i="37"/>
  <c r="R721" i="37" s="1"/>
  <c r="A718" i="37"/>
  <c r="K718" i="37" s="1"/>
  <c r="A716" i="37"/>
  <c r="K716" i="37" s="1"/>
  <c r="A714" i="37"/>
  <c r="K714" i="37" s="1"/>
  <c r="E710" i="37"/>
  <c r="R710" i="37" s="1"/>
  <c r="A692" i="37"/>
  <c r="K692" i="37" s="1"/>
  <c r="A690" i="37"/>
  <c r="K690" i="37" s="1"/>
  <c r="A688" i="37"/>
  <c r="K688" i="37" s="1"/>
  <c r="E686" i="37"/>
  <c r="R686" i="37" s="1"/>
  <c r="E684" i="37"/>
  <c r="R684" i="37" s="1"/>
  <c r="E682" i="37"/>
  <c r="R682" i="37" s="1"/>
  <c r="E680" i="37"/>
  <c r="R680" i="37" s="1"/>
  <c r="A677" i="37"/>
  <c r="K677" i="37" s="1"/>
  <c r="A675" i="37"/>
  <c r="K675" i="37" s="1"/>
  <c r="A673" i="37"/>
  <c r="K673" i="37" s="1"/>
  <c r="A671" i="37"/>
  <c r="K671" i="37" s="1"/>
  <c r="E663" i="37"/>
  <c r="R663" i="37" s="1"/>
  <c r="E661" i="37"/>
  <c r="R661" i="37" s="1"/>
  <c r="E659" i="37"/>
  <c r="R659" i="37" s="1"/>
  <c r="E657" i="37"/>
  <c r="R657" i="37" s="1"/>
  <c r="A654" i="37"/>
  <c r="K654" i="37" s="1"/>
  <c r="A652" i="37"/>
  <c r="K652" i="37" s="1"/>
  <c r="A650" i="37"/>
  <c r="K650" i="37" s="1"/>
  <c r="A648" i="37"/>
  <c r="K648" i="37" s="1"/>
  <c r="E646" i="37"/>
  <c r="R646" i="37" s="1"/>
  <c r="E631" i="37"/>
  <c r="R631" i="37" s="1"/>
  <c r="E614" i="37"/>
  <c r="R614" i="37" s="1"/>
  <c r="E1166" i="37"/>
  <c r="R1166" i="37" s="1"/>
  <c r="A1140" i="37"/>
  <c r="K1140" i="37" s="1"/>
  <c r="E1136" i="37"/>
  <c r="R1136" i="37" s="1"/>
  <c r="A1117" i="37"/>
  <c r="K1117" i="37" s="1"/>
  <c r="A1082" i="37"/>
  <c r="K1082" i="37" s="1"/>
  <c r="A1075" i="37"/>
  <c r="K1075" i="37" s="1"/>
  <c r="E1061" i="37"/>
  <c r="R1061" i="37" s="1"/>
  <c r="A1013" i="37"/>
  <c r="K1013" i="37" s="1"/>
  <c r="A980" i="37"/>
  <c r="K980" i="37" s="1"/>
  <c r="A947" i="37"/>
  <c r="K947" i="37" s="1"/>
  <c r="E938" i="37"/>
  <c r="R938" i="37" s="1"/>
  <c r="A836" i="37"/>
  <c r="K836" i="37" s="1"/>
  <c r="A834" i="37"/>
  <c r="K834" i="37" s="1"/>
  <c r="A830" i="37"/>
  <c r="K830" i="37" s="1"/>
  <c r="A816" i="37"/>
  <c r="K816" i="37" s="1"/>
  <c r="A811" i="37"/>
  <c r="K811" i="37" s="1"/>
  <c r="A809" i="37"/>
  <c r="K809" i="37" s="1"/>
  <c r="E807" i="37"/>
  <c r="R807" i="37" s="1"/>
  <c r="A804" i="37"/>
  <c r="K804" i="37" s="1"/>
  <c r="E800" i="37"/>
  <c r="R800" i="37" s="1"/>
  <c r="A797" i="37"/>
  <c r="K797" i="37" s="1"/>
  <c r="E795" i="37"/>
  <c r="R795" i="37" s="1"/>
  <c r="E793" i="37"/>
  <c r="R793" i="37" s="1"/>
  <c r="A790" i="37"/>
  <c r="K790" i="37" s="1"/>
  <c r="E784" i="37"/>
  <c r="R784" i="37" s="1"/>
  <c r="E773" i="37"/>
  <c r="R773" i="37" s="1"/>
  <c r="E771" i="37"/>
  <c r="R771" i="37" s="1"/>
  <c r="E769" i="37"/>
  <c r="R769" i="37" s="1"/>
  <c r="A766" i="37"/>
  <c r="K766" i="37" s="1"/>
  <c r="A764" i="37"/>
  <c r="K764" i="37" s="1"/>
  <c r="A762" i="37"/>
  <c r="K762" i="37" s="1"/>
  <c r="E758" i="37"/>
  <c r="R758" i="37" s="1"/>
  <c r="A740" i="37"/>
  <c r="K740" i="37" s="1"/>
  <c r="A738" i="37"/>
  <c r="K738" i="37" s="1"/>
  <c r="E734" i="37"/>
  <c r="R734" i="37" s="1"/>
  <c r="E732" i="37"/>
  <c r="R732" i="37" s="1"/>
  <c r="E730" i="37"/>
  <c r="R730" i="37" s="1"/>
  <c r="A727" i="37"/>
  <c r="K727" i="37" s="1"/>
  <c r="A712" i="37"/>
  <c r="K712" i="37" s="1"/>
  <c r="E708" i="37"/>
  <c r="R708" i="37" s="1"/>
  <c r="E706" i="37"/>
  <c r="R706" i="37" s="1"/>
  <c r="A703" i="37"/>
  <c r="K703" i="37" s="1"/>
  <c r="A701" i="37"/>
  <c r="K701" i="37" s="1"/>
  <c r="A699" i="37"/>
  <c r="K699" i="37" s="1"/>
  <c r="A697" i="37"/>
  <c r="K697" i="37" s="1"/>
  <c r="E695" i="37"/>
  <c r="R695" i="37" s="1"/>
  <c r="E678" i="37"/>
  <c r="R678" i="37" s="1"/>
  <c r="A669" i="37"/>
  <c r="K669" i="37" s="1"/>
  <c r="A667" i="37"/>
  <c r="K667" i="37" s="1"/>
  <c r="A665" i="37"/>
  <c r="K665" i="37" s="1"/>
  <c r="E655" i="37"/>
  <c r="R655" i="37" s="1"/>
  <c r="E644" i="37"/>
  <c r="R644" i="37" s="1"/>
  <c r="E642" i="37"/>
  <c r="R642" i="37" s="1"/>
  <c r="E640" i="37"/>
  <c r="R640" i="37" s="1"/>
  <c r="A637" i="37"/>
  <c r="K637" i="37" s="1"/>
  <c r="A635" i="37"/>
  <c r="K635" i="37" s="1"/>
  <c r="A633" i="37"/>
  <c r="K633" i="37" s="1"/>
  <c r="E629" i="37"/>
  <c r="R629" i="37" s="1"/>
  <c r="E627" i="37"/>
  <c r="R627" i="37" s="1"/>
  <c r="E625" i="37"/>
  <c r="R625" i="37" s="1"/>
  <c r="A622" i="37"/>
  <c r="K622" i="37" s="1"/>
  <c r="A620" i="37"/>
  <c r="K620" i="37" s="1"/>
  <c r="A618" i="37"/>
  <c r="K618" i="37" s="1"/>
  <c r="A616" i="37"/>
  <c r="K616" i="37" s="1"/>
  <c r="E612" i="37"/>
  <c r="R612" i="37" s="1"/>
  <c r="E610" i="37"/>
  <c r="R610" i="37" s="1"/>
  <c r="E608" i="37"/>
  <c r="R608" i="37" s="1"/>
  <c r="E606" i="37"/>
  <c r="R606" i="37" s="1"/>
  <c r="A599" i="37"/>
  <c r="K599" i="37" s="1"/>
  <c r="E1159" i="37"/>
  <c r="R1159" i="37" s="1"/>
  <c r="E1152" i="37"/>
  <c r="R1152" i="37" s="1"/>
  <c r="A1133" i="37"/>
  <c r="K1133" i="37" s="1"/>
  <c r="E1113" i="37"/>
  <c r="R1113" i="37" s="1"/>
  <c r="A1110" i="37"/>
  <c r="K1110" i="37" s="1"/>
  <c r="E1092" i="37"/>
  <c r="R1092" i="37" s="1"/>
  <c r="A1089" i="37"/>
  <c r="K1089" i="37" s="1"/>
  <c r="E1009" i="37"/>
  <c r="R1009" i="37" s="1"/>
  <c r="A1006" i="37"/>
  <c r="K1006" i="37" s="1"/>
  <c r="E1002" i="37"/>
  <c r="R1002" i="37" s="1"/>
  <c r="A999" i="37"/>
  <c r="K999" i="37" s="1"/>
  <c r="A974" i="37"/>
  <c r="K974" i="37" s="1"/>
  <c r="E970" i="37"/>
  <c r="R970" i="37" s="1"/>
  <c r="E964" i="37"/>
  <c r="R964" i="37" s="1"/>
  <c r="E944" i="37"/>
  <c r="R944" i="37" s="1"/>
  <c r="E942" i="37"/>
  <c r="R942" i="37" s="1"/>
  <c r="A828" i="37"/>
  <c r="K828" i="37" s="1"/>
  <c r="E825" i="37"/>
  <c r="R825" i="37" s="1"/>
  <c r="E821" i="37"/>
  <c r="R821" i="37" s="1"/>
  <c r="E819" i="37"/>
  <c r="R819" i="37" s="1"/>
  <c r="E817" i="37"/>
  <c r="R817" i="37" s="1"/>
  <c r="A814" i="37"/>
  <c r="K814" i="37" s="1"/>
  <c r="E812" i="37"/>
  <c r="R812" i="37" s="1"/>
  <c r="E805" i="37"/>
  <c r="R805" i="37" s="1"/>
  <c r="A802" i="37"/>
  <c r="K802" i="37" s="1"/>
  <c r="E798" i="37"/>
  <c r="R798" i="37" s="1"/>
  <c r="A788" i="37"/>
  <c r="K788" i="37" s="1"/>
  <c r="A786" i="37"/>
  <c r="K786" i="37" s="1"/>
  <c r="E782" i="37"/>
  <c r="R782" i="37" s="1"/>
  <c r="E780" i="37"/>
  <c r="R780" i="37" s="1"/>
  <c r="E778" i="37"/>
  <c r="R778" i="37" s="1"/>
  <c r="A775" i="37"/>
  <c r="K775" i="37" s="1"/>
  <c r="A760" i="37"/>
  <c r="K760" i="37" s="1"/>
  <c r="E756" i="37"/>
  <c r="R756" i="37" s="1"/>
  <c r="E754" i="37"/>
  <c r="R754" i="37" s="1"/>
  <c r="A751" i="37"/>
  <c r="K751" i="37" s="1"/>
  <c r="A749" i="37"/>
  <c r="K749" i="37" s="1"/>
  <c r="A747" i="37"/>
  <c r="K747" i="37" s="1"/>
  <c r="A745" i="37"/>
  <c r="K745" i="37" s="1"/>
  <c r="E743" i="37"/>
  <c r="R743" i="37" s="1"/>
  <c r="A736" i="37"/>
  <c r="K736" i="37" s="1"/>
  <c r="E728" i="37"/>
  <c r="R728" i="37" s="1"/>
  <c r="A725" i="37"/>
  <c r="K725" i="37" s="1"/>
  <c r="A723" i="37"/>
  <c r="K723" i="37" s="1"/>
  <c r="A721" i="37"/>
  <c r="K721" i="37" s="1"/>
  <c r="E719" i="37"/>
  <c r="R719" i="37" s="1"/>
  <c r="E717" i="37"/>
  <c r="R717" i="37" s="1"/>
  <c r="E715" i="37"/>
  <c r="R715" i="37" s="1"/>
  <c r="E713" i="37"/>
  <c r="R713" i="37" s="1"/>
  <c r="A710" i="37"/>
  <c r="K710" i="37" s="1"/>
  <c r="E704" i="37"/>
  <c r="R704" i="37" s="1"/>
  <c r="E693" i="37"/>
  <c r="R693" i="37" s="1"/>
  <c r="E691" i="37"/>
  <c r="R691" i="37" s="1"/>
  <c r="E689" i="37"/>
  <c r="R689" i="37" s="1"/>
  <c r="A686" i="37"/>
  <c r="K686" i="37" s="1"/>
  <c r="A684" i="37"/>
  <c r="K684" i="37" s="1"/>
  <c r="A682" i="37"/>
  <c r="K682" i="37" s="1"/>
  <c r="A680" i="37"/>
  <c r="K680" i="37" s="1"/>
  <c r="E676" i="37"/>
  <c r="R676" i="37" s="1"/>
  <c r="E674" i="37"/>
  <c r="R674" i="37" s="1"/>
  <c r="E672" i="37"/>
  <c r="R672" i="37" s="1"/>
  <c r="E670" i="37"/>
  <c r="R670" i="37" s="1"/>
  <c r="A663" i="37"/>
  <c r="K663" i="37" s="1"/>
  <c r="A661" i="37"/>
  <c r="K661" i="37" s="1"/>
  <c r="A659" i="37"/>
  <c r="K659" i="37" s="1"/>
  <c r="A657" i="37"/>
  <c r="K657" i="37" s="1"/>
  <c r="E653" i="37"/>
  <c r="R653" i="37" s="1"/>
  <c r="E651" i="37"/>
  <c r="R651" i="37" s="1"/>
  <c r="E649" i="37"/>
  <c r="R649" i="37" s="1"/>
  <c r="A1180" i="37"/>
  <c r="K1180" i="37" s="1"/>
  <c r="A1149" i="37"/>
  <c r="K1149" i="37" s="1"/>
  <c r="E1129" i="37"/>
  <c r="R1129" i="37" s="1"/>
  <c r="A1126" i="37"/>
  <c r="K1126" i="37" s="1"/>
  <c r="E1054" i="37"/>
  <c r="R1054" i="37" s="1"/>
  <c r="E1047" i="37"/>
  <c r="R1047" i="37" s="1"/>
  <c r="E995" i="37"/>
  <c r="R995" i="37" s="1"/>
  <c r="E976" i="37"/>
  <c r="R976" i="37" s="1"/>
  <c r="A967" i="37"/>
  <c r="K967" i="37" s="1"/>
  <c r="E958" i="37"/>
  <c r="R958" i="37" s="1"/>
  <c r="A949" i="37"/>
  <c r="K949" i="37" s="1"/>
  <c r="A940" i="37"/>
  <c r="K940" i="37" s="1"/>
  <c r="E837" i="37"/>
  <c r="R837" i="37" s="1"/>
  <c r="E833" i="37"/>
  <c r="R833" i="37" s="1"/>
  <c r="E831" i="37"/>
  <c r="R831" i="37" s="1"/>
  <c r="E810" i="37"/>
  <c r="R810" i="37" s="1"/>
  <c r="A807" i="37"/>
  <c r="K807" i="37" s="1"/>
  <c r="A800" i="37"/>
  <c r="K800" i="37" s="1"/>
  <c r="A795" i="37"/>
  <c r="K795" i="37" s="1"/>
  <c r="A793" i="37"/>
  <c r="K793" i="37" s="1"/>
  <c r="E791" i="37"/>
  <c r="R791" i="37" s="1"/>
  <c r="A784" i="37"/>
  <c r="K784" i="37" s="1"/>
  <c r="E776" i="37"/>
  <c r="R776" i="37" s="1"/>
  <c r="A773" i="37"/>
  <c r="K773" i="37" s="1"/>
  <c r="A771" i="37"/>
  <c r="K771" i="37" s="1"/>
  <c r="A769" i="37"/>
  <c r="K769" i="37" s="1"/>
  <c r="E767" i="37"/>
  <c r="R767" i="37" s="1"/>
  <c r="E765" i="37"/>
  <c r="R765" i="37" s="1"/>
  <c r="E763" i="37"/>
  <c r="R763" i="37" s="1"/>
  <c r="E761" i="37"/>
  <c r="R761" i="37" s="1"/>
  <c r="A758" i="37"/>
  <c r="K758" i="37" s="1"/>
  <c r="E752" i="37"/>
  <c r="R752" i="37" s="1"/>
  <c r="E741" i="37"/>
  <c r="R741" i="37" s="1"/>
  <c r="E739" i="37"/>
  <c r="R739" i="37" s="1"/>
  <c r="E737" i="37"/>
  <c r="R737" i="37" s="1"/>
  <c r="A734" i="37"/>
  <c r="K734" i="37" s="1"/>
  <c r="A732" i="37"/>
  <c r="K732" i="37" s="1"/>
  <c r="A730" i="37"/>
  <c r="K730" i="37" s="1"/>
  <c r="E726" i="37"/>
  <c r="R726" i="37" s="1"/>
  <c r="A708" i="37"/>
  <c r="K708" i="37" s="1"/>
  <c r="A706" i="37"/>
  <c r="K706" i="37" s="1"/>
  <c r="E702" i="37"/>
  <c r="R702" i="37" s="1"/>
  <c r="E700" i="37"/>
  <c r="R700" i="37" s="1"/>
  <c r="E698" i="37"/>
  <c r="R698" i="37" s="1"/>
  <c r="A695" i="37"/>
  <c r="K695" i="37" s="1"/>
  <c r="E687" i="37"/>
  <c r="R687" i="37" s="1"/>
  <c r="A678" i="37"/>
  <c r="K678" i="37" s="1"/>
  <c r="E668" i="37"/>
  <c r="R668" i="37" s="1"/>
  <c r="E666" i="37"/>
  <c r="R666" i="37" s="1"/>
  <c r="E664" i="37"/>
  <c r="R664" i="37" s="1"/>
  <c r="A655" i="37"/>
  <c r="K655" i="37" s="1"/>
  <c r="E647" i="37"/>
  <c r="R647" i="37" s="1"/>
  <c r="A644" i="37"/>
  <c r="K644" i="37" s="1"/>
  <c r="A642" i="37"/>
  <c r="K642" i="37" s="1"/>
  <c r="A640" i="37"/>
  <c r="K640" i="37" s="1"/>
  <c r="E636" i="37"/>
  <c r="R636" i="37" s="1"/>
  <c r="E634" i="37"/>
  <c r="R634" i="37" s="1"/>
  <c r="E632" i="37"/>
  <c r="R632" i="37" s="1"/>
  <c r="A629" i="37"/>
  <c r="K629" i="37" s="1"/>
  <c r="A627" i="37"/>
  <c r="K627" i="37" s="1"/>
  <c r="A625" i="37"/>
  <c r="K625" i="37" s="1"/>
  <c r="E621" i="37"/>
  <c r="R621" i="37" s="1"/>
  <c r="E619" i="37"/>
  <c r="R619" i="37" s="1"/>
  <c r="E617" i="37"/>
  <c r="R617" i="37" s="1"/>
  <c r="E615" i="37"/>
  <c r="R615" i="37" s="1"/>
  <c r="A612" i="37"/>
  <c r="K612" i="37" s="1"/>
  <c r="A610" i="37"/>
  <c r="K610" i="37" s="1"/>
  <c r="A608" i="37"/>
  <c r="K608" i="37" s="1"/>
  <c r="A606" i="37"/>
  <c r="K606" i="37" s="1"/>
  <c r="E598" i="37"/>
  <c r="R598" i="37" s="1"/>
  <c r="E596" i="37"/>
  <c r="R596" i="37" s="1"/>
  <c r="A1175" i="37"/>
  <c r="K1175" i="37" s="1"/>
  <c r="E1164" i="37"/>
  <c r="R1164" i="37" s="1"/>
  <c r="A1161" i="37"/>
  <c r="K1161" i="37" s="1"/>
  <c r="A1154" i="37"/>
  <c r="K1154" i="37" s="1"/>
  <c r="A1115" i="37"/>
  <c r="K1115" i="37" s="1"/>
  <c r="E1059" i="37"/>
  <c r="R1059" i="37" s="1"/>
  <c r="A1018" i="37"/>
  <c r="K1018" i="37" s="1"/>
  <c r="A1011" i="37"/>
  <c r="K1011" i="37" s="1"/>
  <c r="E997" i="37"/>
  <c r="R997" i="37" s="1"/>
  <c r="A954" i="37"/>
  <c r="K954" i="37" s="1"/>
  <c r="A948" i="37"/>
  <c r="K948" i="37" s="1"/>
  <c r="E943" i="37"/>
  <c r="R943" i="37" s="1"/>
  <c r="A939" i="37"/>
  <c r="K939" i="37" s="1"/>
  <c r="E824" i="37"/>
  <c r="R824" i="37" s="1"/>
  <c r="E820" i="37"/>
  <c r="R820" i="37" s="1"/>
  <c r="E818" i="37"/>
  <c r="R818" i="37" s="1"/>
  <c r="A815" i="37"/>
  <c r="K815" i="37" s="1"/>
  <c r="A808" i="37"/>
  <c r="K808" i="37" s="1"/>
  <c r="A803" i="37"/>
  <c r="K803" i="37" s="1"/>
  <c r="A801" i="37"/>
  <c r="K801" i="37" s="1"/>
  <c r="E799" i="37"/>
  <c r="R799" i="37" s="1"/>
  <c r="A796" i="37"/>
  <c r="K796" i="37" s="1"/>
  <c r="E792" i="37"/>
  <c r="R792" i="37" s="1"/>
  <c r="A789" i="37"/>
  <c r="K789" i="37" s="1"/>
  <c r="A787" i="37"/>
  <c r="K787" i="37" s="1"/>
  <c r="A785" i="37"/>
  <c r="K785" i="37" s="1"/>
  <c r="E783" i="37"/>
  <c r="R783" i="37" s="1"/>
  <c r="E781" i="37"/>
  <c r="R781" i="37" s="1"/>
  <c r="E779" i="37"/>
  <c r="R779" i="37" s="1"/>
  <c r="E777" i="37"/>
  <c r="R777" i="37" s="1"/>
  <c r="A774" i="37"/>
  <c r="K774" i="37" s="1"/>
  <c r="E768" i="37"/>
  <c r="R768" i="37" s="1"/>
  <c r="E757" i="37"/>
  <c r="R757" i="37" s="1"/>
  <c r="E755" i="37"/>
  <c r="R755" i="37" s="1"/>
  <c r="E753" i="37"/>
  <c r="R753" i="37" s="1"/>
  <c r="A750" i="37"/>
  <c r="K750" i="37" s="1"/>
  <c r="A748" i="37"/>
  <c r="K748" i="37" s="1"/>
  <c r="A746" i="37"/>
  <c r="K746" i="37" s="1"/>
  <c r="E742" i="37"/>
  <c r="R742" i="37" s="1"/>
  <c r="A724" i="37"/>
  <c r="K724" i="37" s="1"/>
  <c r="A722" i="37"/>
  <c r="K722" i="37" s="1"/>
  <c r="E718" i="37"/>
  <c r="R718" i="37" s="1"/>
  <c r="E716" i="37"/>
  <c r="R716" i="37" s="1"/>
  <c r="E714" i="37"/>
  <c r="R714" i="37" s="1"/>
  <c r="A711" i="37"/>
  <c r="K711" i="37" s="1"/>
  <c r="A696" i="37"/>
  <c r="K696" i="37" s="1"/>
  <c r="E692" i="37"/>
  <c r="R692" i="37" s="1"/>
  <c r="E690" i="37"/>
  <c r="R690" i="37" s="1"/>
  <c r="E688" i="37"/>
  <c r="R688" i="37" s="1"/>
  <c r="A685" i="37"/>
  <c r="K685" i="37" s="1"/>
  <c r="A683" i="37"/>
  <c r="K683" i="37" s="1"/>
  <c r="A681" i="37"/>
  <c r="K681" i="37" s="1"/>
  <c r="A679" i="37"/>
  <c r="K679" i="37" s="1"/>
  <c r="E677" i="37"/>
  <c r="R677" i="37" s="1"/>
  <c r="E675" i="37"/>
  <c r="R675" i="37" s="1"/>
  <c r="E673" i="37"/>
  <c r="R673" i="37" s="1"/>
  <c r="E671" i="37"/>
  <c r="R671" i="37" s="1"/>
  <c r="A662" i="37"/>
  <c r="K662" i="37" s="1"/>
  <c r="A660" i="37"/>
  <c r="K660" i="37" s="1"/>
  <c r="A658" i="37"/>
  <c r="K658" i="37" s="1"/>
  <c r="A656" i="37"/>
  <c r="K656" i="37" s="1"/>
  <c r="E654" i="37"/>
  <c r="R654" i="37" s="1"/>
  <c r="E652" i="37"/>
  <c r="R652" i="37" s="1"/>
  <c r="E650" i="37"/>
  <c r="R650" i="37" s="1"/>
  <c r="E648" i="37"/>
  <c r="R648" i="37" s="1"/>
  <c r="A630" i="37"/>
  <c r="K630" i="37" s="1"/>
  <c r="E605" i="37"/>
  <c r="R605" i="37" s="1"/>
  <c r="E603" i="37"/>
  <c r="R603" i="37" s="1"/>
  <c r="E601" i="37"/>
  <c r="R601" i="37" s="1"/>
  <c r="A992" i="37"/>
  <c r="K992" i="37" s="1"/>
  <c r="A823" i="37"/>
  <c r="K823" i="37" s="1"/>
  <c r="A805" i="37"/>
  <c r="K805" i="37" s="1"/>
  <c r="E796" i="37"/>
  <c r="R796" i="37" s="1"/>
  <c r="E774" i="37"/>
  <c r="R774" i="37" s="1"/>
  <c r="A765" i="37"/>
  <c r="K765" i="37" s="1"/>
  <c r="A743" i="37"/>
  <c r="K743" i="37" s="1"/>
  <c r="E733" i="37"/>
  <c r="R733" i="37" s="1"/>
  <c r="E724" i="37"/>
  <c r="R724" i="37" s="1"/>
  <c r="A715" i="37"/>
  <c r="K715" i="37" s="1"/>
  <c r="A700" i="37"/>
  <c r="K700" i="37" s="1"/>
  <c r="E662" i="37"/>
  <c r="R662" i="37" s="1"/>
  <c r="A653" i="37"/>
  <c r="K653" i="37" s="1"/>
  <c r="A638" i="37"/>
  <c r="K638" i="37" s="1"/>
  <c r="A632" i="37"/>
  <c r="K632" i="37" s="1"/>
  <c r="E611" i="37"/>
  <c r="R611" i="37" s="1"/>
  <c r="A603" i="37"/>
  <c r="K603" i="37" s="1"/>
  <c r="A579" i="37"/>
  <c r="K579" i="37" s="1"/>
  <c r="A577" i="37"/>
  <c r="K577" i="37" s="1"/>
  <c r="E573" i="37"/>
  <c r="R573" i="37" s="1"/>
  <c r="E571" i="37"/>
  <c r="R571" i="37" s="1"/>
  <c r="E569" i="37"/>
  <c r="R569" i="37" s="1"/>
  <c r="A566" i="37"/>
  <c r="K566" i="37" s="1"/>
  <c r="A551" i="37"/>
  <c r="K551" i="37" s="1"/>
  <c r="E547" i="37"/>
  <c r="R547" i="37" s="1"/>
  <c r="E545" i="37"/>
  <c r="R545" i="37" s="1"/>
  <c r="A444" i="37"/>
  <c r="K444" i="37" s="1"/>
  <c r="A442" i="37"/>
  <c r="K442" i="37" s="1"/>
  <c r="A440" i="37"/>
  <c r="K440" i="37" s="1"/>
  <c r="A438" i="37"/>
  <c r="K438" i="37" s="1"/>
  <c r="E436" i="37"/>
  <c r="R436" i="37" s="1"/>
  <c r="A429" i="37"/>
  <c r="K429" i="37" s="1"/>
  <c r="E421" i="37"/>
  <c r="R421" i="37" s="1"/>
  <c r="A418" i="37"/>
  <c r="K418" i="37" s="1"/>
  <c r="A416" i="37"/>
  <c r="K416" i="37" s="1"/>
  <c r="A414" i="37"/>
  <c r="K414" i="37" s="1"/>
  <c r="E412" i="37"/>
  <c r="R412" i="37" s="1"/>
  <c r="E410" i="37"/>
  <c r="R410" i="37" s="1"/>
  <c r="E408" i="37"/>
  <c r="R408" i="37" s="1"/>
  <c r="E406" i="37"/>
  <c r="R406" i="37" s="1"/>
  <c r="A403" i="37"/>
  <c r="K403" i="37" s="1"/>
  <c r="E343" i="37"/>
  <c r="R343" i="37" s="1"/>
  <c r="E341" i="37"/>
  <c r="R341" i="37" s="1"/>
  <c r="E339" i="37"/>
  <c r="R339" i="37" s="1"/>
  <c r="E337" i="37"/>
  <c r="R337" i="37" s="1"/>
  <c r="E335" i="37"/>
  <c r="R335" i="37" s="1"/>
  <c r="E333" i="37"/>
  <c r="R333" i="37" s="1"/>
  <c r="E331" i="37"/>
  <c r="R331" i="37" s="1"/>
  <c r="E329" i="37"/>
  <c r="R329" i="37" s="1"/>
  <c r="E327" i="37"/>
  <c r="R327" i="37" s="1"/>
  <c r="E325" i="37"/>
  <c r="R325" i="37" s="1"/>
  <c r="E323" i="37"/>
  <c r="R323" i="37" s="1"/>
  <c r="E321" i="37"/>
  <c r="R321" i="37" s="1"/>
  <c r="E319" i="37"/>
  <c r="R319" i="37" s="1"/>
  <c r="E317" i="37"/>
  <c r="R317" i="37" s="1"/>
  <c r="E315" i="37"/>
  <c r="R315" i="37" s="1"/>
  <c r="E313" i="37"/>
  <c r="R313" i="37" s="1"/>
  <c r="E311" i="37"/>
  <c r="R311" i="37" s="1"/>
  <c r="E309" i="37"/>
  <c r="R309" i="37" s="1"/>
  <c r="E307" i="37"/>
  <c r="R307" i="37" s="1"/>
  <c r="E305" i="37"/>
  <c r="R305" i="37" s="1"/>
  <c r="E303" i="37"/>
  <c r="R303" i="37" s="1"/>
  <c r="E301" i="37"/>
  <c r="R301" i="37" s="1"/>
  <c r="E299" i="37"/>
  <c r="R299" i="37" s="1"/>
  <c r="E297" i="37"/>
  <c r="R297" i="37" s="1"/>
  <c r="E295" i="37"/>
  <c r="R295" i="37" s="1"/>
  <c r="E293" i="37"/>
  <c r="R293" i="37" s="1"/>
  <c r="E291" i="37"/>
  <c r="R291" i="37" s="1"/>
  <c r="E289" i="37"/>
  <c r="R289" i="37" s="1"/>
  <c r="E287" i="37"/>
  <c r="R287" i="37" s="1"/>
  <c r="E285" i="37"/>
  <c r="R285" i="37" s="1"/>
  <c r="E283" i="37"/>
  <c r="R283" i="37" s="1"/>
  <c r="E281" i="37"/>
  <c r="R281" i="37" s="1"/>
  <c r="E835" i="37"/>
  <c r="R835" i="37" s="1"/>
  <c r="A829" i="37"/>
  <c r="K829" i="37" s="1"/>
  <c r="E813" i="37"/>
  <c r="R813" i="37" s="1"/>
  <c r="A752" i="37"/>
  <c r="K752" i="37" s="1"/>
  <c r="E705" i="37"/>
  <c r="R705" i="37" s="1"/>
  <c r="E696" i="37"/>
  <c r="R696" i="37" s="1"/>
  <c r="A687" i="37"/>
  <c r="K687" i="37" s="1"/>
  <c r="E643" i="37"/>
  <c r="R643" i="37" s="1"/>
  <c r="A623" i="37"/>
  <c r="K623" i="37" s="1"/>
  <c r="A617" i="37"/>
  <c r="K617" i="37" s="1"/>
  <c r="A614" i="37"/>
  <c r="K614" i="37" s="1"/>
  <c r="A605" i="37"/>
  <c r="K605" i="37" s="1"/>
  <c r="E600" i="37"/>
  <c r="R600" i="37" s="1"/>
  <c r="A598" i="37"/>
  <c r="K598" i="37" s="1"/>
  <c r="E595" i="37"/>
  <c r="R595" i="37" s="1"/>
  <c r="E593" i="37"/>
  <c r="R593" i="37" s="1"/>
  <c r="A590" i="37"/>
  <c r="K590" i="37" s="1"/>
  <c r="A588" i="37"/>
  <c r="K588" i="37" s="1"/>
  <c r="A586" i="37"/>
  <c r="K586" i="37" s="1"/>
  <c r="A584" i="37"/>
  <c r="K584" i="37" s="1"/>
  <c r="E582" i="37"/>
  <c r="R582" i="37" s="1"/>
  <c r="A575" i="37"/>
  <c r="K575" i="37" s="1"/>
  <c r="E567" i="37"/>
  <c r="R567" i="37" s="1"/>
  <c r="A564" i="37"/>
  <c r="K564" i="37" s="1"/>
  <c r="A562" i="37"/>
  <c r="K562" i="37" s="1"/>
  <c r="A560" i="37"/>
  <c r="K560" i="37" s="1"/>
  <c r="E558" i="37"/>
  <c r="R558" i="37" s="1"/>
  <c r="E556" i="37"/>
  <c r="R556" i="37" s="1"/>
  <c r="E554" i="37"/>
  <c r="R554" i="37" s="1"/>
  <c r="E552" i="37"/>
  <c r="R552" i="37" s="1"/>
  <c r="A549" i="37"/>
  <c r="K549" i="37" s="1"/>
  <c r="E445" i="37"/>
  <c r="R445" i="37" s="1"/>
  <c r="E434" i="37"/>
  <c r="R434" i="37" s="1"/>
  <c r="E432" i="37"/>
  <c r="R432" i="37" s="1"/>
  <c r="E430" i="37"/>
  <c r="R430" i="37" s="1"/>
  <c r="A427" i="37"/>
  <c r="K427" i="37" s="1"/>
  <c r="A425" i="37"/>
  <c r="K425" i="37" s="1"/>
  <c r="A423" i="37"/>
  <c r="K423" i="37" s="1"/>
  <c r="E419" i="37"/>
  <c r="R419" i="37" s="1"/>
  <c r="A401" i="37"/>
  <c r="K401" i="37" s="1"/>
  <c r="A399" i="37"/>
  <c r="K399" i="37" s="1"/>
  <c r="A397" i="37"/>
  <c r="K397" i="37" s="1"/>
  <c r="A395" i="37"/>
  <c r="K395" i="37" s="1"/>
  <c r="A393" i="37"/>
  <c r="K393" i="37" s="1"/>
  <c r="A391" i="37"/>
  <c r="K391" i="37" s="1"/>
  <c r="A389" i="37"/>
  <c r="K389" i="37" s="1"/>
  <c r="A387" i="37"/>
  <c r="K387" i="37" s="1"/>
  <c r="A385" i="37"/>
  <c r="K385" i="37" s="1"/>
  <c r="A383" i="37"/>
  <c r="K383" i="37" s="1"/>
  <c r="A381" i="37"/>
  <c r="K381" i="37" s="1"/>
  <c r="A379" i="37"/>
  <c r="K379" i="37" s="1"/>
  <c r="A377" i="37"/>
  <c r="K377" i="37" s="1"/>
  <c r="A375" i="37"/>
  <c r="K375" i="37" s="1"/>
  <c r="A373" i="37"/>
  <c r="K373" i="37" s="1"/>
  <c r="A371" i="37"/>
  <c r="K371" i="37" s="1"/>
  <c r="A369" i="37"/>
  <c r="K369" i="37" s="1"/>
  <c r="A367" i="37"/>
  <c r="K367" i="37" s="1"/>
  <c r="A365" i="37"/>
  <c r="K365" i="37" s="1"/>
  <c r="A363" i="37"/>
  <c r="K363" i="37" s="1"/>
  <c r="E1145" i="37"/>
  <c r="R1145" i="37" s="1"/>
  <c r="A1142" i="37"/>
  <c r="K1142" i="37" s="1"/>
  <c r="A961" i="37"/>
  <c r="K961" i="37" s="1"/>
  <c r="A946" i="37"/>
  <c r="K946" i="37" s="1"/>
  <c r="A819" i="37"/>
  <c r="K819" i="37" s="1"/>
  <c r="E801" i="37"/>
  <c r="R801" i="37" s="1"/>
  <c r="E789" i="37"/>
  <c r="R789" i="37" s="1"/>
  <c r="A780" i="37"/>
  <c r="K780" i="37" s="1"/>
  <c r="E770" i="37"/>
  <c r="R770" i="37" s="1"/>
  <c r="A761" i="37"/>
  <c r="K761" i="37" s="1"/>
  <c r="E748" i="37"/>
  <c r="R748" i="37" s="1"/>
  <c r="A739" i="37"/>
  <c r="K739" i="37" s="1"/>
  <c r="E729" i="37"/>
  <c r="R729" i="37" s="1"/>
  <c r="E720" i="37"/>
  <c r="R720" i="37" s="1"/>
  <c r="E711" i="37"/>
  <c r="R711" i="37" s="1"/>
  <c r="A693" i="37"/>
  <c r="K693" i="37" s="1"/>
  <c r="E683" i="37"/>
  <c r="R683" i="37" s="1"/>
  <c r="A674" i="37"/>
  <c r="K674" i="37" s="1"/>
  <c r="A668" i="37"/>
  <c r="K668" i="37" s="1"/>
  <c r="E658" i="37"/>
  <c r="R658" i="37" s="1"/>
  <c r="A649" i="37"/>
  <c r="K649" i="37" s="1"/>
  <c r="A646" i="37"/>
  <c r="K646" i="37" s="1"/>
  <c r="E628" i="37"/>
  <c r="R628" i="37" s="1"/>
  <c r="E607" i="37"/>
  <c r="R607" i="37" s="1"/>
  <c r="E602" i="37"/>
  <c r="R602" i="37" s="1"/>
  <c r="E591" i="37"/>
  <c r="R591" i="37" s="1"/>
  <c r="E580" i="37"/>
  <c r="R580" i="37" s="1"/>
  <c r="E578" i="37"/>
  <c r="R578" i="37" s="1"/>
  <c r="E576" i="37"/>
  <c r="R576" i="37" s="1"/>
  <c r="A573" i="37"/>
  <c r="K573" i="37" s="1"/>
  <c r="A571" i="37"/>
  <c r="K571" i="37" s="1"/>
  <c r="A569" i="37"/>
  <c r="K569" i="37" s="1"/>
  <c r="E565" i="37"/>
  <c r="R565" i="37" s="1"/>
  <c r="A547" i="37"/>
  <c r="K547" i="37" s="1"/>
  <c r="A545" i="37"/>
  <c r="K545" i="37" s="1"/>
  <c r="E443" i="37"/>
  <c r="R443" i="37" s="1"/>
  <c r="E441" i="37"/>
  <c r="R441" i="37" s="1"/>
  <c r="E439" i="37"/>
  <c r="R439" i="37" s="1"/>
  <c r="A436" i="37"/>
  <c r="K436" i="37" s="1"/>
  <c r="A421" i="37"/>
  <c r="K421" i="37" s="1"/>
  <c r="E417" i="37"/>
  <c r="R417" i="37" s="1"/>
  <c r="E415" i="37"/>
  <c r="R415" i="37" s="1"/>
  <c r="A412" i="37"/>
  <c r="K412" i="37" s="1"/>
  <c r="A410" i="37"/>
  <c r="K410" i="37" s="1"/>
  <c r="A408" i="37"/>
  <c r="K408" i="37" s="1"/>
  <c r="A406" i="37"/>
  <c r="K406" i="37" s="1"/>
  <c r="E404" i="37"/>
  <c r="R404" i="37" s="1"/>
  <c r="A810" i="37"/>
  <c r="K810" i="37" s="1"/>
  <c r="A798" i="37"/>
  <c r="K798" i="37" s="1"/>
  <c r="A767" i="37"/>
  <c r="K767" i="37" s="1"/>
  <c r="E735" i="37"/>
  <c r="R735" i="37" s="1"/>
  <c r="A717" i="37"/>
  <c r="K717" i="37" s="1"/>
  <c r="A702" i="37"/>
  <c r="K702" i="37" s="1"/>
  <c r="E639" i="37"/>
  <c r="R639" i="37" s="1"/>
  <c r="A634" i="37"/>
  <c r="K634" i="37" s="1"/>
  <c r="A631" i="37"/>
  <c r="K631" i="37" s="1"/>
  <c r="E613" i="37"/>
  <c r="R613" i="37" s="1"/>
  <c r="E604" i="37"/>
  <c r="R604" i="37" s="1"/>
  <c r="A600" i="37"/>
  <c r="K600" i="37" s="1"/>
  <c r="A595" i="37"/>
  <c r="K595" i="37" s="1"/>
  <c r="A593" i="37"/>
  <c r="K593" i="37" s="1"/>
  <c r="E589" i="37"/>
  <c r="R589" i="37" s="1"/>
  <c r="E587" i="37"/>
  <c r="R587" i="37" s="1"/>
  <c r="E585" i="37"/>
  <c r="R585" i="37" s="1"/>
  <c r="A582" i="37"/>
  <c r="K582" i="37" s="1"/>
  <c r="A567" i="37"/>
  <c r="K567" i="37" s="1"/>
  <c r="E563" i="37"/>
  <c r="R563" i="37" s="1"/>
  <c r="E561" i="37"/>
  <c r="R561" i="37" s="1"/>
  <c r="A558" i="37"/>
  <c r="K558" i="37" s="1"/>
  <c r="A556" i="37"/>
  <c r="K556" i="37" s="1"/>
  <c r="A554" i="37"/>
  <c r="K554" i="37" s="1"/>
  <c r="A552" i="37"/>
  <c r="K552" i="37" s="1"/>
  <c r="E550" i="37"/>
  <c r="R550" i="37" s="1"/>
  <c r="A445" i="37"/>
  <c r="K445" i="37" s="1"/>
  <c r="E437" i="37"/>
  <c r="R437" i="37" s="1"/>
  <c r="A434" i="37"/>
  <c r="K434" i="37" s="1"/>
  <c r="A432" i="37"/>
  <c r="K432" i="37" s="1"/>
  <c r="A430" i="37"/>
  <c r="K430" i="37" s="1"/>
  <c r="E428" i="37"/>
  <c r="R428" i="37" s="1"/>
  <c r="E426" i="37"/>
  <c r="R426" i="37" s="1"/>
  <c r="E424" i="37"/>
  <c r="R424" i="37" s="1"/>
  <c r="E422" i="37"/>
  <c r="R422" i="37" s="1"/>
  <c r="A419" i="37"/>
  <c r="K419" i="37" s="1"/>
  <c r="E413" i="37"/>
  <c r="R413" i="37" s="1"/>
  <c r="A1168" i="37"/>
  <c r="K1168" i="37" s="1"/>
  <c r="A979" i="37"/>
  <c r="K979" i="37" s="1"/>
  <c r="E963" i="37"/>
  <c r="R963" i="37" s="1"/>
  <c r="A942" i="37"/>
  <c r="K942" i="37" s="1"/>
  <c r="A831" i="37"/>
  <c r="K831" i="37" s="1"/>
  <c r="E815" i="37"/>
  <c r="R815" i="37" s="1"/>
  <c r="E806" i="37"/>
  <c r="R806" i="37" s="1"/>
  <c r="E785" i="37"/>
  <c r="R785" i="37" s="1"/>
  <c r="A776" i="37"/>
  <c r="K776" i="37" s="1"/>
  <c r="A754" i="37"/>
  <c r="K754" i="37" s="1"/>
  <c r="E744" i="37"/>
  <c r="R744" i="37" s="1"/>
  <c r="A726" i="37"/>
  <c r="K726" i="37" s="1"/>
  <c r="E707" i="37"/>
  <c r="R707" i="37" s="1"/>
  <c r="A689" i="37"/>
  <c r="K689" i="37" s="1"/>
  <c r="E679" i="37"/>
  <c r="R679" i="37" s="1"/>
  <c r="A670" i="37"/>
  <c r="K670" i="37" s="1"/>
  <c r="A664" i="37"/>
  <c r="K664" i="37" s="1"/>
  <c r="E645" i="37"/>
  <c r="R645" i="37" s="1"/>
  <c r="E624" i="37"/>
  <c r="R624" i="37" s="1"/>
  <c r="A619" i="37"/>
  <c r="K619" i="37" s="1"/>
  <c r="A602" i="37"/>
  <c r="K602" i="37" s="1"/>
  <c r="A597" i="37"/>
  <c r="K597" i="37" s="1"/>
  <c r="A591" i="37"/>
  <c r="K591" i="37" s="1"/>
  <c r="E583" i="37"/>
  <c r="R583" i="37" s="1"/>
  <c r="A580" i="37"/>
  <c r="K580" i="37" s="1"/>
  <c r="A578" i="37"/>
  <c r="K578" i="37" s="1"/>
  <c r="A576" i="37"/>
  <c r="K576" i="37" s="1"/>
  <c r="E574" i="37"/>
  <c r="R574" i="37" s="1"/>
  <c r="E572" i="37"/>
  <c r="R572" i="37" s="1"/>
  <c r="E570" i="37"/>
  <c r="R570" i="37" s="1"/>
  <c r="E568" i="37"/>
  <c r="R568" i="37" s="1"/>
  <c r="A565" i="37"/>
  <c r="K565" i="37" s="1"/>
  <c r="E559" i="37"/>
  <c r="R559" i="37" s="1"/>
  <c r="E548" i="37"/>
  <c r="R548" i="37" s="1"/>
  <c r="E546" i="37"/>
  <c r="R546" i="37" s="1"/>
  <c r="E446" i="37"/>
  <c r="R446" i="37" s="1"/>
  <c r="A443" i="37"/>
  <c r="K443" i="37" s="1"/>
  <c r="A441" i="37"/>
  <c r="K441" i="37" s="1"/>
  <c r="A439" i="37"/>
  <c r="K439" i="37" s="1"/>
  <c r="E435" i="37"/>
  <c r="R435" i="37" s="1"/>
  <c r="A417" i="37"/>
  <c r="K417" i="37" s="1"/>
  <c r="A415" i="37"/>
  <c r="K415" i="37" s="1"/>
  <c r="E411" i="37"/>
  <c r="R411" i="37" s="1"/>
  <c r="E409" i="37"/>
  <c r="R409" i="37" s="1"/>
  <c r="E407" i="37"/>
  <c r="R407" i="37" s="1"/>
  <c r="A404" i="37"/>
  <c r="K404" i="37" s="1"/>
  <c r="E344" i="37"/>
  <c r="R344" i="37" s="1"/>
  <c r="E342" i="37"/>
  <c r="R342" i="37" s="1"/>
  <c r="E340" i="37"/>
  <c r="R340" i="37" s="1"/>
  <c r="E338" i="37"/>
  <c r="R338" i="37" s="1"/>
  <c r="E336" i="37"/>
  <c r="R336" i="37" s="1"/>
  <c r="E334" i="37"/>
  <c r="R334" i="37" s="1"/>
  <c r="E332" i="37"/>
  <c r="R332" i="37" s="1"/>
  <c r="E330" i="37"/>
  <c r="R330" i="37" s="1"/>
  <c r="E328" i="37"/>
  <c r="R328" i="37" s="1"/>
  <c r="E326" i="37"/>
  <c r="R326" i="37" s="1"/>
  <c r="E324" i="37"/>
  <c r="R324" i="37" s="1"/>
  <c r="E322" i="37"/>
  <c r="R322" i="37" s="1"/>
  <c r="E320" i="37"/>
  <c r="R320" i="37" s="1"/>
  <c r="E318" i="37"/>
  <c r="R318" i="37" s="1"/>
  <c r="E316" i="37"/>
  <c r="R316" i="37" s="1"/>
  <c r="E314" i="37"/>
  <c r="R314" i="37" s="1"/>
  <c r="E312" i="37"/>
  <c r="R312" i="37" s="1"/>
  <c r="E310" i="37"/>
  <c r="R310" i="37" s="1"/>
  <c r="E308" i="37"/>
  <c r="R308" i="37" s="1"/>
  <c r="E306" i="37"/>
  <c r="R306" i="37" s="1"/>
  <c r="E304" i="37"/>
  <c r="R304" i="37" s="1"/>
  <c r="E302" i="37"/>
  <c r="R302" i="37" s="1"/>
  <c r="E300" i="37"/>
  <c r="R300" i="37" s="1"/>
  <c r="E298" i="37"/>
  <c r="R298" i="37" s="1"/>
  <c r="E296" i="37"/>
  <c r="R296" i="37" s="1"/>
  <c r="E294" i="37"/>
  <c r="R294" i="37" s="1"/>
  <c r="E292" i="37"/>
  <c r="R292" i="37" s="1"/>
  <c r="E290" i="37"/>
  <c r="R290" i="37" s="1"/>
  <c r="E288" i="37"/>
  <c r="R288" i="37" s="1"/>
  <c r="E286" i="37"/>
  <c r="R286" i="37" s="1"/>
  <c r="E284" i="37"/>
  <c r="R284" i="37" s="1"/>
  <c r="E282" i="37"/>
  <c r="R282" i="37" s="1"/>
  <c r="A837" i="37"/>
  <c r="K837" i="37" s="1"/>
  <c r="E827" i="37"/>
  <c r="R827" i="37" s="1"/>
  <c r="A821" i="37"/>
  <c r="K821" i="37" s="1"/>
  <c r="A812" i="37"/>
  <c r="K812" i="37" s="1"/>
  <c r="E803" i="37"/>
  <c r="R803" i="37" s="1"/>
  <c r="E794" i="37"/>
  <c r="R794" i="37" s="1"/>
  <c r="A782" i="37"/>
  <c r="K782" i="37" s="1"/>
  <c r="E772" i="37"/>
  <c r="R772" i="37" s="1"/>
  <c r="A763" i="37"/>
  <c r="K763" i="37" s="1"/>
  <c r="E750" i="37"/>
  <c r="R750" i="37" s="1"/>
  <c r="A741" i="37"/>
  <c r="K741" i="37" s="1"/>
  <c r="E731" i="37"/>
  <c r="R731" i="37" s="1"/>
  <c r="E722" i="37"/>
  <c r="R722" i="37" s="1"/>
  <c r="A713" i="37"/>
  <c r="K713" i="37" s="1"/>
  <c r="A704" i="37"/>
  <c r="K704" i="37" s="1"/>
  <c r="A698" i="37"/>
  <c r="K698" i="37" s="1"/>
  <c r="E685" i="37"/>
  <c r="R685" i="37" s="1"/>
  <c r="A676" i="37"/>
  <c r="K676" i="37" s="1"/>
  <c r="E660" i="37"/>
  <c r="R660" i="37" s="1"/>
  <c r="A651" i="37"/>
  <c r="K651" i="37" s="1"/>
  <c r="E630" i="37"/>
  <c r="R630" i="37" s="1"/>
  <c r="E609" i="37"/>
  <c r="R609" i="37" s="1"/>
  <c r="A604" i="37"/>
  <c r="K604" i="37" s="1"/>
  <c r="E594" i="37"/>
  <c r="R594" i="37" s="1"/>
  <c r="E592" i="37"/>
  <c r="R592" i="37" s="1"/>
  <c r="A589" i="37"/>
  <c r="K589" i="37" s="1"/>
  <c r="A587" i="37"/>
  <c r="K587" i="37" s="1"/>
  <c r="A585" i="37"/>
  <c r="K585" i="37" s="1"/>
  <c r="E581" i="37"/>
  <c r="R581" i="37" s="1"/>
  <c r="A563" i="37"/>
  <c r="K563" i="37" s="1"/>
  <c r="A561" i="37"/>
  <c r="K561" i="37" s="1"/>
  <c r="E557" i="37"/>
  <c r="R557" i="37" s="1"/>
  <c r="E555" i="37"/>
  <c r="R555" i="37" s="1"/>
  <c r="E553" i="37"/>
  <c r="R553" i="37" s="1"/>
  <c r="A550" i="37"/>
  <c r="K550" i="37" s="1"/>
  <c r="A437" i="37"/>
  <c r="K437" i="37" s="1"/>
  <c r="E433" i="37"/>
  <c r="R433" i="37" s="1"/>
  <c r="E431" i="37"/>
  <c r="R431" i="37" s="1"/>
  <c r="A428" i="37"/>
  <c r="K428" i="37" s="1"/>
  <c r="A426" i="37"/>
  <c r="K426" i="37" s="1"/>
  <c r="A424" i="37"/>
  <c r="K424" i="37" s="1"/>
  <c r="A422" i="37"/>
  <c r="K422" i="37" s="1"/>
  <c r="E420" i="37"/>
  <c r="R420" i="37" s="1"/>
  <c r="A413" i="37"/>
  <c r="K413" i="37" s="1"/>
  <c r="E405" i="37"/>
  <c r="R405" i="37" s="1"/>
  <c r="A402" i="37"/>
  <c r="K402" i="37" s="1"/>
  <c r="A400" i="37"/>
  <c r="K400" i="37" s="1"/>
  <c r="A398" i="37"/>
  <c r="K398" i="37" s="1"/>
  <c r="A396" i="37"/>
  <c r="K396" i="37" s="1"/>
  <c r="A394" i="37"/>
  <c r="K394" i="37" s="1"/>
  <c r="A392" i="37"/>
  <c r="K392" i="37" s="1"/>
  <c r="A390" i="37"/>
  <c r="K390" i="37" s="1"/>
  <c r="A388" i="37"/>
  <c r="K388" i="37" s="1"/>
  <c r="A386" i="37"/>
  <c r="K386" i="37" s="1"/>
  <c r="A384" i="37"/>
  <c r="K384" i="37" s="1"/>
  <c r="A382" i="37"/>
  <c r="K382" i="37" s="1"/>
  <c r="A380" i="37"/>
  <c r="K380" i="37" s="1"/>
  <c r="A378" i="37"/>
  <c r="K378" i="37" s="1"/>
  <c r="A376" i="37"/>
  <c r="K376" i="37" s="1"/>
  <c r="A374" i="37"/>
  <c r="K374" i="37" s="1"/>
  <c r="A372" i="37"/>
  <c r="K372" i="37" s="1"/>
  <c r="A370" i="37"/>
  <c r="K370" i="37" s="1"/>
  <c r="A368" i="37"/>
  <c r="K368" i="37" s="1"/>
  <c r="A366" i="37"/>
  <c r="K366" i="37" s="1"/>
  <c r="A364" i="37"/>
  <c r="K364" i="37" s="1"/>
  <c r="A362" i="37"/>
  <c r="K362" i="37" s="1"/>
  <c r="A360" i="37"/>
  <c r="K360" i="37" s="1"/>
  <c r="A358" i="37"/>
  <c r="K358" i="37" s="1"/>
  <c r="A356" i="37"/>
  <c r="K356" i="37" s="1"/>
  <c r="A354" i="37"/>
  <c r="K354" i="37" s="1"/>
  <c r="A352" i="37"/>
  <c r="K352" i="37" s="1"/>
  <c r="A350" i="37"/>
  <c r="K350" i="37" s="1"/>
  <c r="A348" i="37"/>
  <c r="K348" i="37" s="1"/>
  <c r="A833" i="37"/>
  <c r="K833" i="37" s="1"/>
  <c r="E746" i="37"/>
  <c r="R746" i="37" s="1"/>
  <c r="E709" i="37"/>
  <c r="R709" i="37" s="1"/>
  <c r="E694" i="37"/>
  <c r="R694" i="37" s="1"/>
  <c r="A691" i="37"/>
  <c r="K691" i="37" s="1"/>
  <c r="A672" i="37"/>
  <c r="K672" i="37" s="1"/>
  <c r="E638" i="37"/>
  <c r="R638" i="37" s="1"/>
  <c r="E588" i="37"/>
  <c r="R588" i="37" s="1"/>
  <c r="E579" i="37"/>
  <c r="R579" i="37" s="1"/>
  <c r="A570" i="37"/>
  <c r="K570" i="37" s="1"/>
  <c r="A555" i="37"/>
  <c r="K555" i="37" s="1"/>
  <c r="E438" i="37"/>
  <c r="R438" i="37" s="1"/>
  <c r="E429" i="37"/>
  <c r="R429" i="37" s="1"/>
  <c r="A420" i="37"/>
  <c r="K420" i="37" s="1"/>
  <c r="E396" i="37"/>
  <c r="R396" i="37" s="1"/>
  <c r="E388" i="37"/>
  <c r="R388" i="37" s="1"/>
  <c r="E380" i="37"/>
  <c r="R380" i="37" s="1"/>
  <c r="E372" i="37"/>
  <c r="R372" i="37" s="1"/>
  <c r="E364" i="37"/>
  <c r="R364" i="37" s="1"/>
  <c r="E359" i="37"/>
  <c r="R359" i="37" s="1"/>
  <c r="A355" i="37"/>
  <c r="K355" i="37" s="1"/>
  <c r="E350" i="37"/>
  <c r="R350" i="37" s="1"/>
  <c r="A346" i="37"/>
  <c r="K346" i="37" s="1"/>
  <c r="A344" i="37"/>
  <c r="K344" i="37" s="1"/>
  <c r="A336" i="37"/>
  <c r="K336" i="37" s="1"/>
  <c r="A328" i="37"/>
  <c r="K328" i="37" s="1"/>
  <c r="A320" i="37"/>
  <c r="K320" i="37" s="1"/>
  <c r="A312" i="37"/>
  <c r="K312" i="37" s="1"/>
  <c r="A304" i="37"/>
  <c r="K304" i="37" s="1"/>
  <c r="A296" i="37"/>
  <c r="K296" i="37" s="1"/>
  <c r="A288" i="37"/>
  <c r="K288" i="37" s="1"/>
  <c r="E260" i="37"/>
  <c r="R260" i="37" s="1"/>
  <c r="E258" i="37"/>
  <c r="R258" i="37" s="1"/>
  <c r="E256" i="37"/>
  <c r="R256" i="37" s="1"/>
  <c r="E254" i="37"/>
  <c r="R254" i="37" s="1"/>
  <c r="E252" i="37"/>
  <c r="R252" i="37" s="1"/>
  <c r="E250" i="37"/>
  <c r="R250" i="37" s="1"/>
  <c r="E248" i="37"/>
  <c r="R248" i="37" s="1"/>
  <c r="E246" i="37"/>
  <c r="R246" i="37" s="1"/>
  <c r="E244" i="37"/>
  <c r="R244" i="37" s="1"/>
  <c r="E242" i="37"/>
  <c r="R242" i="37" s="1"/>
  <c r="E240" i="37"/>
  <c r="R240" i="37" s="1"/>
  <c r="E238" i="37"/>
  <c r="R238" i="37" s="1"/>
  <c r="E236" i="37"/>
  <c r="R236" i="37" s="1"/>
  <c r="E234" i="37"/>
  <c r="R234" i="37" s="1"/>
  <c r="E232" i="37"/>
  <c r="R232" i="37" s="1"/>
  <c r="E230" i="37"/>
  <c r="R230" i="37" s="1"/>
  <c r="E228" i="37"/>
  <c r="R228" i="37" s="1"/>
  <c r="E226" i="37"/>
  <c r="R226" i="37" s="1"/>
  <c r="E224" i="37"/>
  <c r="R224" i="37" s="1"/>
  <c r="E222" i="37"/>
  <c r="R222" i="37" s="1"/>
  <c r="E220" i="37"/>
  <c r="R220" i="37" s="1"/>
  <c r="E218" i="37"/>
  <c r="R218" i="37" s="1"/>
  <c r="E216" i="37"/>
  <c r="R216" i="37" s="1"/>
  <c r="E214" i="37"/>
  <c r="R214" i="37" s="1"/>
  <c r="E212" i="37"/>
  <c r="R212" i="37" s="1"/>
  <c r="E210" i="37"/>
  <c r="R210" i="37" s="1"/>
  <c r="E208" i="37"/>
  <c r="R208" i="37" s="1"/>
  <c r="E206" i="37"/>
  <c r="R206" i="37" s="1"/>
  <c r="E204" i="37"/>
  <c r="R204" i="37" s="1"/>
  <c r="E202" i="37"/>
  <c r="R202" i="37" s="1"/>
  <c r="E200" i="37"/>
  <c r="R200" i="37" s="1"/>
  <c r="E198" i="37"/>
  <c r="R198" i="37" s="1"/>
  <c r="E196" i="37"/>
  <c r="R196" i="37" s="1"/>
  <c r="E194" i="37"/>
  <c r="R194" i="37" s="1"/>
  <c r="E192" i="37"/>
  <c r="R192" i="37" s="1"/>
  <c r="E190" i="37"/>
  <c r="R190" i="37" s="1"/>
  <c r="E188" i="37"/>
  <c r="R188" i="37" s="1"/>
  <c r="E186" i="37"/>
  <c r="R186" i="37" s="1"/>
  <c r="E184" i="37"/>
  <c r="R184" i="37" s="1"/>
  <c r="E182" i="37"/>
  <c r="R182" i="37" s="1"/>
  <c r="E180" i="37"/>
  <c r="R180" i="37" s="1"/>
  <c r="E178" i="37"/>
  <c r="R178" i="37" s="1"/>
  <c r="E176" i="37"/>
  <c r="R176" i="37" s="1"/>
  <c r="E174" i="37"/>
  <c r="R174" i="37" s="1"/>
  <c r="E172" i="37"/>
  <c r="R172" i="37" s="1"/>
  <c r="E170" i="37"/>
  <c r="R170" i="37" s="1"/>
  <c r="E168" i="37"/>
  <c r="R168" i="37" s="1"/>
  <c r="E166" i="37"/>
  <c r="R166" i="37" s="1"/>
  <c r="E164" i="37"/>
  <c r="R164" i="37" s="1"/>
  <c r="E162" i="37"/>
  <c r="R162" i="37" s="1"/>
  <c r="E160" i="37"/>
  <c r="R160" i="37" s="1"/>
  <c r="E158" i="37"/>
  <c r="R158" i="37" s="1"/>
  <c r="E156" i="37"/>
  <c r="R156" i="37" s="1"/>
  <c r="E154" i="37"/>
  <c r="R154" i="37" s="1"/>
  <c r="A1044" i="37"/>
  <c r="K1044" i="37" s="1"/>
  <c r="E1040" i="37"/>
  <c r="R1040" i="37" s="1"/>
  <c r="A817" i="37"/>
  <c r="K817" i="37" s="1"/>
  <c r="A791" i="37"/>
  <c r="K791" i="37" s="1"/>
  <c r="E787" i="37"/>
  <c r="R787" i="37" s="1"/>
  <c r="E656" i="37"/>
  <c r="R656" i="37" s="1"/>
  <c r="E641" i="37"/>
  <c r="R641" i="37" s="1"/>
  <c r="E623" i="37"/>
  <c r="R623" i="37" s="1"/>
  <c r="E560" i="37"/>
  <c r="R560" i="37" s="1"/>
  <c r="E551" i="37"/>
  <c r="R551" i="37" s="1"/>
  <c r="E444" i="37"/>
  <c r="R444" i="37" s="1"/>
  <c r="A435" i="37"/>
  <c r="K435" i="37" s="1"/>
  <c r="E416" i="37"/>
  <c r="R416" i="37" s="1"/>
  <c r="A407" i="37"/>
  <c r="K407" i="37" s="1"/>
  <c r="E401" i="37"/>
  <c r="R401" i="37" s="1"/>
  <c r="E393" i="37"/>
  <c r="R393" i="37" s="1"/>
  <c r="E385" i="37"/>
  <c r="R385" i="37" s="1"/>
  <c r="E377" i="37"/>
  <c r="R377" i="37" s="1"/>
  <c r="E369" i="37"/>
  <c r="R369" i="37" s="1"/>
  <c r="E361" i="37"/>
  <c r="R361" i="37" s="1"/>
  <c r="A357" i="37"/>
  <c r="K357" i="37" s="1"/>
  <c r="E352" i="37"/>
  <c r="R352" i="37" s="1"/>
  <c r="A341" i="37"/>
  <c r="K341" i="37" s="1"/>
  <c r="A333" i="37"/>
  <c r="K333" i="37" s="1"/>
  <c r="A325" i="37"/>
  <c r="K325" i="37" s="1"/>
  <c r="A317" i="37"/>
  <c r="K317" i="37" s="1"/>
  <c r="A309" i="37"/>
  <c r="K309" i="37" s="1"/>
  <c r="A301" i="37"/>
  <c r="K301" i="37" s="1"/>
  <c r="A293" i="37"/>
  <c r="K293" i="37" s="1"/>
  <c r="A285" i="37"/>
  <c r="K285" i="37" s="1"/>
  <c r="A280" i="37"/>
  <c r="K280" i="37" s="1"/>
  <c r="A278" i="37"/>
  <c r="K278" i="37" s="1"/>
  <c r="A276" i="37"/>
  <c r="K276" i="37" s="1"/>
  <c r="A274" i="37"/>
  <c r="K274" i="37" s="1"/>
  <c r="A272" i="37"/>
  <c r="K272" i="37" s="1"/>
  <c r="A270" i="37"/>
  <c r="K270" i="37" s="1"/>
  <c r="A268" i="37"/>
  <c r="K268" i="37" s="1"/>
  <c r="A266" i="37"/>
  <c r="K266" i="37" s="1"/>
  <c r="A264" i="37"/>
  <c r="K264" i="37" s="1"/>
  <c r="A262" i="37"/>
  <c r="K262" i="37" s="1"/>
  <c r="A1077" i="37"/>
  <c r="K1077" i="37" s="1"/>
  <c r="E1073" i="37"/>
  <c r="R1073" i="37" s="1"/>
  <c r="A1070" i="37"/>
  <c r="K1070" i="37" s="1"/>
  <c r="E1066" i="37"/>
  <c r="R1066" i="37" s="1"/>
  <c r="A1063" i="37"/>
  <c r="K1063" i="37" s="1"/>
  <c r="E937" i="37"/>
  <c r="R937" i="37" s="1"/>
  <c r="E626" i="37"/>
  <c r="R626" i="37" s="1"/>
  <c r="A601" i="37"/>
  <c r="K601" i="37" s="1"/>
  <c r="A594" i="37"/>
  <c r="K594" i="37" s="1"/>
  <c r="E584" i="37"/>
  <c r="R584" i="37" s="1"/>
  <c r="E575" i="37"/>
  <c r="R575" i="37" s="1"/>
  <c r="E566" i="37"/>
  <c r="R566" i="37" s="1"/>
  <c r="A548" i="37"/>
  <c r="K548" i="37" s="1"/>
  <c r="E425" i="37"/>
  <c r="R425" i="37" s="1"/>
  <c r="E398" i="37"/>
  <c r="R398" i="37" s="1"/>
  <c r="E390" i="37"/>
  <c r="R390" i="37" s="1"/>
  <c r="E382" i="37"/>
  <c r="R382" i="37" s="1"/>
  <c r="E374" i="37"/>
  <c r="R374" i="37" s="1"/>
  <c r="E366" i="37"/>
  <c r="R366" i="37" s="1"/>
  <c r="A359" i="37"/>
  <c r="K359" i="37" s="1"/>
  <c r="E354" i="37"/>
  <c r="R354" i="37" s="1"/>
  <c r="E347" i="37"/>
  <c r="R347" i="37" s="1"/>
  <c r="E345" i="37"/>
  <c r="R345" i="37" s="1"/>
  <c r="A338" i="37"/>
  <c r="K338" i="37" s="1"/>
  <c r="A330" i="37"/>
  <c r="K330" i="37" s="1"/>
  <c r="A322" i="37"/>
  <c r="K322" i="37" s="1"/>
  <c r="A314" i="37"/>
  <c r="K314" i="37" s="1"/>
  <c r="A306" i="37"/>
  <c r="K306" i="37" s="1"/>
  <c r="A298" i="37"/>
  <c r="K298" i="37" s="1"/>
  <c r="A290" i="37"/>
  <c r="K290" i="37" s="1"/>
  <c r="A282" i="37"/>
  <c r="K282" i="37" s="1"/>
  <c r="A260" i="37"/>
  <c r="K260" i="37" s="1"/>
  <c r="A258" i="37"/>
  <c r="K258" i="37" s="1"/>
  <c r="A256" i="37"/>
  <c r="K256" i="37" s="1"/>
  <c r="A254" i="37"/>
  <c r="K254" i="37" s="1"/>
  <c r="A252" i="37"/>
  <c r="K252" i="37" s="1"/>
  <c r="A250" i="37"/>
  <c r="K250" i="37" s="1"/>
  <c r="A248" i="37"/>
  <c r="K248" i="37" s="1"/>
  <c r="A246" i="37"/>
  <c r="K246" i="37" s="1"/>
  <c r="A244" i="37"/>
  <c r="K244" i="37" s="1"/>
  <c r="A242" i="37"/>
  <c r="K242" i="37" s="1"/>
  <c r="A240" i="37"/>
  <c r="K240" i="37" s="1"/>
  <c r="A238" i="37"/>
  <c r="K238" i="37" s="1"/>
  <c r="A236" i="37"/>
  <c r="K236" i="37" s="1"/>
  <c r="A234" i="37"/>
  <c r="K234" i="37" s="1"/>
  <c r="A232" i="37"/>
  <c r="K232" i="37" s="1"/>
  <c r="A230" i="37"/>
  <c r="K230" i="37" s="1"/>
  <c r="A228" i="37"/>
  <c r="K228" i="37" s="1"/>
  <c r="A226" i="37"/>
  <c r="K226" i="37" s="1"/>
  <c r="A224" i="37"/>
  <c r="K224" i="37" s="1"/>
  <c r="A222" i="37"/>
  <c r="K222" i="37" s="1"/>
  <c r="A220" i="37"/>
  <c r="K220" i="37" s="1"/>
  <c r="A218" i="37"/>
  <c r="K218" i="37" s="1"/>
  <c r="A216" i="37"/>
  <c r="K216" i="37" s="1"/>
  <c r="A214" i="37"/>
  <c r="K214" i="37" s="1"/>
  <c r="A212" i="37"/>
  <c r="K212" i="37" s="1"/>
  <c r="A210" i="37"/>
  <c r="K210" i="37" s="1"/>
  <c r="A208" i="37"/>
  <c r="K208" i="37" s="1"/>
  <c r="A206" i="37"/>
  <c r="K206" i="37" s="1"/>
  <c r="A204" i="37"/>
  <c r="K204" i="37" s="1"/>
  <c r="A202" i="37"/>
  <c r="K202" i="37" s="1"/>
  <c r="A200" i="37"/>
  <c r="K200" i="37" s="1"/>
  <c r="A198" i="37"/>
  <c r="K198" i="37" s="1"/>
  <c r="A196" i="37"/>
  <c r="K196" i="37" s="1"/>
  <c r="A194" i="37"/>
  <c r="K194" i="37" s="1"/>
  <c r="A192" i="37"/>
  <c r="K192" i="37" s="1"/>
  <c r="A190" i="37"/>
  <c r="K190" i="37" s="1"/>
  <c r="A188" i="37"/>
  <c r="K188" i="37" s="1"/>
  <c r="A186" i="37"/>
  <c r="K186" i="37" s="1"/>
  <c r="A184" i="37"/>
  <c r="K184" i="37" s="1"/>
  <c r="A182" i="37"/>
  <c r="K182" i="37" s="1"/>
  <c r="A180" i="37"/>
  <c r="K180" i="37" s="1"/>
  <c r="A178" i="37"/>
  <c r="K178" i="37" s="1"/>
  <c r="A176" i="37"/>
  <c r="K176" i="37" s="1"/>
  <c r="A174" i="37"/>
  <c r="K174" i="37" s="1"/>
  <c r="A172" i="37"/>
  <c r="K172" i="37" s="1"/>
  <c r="A170" i="37"/>
  <c r="K170" i="37" s="1"/>
  <c r="A168" i="37"/>
  <c r="K168" i="37" s="1"/>
  <c r="A166" i="37"/>
  <c r="K166" i="37" s="1"/>
  <c r="A164" i="37"/>
  <c r="K164" i="37" s="1"/>
  <c r="A162" i="37"/>
  <c r="K162" i="37" s="1"/>
  <c r="A160" i="37"/>
  <c r="K160" i="37" s="1"/>
  <c r="A719" i="37"/>
  <c r="K719" i="37" s="1"/>
  <c r="E590" i="37"/>
  <c r="R590" i="37" s="1"/>
  <c r="A572" i="37"/>
  <c r="K572" i="37" s="1"/>
  <c r="A557" i="37"/>
  <c r="K557" i="37" s="1"/>
  <c r="E440" i="37"/>
  <c r="R440" i="37" s="1"/>
  <c r="E403" i="37"/>
  <c r="R403" i="37" s="1"/>
  <c r="E395" i="37"/>
  <c r="R395" i="37" s="1"/>
  <c r="E387" i="37"/>
  <c r="R387" i="37" s="1"/>
  <c r="E379" i="37"/>
  <c r="R379" i="37" s="1"/>
  <c r="E371" i="37"/>
  <c r="R371" i="37" s="1"/>
  <c r="E363" i="37"/>
  <c r="R363" i="37" s="1"/>
  <c r="A361" i="37"/>
  <c r="K361" i="37" s="1"/>
  <c r="E356" i="37"/>
  <c r="R356" i="37" s="1"/>
  <c r="E349" i="37"/>
  <c r="R349" i="37" s="1"/>
  <c r="A343" i="37"/>
  <c r="K343" i="37" s="1"/>
  <c r="A335" i="37"/>
  <c r="K335" i="37" s="1"/>
  <c r="A327" i="37"/>
  <c r="K327" i="37" s="1"/>
  <c r="A319" i="37"/>
  <c r="K319" i="37" s="1"/>
  <c r="A311" i="37"/>
  <c r="K311" i="37" s="1"/>
  <c r="A303" i="37"/>
  <c r="K303" i="37" s="1"/>
  <c r="A295" i="37"/>
  <c r="K295" i="37" s="1"/>
  <c r="A287" i="37"/>
  <c r="K287" i="37" s="1"/>
  <c r="E279" i="37"/>
  <c r="R279" i="37" s="1"/>
  <c r="E277" i="37"/>
  <c r="R277" i="37" s="1"/>
  <c r="E275" i="37"/>
  <c r="R275" i="37" s="1"/>
  <c r="E273" i="37"/>
  <c r="R273" i="37" s="1"/>
  <c r="E271" i="37"/>
  <c r="R271" i="37" s="1"/>
  <c r="E269" i="37"/>
  <c r="R269" i="37" s="1"/>
  <c r="E267" i="37"/>
  <c r="R267" i="37" s="1"/>
  <c r="E265" i="37"/>
  <c r="R265" i="37" s="1"/>
  <c r="E263" i="37"/>
  <c r="R263" i="37" s="1"/>
  <c r="E951" i="37"/>
  <c r="R951" i="37" s="1"/>
  <c r="A944" i="37"/>
  <c r="K944" i="37" s="1"/>
  <c r="E808" i="37"/>
  <c r="R808" i="37" s="1"/>
  <c r="E759" i="37"/>
  <c r="R759" i="37" s="1"/>
  <c r="A756" i="37"/>
  <c r="K756" i="37" s="1"/>
  <c r="A737" i="37"/>
  <c r="K737" i="37" s="1"/>
  <c r="E681" i="37"/>
  <c r="R681" i="37" s="1"/>
  <c r="A615" i="37"/>
  <c r="K615" i="37" s="1"/>
  <c r="A581" i="37"/>
  <c r="K581" i="37" s="1"/>
  <c r="E562" i="37"/>
  <c r="R562" i="37" s="1"/>
  <c r="A446" i="37"/>
  <c r="K446" i="37" s="1"/>
  <c r="A431" i="37"/>
  <c r="K431" i="37" s="1"/>
  <c r="E418" i="37"/>
  <c r="R418" i="37" s="1"/>
  <c r="A409" i="37"/>
  <c r="K409" i="37" s="1"/>
  <c r="E400" i="37"/>
  <c r="R400" i="37" s="1"/>
  <c r="E392" i="37"/>
  <c r="R392" i="37" s="1"/>
  <c r="E384" i="37"/>
  <c r="R384" i="37" s="1"/>
  <c r="E376" i="37"/>
  <c r="R376" i="37" s="1"/>
  <c r="E368" i="37"/>
  <c r="R368" i="37" s="1"/>
  <c r="E358" i="37"/>
  <c r="R358" i="37" s="1"/>
  <c r="E351" i="37"/>
  <c r="R351" i="37" s="1"/>
  <c r="A347" i="37"/>
  <c r="K347" i="37" s="1"/>
  <c r="A345" i="37"/>
  <c r="K345" i="37" s="1"/>
  <c r="A340" i="37"/>
  <c r="K340" i="37" s="1"/>
  <c r="A332" i="37"/>
  <c r="K332" i="37" s="1"/>
  <c r="A324" i="37"/>
  <c r="K324" i="37" s="1"/>
  <c r="A316" i="37"/>
  <c r="K316" i="37" s="1"/>
  <c r="A308" i="37"/>
  <c r="K308" i="37" s="1"/>
  <c r="A300" i="37"/>
  <c r="K300" i="37" s="1"/>
  <c r="A292" i="37"/>
  <c r="K292" i="37" s="1"/>
  <c r="A284" i="37"/>
  <c r="K284" i="37" s="1"/>
  <c r="E261" i="37"/>
  <c r="R261" i="37" s="1"/>
  <c r="E259" i="37"/>
  <c r="R259" i="37" s="1"/>
  <c r="E257" i="37"/>
  <c r="R257" i="37" s="1"/>
  <c r="E255" i="37"/>
  <c r="R255" i="37" s="1"/>
  <c r="E253" i="37"/>
  <c r="R253" i="37" s="1"/>
  <c r="E251" i="37"/>
  <c r="R251" i="37" s="1"/>
  <c r="E249" i="37"/>
  <c r="R249" i="37" s="1"/>
  <c r="E247" i="37"/>
  <c r="R247" i="37" s="1"/>
  <c r="E245" i="37"/>
  <c r="R245" i="37" s="1"/>
  <c r="E243" i="37"/>
  <c r="R243" i="37" s="1"/>
  <c r="E241" i="37"/>
  <c r="R241" i="37" s="1"/>
  <c r="E239" i="37"/>
  <c r="R239" i="37" s="1"/>
  <c r="E237" i="37"/>
  <c r="R237" i="37" s="1"/>
  <c r="E235" i="37"/>
  <c r="R235" i="37" s="1"/>
  <c r="E233" i="37"/>
  <c r="R233" i="37" s="1"/>
  <c r="E231" i="37"/>
  <c r="R231" i="37" s="1"/>
  <c r="E229" i="37"/>
  <c r="R229" i="37" s="1"/>
  <c r="E227" i="37"/>
  <c r="R227" i="37" s="1"/>
  <c r="E225" i="37"/>
  <c r="R225" i="37" s="1"/>
  <c r="E223" i="37"/>
  <c r="R223" i="37" s="1"/>
  <c r="E221" i="37"/>
  <c r="R221" i="37" s="1"/>
  <c r="E219" i="37"/>
  <c r="R219" i="37" s="1"/>
  <c r="E217" i="37"/>
  <c r="R217" i="37" s="1"/>
  <c r="E215" i="37"/>
  <c r="R215" i="37" s="1"/>
  <c r="E213" i="37"/>
  <c r="R213" i="37" s="1"/>
  <c r="E211" i="37"/>
  <c r="R211" i="37" s="1"/>
  <c r="E209" i="37"/>
  <c r="R209" i="37" s="1"/>
  <c r="E207" i="37"/>
  <c r="R207" i="37" s="1"/>
  <c r="E205" i="37"/>
  <c r="R205" i="37" s="1"/>
  <c r="E203" i="37"/>
  <c r="R203" i="37" s="1"/>
  <c r="E201" i="37"/>
  <c r="R201" i="37" s="1"/>
  <c r="E199" i="37"/>
  <c r="R199" i="37" s="1"/>
  <c r="E197" i="37"/>
  <c r="R197" i="37" s="1"/>
  <c r="E195" i="37"/>
  <c r="R195" i="37" s="1"/>
  <c r="E193" i="37"/>
  <c r="R193" i="37" s="1"/>
  <c r="E191" i="37"/>
  <c r="R191" i="37" s="1"/>
  <c r="E189" i="37"/>
  <c r="R189" i="37" s="1"/>
  <c r="E187" i="37"/>
  <c r="R187" i="37" s="1"/>
  <c r="E185" i="37"/>
  <c r="R185" i="37" s="1"/>
  <c r="E183" i="37"/>
  <c r="R183" i="37" s="1"/>
  <c r="E181" i="37"/>
  <c r="R181" i="37" s="1"/>
  <c r="E179" i="37"/>
  <c r="R179" i="37" s="1"/>
  <c r="E177" i="37"/>
  <c r="R177" i="37" s="1"/>
  <c r="E175" i="37"/>
  <c r="R175" i="37" s="1"/>
  <c r="E173" i="37"/>
  <c r="R173" i="37" s="1"/>
  <c r="E171" i="37"/>
  <c r="R171" i="37" s="1"/>
  <c r="E169" i="37"/>
  <c r="R169" i="37" s="1"/>
  <c r="E167" i="37"/>
  <c r="R167" i="37" s="1"/>
  <c r="E165" i="37"/>
  <c r="R165" i="37" s="1"/>
  <c r="E163" i="37"/>
  <c r="R163" i="37" s="1"/>
  <c r="E161" i="37"/>
  <c r="R161" i="37" s="1"/>
  <c r="E159" i="37"/>
  <c r="R159" i="37" s="1"/>
  <c r="E157" i="37"/>
  <c r="R157" i="37" s="1"/>
  <c r="E155" i="37"/>
  <c r="R155" i="37" s="1"/>
  <c r="E153" i="37"/>
  <c r="R153" i="37" s="1"/>
  <c r="A778" i="37"/>
  <c r="K778" i="37" s="1"/>
  <c r="A666" i="37"/>
  <c r="K666" i="37" s="1"/>
  <c r="A647" i="37"/>
  <c r="K647" i="37" s="1"/>
  <c r="A596" i="37"/>
  <c r="K596" i="37" s="1"/>
  <c r="E586" i="37"/>
  <c r="R586" i="37" s="1"/>
  <c r="E577" i="37"/>
  <c r="R577" i="37" s="1"/>
  <c r="A568" i="37"/>
  <c r="K568" i="37" s="1"/>
  <c r="A559" i="37"/>
  <c r="K559" i="37" s="1"/>
  <c r="A553" i="37"/>
  <c r="K553" i="37" s="1"/>
  <c r="E427" i="37"/>
  <c r="R427" i="37" s="1"/>
  <c r="E397" i="37"/>
  <c r="R397" i="37" s="1"/>
  <c r="E389" i="37"/>
  <c r="R389" i="37" s="1"/>
  <c r="E381" i="37"/>
  <c r="R381" i="37" s="1"/>
  <c r="E373" i="37"/>
  <c r="R373" i="37" s="1"/>
  <c r="E365" i="37"/>
  <c r="R365" i="37" s="1"/>
  <c r="E360" i="37"/>
  <c r="R360" i="37" s="1"/>
  <c r="E353" i="37"/>
  <c r="R353" i="37" s="1"/>
  <c r="A349" i="37"/>
  <c r="K349" i="37" s="1"/>
  <c r="A337" i="37"/>
  <c r="K337" i="37" s="1"/>
  <c r="A329" i="37"/>
  <c r="K329" i="37" s="1"/>
  <c r="A321" i="37"/>
  <c r="K321" i="37" s="1"/>
  <c r="A313" i="37"/>
  <c r="K313" i="37" s="1"/>
  <c r="A305" i="37"/>
  <c r="K305" i="37" s="1"/>
  <c r="A297" i="37"/>
  <c r="K297" i="37" s="1"/>
  <c r="A289" i="37"/>
  <c r="K289" i="37" s="1"/>
  <c r="A281" i="37"/>
  <c r="K281" i="37" s="1"/>
  <c r="A279" i="37"/>
  <c r="K279" i="37" s="1"/>
  <c r="A277" i="37"/>
  <c r="K277" i="37" s="1"/>
  <c r="A275" i="37"/>
  <c r="K275" i="37" s="1"/>
  <c r="A273" i="37"/>
  <c r="K273" i="37" s="1"/>
  <c r="A271" i="37"/>
  <c r="K271" i="37" s="1"/>
  <c r="A269" i="37"/>
  <c r="K269" i="37" s="1"/>
  <c r="A267" i="37"/>
  <c r="K267" i="37" s="1"/>
  <c r="A265" i="37"/>
  <c r="K265" i="37" s="1"/>
  <c r="A263" i="37"/>
  <c r="K263" i="37" s="1"/>
  <c r="A583" i="37"/>
  <c r="K583" i="37" s="1"/>
  <c r="E414" i="37"/>
  <c r="R414" i="37" s="1"/>
  <c r="A411" i="37"/>
  <c r="K411" i="37" s="1"/>
  <c r="E375" i="37"/>
  <c r="R375" i="37" s="1"/>
  <c r="E357" i="37"/>
  <c r="R357" i="37" s="1"/>
  <c r="A351" i="37"/>
  <c r="K351" i="37" s="1"/>
  <c r="A323" i="37"/>
  <c r="K323" i="37" s="1"/>
  <c r="A291" i="37"/>
  <c r="K291" i="37" s="1"/>
  <c r="E280" i="37"/>
  <c r="R280" i="37" s="1"/>
  <c r="E264" i="37"/>
  <c r="R264" i="37" s="1"/>
  <c r="A255" i="37"/>
  <c r="K255" i="37" s="1"/>
  <c r="A239" i="37"/>
  <c r="K239" i="37" s="1"/>
  <c r="A223" i="37"/>
  <c r="K223" i="37" s="1"/>
  <c r="A207" i="37"/>
  <c r="K207" i="37" s="1"/>
  <c r="A191" i="37"/>
  <c r="K191" i="37" s="1"/>
  <c r="A175" i="37"/>
  <c r="K175" i="37" s="1"/>
  <c r="A159" i="37"/>
  <c r="K159" i="37" s="1"/>
  <c r="A728" i="37"/>
  <c r="K728" i="37" s="1"/>
  <c r="A621" i="37"/>
  <c r="K621" i="37" s="1"/>
  <c r="E564" i="37"/>
  <c r="R564" i="37" s="1"/>
  <c r="E549" i="37"/>
  <c r="R549" i="37" s="1"/>
  <c r="A546" i="37"/>
  <c r="K546" i="37" s="1"/>
  <c r="A433" i="37"/>
  <c r="K433" i="37" s="1"/>
  <c r="E378" i="37"/>
  <c r="R378" i="37" s="1"/>
  <c r="A326" i="37"/>
  <c r="K326" i="37" s="1"/>
  <c r="A294" i="37"/>
  <c r="K294" i="37" s="1"/>
  <c r="E270" i="37"/>
  <c r="R270" i="37" s="1"/>
  <c r="A261" i="37"/>
  <c r="K261" i="37" s="1"/>
  <c r="A245" i="37"/>
  <c r="K245" i="37" s="1"/>
  <c r="A229" i="37"/>
  <c r="K229" i="37" s="1"/>
  <c r="A213" i="37"/>
  <c r="K213" i="37" s="1"/>
  <c r="A197" i="37"/>
  <c r="K197" i="37" s="1"/>
  <c r="A181" i="37"/>
  <c r="K181" i="37" s="1"/>
  <c r="A165" i="37"/>
  <c r="K165" i="37" s="1"/>
  <c r="A156" i="37"/>
  <c r="K156" i="37" s="1"/>
  <c r="A636" i="37"/>
  <c r="K636" i="37" s="1"/>
  <c r="E399" i="37"/>
  <c r="R399" i="37" s="1"/>
  <c r="E367" i="37"/>
  <c r="R367" i="37" s="1"/>
  <c r="A315" i="37"/>
  <c r="K315" i="37" s="1"/>
  <c r="A283" i="37"/>
  <c r="K283" i="37" s="1"/>
  <c r="E276" i="37"/>
  <c r="R276" i="37" s="1"/>
  <c r="A251" i="37"/>
  <c r="K251" i="37" s="1"/>
  <c r="A235" i="37"/>
  <c r="K235" i="37" s="1"/>
  <c r="A219" i="37"/>
  <c r="K219" i="37" s="1"/>
  <c r="A203" i="37"/>
  <c r="K203" i="37" s="1"/>
  <c r="A187" i="37"/>
  <c r="K187" i="37" s="1"/>
  <c r="A171" i="37"/>
  <c r="K171" i="37" s="1"/>
  <c r="A153" i="37"/>
  <c r="K153" i="37" s="1"/>
  <c r="E402" i="37"/>
  <c r="R402" i="37" s="1"/>
  <c r="E370" i="37"/>
  <c r="R370" i="37" s="1"/>
  <c r="A353" i="37"/>
  <c r="K353" i="37" s="1"/>
  <c r="E346" i="37"/>
  <c r="R346" i="37" s="1"/>
  <c r="A318" i="37"/>
  <c r="K318" i="37" s="1"/>
  <c r="A286" i="37"/>
  <c r="K286" i="37" s="1"/>
  <c r="E266" i="37"/>
  <c r="R266" i="37" s="1"/>
  <c r="A257" i="37"/>
  <c r="K257" i="37" s="1"/>
  <c r="A241" i="37"/>
  <c r="K241" i="37" s="1"/>
  <c r="A225" i="37"/>
  <c r="K225" i="37" s="1"/>
  <c r="A209" i="37"/>
  <c r="K209" i="37" s="1"/>
  <c r="A193" i="37"/>
  <c r="K193" i="37" s="1"/>
  <c r="A177" i="37"/>
  <c r="K177" i="37" s="1"/>
  <c r="A161" i="37"/>
  <c r="K161" i="37" s="1"/>
  <c r="A158" i="37"/>
  <c r="K158" i="37" s="1"/>
  <c r="A574" i="37"/>
  <c r="K574" i="37" s="1"/>
  <c r="E391" i="37"/>
  <c r="R391" i="37" s="1"/>
  <c r="A339" i="37"/>
  <c r="K339" i="37" s="1"/>
  <c r="A307" i="37"/>
  <c r="K307" i="37" s="1"/>
  <c r="E272" i="37"/>
  <c r="R272" i="37" s="1"/>
  <c r="A247" i="37"/>
  <c r="K247" i="37" s="1"/>
  <c r="A231" i="37"/>
  <c r="K231" i="37" s="1"/>
  <c r="A215" i="37"/>
  <c r="K215" i="37" s="1"/>
  <c r="A199" i="37"/>
  <c r="K199" i="37" s="1"/>
  <c r="A183" i="37"/>
  <c r="K183" i="37" s="1"/>
  <c r="A167" i="37"/>
  <c r="K167" i="37" s="1"/>
  <c r="A155" i="37"/>
  <c r="K155" i="37" s="1"/>
  <c r="E386" i="37"/>
  <c r="R386" i="37" s="1"/>
  <c r="A334" i="37"/>
  <c r="K334" i="37" s="1"/>
  <c r="A302" i="37"/>
  <c r="K302" i="37" s="1"/>
  <c r="E274" i="37"/>
  <c r="R274" i="37" s="1"/>
  <c r="A249" i="37"/>
  <c r="K249" i="37" s="1"/>
  <c r="A233" i="37"/>
  <c r="K233" i="37" s="1"/>
  <c r="A217" i="37"/>
  <c r="K217" i="37" s="1"/>
  <c r="A201" i="37"/>
  <c r="K201" i="37" s="1"/>
  <c r="A185" i="37"/>
  <c r="K185" i="37" s="1"/>
  <c r="A169" i="37"/>
  <c r="K169" i="37" s="1"/>
  <c r="A154" i="37"/>
  <c r="K154" i="37" s="1"/>
  <c r="A592" i="37"/>
  <c r="K592" i="37" s="1"/>
  <c r="E423" i="37"/>
  <c r="R423" i="37" s="1"/>
  <c r="A221" i="37"/>
  <c r="K221" i="37" s="1"/>
  <c r="A157" i="37"/>
  <c r="K157" i="37" s="1"/>
  <c r="E442" i="37"/>
  <c r="R442" i="37" s="1"/>
  <c r="A331" i="37"/>
  <c r="K331" i="37" s="1"/>
  <c r="A243" i="37"/>
  <c r="K243" i="37" s="1"/>
  <c r="A179" i="37"/>
  <c r="K179" i="37" s="1"/>
  <c r="A342" i="37"/>
  <c r="K342" i="37" s="1"/>
  <c r="E268" i="37"/>
  <c r="R268" i="37" s="1"/>
  <c r="A205" i="37"/>
  <c r="K205" i="37" s="1"/>
  <c r="E383" i="37"/>
  <c r="R383" i="37" s="1"/>
  <c r="A299" i="37"/>
  <c r="K299" i="37" s="1"/>
  <c r="A227" i="37"/>
  <c r="K227" i="37" s="1"/>
  <c r="A163" i="37"/>
  <c r="K163" i="37" s="1"/>
  <c r="E355" i="37"/>
  <c r="R355" i="37" s="1"/>
  <c r="E278" i="37"/>
  <c r="R278" i="37" s="1"/>
  <c r="A211" i="37"/>
  <c r="K211" i="37" s="1"/>
  <c r="A405" i="37"/>
  <c r="K405" i="37" s="1"/>
  <c r="E362" i="37"/>
  <c r="R362" i="37" s="1"/>
  <c r="A237" i="37"/>
  <c r="K237" i="37" s="1"/>
  <c r="A173" i="37"/>
  <c r="K173" i="37" s="1"/>
  <c r="A189" i="37"/>
  <c r="K189" i="37" s="1"/>
  <c r="A310" i="37"/>
  <c r="K310" i="37" s="1"/>
  <c r="E262" i="37"/>
  <c r="R262" i="37" s="1"/>
  <c r="A259" i="37"/>
  <c r="K259" i="37" s="1"/>
  <c r="E348" i="37"/>
  <c r="R348" i="37" s="1"/>
  <c r="A195" i="37"/>
  <c r="K195" i="37" s="1"/>
  <c r="A253" i="37"/>
  <c r="K253" i="37" s="1"/>
  <c r="E394" i="37"/>
  <c r="R394" i="37" s="1"/>
  <c r="A54" i="37"/>
  <c r="K54" i="37" s="1"/>
  <c r="A51" i="37"/>
  <c r="K51" i="37" s="1"/>
  <c r="A43" i="37"/>
  <c r="K43" i="37" s="1"/>
  <c r="A35" i="37"/>
  <c r="K35" i="37" s="1"/>
  <c r="A27" i="37"/>
  <c r="K27" i="37" s="1"/>
  <c r="A19" i="37"/>
  <c r="K19" i="37" s="1"/>
  <c r="A11" i="37"/>
  <c r="K11" i="37" s="1"/>
  <c r="E52" i="37"/>
  <c r="R52" i="37" s="1"/>
  <c r="E44" i="37"/>
  <c r="R44" i="37" s="1"/>
  <c r="E36" i="37"/>
  <c r="R36" i="37" s="1"/>
  <c r="E28" i="37"/>
  <c r="R28" i="37" s="1"/>
  <c r="E20" i="37"/>
  <c r="R20" i="37" s="1"/>
  <c r="E12" i="37"/>
  <c r="R12" i="37" s="1"/>
  <c r="A50" i="37"/>
  <c r="K50" i="37" s="1"/>
  <c r="A42" i="37"/>
  <c r="K42" i="37" s="1"/>
  <c r="A34" i="37"/>
  <c r="K34" i="37" s="1"/>
  <c r="A26" i="37"/>
  <c r="K26" i="37" s="1"/>
  <c r="A18" i="37"/>
  <c r="K18" i="37" s="1"/>
  <c r="A10" i="37"/>
  <c r="K10" i="37" s="1"/>
  <c r="E51" i="37"/>
  <c r="R51" i="37" s="1"/>
  <c r="E43" i="37"/>
  <c r="R43" i="37" s="1"/>
  <c r="E35" i="37"/>
  <c r="R35" i="37" s="1"/>
  <c r="E27" i="37"/>
  <c r="R27" i="37" s="1"/>
  <c r="E19" i="37"/>
  <c r="R19" i="37" s="1"/>
  <c r="E11" i="37"/>
  <c r="R11" i="37" s="1"/>
  <c r="A49" i="37"/>
  <c r="K49" i="37" s="1"/>
  <c r="A41" i="37"/>
  <c r="K41" i="37" s="1"/>
  <c r="A33" i="37"/>
  <c r="K33" i="37" s="1"/>
  <c r="A25" i="37"/>
  <c r="K25" i="37" s="1"/>
  <c r="A17" i="37"/>
  <c r="K17" i="37" s="1"/>
  <c r="A9" i="37"/>
  <c r="K9" i="37" s="1"/>
  <c r="E50" i="37"/>
  <c r="R50" i="37" s="1"/>
  <c r="E42" i="37"/>
  <c r="R42" i="37" s="1"/>
  <c r="E34" i="37"/>
  <c r="R34" i="37" s="1"/>
  <c r="E26" i="37"/>
  <c r="R26" i="37" s="1"/>
  <c r="E18" i="37"/>
  <c r="R18" i="37" s="1"/>
  <c r="E10" i="37"/>
  <c r="R10" i="37" s="1"/>
  <c r="A48" i="37"/>
  <c r="K48" i="37" s="1"/>
  <c r="A40" i="37"/>
  <c r="K40" i="37" s="1"/>
  <c r="A32" i="37"/>
  <c r="K32" i="37" s="1"/>
  <c r="A24" i="37"/>
  <c r="K24" i="37" s="1"/>
  <c r="A16" i="37"/>
  <c r="K16" i="37" s="1"/>
  <c r="A8" i="37"/>
  <c r="K8" i="37" s="1"/>
  <c r="E49" i="37"/>
  <c r="R49" i="37" s="1"/>
  <c r="E41" i="37"/>
  <c r="R41" i="37" s="1"/>
  <c r="E33" i="37"/>
  <c r="R33" i="37" s="1"/>
  <c r="E25" i="37"/>
  <c r="R25" i="37" s="1"/>
  <c r="E17" i="37"/>
  <c r="R17" i="37" s="1"/>
  <c r="E9" i="37"/>
  <c r="R9" i="37" s="1"/>
  <c r="A47" i="37"/>
  <c r="K47" i="37" s="1"/>
  <c r="A39" i="37"/>
  <c r="K39" i="37" s="1"/>
  <c r="A31" i="37"/>
  <c r="K31" i="37" s="1"/>
  <c r="A23" i="37"/>
  <c r="K23" i="37" s="1"/>
  <c r="A15" i="37"/>
  <c r="K15" i="37" s="1"/>
  <c r="A7" i="37"/>
  <c r="K7" i="37" s="1"/>
  <c r="E48" i="37"/>
  <c r="R48" i="37" s="1"/>
  <c r="E40" i="37"/>
  <c r="R40" i="37" s="1"/>
  <c r="E32" i="37"/>
  <c r="R32" i="37" s="1"/>
  <c r="E24" i="37"/>
  <c r="R24" i="37" s="1"/>
  <c r="E16" i="37"/>
  <c r="R16" i="37" s="1"/>
  <c r="E8" i="37"/>
  <c r="R8" i="37" s="1"/>
  <c r="A46" i="37"/>
  <c r="K46" i="37" s="1"/>
  <c r="A38" i="37"/>
  <c r="K38" i="37" s="1"/>
  <c r="A30" i="37"/>
  <c r="K30" i="37" s="1"/>
  <c r="A22" i="37"/>
  <c r="K22" i="37" s="1"/>
  <c r="A14" i="37"/>
  <c r="K14" i="37" s="1"/>
  <c r="A6" i="37"/>
  <c r="E47" i="37"/>
  <c r="R47" i="37" s="1"/>
  <c r="E39" i="37"/>
  <c r="R39" i="37" s="1"/>
  <c r="E31" i="37"/>
  <c r="R31" i="37" s="1"/>
  <c r="E23" i="37"/>
  <c r="R23" i="37" s="1"/>
  <c r="E15" i="37"/>
  <c r="R15" i="37" s="1"/>
  <c r="E7" i="37"/>
  <c r="R7" i="37" s="1"/>
  <c r="A53" i="37"/>
  <c r="K53" i="37" s="1"/>
  <c r="A45" i="37"/>
  <c r="K45" i="37" s="1"/>
  <c r="A37" i="37"/>
  <c r="K37" i="37" s="1"/>
  <c r="A29" i="37"/>
  <c r="K29" i="37" s="1"/>
  <c r="A21" i="37"/>
  <c r="K21" i="37" s="1"/>
  <c r="A13" i="37"/>
  <c r="K13" i="37" s="1"/>
  <c r="E54" i="37"/>
  <c r="R54" i="37" s="1"/>
  <c r="E46" i="37"/>
  <c r="R46" i="37" s="1"/>
  <c r="E38" i="37"/>
  <c r="R38" i="37" s="1"/>
  <c r="E30" i="37"/>
  <c r="R30" i="37" s="1"/>
  <c r="E22" i="37"/>
  <c r="R22" i="37" s="1"/>
  <c r="E14" i="37"/>
  <c r="R14" i="37" s="1"/>
  <c r="E6" i="37"/>
  <c r="A20" i="37"/>
  <c r="K20" i="37" s="1"/>
  <c r="A12" i="37"/>
  <c r="K12" i="37" s="1"/>
  <c r="E53" i="37"/>
  <c r="R53" i="37" s="1"/>
  <c r="E45" i="37"/>
  <c r="R45" i="37" s="1"/>
  <c r="E37" i="37"/>
  <c r="R37" i="37" s="1"/>
  <c r="A44" i="37"/>
  <c r="K44" i="37" s="1"/>
  <c r="E21" i="37"/>
  <c r="R21" i="37" s="1"/>
  <c r="A36" i="37"/>
  <c r="K36" i="37" s="1"/>
  <c r="E13" i="37"/>
  <c r="R13" i="37" s="1"/>
  <c r="E29" i="37"/>
  <c r="R29" i="37" s="1"/>
  <c r="A52" i="37"/>
  <c r="K52" i="37" s="1"/>
  <c r="A28" i="37"/>
  <c r="K28" i="37" s="1"/>
  <c r="A19" i="8"/>
  <c r="A17" i="8"/>
  <c r="S10" i="1"/>
  <c r="Q10" i="1"/>
  <c r="N10" i="1"/>
  <c r="L10" i="1"/>
  <c r="J10" i="1"/>
  <c r="H10" i="1"/>
  <c r="R10" i="1"/>
  <c r="M10" i="1"/>
  <c r="K10" i="1"/>
  <c r="I10" i="1"/>
  <c r="G10" i="1"/>
  <c r="U1" i="9"/>
  <c r="U1" i="8"/>
  <c r="R482" i="37" l="1"/>
  <c r="H482" i="37"/>
  <c r="T482" i="37"/>
  <c r="U482" i="37"/>
  <c r="H142" i="37"/>
  <c r="T142" i="37"/>
  <c r="R142" i="37"/>
  <c r="U142" i="37"/>
  <c r="T935" i="37"/>
  <c r="R935" i="37"/>
  <c r="H935" i="37"/>
  <c r="U935" i="37"/>
  <c r="R490" i="37"/>
  <c r="H490" i="37"/>
  <c r="T490" i="37"/>
  <c r="U490" i="37"/>
  <c r="U849" i="37"/>
  <c r="H849" i="37"/>
  <c r="T849" i="37"/>
  <c r="R849" i="37"/>
  <c r="U841" i="37"/>
  <c r="T841" i="37"/>
  <c r="H841" i="37"/>
  <c r="R841" i="37"/>
  <c r="U447" i="37"/>
  <c r="R447" i="37"/>
  <c r="H447" i="37"/>
  <c r="T447" i="37"/>
  <c r="U873" i="37"/>
  <c r="H873" i="37"/>
  <c r="T873" i="37"/>
  <c r="R873" i="37"/>
  <c r="U852" i="37"/>
  <c r="T852" i="37"/>
  <c r="H852" i="37"/>
  <c r="R852" i="37"/>
  <c r="U82" i="37"/>
  <c r="T82" i="37"/>
  <c r="H82" i="37"/>
  <c r="R82" i="37"/>
  <c r="R521" i="37"/>
  <c r="U521" i="37"/>
  <c r="H521" i="37"/>
  <c r="T521" i="37"/>
  <c r="U107" i="37"/>
  <c r="R107" i="37"/>
  <c r="T107" i="37"/>
  <c r="H107" i="37"/>
  <c r="U90" i="37"/>
  <c r="H90" i="37"/>
  <c r="R90" i="37"/>
  <c r="T90" i="37"/>
  <c r="U131" i="37"/>
  <c r="T131" i="37"/>
  <c r="R131" i="37"/>
  <c r="H131" i="37"/>
  <c r="U532" i="37"/>
  <c r="R532" i="37"/>
  <c r="H532" i="37"/>
  <c r="T532" i="37"/>
  <c r="H518" i="37"/>
  <c r="U518" i="37"/>
  <c r="R518" i="37"/>
  <c r="T518" i="37"/>
  <c r="R458" i="37"/>
  <c r="U458" i="37"/>
  <c r="T458" i="37"/>
  <c r="H458" i="37"/>
  <c r="H466" i="37"/>
  <c r="U466" i="37"/>
  <c r="R466" i="37"/>
  <c r="T466" i="37"/>
  <c r="U844" i="37"/>
  <c r="H844" i="37"/>
  <c r="T844" i="37"/>
  <c r="R844" i="37"/>
  <c r="R461" i="37"/>
  <c r="H461" i="37"/>
  <c r="U461" i="37"/>
  <c r="T461" i="37"/>
  <c r="U887" i="37"/>
  <c r="R887" i="37"/>
  <c r="H887" i="37"/>
  <c r="T887" i="37"/>
  <c r="U473" i="37"/>
  <c r="R473" i="37"/>
  <c r="H473" i="37"/>
  <c r="T473" i="37"/>
  <c r="U855" i="37"/>
  <c r="T855" i="37"/>
  <c r="R855" i="37"/>
  <c r="H855" i="37"/>
  <c r="U73" i="37"/>
  <c r="H73" i="37"/>
  <c r="R73" i="37"/>
  <c r="T73" i="37"/>
  <c r="R537" i="37"/>
  <c r="U537" i="37"/>
  <c r="H537" i="37"/>
  <c r="T537" i="37"/>
  <c r="U114" i="37"/>
  <c r="H114" i="37"/>
  <c r="R114" i="37"/>
  <c r="T114" i="37"/>
  <c r="T846" i="37"/>
  <c r="R846" i="37"/>
  <c r="U846" i="37"/>
  <c r="H846" i="37"/>
  <c r="U909" i="37"/>
  <c r="R909" i="37"/>
  <c r="T909" i="37"/>
  <c r="H909" i="37"/>
  <c r="U890" i="37"/>
  <c r="T890" i="37"/>
  <c r="R890" i="37"/>
  <c r="H890" i="37"/>
  <c r="H79" i="37"/>
  <c r="R79" i="37"/>
  <c r="U79" i="37"/>
  <c r="T79" i="37"/>
  <c r="T151" i="37"/>
  <c r="H151" i="37"/>
  <c r="R151" i="37"/>
  <c r="U151" i="37"/>
  <c r="U517" i="37"/>
  <c r="R517" i="37"/>
  <c r="H517" i="37"/>
  <c r="T517" i="37"/>
  <c r="R883" i="37"/>
  <c r="T883" i="37"/>
  <c r="U883" i="37"/>
  <c r="H883" i="37"/>
  <c r="U146" i="37"/>
  <c r="H146" i="37"/>
  <c r="R146" i="37"/>
  <c r="T146" i="37"/>
  <c r="U137" i="37"/>
  <c r="R137" i="37"/>
  <c r="T137" i="37"/>
  <c r="H137" i="37"/>
  <c r="R475" i="37"/>
  <c r="H475" i="37"/>
  <c r="U475" i="37"/>
  <c r="T475" i="37"/>
  <c r="T880" i="37"/>
  <c r="R880" i="37"/>
  <c r="H880" i="37"/>
  <c r="U880" i="37"/>
  <c r="U519" i="37"/>
  <c r="H519" i="37"/>
  <c r="R519" i="37"/>
  <c r="T519" i="37"/>
  <c r="U896" i="37"/>
  <c r="T896" i="37"/>
  <c r="H896" i="37"/>
  <c r="R896" i="37"/>
  <c r="R116" i="37"/>
  <c r="T116" i="37"/>
  <c r="H116" i="37"/>
  <c r="U116" i="37"/>
  <c r="U499" i="37"/>
  <c r="T499" i="37"/>
  <c r="H499" i="37"/>
  <c r="R499" i="37"/>
  <c r="U76" i="37"/>
  <c r="H76" i="37"/>
  <c r="T76" i="37"/>
  <c r="R76" i="37"/>
  <c r="R867" i="37"/>
  <c r="T867" i="37"/>
  <c r="H867" i="37"/>
  <c r="U867" i="37"/>
  <c r="U858" i="37"/>
  <c r="T858" i="37"/>
  <c r="R858" i="37"/>
  <c r="H858" i="37"/>
  <c r="U933" i="37"/>
  <c r="R933" i="37"/>
  <c r="T933" i="37"/>
  <c r="H933" i="37"/>
  <c r="U524" i="37"/>
  <c r="T524" i="37"/>
  <c r="H524" i="37"/>
  <c r="R524" i="37"/>
  <c r="T144" i="37"/>
  <c r="R144" i="37"/>
  <c r="U144" i="37"/>
  <c r="H144" i="37"/>
  <c r="H510" i="37"/>
  <c r="R510" i="37"/>
  <c r="U510" i="37"/>
  <c r="T510" i="37"/>
  <c r="U876" i="37"/>
  <c r="H876" i="37"/>
  <c r="T876" i="37"/>
  <c r="R876" i="37"/>
  <c r="U539" i="37"/>
  <c r="R539" i="37"/>
  <c r="T539" i="37"/>
  <c r="H539" i="37"/>
  <c r="R905" i="37"/>
  <c r="H905" i="37"/>
  <c r="T905" i="37"/>
  <c r="U905" i="37"/>
  <c r="U77" i="37"/>
  <c r="R77" i="37"/>
  <c r="T77" i="37"/>
  <c r="H77" i="37"/>
  <c r="R467" i="37"/>
  <c r="T467" i="37"/>
  <c r="U467" i="37"/>
  <c r="H467" i="37"/>
  <c r="U106" i="37"/>
  <c r="H106" i="37"/>
  <c r="T106" i="37"/>
  <c r="R106" i="37"/>
  <c r="U472" i="37"/>
  <c r="H472" i="37"/>
  <c r="R472" i="37"/>
  <c r="T472" i="37"/>
  <c r="U544" i="37"/>
  <c r="H544" i="37"/>
  <c r="T544" i="37"/>
  <c r="R544" i="37"/>
  <c r="R910" i="37"/>
  <c r="U910" i="37"/>
  <c r="H910" i="37"/>
  <c r="T910" i="37"/>
  <c r="U925" i="37"/>
  <c r="R925" i="37"/>
  <c r="H925" i="37"/>
  <c r="T925" i="37"/>
  <c r="U860" i="37"/>
  <c r="H860" i="37"/>
  <c r="T860" i="37"/>
  <c r="R860" i="37"/>
  <c r="R474" i="37"/>
  <c r="H474" i="37"/>
  <c r="T474" i="37"/>
  <c r="U474" i="37"/>
  <c r="R840" i="37"/>
  <c r="T840" i="37"/>
  <c r="U840" i="37"/>
  <c r="H840" i="37"/>
  <c r="U476" i="37"/>
  <c r="R476" i="37"/>
  <c r="T476" i="37"/>
  <c r="H476" i="37"/>
  <c r="R503" i="37"/>
  <c r="U503" i="37"/>
  <c r="H503" i="37"/>
  <c r="T503" i="37"/>
  <c r="H869" i="37"/>
  <c r="R869" i="37"/>
  <c r="T869" i="37"/>
  <c r="U869" i="37"/>
  <c r="T70" i="37"/>
  <c r="H70" i="37"/>
  <c r="R70" i="37"/>
  <c r="U70" i="37"/>
  <c r="U109" i="37"/>
  <c r="T109" i="37"/>
  <c r="R109" i="37"/>
  <c r="H109" i="37"/>
  <c r="U133" i="37"/>
  <c r="R133" i="37"/>
  <c r="T133" i="37"/>
  <c r="H133" i="37"/>
  <c r="U506" i="37"/>
  <c r="H506" i="37"/>
  <c r="T506" i="37"/>
  <c r="R506" i="37"/>
  <c r="H493" i="37"/>
  <c r="R493" i="37"/>
  <c r="U493" i="37"/>
  <c r="T493" i="37"/>
  <c r="U931" i="37"/>
  <c r="H931" i="37"/>
  <c r="T931" i="37"/>
  <c r="R931" i="37"/>
  <c r="T72" i="37"/>
  <c r="U72" i="37"/>
  <c r="R72" i="37"/>
  <c r="H72" i="37"/>
  <c r="U897" i="37"/>
  <c r="R897" i="37"/>
  <c r="H897" i="37"/>
  <c r="T897" i="37"/>
  <c r="T152" i="37"/>
  <c r="U152" i="37"/>
  <c r="R152" i="37"/>
  <c r="H152" i="37"/>
  <c r="T872" i="37"/>
  <c r="U872" i="37"/>
  <c r="H872" i="37"/>
  <c r="R872" i="37"/>
  <c r="U502" i="37"/>
  <c r="T502" i="37"/>
  <c r="R502" i="37"/>
  <c r="H502" i="37"/>
  <c r="R511" i="37"/>
  <c r="T511" i="37"/>
  <c r="U511" i="37"/>
  <c r="H511" i="37"/>
  <c r="U120" i="37"/>
  <c r="H120" i="37"/>
  <c r="T120" i="37"/>
  <c r="R120" i="37"/>
  <c r="U924" i="37"/>
  <c r="R924" i="37"/>
  <c r="H924" i="37"/>
  <c r="T924" i="37"/>
  <c r="U881" i="37"/>
  <c r="H881" i="37"/>
  <c r="T881" i="37"/>
  <c r="R881" i="37"/>
  <c r="U520" i="37"/>
  <c r="H520" i="37"/>
  <c r="R520" i="37"/>
  <c r="T520" i="37"/>
  <c r="T877" i="37"/>
  <c r="R877" i="37"/>
  <c r="U877" i="37"/>
  <c r="H877" i="37"/>
  <c r="U129" i="37"/>
  <c r="H129" i="37"/>
  <c r="T129" i="37"/>
  <c r="R129" i="37"/>
  <c r="U865" i="37"/>
  <c r="H865" i="37"/>
  <c r="R865" i="37"/>
  <c r="T865" i="37"/>
  <c r="H95" i="37"/>
  <c r="R95" i="37"/>
  <c r="U95" i="37"/>
  <c r="T95" i="37"/>
  <c r="R875" i="37"/>
  <c r="U875" i="37"/>
  <c r="H875" i="37"/>
  <c r="T875" i="37"/>
  <c r="T111" i="37"/>
  <c r="U111" i="37"/>
  <c r="H111" i="37"/>
  <c r="R111" i="37"/>
  <c r="H861" i="37"/>
  <c r="U861" i="37"/>
  <c r="R861" i="37"/>
  <c r="T861" i="37"/>
  <c r="U139" i="37"/>
  <c r="H139" i="37"/>
  <c r="R139" i="37"/>
  <c r="T139" i="37"/>
  <c r="R505" i="37"/>
  <c r="T505" i="37"/>
  <c r="H505" i="37"/>
  <c r="U505" i="37"/>
  <c r="U65" i="37"/>
  <c r="T65" i="37"/>
  <c r="R65" i="37"/>
  <c r="H65" i="37"/>
  <c r="R913" i="37"/>
  <c r="U913" i="37"/>
  <c r="H913" i="37"/>
  <c r="T913" i="37"/>
  <c r="U528" i="37"/>
  <c r="H528" i="37"/>
  <c r="R528" i="37"/>
  <c r="T528" i="37"/>
  <c r="U531" i="37"/>
  <c r="R531" i="37"/>
  <c r="T531" i="37"/>
  <c r="H531" i="37"/>
  <c r="T94" i="37"/>
  <c r="R94" i="37"/>
  <c r="U94" i="37"/>
  <c r="H94" i="37"/>
  <c r="U92" i="37"/>
  <c r="R92" i="37"/>
  <c r="H92" i="37"/>
  <c r="T92" i="37"/>
  <c r="R932" i="37"/>
  <c r="T932" i="37"/>
  <c r="H932" i="37"/>
  <c r="U932" i="37"/>
  <c r="U523" i="37"/>
  <c r="T523" i="37"/>
  <c r="H523" i="37"/>
  <c r="R523" i="37"/>
  <c r="R451" i="37"/>
  <c r="H451" i="37"/>
  <c r="U451" i="37"/>
  <c r="T451" i="37"/>
  <c r="U912" i="37"/>
  <c r="R912" i="37"/>
  <c r="H912" i="37"/>
  <c r="T912" i="37"/>
  <c r="U500" i="37"/>
  <c r="R500" i="37"/>
  <c r="H500" i="37"/>
  <c r="T500" i="37"/>
  <c r="U874" i="37"/>
  <c r="T874" i="37"/>
  <c r="R874" i="37"/>
  <c r="H874" i="37"/>
  <c r="U501" i="37"/>
  <c r="T501" i="37"/>
  <c r="R501" i="37"/>
  <c r="H501" i="37"/>
  <c r="U68" i="37"/>
  <c r="H68" i="37"/>
  <c r="T68" i="37"/>
  <c r="R68" i="37"/>
  <c r="U866" i="37"/>
  <c r="R866" i="37"/>
  <c r="T866" i="37"/>
  <c r="H866" i="37"/>
  <c r="T55" i="37"/>
  <c r="U55" i="37"/>
  <c r="H55" i="37"/>
  <c r="R55" i="37"/>
  <c r="R859" i="37"/>
  <c r="U859" i="37"/>
  <c r="T859" i="37"/>
  <c r="H859" i="37"/>
  <c r="R483" i="37"/>
  <c r="H483" i="37"/>
  <c r="T483" i="37"/>
  <c r="U483" i="37"/>
  <c r="R126" i="37"/>
  <c r="T126" i="37"/>
  <c r="U126" i="37"/>
  <c r="H126" i="37"/>
  <c r="R64" i="37"/>
  <c r="H64" i="37"/>
  <c r="T64" i="37"/>
  <c r="U64" i="37"/>
  <c r="U488" i="37"/>
  <c r="H488" i="37"/>
  <c r="T488" i="37"/>
  <c r="R488" i="37"/>
  <c r="R486" i="37"/>
  <c r="U486" i="37"/>
  <c r="T486" i="37"/>
  <c r="H486" i="37"/>
  <c r="U515" i="37"/>
  <c r="T515" i="37"/>
  <c r="H515" i="37"/>
  <c r="R515" i="37"/>
  <c r="U60" i="37"/>
  <c r="T60" i="37"/>
  <c r="H60" i="37"/>
  <c r="R60" i="37"/>
  <c r="U448" i="37"/>
  <c r="R448" i="37"/>
  <c r="T448" i="37"/>
  <c r="H448" i="37"/>
  <c r="U901" i="37"/>
  <c r="H901" i="37"/>
  <c r="T901" i="37"/>
  <c r="R901" i="37"/>
  <c r="U543" i="37"/>
  <c r="R543" i="37"/>
  <c r="H543" i="37"/>
  <c r="T543" i="37"/>
  <c r="R88" i="37"/>
  <c r="T88" i="37"/>
  <c r="H88" i="37"/>
  <c r="U88" i="37"/>
  <c r="R878" i="37"/>
  <c r="H878" i="37"/>
  <c r="T878" i="37"/>
  <c r="U878" i="37"/>
  <c r="U871" i="37"/>
  <c r="T871" i="37"/>
  <c r="H871" i="37"/>
  <c r="R871" i="37"/>
  <c r="U538" i="37"/>
  <c r="R538" i="37"/>
  <c r="T538" i="37"/>
  <c r="H538" i="37"/>
  <c r="U512" i="37"/>
  <c r="H512" i="37"/>
  <c r="R512" i="37"/>
  <c r="T512" i="37"/>
  <c r="R132" i="37"/>
  <c r="U132" i="37"/>
  <c r="H132" i="37"/>
  <c r="T132" i="37"/>
  <c r="U498" i="37"/>
  <c r="H498" i="37"/>
  <c r="R498" i="37"/>
  <c r="T498" i="37"/>
  <c r="U527" i="37"/>
  <c r="R527" i="37"/>
  <c r="T527" i="37"/>
  <c r="H527" i="37"/>
  <c r="U84" i="37"/>
  <c r="H84" i="37"/>
  <c r="R84" i="37"/>
  <c r="T84" i="37"/>
  <c r="U898" i="37"/>
  <c r="T898" i="37"/>
  <c r="R898" i="37"/>
  <c r="H898" i="37"/>
  <c r="U904" i="37"/>
  <c r="H904" i="37"/>
  <c r="R904" i="37"/>
  <c r="T904" i="37"/>
  <c r="U495" i="37"/>
  <c r="T495" i="37"/>
  <c r="R495" i="37"/>
  <c r="H495" i="37"/>
  <c r="T135" i="37"/>
  <c r="U135" i="37"/>
  <c r="R135" i="37"/>
  <c r="H135" i="37"/>
  <c r="U136" i="37"/>
  <c r="T136" i="37"/>
  <c r="H136" i="37"/>
  <c r="R136" i="37"/>
  <c r="T477" i="37"/>
  <c r="H477" i="37"/>
  <c r="U477" i="37"/>
  <c r="R477" i="37"/>
  <c r="H145" i="37"/>
  <c r="U145" i="37"/>
  <c r="T145" i="37"/>
  <c r="R145" i="37"/>
  <c r="U85" i="37"/>
  <c r="R85" i="37"/>
  <c r="H85" i="37"/>
  <c r="T85" i="37"/>
  <c r="U882" i="37"/>
  <c r="R882" i="37"/>
  <c r="H882" i="37"/>
  <c r="T882" i="37"/>
  <c r="U74" i="37"/>
  <c r="T74" i="37"/>
  <c r="H74" i="37"/>
  <c r="R74" i="37"/>
  <c r="R450" i="37"/>
  <c r="T450" i="37"/>
  <c r="U450" i="37"/>
  <c r="H450" i="37"/>
  <c r="U888" i="37"/>
  <c r="T888" i="37"/>
  <c r="R888" i="37"/>
  <c r="H888" i="37"/>
  <c r="T845" i="37"/>
  <c r="R845" i="37"/>
  <c r="U845" i="37"/>
  <c r="H845" i="37"/>
  <c r="U917" i="37"/>
  <c r="H917" i="37"/>
  <c r="T917" i="37"/>
  <c r="R917" i="37"/>
  <c r="U89" i="37"/>
  <c r="T89" i="37"/>
  <c r="H89" i="37"/>
  <c r="R89" i="37"/>
  <c r="U479" i="37"/>
  <c r="R479" i="37"/>
  <c r="H479" i="37"/>
  <c r="T479" i="37"/>
  <c r="H118" i="37"/>
  <c r="T118" i="37"/>
  <c r="R118" i="37"/>
  <c r="U118" i="37"/>
  <c r="U922" i="37"/>
  <c r="H922" i="37"/>
  <c r="T922" i="37"/>
  <c r="R922" i="37"/>
  <c r="U113" i="37"/>
  <c r="H113" i="37"/>
  <c r="R113" i="37"/>
  <c r="T113" i="37"/>
  <c r="U863" i="37"/>
  <c r="T863" i="37"/>
  <c r="H863" i="37"/>
  <c r="R863" i="37"/>
  <c r="U514" i="37"/>
  <c r="T514" i="37"/>
  <c r="R514" i="37"/>
  <c r="H514" i="37"/>
  <c r="U105" i="37"/>
  <c r="R105" i="37"/>
  <c r="T105" i="37"/>
  <c r="H105" i="37"/>
  <c r="T886" i="37"/>
  <c r="H886" i="37"/>
  <c r="U886" i="37"/>
  <c r="R886" i="37"/>
  <c r="U147" i="37"/>
  <c r="H147" i="37"/>
  <c r="T147" i="37"/>
  <c r="R147" i="37"/>
  <c r="H885" i="37"/>
  <c r="U885" i="37"/>
  <c r="T885" i="37"/>
  <c r="R885" i="37"/>
  <c r="U112" i="37"/>
  <c r="R112" i="37"/>
  <c r="H112" i="37"/>
  <c r="T112" i="37"/>
  <c r="T936" i="37"/>
  <c r="U936" i="37"/>
  <c r="H936" i="37"/>
  <c r="R936" i="37"/>
  <c r="U893" i="37"/>
  <c r="T893" i="37"/>
  <c r="H893" i="37"/>
  <c r="R893" i="37"/>
  <c r="U149" i="37"/>
  <c r="H149" i="37"/>
  <c r="T149" i="37"/>
  <c r="R149" i="37"/>
  <c r="R535" i="37"/>
  <c r="H535" i="37"/>
  <c r="U535" i="37"/>
  <c r="T535" i="37"/>
  <c r="U916" i="37"/>
  <c r="R916" i="37"/>
  <c r="H916" i="37"/>
  <c r="T916" i="37"/>
  <c r="R856" i="37"/>
  <c r="H856" i="37"/>
  <c r="U856" i="37"/>
  <c r="T856" i="37"/>
  <c r="U525" i="37"/>
  <c r="R525" i="37"/>
  <c r="T525" i="37"/>
  <c r="H525" i="37"/>
  <c r="U899" i="37"/>
  <c r="H899" i="37"/>
  <c r="T899" i="37"/>
  <c r="R899" i="37"/>
  <c r="U879" i="37"/>
  <c r="R879" i="37"/>
  <c r="H879" i="37"/>
  <c r="T879" i="37"/>
  <c r="U61" i="37"/>
  <c r="H61" i="37"/>
  <c r="R61" i="37"/>
  <c r="T61" i="37"/>
  <c r="T870" i="37"/>
  <c r="R870" i="37"/>
  <c r="H870" i="37"/>
  <c r="U870" i="37"/>
  <c r="T62" i="37"/>
  <c r="R62" i="37"/>
  <c r="H62" i="37"/>
  <c r="U62" i="37"/>
  <c r="R91" i="37"/>
  <c r="H91" i="37"/>
  <c r="U91" i="37"/>
  <c r="T91" i="37"/>
  <c r="R529" i="37"/>
  <c r="H529" i="37"/>
  <c r="T529" i="37"/>
  <c r="U529" i="37"/>
  <c r="T895" i="37"/>
  <c r="R895" i="37"/>
  <c r="U895" i="37"/>
  <c r="H895" i="37"/>
  <c r="U455" i="37"/>
  <c r="H455" i="37"/>
  <c r="T455" i="37"/>
  <c r="R455" i="37"/>
  <c r="U507" i="37"/>
  <c r="T507" i="37"/>
  <c r="R507" i="37"/>
  <c r="H507" i="37"/>
  <c r="T80" i="37"/>
  <c r="U80" i="37"/>
  <c r="H80" i="37"/>
  <c r="R80" i="37"/>
  <c r="U868" i="37"/>
  <c r="H868" i="37"/>
  <c r="R868" i="37"/>
  <c r="T868" i="37"/>
  <c r="U93" i="37"/>
  <c r="H93" i="37"/>
  <c r="R93" i="37"/>
  <c r="T93" i="37"/>
  <c r="T78" i="37"/>
  <c r="H78" i="37"/>
  <c r="U78" i="37"/>
  <c r="R78" i="37"/>
  <c r="U536" i="37"/>
  <c r="T536" i="37"/>
  <c r="H536" i="37"/>
  <c r="R536" i="37"/>
  <c r="U98" i="37"/>
  <c r="H98" i="37"/>
  <c r="R98" i="37"/>
  <c r="T98" i="37"/>
  <c r="U850" i="37"/>
  <c r="R850" i="37"/>
  <c r="H850" i="37"/>
  <c r="T850" i="37"/>
  <c r="U121" i="37"/>
  <c r="H121" i="37"/>
  <c r="T121" i="37"/>
  <c r="R121" i="37"/>
  <c r="R71" i="37"/>
  <c r="T71" i="37"/>
  <c r="U71" i="37"/>
  <c r="H71" i="37"/>
  <c r="T911" i="37"/>
  <c r="U911" i="37"/>
  <c r="R911" i="37"/>
  <c r="H911" i="37"/>
  <c r="R99" i="37"/>
  <c r="U99" i="37"/>
  <c r="T99" i="37"/>
  <c r="H99" i="37"/>
  <c r="U914" i="37"/>
  <c r="H914" i="37"/>
  <c r="T914" i="37"/>
  <c r="R914" i="37"/>
  <c r="T469" i="37"/>
  <c r="R469" i="37"/>
  <c r="H469" i="37"/>
  <c r="U469" i="37"/>
  <c r="U907" i="37"/>
  <c r="T907" i="37"/>
  <c r="H907" i="37"/>
  <c r="R907" i="37"/>
  <c r="U122" i="37"/>
  <c r="H122" i="37"/>
  <c r="T122" i="37"/>
  <c r="R122" i="37"/>
  <c r="T83" i="37"/>
  <c r="U83" i="37"/>
  <c r="R83" i="37"/>
  <c r="H83" i="37"/>
  <c r="U449" i="37"/>
  <c r="R449" i="37"/>
  <c r="T449" i="37"/>
  <c r="H449" i="37"/>
  <c r="U928" i="37"/>
  <c r="H928" i="37"/>
  <c r="T928" i="37"/>
  <c r="R928" i="37"/>
  <c r="H853" i="37"/>
  <c r="R853" i="37"/>
  <c r="T853" i="37"/>
  <c r="U853" i="37"/>
  <c r="U117" i="37"/>
  <c r="H117" i="37"/>
  <c r="R117" i="37"/>
  <c r="T117" i="37"/>
  <c r="U141" i="37"/>
  <c r="H141" i="37"/>
  <c r="R141" i="37"/>
  <c r="T141" i="37"/>
  <c r="U123" i="37"/>
  <c r="R123" i="37"/>
  <c r="T123" i="37"/>
  <c r="H123" i="37"/>
  <c r="R848" i="37"/>
  <c r="U848" i="37"/>
  <c r="H848" i="37"/>
  <c r="T848" i="37"/>
  <c r="U920" i="37"/>
  <c r="R920" i="37"/>
  <c r="T920" i="37"/>
  <c r="H920" i="37"/>
  <c r="U456" i="37"/>
  <c r="T456" i="37"/>
  <c r="R456" i="37"/>
  <c r="H456" i="37"/>
  <c r="U516" i="37"/>
  <c r="R516" i="37"/>
  <c r="T516" i="37"/>
  <c r="H516" i="37"/>
  <c r="T119" i="37"/>
  <c r="U119" i="37"/>
  <c r="H119" i="37"/>
  <c r="R119" i="37"/>
  <c r="R497" i="37"/>
  <c r="U497" i="37"/>
  <c r="T497" i="37"/>
  <c r="H497" i="37"/>
  <c r="U915" i="37"/>
  <c r="R915" i="37"/>
  <c r="H915" i="37"/>
  <c r="T915" i="37"/>
  <c r="R87" i="37"/>
  <c r="H87" i="37"/>
  <c r="T87" i="37"/>
  <c r="U87" i="37"/>
  <c r="U459" i="37"/>
  <c r="T459" i="37"/>
  <c r="H459" i="37"/>
  <c r="R459" i="37"/>
  <c r="U906" i="37"/>
  <c r="T906" i="37"/>
  <c r="R906" i="37"/>
  <c r="H906" i="37"/>
  <c r="R110" i="37"/>
  <c r="T110" i="37"/>
  <c r="U110" i="37"/>
  <c r="H110" i="37"/>
  <c r="T96" i="37"/>
  <c r="H96" i="37"/>
  <c r="R96" i="37"/>
  <c r="U96" i="37"/>
  <c r="R462" i="37"/>
  <c r="U462" i="37"/>
  <c r="T462" i="37"/>
  <c r="H462" i="37"/>
  <c r="R534" i="37"/>
  <c r="T534" i="37"/>
  <c r="H534" i="37"/>
  <c r="U534" i="37"/>
  <c r="U900" i="37"/>
  <c r="H900" i="37"/>
  <c r="T900" i="37"/>
  <c r="R900" i="37"/>
  <c r="U452" i="37"/>
  <c r="R452" i="37"/>
  <c r="T452" i="37"/>
  <c r="H452" i="37"/>
  <c r="R491" i="37"/>
  <c r="U491" i="37"/>
  <c r="H491" i="37"/>
  <c r="T491" i="37"/>
  <c r="U857" i="37"/>
  <c r="R857" i="37"/>
  <c r="H857" i="37"/>
  <c r="T857" i="37"/>
  <c r="R929" i="37"/>
  <c r="T929" i="37"/>
  <c r="U929" i="37"/>
  <c r="H929" i="37"/>
  <c r="R101" i="37"/>
  <c r="T101" i="37"/>
  <c r="H101" i="37"/>
  <c r="U101" i="37"/>
  <c r="U58" i="37"/>
  <c r="H58" i="37"/>
  <c r="R58" i="37"/>
  <c r="T58" i="37"/>
  <c r="U130" i="37"/>
  <c r="H130" i="37"/>
  <c r="T130" i="37"/>
  <c r="R130" i="37"/>
  <c r="U496" i="37"/>
  <c r="T496" i="37"/>
  <c r="R496" i="37"/>
  <c r="H496" i="37"/>
  <c r="T862" i="37"/>
  <c r="R862" i="37"/>
  <c r="H862" i="37"/>
  <c r="U862" i="37"/>
  <c r="R934" i="37"/>
  <c r="U934" i="37"/>
  <c r="H934" i="37"/>
  <c r="T934" i="37"/>
  <c r="U489" i="37"/>
  <c r="T489" i="37"/>
  <c r="H489" i="37"/>
  <c r="R489" i="37"/>
  <c r="R513" i="37"/>
  <c r="T513" i="37"/>
  <c r="U513" i="37"/>
  <c r="H513" i="37"/>
  <c r="U930" i="37"/>
  <c r="H930" i="37"/>
  <c r="T930" i="37"/>
  <c r="R930" i="37"/>
  <c r="R108" i="37"/>
  <c r="H108" i="37"/>
  <c r="U108" i="37"/>
  <c r="T108" i="37"/>
  <c r="U508" i="37"/>
  <c r="T508" i="37"/>
  <c r="H508" i="37"/>
  <c r="R508" i="37"/>
  <c r="T75" i="37"/>
  <c r="U75" i="37"/>
  <c r="R75" i="37"/>
  <c r="H75" i="37"/>
  <c r="U509" i="37"/>
  <c r="H509" i="37"/>
  <c r="T509" i="37"/>
  <c r="R509" i="37"/>
  <c r="R485" i="37"/>
  <c r="H485" i="37"/>
  <c r="U485" i="37"/>
  <c r="T485" i="37"/>
  <c r="T127" i="37"/>
  <c r="R127" i="37"/>
  <c r="U127" i="37"/>
  <c r="H127" i="37"/>
  <c r="U453" i="37"/>
  <c r="H453" i="37"/>
  <c r="T453" i="37"/>
  <c r="R453" i="37"/>
  <c r="U533" i="37"/>
  <c r="T533" i="37"/>
  <c r="R533" i="37"/>
  <c r="H533" i="37"/>
  <c r="U125" i="37"/>
  <c r="H125" i="37"/>
  <c r="R125" i="37"/>
  <c r="T125" i="37"/>
  <c r="U530" i="37"/>
  <c r="R530" i="37"/>
  <c r="T530" i="37"/>
  <c r="H530" i="37"/>
  <c r="U504" i="37"/>
  <c r="T504" i="37"/>
  <c r="R504" i="37"/>
  <c r="H504" i="37"/>
  <c r="H526" i="37"/>
  <c r="U526" i="37"/>
  <c r="T526" i="37"/>
  <c r="R526" i="37"/>
  <c r="H67" i="37"/>
  <c r="R67" i="37"/>
  <c r="T67" i="37"/>
  <c r="U67" i="37"/>
  <c r="U100" i="37"/>
  <c r="H100" i="37"/>
  <c r="T100" i="37"/>
  <c r="R100" i="37"/>
  <c r="U884" i="37"/>
  <c r="R884" i="37"/>
  <c r="H884" i="37"/>
  <c r="T884" i="37"/>
  <c r="R56" i="37"/>
  <c r="H56" i="37"/>
  <c r="T56" i="37"/>
  <c r="U56" i="37"/>
  <c r="R843" i="37"/>
  <c r="T843" i="37"/>
  <c r="U843" i="37"/>
  <c r="H843" i="37"/>
  <c r="R864" i="37"/>
  <c r="T864" i="37"/>
  <c r="H864" i="37"/>
  <c r="U864" i="37"/>
  <c r="T921" i="37"/>
  <c r="U921" i="37"/>
  <c r="R921" i="37"/>
  <c r="H921" i="37"/>
  <c r="U460" i="37"/>
  <c r="H460" i="37"/>
  <c r="T460" i="37"/>
  <c r="R460" i="37"/>
  <c r="U463" i="37"/>
  <c r="H463" i="37"/>
  <c r="R463" i="37"/>
  <c r="T463" i="37"/>
  <c r="U66" i="37"/>
  <c r="H66" i="37"/>
  <c r="T66" i="37"/>
  <c r="R66" i="37"/>
  <c r="U492" i="37"/>
  <c r="R492" i="37"/>
  <c r="H492" i="37"/>
  <c r="T492" i="37"/>
  <c r="U69" i="37"/>
  <c r="H69" i="37"/>
  <c r="T69" i="37"/>
  <c r="R69" i="37"/>
  <c r="U128" i="37"/>
  <c r="H128" i="37"/>
  <c r="T128" i="37"/>
  <c r="R128" i="37"/>
  <c r="U471" i="37"/>
  <c r="R471" i="37"/>
  <c r="T471" i="37"/>
  <c r="H471" i="37"/>
  <c r="T102" i="37"/>
  <c r="U102" i="37"/>
  <c r="R102" i="37"/>
  <c r="H102" i="37"/>
  <c r="R140" i="37"/>
  <c r="T140" i="37"/>
  <c r="H140" i="37"/>
  <c r="U140" i="37"/>
  <c r="R902" i="37"/>
  <c r="U902" i="37"/>
  <c r="T902" i="37"/>
  <c r="H902" i="37"/>
  <c r="U457" i="37"/>
  <c r="R457" i="37"/>
  <c r="T457" i="37"/>
  <c r="H457" i="37"/>
  <c r="T86" i="37"/>
  <c r="U86" i="37"/>
  <c r="H86" i="37"/>
  <c r="R86" i="37"/>
  <c r="R478" i="37"/>
  <c r="H478" i="37"/>
  <c r="U478" i="37"/>
  <c r="T478" i="37"/>
  <c r="U97" i="37"/>
  <c r="T97" i="37"/>
  <c r="H97" i="37"/>
  <c r="R97" i="37"/>
  <c r="U908" i="37"/>
  <c r="T908" i="37"/>
  <c r="R908" i="37"/>
  <c r="H908" i="37"/>
  <c r="U891" i="37"/>
  <c r="T891" i="37"/>
  <c r="R891" i="37"/>
  <c r="H891" i="37"/>
  <c r="U522" i="37"/>
  <c r="T522" i="37"/>
  <c r="R522" i="37"/>
  <c r="H522" i="37"/>
  <c r="U484" i="37"/>
  <c r="H484" i="37"/>
  <c r="R484" i="37"/>
  <c r="T484" i="37"/>
  <c r="U138" i="37"/>
  <c r="H138" i="37"/>
  <c r="T138" i="37"/>
  <c r="R138" i="37"/>
  <c r="U892" i="37"/>
  <c r="H892" i="37"/>
  <c r="T892" i="37"/>
  <c r="R892" i="37"/>
  <c r="T150" i="37"/>
  <c r="R150" i="37"/>
  <c r="H150" i="37"/>
  <c r="U150" i="37"/>
  <c r="U839" i="37"/>
  <c r="R839" i="37"/>
  <c r="H839" i="37"/>
  <c r="T839" i="37"/>
  <c r="R124" i="37"/>
  <c r="T124" i="37"/>
  <c r="H124" i="37"/>
  <c r="U124" i="37"/>
  <c r="R148" i="37"/>
  <c r="T148" i="37"/>
  <c r="H148" i="37"/>
  <c r="U148" i="37"/>
  <c r="T903" i="37"/>
  <c r="H903" i="37"/>
  <c r="R903" i="37"/>
  <c r="U903" i="37"/>
  <c r="U104" i="37"/>
  <c r="H104" i="37"/>
  <c r="T104" i="37"/>
  <c r="R104" i="37"/>
  <c r="U81" i="37"/>
  <c r="T81" i="37"/>
  <c r="H81" i="37"/>
  <c r="R81" i="37"/>
  <c r="R494" i="37"/>
  <c r="U494" i="37"/>
  <c r="H494" i="37"/>
  <c r="T494" i="37"/>
  <c r="R454" i="37"/>
  <c r="T454" i="37"/>
  <c r="U454" i="37"/>
  <c r="H454" i="37"/>
  <c r="R894" i="37"/>
  <c r="H894" i="37"/>
  <c r="T894" i="37"/>
  <c r="U894" i="37"/>
  <c r="U842" i="37"/>
  <c r="T842" i="37"/>
  <c r="R842" i="37"/>
  <c r="H842" i="37"/>
  <c r="T103" i="37"/>
  <c r="H103" i="37"/>
  <c r="U103" i="37"/>
  <c r="R103" i="37"/>
  <c r="U541" i="37"/>
  <c r="T541" i="37"/>
  <c r="R541" i="37"/>
  <c r="H541" i="37"/>
  <c r="U63" i="37"/>
  <c r="T63" i="37"/>
  <c r="R63" i="37"/>
  <c r="H63" i="37"/>
  <c r="U57" i="37"/>
  <c r="T57" i="37"/>
  <c r="R57" i="37"/>
  <c r="H57" i="37"/>
  <c r="R889" i="37"/>
  <c r="U889" i="37"/>
  <c r="H889" i="37"/>
  <c r="T889" i="37"/>
  <c r="U487" i="37"/>
  <c r="T487" i="37"/>
  <c r="R487" i="37"/>
  <c r="H487" i="37"/>
  <c r="T143" i="37"/>
  <c r="H143" i="37"/>
  <c r="R143" i="37"/>
  <c r="U143" i="37"/>
  <c r="R851" i="37"/>
  <c r="T851" i="37"/>
  <c r="H851" i="37"/>
  <c r="U851" i="37"/>
  <c r="U923" i="37"/>
  <c r="R923" i="37"/>
  <c r="T923" i="37"/>
  <c r="H923" i="37"/>
  <c r="R542" i="37"/>
  <c r="H542" i="37"/>
  <c r="U542" i="37"/>
  <c r="T542" i="37"/>
  <c r="U468" i="37"/>
  <c r="H468" i="37"/>
  <c r="T468" i="37"/>
  <c r="R468" i="37"/>
  <c r="T59" i="37"/>
  <c r="U59" i="37"/>
  <c r="H59" i="37"/>
  <c r="R59" i="37"/>
  <c r="T927" i="37"/>
  <c r="U927" i="37"/>
  <c r="H927" i="37"/>
  <c r="R927" i="37"/>
  <c r="R470" i="37"/>
  <c r="H470" i="37"/>
  <c r="U470" i="37"/>
  <c r="T470" i="37"/>
  <c r="U465" i="37"/>
  <c r="R465" i="37"/>
  <c r="H465" i="37"/>
  <c r="T465" i="37"/>
  <c r="U540" i="37"/>
  <c r="R540" i="37"/>
  <c r="T540" i="37"/>
  <c r="H540" i="37"/>
  <c r="U480" i="37"/>
  <c r="H480" i="37"/>
  <c r="T480" i="37"/>
  <c r="R480" i="37"/>
  <c r="R918" i="37"/>
  <c r="H918" i="37"/>
  <c r="T918" i="37"/>
  <c r="U918" i="37"/>
  <c r="U134" i="37"/>
  <c r="H134" i="37"/>
  <c r="T134" i="37"/>
  <c r="R134" i="37"/>
  <c r="R854" i="37"/>
  <c r="U854" i="37"/>
  <c r="T854" i="37"/>
  <c r="H854" i="37"/>
  <c r="R926" i="37"/>
  <c r="T926" i="37"/>
  <c r="U926" i="37"/>
  <c r="H926" i="37"/>
  <c r="U115" i="37"/>
  <c r="H115" i="37"/>
  <c r="T115" i="37"/>
  <c r="R115" i="37"/>
  <c r="U481" i="37"/>
  <c r="T481" i="37"/>
  <c r="H481" i="37"/>
  <c r="R481" i="37"/>
  <c r="U847" i="37"/>
  <c r="R847" i="37"/>
  <c r="T847" i="37"/>
  <c r="H847" i="37"/>
  <c r="T919" i="37"/>
  <c r="H919" i="37"/>
  <c r="U919" i="37"/>
  <c r="R919" i="37"/>
  <c r="U464" i="37"/>
  <c r="T464" i="37"/>
  <c r="H464" i="37"/>
  <c r="R464" i="37"/>
  <c r="K805" i="38" a="1"/>
  <c r="K805" i="38" s="1"/>
  <c r="J805" i="38" a="1"/>
  <c r="J805" i="38" s="1"/>
  <c r="I805" i="38" a="1"/>
  <c r="I805" i="38" s="1"/>
  <c r="K806" i="38" a="1"/>
  <c r="K806" i="38" s="1"/>
  <c r="J806" i="38" a="1"/>
  <c r="J806" i="38" s="1"/>
  <c r="I806" i="38" a="1"/>
  <c r="I806" i="38" s="1"/>
  <c r="K808" i="38" a="1"/>
  <c r="K808" i="38" s="1"/>
  <c r="J808" i="38" a="1"/>
  <c r="J808" i="38" s="1"/>
  <c r="I808" i="38" a="1"/>
  <c r="I808" i="38" s="1"/>
  <c r="J802" i="38" a="1"/>
  <c r="J802" i="38" s="1"/>
  <c r="I802" i="38" a="1"/>
  <c r="I802" i="38" s="1"/>
  <c r="K802" i="38" a="1"/>
  <c r="K802" i="38" s="1"/>
  <c r="K801" i="38" a="1"/>
  <c r="K801" i="38" s="1"/>
  <c r="J801" i="38" a="1"/>
  <c r="J801" i="38" s="1"/>
  <c r="I801" i="38" a="1"/>
  <c r="I801" i="38" s="1"/>
  <c r="K803" i="38" a="1"/>
  <c r="K803" i="38" s="1"/>
  <c r="J803" i="38" a="1"/>
  <c r="J803" i="38" s="1"/>
  <c r="I803" i="38" a="1"/>
  <c r="I803" i="38" s="1"/>
  <c r="I804" i="38" a="1"/>
  <c r="I804" i="38" s="1"/>
  <c r="K804" i="38" a="1"/>
  <c r="K804" i="38" s="1"/>
  <c r="J804" i="38" a="1"/>
  <c r="J804" i="38" s="1"/>
  <c r="G2" i="38"/>
  <c r="H318" i="37"/>
  <c r="Z318" i="37" s="1"/>
  <c r="T318" i="37"/>
  <c r="U318" i="37"/>
  <c r="H585" i="37"/>
  <c r="Z585" i="37" s="1"/>
  <c r="T585" i="37"/>
  <c r="U585" i="37"/>
  <c r="H813" i="37"/>
  <c r="Z813" i="37" s="1"/>
  <c r="T813" i="37"/>
  <c r="U813" i="37"/>
  <c r="H688" i="37"/>
  <c r="Z688" i="37" s="1"/>
  <c r="T688" i="37"/>
  <c r="U688" i="37"/>
  <c r="H617" i="37"/>
  <c r="Z617" i="37" s="1"/>
  <c r="T617" i="37"/>
  <c r="U617" i="37"/>
  <c r="H710" i="37"/>
  <c r="Z710" i="37" s="1"/>
  <c r="T710" i="37"/>
  <c r="U710" i="37"/>
  <c r="H599" i="37"/>
  <c r="Z599" i="37" s="1"/>
  <c r="T599" i="37"/>
  <c r="U599" i="37"/>
  <c r="H699" i="37"/>
  <c r="Z699" i="37" s="1"/>
  <c r="T699" i="37"/>
  <c r="U699" i="37"/>
  <c r="H1094" i="37"/>
  <c r="Z1094" i="37" s="1"/>
  <c r="U1094" i="37"/>
  <c r="T1094" i="37"/>
  <c r="H947" i="37"/>
  <c r="Z947" i="37" s="1"/>
  <c r="T947" i="37"/>
  <c r="U947" i="37"/>
  <c r="H1075" i="37"/>
  <c r="Z1075" i="37" s="1"/>
  <c r="T1075" i="37"/>
  <c r="U1075" i="37"/>
  <c r="H1116" i="37"/>
  <c r="Z1116" i="37" s="1"/>
  <c r="T1116" i="37"/>
  <c r="U1116" i="37"/>
  <c r="H31" i="37"/>
  <c r="Z31" i="37" s="1"/>
  <c r="T31" i="37"/>
  <c r="U31" i="37"/>
  <c r="H35" i="37"/>
  <c r="Z35" i="37" s="1"/>
  <c r="T35" i="37"/>
  <c r="U35" i="37"/>
  <c r="H264" i="37"/>
  <c r="Z264" i="37" s="1"/>
  <c r="T264" i="37"/>
  <c r="U264" i="37"/>
  <c r="H414" i="37"/>
  <c r="Z414" i="37" s="1"/>
  <c r="T414" i="37"/>
  <c r="U414" i="37"/>
  <c r="H381" i="37"/>
  <c r="Z381" i="37" s="1"/>
  <c r="T381" i="37"/>
  <c r="U381" i="37"/>
  <c r="H586" i="37"/>
  <c r="Z586" i="37" s="1"/>
  <c r="U586" i="37"/>
  <c r="T586" i="37"/>
  <c r="H159" i="37"/>
  <c r="Z159" i="37" s="1"/>
  <c r="T159" i="37"/>
  <c r="U159" i="37"/>
  <c r="H175" i="37"/>
  <c r="Z175" i="37" s="1"/>
  <c r="T175" i="37"/>
  <c r="U175" i="37"/>
  <c r="H191" i="37"/>
  <c r="Z191" i="37" s="1"/>
  <c r="T191" i="37"/>
  <c r="U191" i="37"/>
  <c r="H207" i="37"/>
  <c r="Z207" i="37" s="1"/>
  <c r="T207" i="37"/>
  <c r="U207" i="37"/>
  <c r="H223" i="37"/>
  <c r="Z223" i="37" s="1"/>
  <c r="T223" i="37"/>
  <c r="U223" i="37"/>
  <c r="H239" i="37"/>
  <c r="Z239" i="37" s="1"/>
  <c r="T239" i="37"/>
  <c r="U239" i="37"/>
  <c r="H255" i="37"/>
  <c r="Z255" i="37" s="1"/>
  <c r="T255" i="37"/>
  <c r="U255" i="37"/>
  <c r="H368" i="37"/>
  <c r="Z368" i="37" s="1"/>
  <c r="T368" i="37"/>
  <c r="U368" i="37"/>
  <c r="H808" i="37"/>
  <c r="Z808" i="37" s="1"/>
  <c r="T808" i="37"/>
  <c r="U808" i="37"/>
  <c r="H273" i="37"/>
  <c r="Z273" i="37" s="1"/>
  <c r="T273" i="37"/>
  <c r="U273" i="37"/>
  <c r="H371" i="37"/>
  <c r="Z371" i="37" s="1"/>
  <c r="T371" i="37"/>
  <c r="U371" i="37"/>
  <c r="H590" i="37"/>
  <c r="Z590" i="37" s="1"/>
  <c r="T590" i="37"/>
  <c r="U590" i="37"/>
  <c r="H566" i="37"/>
  <c r="Z566" i="37" s="1"/>
  <c r="T566" i="37"/>
  <c r="U566" i="37"/>
  <c r="H1066" i="37"/>
  <c r="Z1066" i="37" s="1"/>
  <c r="T1066" i="37"/>
  <c r="U1066" i="37"/>
  <c r="H361" i="37"/>
  <c r="Z361" i="37" s="1"/>
  <c r="T361" i="37"/>
  <c r="U361" i="37"/>
  <c r="H162" i="37"/>
  <c r="Z162" i="37" s="1"/>
  <c r="T162" i="37"/>
  <c r="U162" i="37"/>
  <c r="H178" i="37"/>
  <c r="Z178" i="37" s="1"/>
  <c r="T178" i="37"/>
  <c r="U178" i="37"/>
  <c r="H194" i="37"/>
  <c r="Z194" i="37" s="1"/>
  <c r="T194" i="37"/>
  <c r="U194" i="37"/>
  <c r="H210" i="37"/>
  <c r="Z210" i="37" s="1"/>
  <c r="T210" i="37"/>
  <c r="U210" i="37"/>
  <c r="H226" i="37"/>
  <c r="Z226" i="37" s="1"/>
  <c r="T226" i="37"/>
  <c r="U226" i="37"/>
  <c r="H242" i="37"/>
  <c r="Z242" i="37" s="1"/>
  <c r="T242" i="37"/>
  <c r="U242" i="37"/>
  <c r="H258" i="37"/>
  <c r="Z258" i="37" s="1"/>
  <c r="T258" i="37"/>
  <c r="U258" i="37"/>
  <c r="H380" i="37"/>
  <c r="Z380" i="37" s="1"/>
  <c r="T380" i="37"/>
  <c r="U380" i="37"/>
  <c r="H579" i="37"/>
  <c r="Z579" i="37" s="1"/>
  <c r="T579" i="37"/>
  <c r="U579" i="37"/>
  <c r="H553" i="37"/>
  <c r="Z553" i="37" s="1"/>
  <c r="T553" i="37"/>
  <c r="U553" i="37"/>
  <c r="H750" i="37"/>
  <c r="Z750" i="37" s="1"/>
  <c r="T750" i="37"/>
  <c r="U750" i="37"/>
  <c r="H827" i="37"/>
  <c r="Z827" i="37" s="1"/>
  <c r="T827" i="37"/>
  <c r="U827" i="37"/>
  <c r="H294" i="37"/>
  <c r="Z294" i="37" s="1"/>
  <c r="T294" i="37"/>
  <c r="U294" i="37"/>
  <c r="H310" i="37"/>
  <c r="Z310" i="37" s="1"/>
  <c r="T310" i="37"/>
  <c r="U310" i="37"/>
  <c r="H326" i="37"/>
  <c r="Z326" i="37" s="1"/>
  <c r="T326" i="37"/>
  <c r="U326" i="37"/>
  <c r="H342" i="37"/>
  <c r="Z342" i="37" s="1"/>
  <c r="T342" i="37"/>
  <c r="U342" i="37"/>
  <c r="H435" i="37"/>
  <c r="Z435" i="37" s="1"/>
  <c r="T435" i="37"/>
  <c r="U435" i="37"/>
  <c r="H583" i="37"/>
  <c r="Z583" i="37" s="1"/>
  <c r="T583" i="37"/>
  <c r="U583" i="37"/>
  <c r="H785" i="37"/>
  <c r="Z785" i="37" s="1"/>
  <c r="T785" i="37"/>
  <c r="U785" i="37"/>
  <c r="H413" i="37"/>
  <c r="Z413" i="37" s="1"/>
  <c r="T413" i="37"/>
  <c r="U413" i="37"/>
  <c r="H561" i="37"/>
  <c r="Z561" i="37" s="1"/>
  <c r="U561" i="37"/>
  <c r="T561" i="37"/>
  <c r="H443" i="37"/>
  <c r="Z443" i="37" s="1"/>
  <c r="T443" i="37"/>
  <c r="U443" i="37"/>
  <c r="H578" i="37"/>
  <c r="Z578" i="37" s="1"/>
  <c r="T578" i="37"/>
  <c r="U578" i="37"/>
  <c r="H658" i="37"/>
  <c r="Z658" i="37" s="1"/>
  <c r="T658" i="37"/>
  <c r="U658" i="37"/>
  <c r="H419" i="37"/>
  <c r="Z419" i="37" s="1"/>
  <c r="T419" i="37"/>
  <c r="U419" i="37"/>
  <c r="H567" i="37"/>
  <c r="Z567" i="37" s="1"/>
  <c r="T567" i="37"/>
  <c r="U567" i="37"/>
  <c r="H595" i="37"/>
  <c r="Z595" i="37" s="1"/>
  <c r="T595" i="37"/>
  <c r="U595" i="37"/>
  <c r="H283" i="37"/>
  <c r="Z283" i="37" s="1"/>
  <c r="T283" i="37"/>
  <c r="U283" i="37"/>
  <c r="H299" i="37"/>
  <c r="Z299" i="37" s="1"/>
  <c r="T299" i="37"/>
  <c r="U299" i="37"/>
  <c r="H315" i="37"/>
  <c r="Z315" i="37" s="1"/>
  <c r="T315" i="37"/>
  <c r="U315" i="37"/>
  <c r="H331" i="37"/>
  <c r="Z331" i="37" s="1"/>
  <c r="T331" i="37"/>
  <c r="U331" i="37"/>
  <c r="H406" i="37"/>
  <c r="Z406" i="37" s="1"/>
  <c r="T406" i="37"/>
  <c r="U406" i="37"/>
  <c r="H611" i="37"/>
  <c r="Z611" i="37" s="1"/>
  <c r="T611" i="37"/>
  <c r="U611" i="37"/>
  <c r="H733" i="37"/>
  <c r="Z733" i="37" s="1"/>
  <c r="T733" i="37"/>
  <c r="U733" i="37"/>
  <c r="H601" i="37"/>
  <c r="Z601" i="37" s="1"/>
  <c r="T601" i="37"/>
  <c r="U601" i="37"/>
  <c r="H779" i="37"/>
  <c r="Z779" i="37" s="1"/>
  <c r="T779" i="37"/>
  <c r="U779" i="37"/>
  <c r="H799" i="37"/>
  <c r="Z799" i="37" s="1"/>
  <c r="T799" i="37"/>
  <c r="U799" i="37"/>
  <c r="H647" i="37"/>
  <c r="Z647" i="37" s="1"/>
  <c r="T647" i="37"/>
  <c r="U647" i="37"/>
  <c r="H698" i="37"/>
  <c r="Z698" i="37" s="1"/>
  <c r="T698" i="37"/>
  <c r="U698" i="37"/>
  <c r="H765" i="37"/>
  <c r="Z765" i="37" s="1"/>
  <c r="T765" i="37"/>
  <c r="U765" i="37"/>
  <c r="H713" i="37"/>
  <c r="Z713" i="37" s="1"/>
  <c r="T713" i="37"/>
  <c r="U713" i="37"/>
  <c r="H1159" i="37"/>
  <c r="Z1159" i="37" s="1"/>
  <c r="T1159" i="37"/>
  <c r="U1159" i="37"/>
  <c r="H640" i="37"/>
  <c r="Z640" i="37" s="1"/>
  <c r="T640" i="37"/>
  <c r="U640" i="37"/>
  <c r="H695" i="37"/>
  <c r="Z695" i="37" s="1"/>
  <c r="T695" i="37"/>
  <c r="U695" i="37"/>
  <c r="H795" i="37"/>
  <c r="Z795" i="37" s="1"/>
  <c r="T795" i="37"/>
  <c r="U795" i="37"/>
  <c r="H646" i="37"/>
  <c r="Z646" i="37" s="1"/>
  <c r="T646" i="37"/>
  <c r="U646" i="37"/>
  <c r="H663" i="37"/>
  <c r="Z663" i="37" s="1"/>
  <c r="T663" i="37"/>
  <c r="U663" i="37"/>
  <c r="H686" i="37"/>
  <c r="Z686" i="37" s="1"/>
  <c r="T686" i="37"/>
  <c r="U686" i="37"/>
  <c r="H721" i="37"/>
  <c r="Z721" i="37" s="1"/>
  <c r="T721" i="37"/>
  <c r="U721" i="37"/>
  <c r="H751" i="37"/>
  <c r="Z751" i="37" s="1"/>
  <c r="T751" i="37"/>
  <c r="U751" i="37"/>
  <c r="H814" i="37"/>
  <c r="Z814" i="37" s="1"/>
  <c r="T814" i="37"/>
  <c r="U814" i="37"/>
  <c r="H1120" i="37"/>
  <c r="Z1120" i="37" s="1"/>
  <c r="T1120" i="37"/>
  <c r="U1120" i="37"/>
  <c r="H633" i="37"/>
  <c r="Z633" i="37" s="1"/>
  <c r="T633" i="37"/>
  <c r="U633" i="37"/>
  <c r="H667" i="37"/>
  <c r="Z667" i="37" s="1"/>
  <c r="T667" i="37"/>
  <c r="U667" i="37"/>
  <c r="H811" i="37"/>
  <c r="Z811" i="37" s="1"/>
  <c r="T811" i="37"/>
  <c r="U811" i="37"/>
  <c r="H838" i="37"/>
  <c r="Z838" i="37" s="1"/>
  <c r="T838" i="37"/>
  <c r="U838" i="37"/>
  <c r="H940" i="37"/>
  <c r="Z940" i="37" s="1"/>
  <c r="U940" i="37"/>
  <c r="T940" i="37"/>
  <c r="H1004" i="37"/>
  <c r="Z1004" i="37" s="1"/>
  <c r="U1004" i="37"/>
  <c r="T1004" i="37"/>
  <c r="H1068" i="37"/>
  <c r="Z1068" i="37" s="1"/>
  <c r="U1068" i="37"/>
  <c r="T1068" i="37"/>
  <c r="H1133" i="37"/>
  <c r="Z1133" i="37" s="1"/>
  <c r="T1133" i="37"/>
  <c r="U1133" i="37"/>
  <c r="H1161" i="37"/>
  <c r="Z1161" i="37" s="1"/>
  <c r="T1161" i="37"/>
  <c r="U1161" i="37"/>
  <c r="H989" i="37"/>
  <c r="Z989" i="37" s="1"/>
  <c r="T989" i="37"/>
  <c r="U989" i="37"/>
  <c r="H1053" i="37"/>
  <c r="Z1053" i="37" s="1"/>
  <c r="T1053" i="37"/>
  <c r="U1053" i="37"/>
  <c r="H1135" i="37"/>
  <c r="Z1135" i="37" s="1"/>
  <c r="T1135" i="37"/>
  <c r="U1135" i="37"/>
  <c r="H1015" i="37"/>
  <c r="Z1015" i="37" s="1"/>
  <c r="T1015" i="37"/>
  <c r="U1015" i="37"/>
  <c r="H1041" i="37"/>
  <c r="Z1041" i="37" s="1"/>
  <c r="T1041" i="37"/>
  <c r="U1041" i="37"/>
  <c r="H1079" i="37"/>
  <c r="Z1079" i="37" s="1"/>
  <c r="T1079" i="37"/>
  <c r="U1079" i="37"/>
  <c r="H1105" i="37"/>
  <c r="Z1105" i="37" s="1"/>
  <c r="T1105" i="37"/>
  <c r="U1105" i="37"/>
  <c r="H822" i="37"/>
  <c r="Z822" i="37" s="1"/>
  <c r="T822" i="37"/>
  <c r="U822" i="37"/>
  <c r="H946" i="37"/>
  <c r="Z946" i="37" s="1"/>
  <c r="T946" i="37"/>
  <c r="U946" i="37"/>
  <c r="H984" i="37"/>
  <c r="Z984" i="37" s="1"/>
  <c r="T984" i="37"/>
  <c r="U984" i="37"/>
  <c r="H1010" i="37"/>
  <c r="Z1010" i="37" s="1"/>
  <c r="T1010" i="37"/>
  <c r="U1010" i="37"/>
  <c r="H1048" i="37"/>
  <c r="Z1048" i="37" s="1"/>
  <c r="T1048" i="37"/>
  <c r="U1048" i="37"/>
  <c r="H1074" i="37"/>
  <c r="Z1074" i="37" s="1"/>
  <c r="T1074" i="37"/>
  <c r="U1074" i="37"/>
  <c r="H1125" i="37"/>
  <c r="Z1125" i="37" s="1"/>
  <c r="T1125" i="37"/>
  <c r="U1125" i="37"/>
  <c r="H1148" i="37"/>
  <c r="Z1148" i="37" s="1"/>
  <c r="T1148" i="37"/>
  <c r="U1148" i="37"/>
  <c r="H950" i="37"/>
  <c r="Z950" i="37" s="1"/>
  <c r="T950" i="37"/>
  <c r="U950" i="37"/>
  <c r="H1014" i="37"/>
  <c r="Z1014" i="37" s="1"/>
  <c r="T1014" i="37"/>
  <c r="U1014" i="37"/>
  <c r="H1078" i="37"/>
  <c r="Z1078" i="37" s="1"/>
  <c r="T1078" i="37"/>
  <c r="U1078" i="37"/>
  <c r="H1155" i="37"/>
  <c r="Z1155" i="37" s="1"/>
  <c r="T1155" i="37"/>
  <c r="U1155" i="37"/>
  <c r="H1196" i="37"/>
  <c r="Z1196" i="37" s="1"/>
  <c r="T1196" i="37"/>
  <c r="U1196" i="37"/>
  <c r="H1219" i="37"/>
  <c r="Z1219" i="37" s="1"/>
  <c r="U1219" i="37"/>
  <c r="T1219" i="37"/>
  <c r="H1209" i="37"/>
  <c r="Z1209" i="37" s="1"/>
  <c r="T1209" i="37"/>
  <c r="U1209" i="37"/>
  <c r="H1207" i="37"/>
  <c r="Z1207" i="37" s="1"/>
  <c r="U1207" i="37"/>
  <c r="T1207" i="37"/>
  <c r="H1193" i="37"/>
  <c r="Z1193" i="37" s="1"/>
  <c r="T1193" i="37"/>
  <c r="U1193" i="37"/>
  <c r="H623" i="37"/>
  <c r="Z623" i="37" s="1"/>
  <c r="T623" i="37"/>
  <c r="U623" i="37"/>
  <c r="H234" i="37"/>
  <c r="Z234" i="37" s="1"/>
  <c r="T234" i="37"/>
  <c r="U234" i="37"/>
  <c r="H431" i="37"/>
  <c r="Z431" i="37" s="1"/>
  <c r="U431" i="37"/>
  <c r="T431" i="37"/>
  <c r="H334" i="37"/>
  <c r="Z334" i="37" s="1"/>
  <c r="T334" i="37"/>
  <c r="U334" i="37"/>
  <c r="H607" i="37"/>
  <c r="Z607" i="37" s="1"/>
  <c r="T607" i="37"/>
  <c r="U607" i="37"/>
  <c r="H430" i="37"/>
  <c r="Z430" i="37" s="1"/>
  <c r="U430" i="37"/>
  <c r="T430" i="37"/>
  <c r="H796" i="37"/>
  <c r="Z796" i="37" s="1"/>
  <c r="T796" i="37"/>
  <c r="U796" i="37"/>
  <c r="H757" i="37"/>
  <c r="Z757" i="37" s="1"/>
  <c r="T757" i="37"/>
  <c r="U757" i="37"/>
  <c r="H807" i="37"/>
  <c r="Z807" i="37" s="1"/>
  <c r="T807" i="37"/>
  <c r="U807" i="37"/>
  <c r="H622" i="37"/>
  <c r="Z622" i="37" s="1"/>
  <c r="T622" i="37"/>
  <c r="U622" i="37"/>
  <c r="H826" i="37"/>
  <c r="Z826" i="37" s="1"/>
  <c r="U826" i="37"/>
  <c r="T826" i="37"/>
  <c r="H966" i="37"/>
  <c r="Z966" i="37" s="1"/>
  <c r="T966" i="37"/>
  <c r="U966" i="37"/>
  <c r="H1039" i="37"/>
  <c r="Z1039" i="37" s="1"/>
  <c r="T1039" i="37"/>
  <c r="U1039" i="37"/>
  <c r="H1103" i="37"/>
  <c r="Z1103" i="37" s="1"/>
  <c r="T1103" i="37"/>
  <c r="U1103" i="37"/>
  <c r="H1170" i="37"/>
  <c r="Z1170" i="37" s="1"/>
  <c r="U1170" i="37"/>
  <c r="T1170" i="37"/>
  <c r="T6" i="37"/>
  <c r="U6" i="37"/>
  <c r="R6" i="37"/>
  <c r="H362" i="37"/>
  <c r="Z362" i="37" s="1"/>
  <c r="T362" i="37"/>
  <c r="U362" i="37"/>
  <c r="H370" i="37"/>
  <c r="Z370" i="37" s="1"/>
  <c r="T370" i="37"/>
  <c r="U370" i="37"/>
  <c r="H21" i="37"/>
  <c r="Z21" i="37" s="1"/>
  <c r="T21" i="37"/>
  <c r="U21" i="37"/>
  <c r="H14" i="37"/>
  <c r="Z14" i="37" s="1"/>
  <c r="T14" i="37"/>
  <c r="U14" i="37"/>
  <c r="H39" i="37"/>
  <c r="Z39" i="37" s="1"/>
  <c r="T39" i="37"/>
  <c r="U39" i="37"/>
  <c r="T8" i="37"/>
  <c r="U8" i="37"/>
  <c r="H41" i="37"/>
  <c r="Z41" i="37" s="1"/>
  <c r="T41" i="37"/>
  <c r="U41" i="37"/>
  <c r="H10" i="37"/>
  <c r="Z10" i="37" s="1"/>
  <c r="T10" i="37"/>
  <c r="U10" i="37"/>
  <c r="H43" i="37"/>
  <c r="Z43" i="37" s="1"/>
  <c r="T43" i="37"/>
  <c r="U43" i="37"/>
  <c r="H12" i="37"/>
  <c r="Z12" i="37" s="1"/>
  <c r="T12" i="37"/>
  <c r="U12" i="37"/>
  <c r="H348" i="37"/>
  <c r="Z348" i="37" s="1"/>
  <c r="T348" i="37"/>
  <c r="U348" i="37"/>
  <c r="H391" i="37"/>
  <c r="Z391" i="37" s="1"/>
  <c r="T391" i="37"/>
  <c r="U391" i="37"/>
  <c r="H402" i="37"/>
  <c r="Z402" i="37" s="1"/>
  <c r="T402" i="37"/>
  <c r="U402" i="37"/>
  <c r="H276" i="37"/>
  <c r="Z276" i="37" s="1"/>
  <c r="T276" i="37"/>
  <c r="U276" i="37"/>
  <c r="H280" i="37"/>
  <c r="Z280" i="37" s="1"/>
  <c r="T280" i="37"/>
  <c r="U280" i="37"/>
  <c r="H389" i="37"/>
  <c r="Z389" i="37" s="1"/>
  <c r="T389" i="37"/>
  <c r="U389" i="37"/>
  <c r="H161" i="37"/>
  <c r="Z161" i="37" s="1"/>
  <c r="T161" i="37"/>
  <c r="U161" i="37"/>
  <c r="H177" i="37"/>
  <c r="Z177" i="37" s="1"/>
  <c r="T177" i="37"/>
  <c r="U177" i="37"/>
  <c r="H193" i="37"/>
  <c r="Z193" i="37" s="1"/>
  <c r="T193" i="37"/>
  <c r="U193" i="37"/>
  <c r="H209" i="37"/>
  <c r="Z209" i="37" s="1"/>
  <c r="T209" i="37"/>
  <c r="U209" i="37"/>
  <c r="H225" i="37"/>
  <c r="Z225" i="37" s="1"/>
  <c r="T225" i="37"/>
  <c r="U225" i="37"/>
  <c r="H241" i="37"/>
  <c r="Z241" i="37" s="1"/>
  <c r="T241" i="37"/>
  <c r="U241" i="37"/>
  <c r="H257" i="37"/>
  <c r="Z257" i="37" s="1"/>
  <c r="T257" i="37"/>
  <c r="U257" i="37"/>
  <c r="H376" i="37"/>
  <c r="Z376" i="37" s="1"/>
  <c r="T376" i="37"/>
  <c r="U376" i="37"/>
  <c r="H562" i="37"/>
  <c r="Z562" i="37" s="1"/>
  <c r="T562" i="37"/>
  <c r="U562" i="37"/>
  <c r="H275" i="37"/>
  <c r="Z275" i="37" s="1"/>
  <c r="U275" i="37"/>
  <c r="T275" i="37"/>
  <c r="H379" i="37"/>
  <c r="Z379" i="37" s="1"/>
  <c r="T379" i="37"/>
  <c r="U379" i="37"/>
  <c r="H366" i="37"/>
  <c r="Z366" i="37" s="1"/>
  <c r="T366" i="37"/>
  <c r="U366" i="37"/>
  <c r="H575" i="37"/>
  <c r="Z575" i="37" s="1"/>
  <c r="T575" i="37"/>
  <c r="U575" i="37"/>
  <c r="H369" i="37"/>
  <c r="Z369" i="37" s="1"/>
  <c r="T369" i="37"/>
  <c r="U369" i="37"/>
  <c r="H444" i="37"/>
  <c r="Z444" i="37" s="1"/>
  <c r="T444" i="37"/>
  <c r="U444" i="37"/>
  <c r="H164" i="37"/>
  <c r="Z164" i="37" s="1"/>
  <c r="T164" i="37"/>
  <c r="U164" i="37"/>
  <c r="H180" i="37"/>
  <c r="Z180" i="37" s="1"/>
  <c r="T180" i="37"/>
  <c r="U180" i="37"/>
  <c r="H196" i="37"/>
  <c r="Z196" i="37" s="1"/>
  <c r="T196" i="37"/>
  <c r="U196" i="37"/>
  <c r="H212" i="37"/>
  <c r="Z212" i="37" s="1"/>
  <c r="T212" i="37"/>
  <c r="U212" i="37"/>
  <c r="H228" i="37"/>
  <c r="Z228" i="37" s="1"/>
  <c r="T228" i="37"/>
  <c r="U228" i="37"/>
  <c r="H244" i="37"/>
  <c r="Z244" i="37" s="1"/>
  <c r="T244" i="37"/>
  <c r="U244" i="37"/>
  <c r="H260" i="37"/>
  <c r="Z260" i="37" s="1"/>
  <c r="T260" i="37"/>
  <c r="U260" i="37"/>
  <c r="H388" i="37"/>
  <c r="Z388" i="37" s="1"/>
  <c r="T388" i="37"/>
  <c r="U388" i="37"/>
  <c r="H588" i="37"/>
  <c r="Z588" i="37" s="1"/>
  <c r="U588" i="37"/>
  <c r="T588" i="37"/>
  <c r="H555" i="37"/>
  <c r="Z555" i="37" s="1"/>
  <c r="T555" i="37"/>
  <c r="U555" i="37"/>
  <c r="H592" i="37"/>
  <c r="Z592" i="37" s="1"/>
  <c r="U592" i="37"/>
  <c r="T592" i="37"/>
  <c r="H685" i="37"/>
  <c r="Z685" i="37" s="1"/>
  <c r="U685" i="37"/>
  <c r="T685" i="37"/>
  <c r="H296" i="37"/>
  <c r="Z296" i="37" s="1"/>
  <c r="T296" i="37"/>
  <c r="U296" i="37"/>
  <c r="H312" i="37"/>
  <c r="Z312" i="37" s="1"/>
  <c r="T312" i="37"/>
  <c r="U312" i="37"/>
  <c r="H328" i="37"/>
  <c r="Z328" i="37" s="1"/>
  <c r="T328" i="37"/>
  <c r="U328" i="37"/>
  <c r="H344" i="37"/>
  <c r="Z344" i="37" s="1"/>
  <c r="T344" i="37"/>
  <c r="U344" i="37"/>
  <c r="H568" i="37"/>
  <c r="Z568" i="37" s="1"/>
  <c r="U568" i="37"/>
  <c r="T568" i="37"/>
  <c r="H679" i="37"/>
  <c r="Z679" i="37" s="1"/>
  <c r="T679" i="37"/>
  <c r="U679" i="37"/>
  <c r="H806" i="37"/>
  <c r="Z806" i="37" s="1"/>
  <c r="T806" i="37"/>
  <c r="U806" i="37"/>
  <c r="H437" i="37"/>
  <c r="Z437" i="37" s="1"/>
  <c r="T437" i="37"/>
  <c r="U437" i="37"/>
  <c r="H563" i="37"/>
  <c r="Z563" i="37" s="1"/>
  <c r="T563" i="37"/>
  <c r="U563" i="37"/>
  <c r="H735" i="37"/>
  <c r="Z735" i="37" s="1"/>
  <c r="T735" i="37"/>
  <c r="U735" i="37"/>
  <c r="H580" i="37"/>
  <c r="Z580" i="37" s="1"/>
  <c r="U580" i="37"/>
  <c r="T580" i="37"/>
  <c r="H748" i="37"/>
  <c r="Z748" i="37" s="1"/>
  <c r="T748" i="37"/>
  <c r="U748" i="37"/>
  <c r="H552" i="37"/>
  <c r="Z552" i="37" s="1"/>
  <c r="U552" i="37"/>
  <c r="T552" i="37"/>
  <c r="H696" i="37"/>
  <c r="Z696" i="37" s="1"/>
  <c r="T696" i="37"/>
  <c r="U696" i="37"/>
  <c r="H285" i="37"/>
  <c r="Z285" i="37" s="1"/>
  <c r="T285" i="37"/>
  <c r="U285" i="37"/>
  <c r="H301" i="37"/>
  <c r="Z301" i="37" s="1"/>
  <c r="T301" i="37"/>
  <c r="U301" i="37"/>
  <c r="H317" i="37"/>
  <c r="Z317" i="37" s="1"/>
  <c r="T317" i="37"/>
  <c r="U317" i="37"/>
  <c r="H333" i="37"/>
  <c r="Z333" i="37" s="1"/>
  <c r="T333" i="37"/>
  <c r="U333" i="37"/>
  <c r="H408" i="37"/>
  <c r="Z408" i="37" s="1"/>
  <c r="T408" i="37"/>
  <c r="U408" i="37"/>
  <c r="H436" i="37"/>
  <c r="Z436" i="37" s="1"/>
  <c r="T436" i="37"/>
  <c r="U436" i="37"/>
  <c r="H603" i="37"/>
  <c r="Z603" i="37" s="1"/>
  <c r="T603" i="37"/>
  <c r="U603" i="37"/>
  <c r="H714" i="37"/>
  <c r="Z714" i="37" s="1"/>
  <c r="U714" i="37"/>
  <c r="T714" i="37"/>
  <c r="H781" i="37"/>
  <c r="Z781" i="37" s="1"/>
  <c r="T781" i="37"/>
  <c r="U781" i="37"/>
  <c r="H943" i="37"/>
  <c r="Z943" i="37" s="1"/>
  <c r="T943" i="37"/>
  <c r="U943" i="37"/>
  <c r="H700" i="37"/>
  <c r="Z700" i="37" s="1"/>
  <c r="T700" i="37"/>
  <c r="U700" i="37"/>
  <c r="H737" i="37"/>
  <c r="Z737" i="37" s="1"/>
  <c r="T737" i="37"/>
  <c r="U737" i="37"/>
  <c r="H767" i="37"/>
  <c r="Z767" i="37" s="1"/>
  <c r="T767" i="37"/>
  <c r="U767" i="37"/>
  <c r="H1129" i="37"/>
  <c r="Z1129" i="37" s="1"/>
  <c r="T1129" i="37"/>
  <c r="U1129" i="37"/>
  <c r="H715" i="37"/>
  <c r="Z715" i="37" s="1"/>
  <c r="T715" i="37"/>
  <c r="U715" i="37"/>
  <c r="H743" i="37"/>
  <c r="Z743" i="37" s="1"/>
  <c r="T743" i="37"/>
  <c r="U743" i="37"/>
  <c r="H805" i="37"/>
  <c r="Z805" i="37" s="1"/>
  <c r="T805" i="37"/>
  <c r="U805" i="37"/>
  <c r="H942" i="37"/>
  <c r="Z942" i="37" s="1"/>
  <c r="T942" i="37"/>
  <c r="U942" i="37"/>
  <c r="H1009" i="37"/>
  <c r="Z1009" i="37" s="1"/>
  <c r="T1009" i="37"/>
  <c r="U1009" i="37"/>
  <c r="H642" i="37"/>
  <c r="Z642" i="37" s="1"/>
  <c r="T642" i="37"/>
  <c r="U642" i="37"/>
  <c r="H730" i="37"/>
  <c r="Z730" i="37" s="1"/>
  <c r="U730" i="37"/>
  <c r="T730" i="37"/>
  <c r="H723" i="37"/>
  <c r="Z723" i="37" s="1"/>
  <c r="T723" i="37"/>
  <c r="U723" i="37"/>
  <c r="H616" i="37"/>
  <c r="Z616" i="37" s="1"/>
  <c r="T616" i="37"/>
  <c r="U616" i="37"/>
  <c r="H635" i="37"/>
  <c r="Z635" i="37" s="1"/>
  <c r="T635" i="37"/>
  <c r="U635" i="37"/>
  <c r="H669" i="37"/>
  <c r="Z669" i="37" s="1"/>
  <c r="U669" i="37"/>
  <c r="T669" i="37"/>
  <c r="H738" i="37"/>
  <c r="Z738" i="37" s="1"/>
  <c r="U738" i="37"/>
  <c r="T738" i="37"/>
  <c r="H945" i="37"/>
  <c r="Z945" i="37" s="1"/>
  <c r="T945" i="37"/>
  <c r="U945" i="37"/>
  <c r="H952" i="37"/>
  <c r="Z952" i="37" s="1"/>
  <c r="T952" i="37"/>
  <c r="U952" i="37"/>
  <c r="H978" i="37"/>
  <c r="Z978" i="37" s="1"/>
  <c r="T978" i="37"/>
  <c r="U978" i="37"/>
  <c r="H1016" i="37"/>
  <c r="Z1016" i="37" s="1"/>
  <c r="T1016" i="37"/>
  <c r="U1016" i="37"/>
  <c r="H1042" i="37"/>
  <c r="Z1042" i="37" s="1"/>
  <c r="T1042" i="37"/>
  <c r="U1042" i="37"/>
  <c r="H1080" i="37"/>
  <c r="Z1080" i="37" s="1"/>
  <c r="T1080" i="37"/>
  <c r="U1080" i="37"/>
  <c r="H1106" i="37"/>
  <c r="Z1106" i="37" s="1"/>
  <c r="U1106" i="37"/>
  <c r="T1106" i="37"/>
  <c r="H1171" i="37"/>
  <c r="Z1171" i="37" s="1"/>
  <c r="T1171" i="37"/>
  <c r="U1171" i="37"/>
  <c r="H961" i="37"/>
  <c r="Z961" i="37" s="1"/>
  <c r="T961" i="37"/>
  <c r="U961" i="37"/>
  <c r="H999" i="37"/>
  <c r="Z999" i="37" s="1"/>
  <c r="T999" i="37"/>
  <c r="U999" i="37"/>
  <c r="H1025" i="37"/>
  <c r="Z1025" i="37" s="1"/>
  <c r="T1025" i="37"/>
  <c r="U1025" i="37"/>
  <c r="H1063" i="37"/>
  <c r="Z1063" i="37" s="1"/>
  <c r="T1063" i="37"/>
  <c r="U1063" i="37"/>
  <c r="H1089" i="37"/>
  <c r="Z1089" i="37" s="1"/>
  <c r="T1089" i="37"/>
  <c r="U1089" i="37"/>
  <c r="H1115" i="37"/>
  <c r="Z1115" i="37" s="1"/>
  <c r="T1115" i="37"/>
  <c r="U1115" i="37"/>
  <c r="H956" i="37"/>
  <c r="Z956" i="37" s="1"/>
  <c r="U956" i="37"/>
  <c r="T956" i="37"/>
  <c r="H1020" i="37"/>
  <c r="Z1020" i="37" s="1"/>
  <c r="U1020" i="37"/>
  <c r="T1020" i="37"/>
  <c r="H1084" i="37"/>
  <c r="Z1084" i="37" s="1"/>
  <c r="U1084" i="37"/>
  <c r="T1084" i="37"/>
  <c r="H1022" i="37"/>
  <c r="Z1022" i="37" s="1"/>
  <c r="T1022" i="37"/>
  <c r="U1022" i="37"/>
  <c r="H1086" i="37"/>
  <c r="Z1086" i="37" s="1"/>
  <c r="T1086" i="37"/>
  <c r="U1086" i="37"/>
  <c r="H1128" i="37"/>
  <c r="Z1128" i="37" s="1"/>
  <c r="T1128" i="37"/>
  <c r="U1128" i="37"/>
  <c r="H1114" i="37"/>
  <c r="Z1114" i="37" s="1"/>
  <c r="U1114" i="37"/>
  <c r="T1114" i="37"/>
  <c r="H1160" i="37"/>
  <c r="Z1160" i="37" s="1"/>
  <c r="T1160" i="37"/>
  <c r="U1160" i="37"/>
  <c r="H979" i="37"/>
  <c r="Z979" i="37" s="1"/>
  <c r="T979" i="37"/>
  <c r="U979" i="37"/>
  <c r="H1043" i="37"/>
  <c r="Z1043" i="37" s="1"/>
  <c r="T1043" i="37"/>
  <c r="U1043" i="37"/>
  <c r="H1107" i="37"/>
  <c r="Z1107" i="37" s="1"/>
  <c r="T1107" i="37"/>
  <c r="U1107" i="37"/>
  <c r="H1150" i="37"/>
  <c r="Z1150" i="37" s="1"/>
  <c r="U1150" i="37"/>
  <c r="T1150" i="37"/>
  <c r="H1157" i="37"/>
  <c r="Z1157" i="37" s="1"/>
  <c r="T1157" i="37"/>
  <c r="U1157" i="37"/>
  <c r="H1223" i="37"/>
  <c r="Z1223" i="37" s="1"/>
  <c r="U1223" i="37"/>
  <c r="T1223" i="37"/>
  <c r="H1198" i="37"/>
  <c r="Z1198" i="37" s="1"/>
  <c r="U1198" i="37"/>
  <c r="T1198" i="37"/>
  <c r="H1214" i="37"/>
  <c r="Z1214" i="37" s="1"/>
  <c r="T1214" i="37"/>
  <c r="U1214" i="37"/>
  <c r="H1212" i="37"/>
  <c r="Z1212" i="37" s="1"/>
  <c r="T1212" i="37"/>
  <c r="U1212" i="37"/>
  <c r="H1225" i="37"/>
  <c r="Z1225" i="37" s="1"/>
  <c r="T1225" i="37"/>
  <c r="U1225" i="37"/>
  <c r="H1194" i="37"/>
  <c r="Z1194" i="37" s="1"/>
  <c r="U1194" i="37"/>
  <c r="T1194" i="37"/>
  <c r="H1216" i="37"/>
  <c r="Z1216" i="37" s="1"/>
  <c r="T1216" i="37"/>
  <c r="U1216" i="37"/>
  <c r="H1189" i="37"/>
  <c r="Z1189" i="37" s="1"/>
  <c r="T1189" i="37"/>
  <c r="U1189" i="37"/>
  <c r="H1220" i="37"/>
  <c r="Z1220" i="37" s="1"/>
  <c r="T1220" i="37"/>
  <c r="U1220" i="37"/>
  <c r="H199" i="37"/>
  <c r="Z199" i="37" s="1"/>
  <c r="T199" i="37"/>
  <c r="U199" i="37"/>
  <c r="H403" i="37"/>
  <c r="Z403" i="37" s="1"/>
  <c r="T403" i="37"/>
  <c r="U403" i="37"/>
  <c r="H250" i="37"/>
  <c r="Z250" i="37" s="1"/>
  <c r="T250" i="37"/>
  <c r="U250" i="37"/>
  <c r="H429" i="37"/>
  <c r="Z429" i="37" s="1"/>
  <c r="T429" i="37"/>
  <c r="U429" i="37"/>
  <c r="H609" i="37"/>
  <c r="Z609" i="37" s="1"/>
  <c r="T609" i="37"/>
  <c r="U609" i="37"/>
  <c r="H794" i="37"/>
  <c r="Z794" i="37" s="1"/>
  <c r="U794" i="37"/>
  <c r="T794" i="37"/>
  <c r="H302" i="37"/>
  <c r="Z302" i="37" s="1"/>
  <c r="T302" i="37"/>
  <c r="U302" i="37"/>
  <c r="H574" i="37"/>
  <c r="Z574" i="37" s="1"/>
  <c r="T574" i="37"/>
  <c r="U574" i="37"/>
  <c r="H291" i="37"/>
  <c r="Z291" i="37" s="1"/>
  <c r="T291" i="37"/>
  <c r="U291" i="37"/>
  <c r="H573" i="37"/>
  <c r="Z573" i="37" s="1"/>
  <c r="T573" i="37"/>
  <c r="U573" i="37"/>
  <c r="H671" i="37"/>
  <c r="Z671" i="37" s="1"/>
  <c r="T671" i="37"/>
  <c r="U671" i="37"/>
  <c r="H691" i="37"/>
  <c r="Z691" i="37" s="1"/>
  <c r="T691" i="37"/>
  <c r="U691" i="37"/>
  <c r="H1065" i="37"/>
  <c r="Z1065" i="37" s="1"/>
  <c r="T1065" i="37"/>
  <c r="U1065" i="37"/>
  <c r="H1024" i="37"/>
  <c r="Z1024" i="37" s="1"/>
  <c r="T1024" i="37"/>
  <c r="U1024" i="37"/>
  <c r="H1205" i="37"/>
  <c r="Z1205" i="37" s="1"/>
  <c r="T1205" i="37"/>
  <c r="U1205" i="37"/>
  <c r="H33" i="37"/>
  <c r="Z33" i="37" s="1"/>
  <c r="T33" i="37"/>
  <c r="U33" i="37"/>
  <c r="H383" i="37"/>
  <c r="Z383" i="37" s="1"/>
  <c r="T383" i="37"/>
  <c r="U383" i="37"/>
  <c r="H22" i="37"/>
  <c r="Z22" i="37" s="1"/>
  <c r="T22" i="37"/>
  <c r="U22" i="37"/>
  <c r="H47" i="37"/>
  <c r="Z47" i="37" s="1"/>
  <c r="T47" i="37"/>
  <c r="U47" i="37"/>
  <c r="H16" i="37"/>
  <c r="Z16" i="37" s="1"/>
  <c r="T16" i="37"/>
  <c r="U16" i="37"/>
  <c r="H49" i="37"/>
  <c r="Z49" i="37" s="1"/>
  <c r="U49" i="37"/>
  <c r="T49" i="37"/>
  <c r="H18" i="37"/>
  <c r="Z18" i="37" s="1"/>
  <c r="T18" i="37"/>
  <c r="U18" i="37"/>
  <c r="H51" i="37"/>
  <c r="Z51" i="37" s="1"/>
  <c r="T51" i="37"/>
  <c r="U51" i="37"/>
  <c r="H20" i="37"/>
  <c r="Z20" i="37" s="1"/>
  <c r="T20" i="37"/>
  <c r="U20" i="37"/>
  <c r="H268" i="37"/>
  <c r="Z268" i="37" s="1"/>
  <c r="T268" i="37"/>
  <c r="U268" i="37"/>
  <c r="H423" i="37"/>
  <c r="Z423" i="37" s="1"/>
  <c r="T423" i="37"/>
  <c r="U423" i="37"/>
  <c r="H378" i="37"/>
  <c r="Z378" i="37" s="1"/>
  <c r="T378" i="37"/>
  <c r="U378" i="37"/>
  <c r="H397" i="37"/>
  <c r="Z397" i="37" s="1"/>
  <c r="T397" i="37"/>
  <c r="U397" i="37"/>
  <c r="H163" i="37"/>
  <c r="Z163" i="37" s="1"/>
  <c r="T163" i="37"/>
  <c r="U163" i="37"/>
  <c r="H179" i="37"/>
  <c r="Z179" i="37" s="1"/>
  <c r="T179" i="37"/>
  <c r="U179" i="37"/>
  <c r="H195" i="37"/>
  <c r="Z195" i="37" s="1"/>
  <c r="T195" i="37"/>
  <c r="U195" i="37"/>
  <c r="H211" i="37"/>
  <c r="Z211" i="37" s="1"/>
  <c r="U211" i="37"/>
  <c r="T211" i="37"/>
  <c r="H227" i="37"/>
  <c r="Z227" i="37" s="1"/>
  <c r="T227" i="37"/>
  <c r="U227" i="37"/>
  <c r="H243" i="37"/>
  <c r="Z243" i="37" s="1"/>
  <c r="T243" i="37"/>
  <c r="U243" i="37"/>
  <c r="H259" i="37"/>
  <c r="Z259" i="37" s="1"/>
  <c r="T259" i="37"/>
  <c r="U259" i="37"/>
  <c r="H384" i="37"/>
  <c r="Z384" i="37" s="1"/>
  <c r="T384" i="37"/>
  <c r="U384" i="37"/>
  <c r="H951" i="37"/>
  <c r="Z951" i="37" s="1"/>
  <c r="T951" i="37"/>
  <c r="U951" i="37"/>
  <c r="H277" i="37"/>
  <c r="Z277" i="37" s="1"/>
  <c r="T277" i="37"/>
  <c r="U277" i="37"/>
  <c r="H387" i="37"/>
  <c r="Z387" i="37" s="1"/>
  <c r="T387" i="37"/>
  <c r="U387" i="37"/>
  <c r="H374" i="37"/>
  <c r="Z374" i="37" s="1"/>
  <c r="T374" i="37"/>
  <c r="U374" i="37"/>
  <c r="H584" i="37"/>
  <c r="Z584" i="37" s="1"/>
  <c r="U584" i="37"/>
  <c r="T584" i="37"/>
  <c r="H1073" i="37"/>
  <c r="Z1073" i="37" s="1"/>
  <c r="T1073" i="37"/>
  <c r="U1073" i="37"/>
  <c r="H377" i="37"/>
  <c r="Z377" i="37" s="1"/>
  <c r="T377" i="37"/>
  <c r="U377" i="37"/>
  <c r="H551" i="37"/>
  <c r="Z551" i="37" s="1"/>
  <c r="T551" i="37"/>
  <c r="U551" i="37"/>
  <c r="H1040" i="37"/>
  <c r="Z1040" i="37" s="1"/>
  <c r="T1040" i="37"/>
  <c r="U1040" i="37"/>
  <c r="H166" i="37"/>
  <c r="Z166" i="37" s="1"/>
  <c r="T166" i="37"/>
  <c r="U166" i="37"/>
  <c r="H182" i="37"/>
  <c r="Z182" i="37" s="1"/>
  <c r="T182" i="37"/>
  <c r="U182" i="37"/>
  <c r="H198" i="37"/>
  <c r="Z198" i="37" s="1"/>
  <c r="T198" i="37"/>
  <c r="U198" i="37"/>
  <c r="H214" i="37"/>
  <c r="Z214" i="37" s="1"/>
  <c r="T214" i="37"/>
  <c r="U214" i="37"/>
  <c r="H230" i="37"/>
  <c r="Z230" i="37" s="1"/>
  <c r="T230" i="37"/>
  <c r="U230" i="37"/>
  <c r="H246" i="37"/>
  <c r="Z246" i="37" s="1"/>
  <c r="T246" i="37"/>
  <c r="U246" i="37"/>
  <c r="H396" i="37"/>
  <c r="Z396" i="37" s="1"/>
  <c r="T396" i="37"/>
  <c r="U396" i="37"/>
  <c r="H638" i="37"/>
  <c r="Z638" i="37" s="1"/>
  <c r="T638" i="37"/>
  <c r="U638" i="37"/>
  <c r="H557" i="37"/>
  <c r="Z557" i="37" s="1"/>
  <c r="T557" i="37"/>
  <c r="U557" i="37"/>
  <c r="H594" i="37"/>
  <c r="Z594" i="37" s="1"/>
  <c r="T594" i="37"/>
  <c r="U594" i="37"/>
  <c r="H772" i="37"/>
  <c r="Z772" i="37" s="1"/>
  <c r="T772" i="37"/>
  <c r="U772" i="37"/>
  <c r="H282" i="37"/>
  <c r="Z282" i="37" s="1"/>
  <c r="T282" i="37"/>
  <c r="U282" i="37"/>
  <c r="H298" i="37"/>
  <c r="Z298" i="37" s="1"/>
  <c r="T298" i="37"/>
  <c r="U298" i="37"/>
  <c r="H314" i="37"/>
  <c r="Z314" i="37" s="1"/>
  <c r="T314" i="37"/>
  <c r="U314" i="37"/>
  <c r="H330" i="37"/>
  <c r="Z330" i="37" s="1"/>
  <c r="T330" i="37"/>
  <c r="U330" i="37"/>
  <c r="H570" i="37"/>
  <c r="Z570" i="37" s="1"/>
  <c r="T570" i="37"/>
  <c r="U570" i="37"/>
  <c r="H815" i="37"/>
  <c r="Z815" i="37" s="1"/>
  <c r="T815" i="37"/>
  <c r="U815" i="37"/>
  <c r="H422" i="37"/>
  <c r="Z422" i="37" s="1"/>
  <c r="T422" i="37"/>
  <c r="U422" i="37"/>
  <c r="H604" i="37"/>
  <c r="Z604" i="37" s="1"/>
  <c r="U604" i="37"/>
  <c r="T604" i="37"/>
  <c r="H415" i="37"/>
  <c r="Z415" i="37" s="1"/>
  <c r="T415" i="37"/>
  <c r="U415" i="37"/>
  <c r="H591" i="37"/>
  <c r="Z591" i="37" s="1"/>
  <c r="T591" i="37"/>
  <c r="U591" i="37"/>
  <c r="H554" i="37"/>
  <c r="Z554" i="37" s="1"/>
  <c r="U554" i="37"/>
  <c r="T554" i="37"/>
  <c r="H582" i="37"/>
  <c r="Z582" i="37" s="1"/>
  <c r="T582" i="37"/>
  <c r="U582" i="37"/>
  <c r="H600" i="37"/>
  <c r="Z600" i="37" s="1"/>
  <c r="U600" i="37"/>
  <c r="T600" i="37"/>
  <c r="H705" i="37"/>
  <c r="Z705" i="37" s="1"/>
  <c r="T705" i="37"/>
  <c r="U705" i="37"/>
  <c r="H287" i="37"/>
  <c r="Z287" i="37" s="1"/>
  <c r="T287" i="37"/>
  <c r="U287" i="37"/>
  <c r="H303" i="37"/>
  <c r="Z303" i="37" s="1"/>
  <c r="T303" i="37"/>
  <c r="U303" i="37"/>
  <c r="H319" i="37"/>
  <c r="Z319" i="37" s="1"/>
  <c r="T319" i="37"/>
  <c r="U319" i="37"/>
  <c r="H335" i="37"/>
  <c r="Z335" i="37" s="1"/>
  <c r="U335" i="37"/>
  <c r="T335" i="37"/>
  <c r="H410" i="37"/>
  <c r="Z410" i="37" s="1"/>
  <c r="T410" i="37"/>
  <c r="U410" i="37"/>
  <c r="H569" i="37"/>
  <c r="Z569" i="37" s="1"/>
  <c r="T569" i="37"/>
  <c r="U569" i="37"/>
  <c r="H605" i="37"/>
  <c r="Z605" i="37" s="1"/>
  <c r="T605" i="37"/>
  <c r="U605" i="37"/>
  <c r="H716" i="37"/>
  <c r="Z716" i="37" s="1"/>
  <c r="T716" i="37"/>
  <c r="U716" i="37"/>
  <c r="H753" i="37"/>
  <c r="Z753" i="37" s="1"/>
  <c r="T753" i="37"/>
  <c r="U753" i="37"/>
  <c r="H783" i="37"/>
  <c r="Z783" i="37" s="1"/>
  <c r="T783" i="37"/>
  <c r="U783" i="37"/>
  <c r="H632" i="37"/>
  <c r="Z632" i="37" s="1"/>
  <c r="T632" i="37"/>
  <c r="U632" i="37"/>
  <c r="H664" i="37"/>
  <c r="Z664" i="37" s="1"/>
  <c r="T664" i="37"/>
  <c r="U664" i="37"/>
  <c r="H702" i="37"/>
  <c r="Z702" i="37" s="1"/>
  <c r="T702" i="37"/>
  <c r="U702" i="37"/>
  <c r="H739" i="37"/>
  <c r="Z739" i="37" s="1"/>
  <c r="T739" i="37"/>
  <c r="U739" i="37"/>
  <c r="H958" i="37"/>
  <c r="Z958" i="37" s="1"/>
  <c r="T958" i="37"/>
  <c r="U958" i="37"/>
  <c r="H717" i="37"/>
  <c r="Z717" i="37" s="1"/>
  <c r="T717" i="37"/>
  <c r="U717" i="37"/>
  <c r="H778" i="37"/>
  <c r="Z778" i="37" s="1"/>
  <c r="U778" i="37"/>
  <c r="T778" i="37"/>
  <c r="H812" i="37"/>
  <c r="Z812" i="37" s="1"/>
  <c r="T812" i="37"/>
  <c r="U812" i="37"/>
  <c r="H944" i="37"/>
  <c r="Z944" i="37" s="1"/>
  <c r="T944" i="37"/>
  <c r="U944" i="37"/>
  <c r="H606" i="37"/>
  <c r="Z606" i="37" s="1"/>
  <c r="T606" i="37"/>
  <c r="U606" i="37"/>
  <c r="H625" i="37"/>
  <c r="Z625" i="37" s="1"/>
  <c r="T625" i="37"/>
  <c r="U625" i="37"/>
  <c r="H644" i="37"/>
  <c r="Z644" i="37" s="1"/>
  <c r="T644" i="37"/>
  <c r="U644" i="37"/>
  <c r="H732" i="37"/>
  <c r="Z732" i="37" s="1"/>
  <c r="T732" i="37"/>
  <c r="U732" i="37"/>
  <c r="H769" i="37"/>
  <c r="Z769" i="37" s="1"/>
  <c r="T769" i="37"/>
  <c r="U769" i="37"/>
  <c r="H800" i="37"/>
  <c r="Z800" i="37" s="1"/>
  <c r="T800" i="37"/>
  <c r="U800" i="37"/>
  <c r="H725" i="37"/>
  <c r="Z725" i="37" s="1"/>
  <c r="T725" i="37"/>
  <c r="U725" i="37"/>
  <c r="H618" i="37"/>
  <c r="Z618" i="37" s="1"/>
  <c r="T618" i="37"/>
  <c r="U618" i="37"/>
  <c r="H637" i="37"/>
  <c r="Z637" i="37" s="1"/>
  <c r="U637" i="37"/>
  <c r="T637" i="37"/>
  <c r="H712" i="37"/>
  <c r="Z712" i="37" s="1"/>
  <c r="T712" i="37"/>
  <c r="U712" i="37"/>
  <c r="H740" i="37"/>
  <c r="Z740" i="37" s="1"/>
  <c r="T740" i="37"/>
  <c r="U740" i="37"/>
  <c r="H790" i="37"/>
  <c r="Z790" i="37" s="1"/>
  <c r="T790" i="37"/>
  <c r="U790" i="37"/>
  <c r="H816" i="37"/>
  <c r="Z816" i="37" s="1"/>
  <c r="T816" i="37"/>
  <c r="U816" i="37"/>
  <c r="H1173" i="37"/>
  <c r="Z1173" i="37" s="1"/>
  <c r="T1173" i="37"/>
  <c r="U1173" i="37"/>
  <c r="H1006" i="37"/>
  <c r="Z1006" i="37" s="1"/>
  <c r="T1006" i="37"/>
  <c r="U1006" i="37"/>
  <c r="H1070" i="37"/>
  <c r="Z1070" i="37" s="1"/>
  <c r="T1070" i="37"/>
  <c r="U1070" i="37"/>
  <c r="H1117" i="37"/>
  <c r="Z1117" i="37" s="1"/>
  <c r="T1117" i="37"/>
  <c r="U1117" i="37"/>
  <c r="H1140" i="37"/>
  <c r="Z1140" i="37" s="1"/>
  <c r="T1140" i="37"/>
  <c r="U1140" i="37"/>
  <c r="H968" i="37"/>
  <c r="Z968" i="37" s="1"/>
  <c r="T968" i="37"/>
  <c r="U968" i="37"/>
  <c r="H994" i="37"/>
  <c r="Z994" i="37" s="1"/>
  <c r="T994" i="37"/>
  <c r="U994" i="37"/>
  <c r="H1032" i="37"/>
  <c r="Z1032" i="37" s="1"/>
  <c r="T1032" i="37"/>
  <c r="U1032" i="37"/>
  <c r="H1058" i="37"/>
  <c r="Z1058" i="37" s="1"/>
  <c r="T1058" i="37"/>
  <c r="U1058" i="37"/>
  <c r="H1096" i="37"/>
  <c r="Z1096" i="37" s="1"/>
  <c r="T1096" i="37"/>
  <c r="U1096" i="37"/>
  <c r="H1151" i="37"/>
  <c r="Z1151" i="37" s="1"/>
  <c r="T1151" i="37"/>
  <c r="U1151" i="37"/>
  <c r="H1163" i="37"/>
  <c r="Z1163" i="37" s="1"/>
  <c r="U1163" i="37"/>
  <c r="T1163" i="37"/>
  <c r="H829" i="37"/>
  <c r="Z829" i="37" s="1"/>
  <c r="T829" i="37"/>
  <c r="U829" i="37"/>
  <c r="H953" i="37"/>
  <c r="Z953" i="37" s="1"/>
  <c r="T953" i="37"/>
  <c r="U953" i="37"/>
  <c r="H991" i="37"/>
  <c r="Z991" i="37" s="1"/>
  <c r="T991" i="37"/>
  <c r="U991" i="37"/>
  <c r="H1017" i="37"/>
  <c r="Z1017" i="37" s="1"/>
  <c r="T1017" i="37"/>
  <c r="U1017" i="37"/>
  <c r="H1055" i="37"/>
  <c r="Z1055" i="37" s="1"/>
  <c r="T1055" i="37"/>
  <c r="U1055" i="37"/>
  <c r="H1081" i="37"/>
  <c r="Z1081" i="37" s="1"/>
  <c r="T1081" i="37"/>
  <c r="U1081" i="37"/>
  <c r="H981" i="37"/>
  <c r="Z981" i="37" s="1"/>
  <c r="T981" i="37"/>
  <c r="U981" i="37"/>
  <c r="H1045" i="37"/>
  <c r="Z1045" i="37" s="1"/>
  <c r="T1045" i="37"/>
  <c r="U1045" i="37"/>
  <c r="H1109" i="37"/>
  <c r="Z1109" i="37" s="1"/>
  <c r="T1109" i="37"/>
  <c r="U1109" i="37"/>
  <c r="H1132" i="37"/>
  <c r="Z1132" i="37" s="1"/>
  <c r="T1132" i="37"/>
  <c r="U1132" i="37"/>
  <c r="H955" i="37"/>
  <c r="Z955" i="37" s="1"/>
  <c r="T955" i="37"/>
  <c r="U955" i="37"/>
  <c r="H1019" i="37"/>
  <c r="Z1019" i="37" s="1"/>
  <c r="T1019" i="37"/>
  <c r="U1019" i="37"/>
  <c r="H1083" i="37"/>
  <c r="Z1083" i="37" s="1"/>
  <c r="T1083" i="37"/>
  <c r="U1083" i="37"/>
  <c r="H1162" i="37"/>
  <c r="Z1162" i="37" s="1"/>
  <c r="U1162" i="37"/>
  <c r="T1162" i="37"/>
  <c r="H1199" i="37"/>
  <c r="Z1199" i="37" s="1"/>
  <c r="T1199" i="37"/>
  <c r="U1199" i="37"/>
  <c r="H1208" i="37"/>
  <c r="Z1208" i="37" s="1"/>
  <c r="T1208" i="37"/>
  <c r="U1208" i="37"/>
  <c r="H1201" i="37"/>
  <c r="Z1201" i="37" s="1"/>
  <c r="T1201" i="37"/>
  <c r="U1201" i="37"/>
  <c r="H1227" i="37"/>
  <c r="Z1227" i="37" s="1"/>
  <c r="T1227" i="37"/>
  <c r="U1227" i="37"/>
  <c r="H247" i="37"/>
  <c r="Z247" i="37" s="1"/>
  <c r="T247" i="37"/>
  <c r="U247" i="37"/>
  <c r="H265" i="37"/>
  <c r="Z265" i="37" s="1"/>
  <c r="T265" i="37"/>
  <c r="U265" i="37"/>
  <c r="H970" i="37"/>
  <c r="Z970" i="37" s="1"/>
  <c r="T970" i="37"/>
  <c r="U970" i="37"/>
  <c r="H773" i="37"/>
  <c r="Z773" i="37" s="1"/>
  <c r="T773" i="37"/>
  <c r="U773" i="37"/>
  <c r="H797" i="37"/>
  <c r="Z797" i="37" s="1"/>
  <c r="T797" i="37"/>
  <c r="U797" i="37"/>
  <c r="H1011" i="37"/>
  <c r="Z1011" i="37" s="1"/>
  <c r="T1011" i="37"/>
  <c r="U1011" i="37"/>
  <c r="H1124" i="37"/>
  <c r="Z1124" i="37" s="1"/>
  <c r="U1124" i="37"/>
  <c r="T1124" i="37"/>
  <c r="H960" i="37"/>
  <c r="Z960" i="37" s="1"/>
  <c r="T960" i="37"/>
  <c r="U960" i="37"/>
  <c r="H988" i="37"/>
  <c r="Z988" i="37" s="1"/>
  <c r="U988" i="37"/>
  <c r="T988" i="37"/>
  <c r="H37" i="37"/>
  <c r="Z37" i="37" s="1"/>
  <c r="T37" i="37"/>
  <c r="U37" i="37"/>
  <c r="H30" i="37"/>
  <c r="Z30" i="37" s="1"/>
  <c r="T30" i="37"/>
  <c r="U30" i="37"/>
  <c r="H24" i="37"/>
  <c r="Z24" i="37" s="1"/>
  <c r="T24" i="37"/>
  <c r="U24" i="37"/>
  <c r="H26" i="37"/>
  <c r="Z26" i="37" s="1"/>
  <c r="T26" i="37"/>
  <c r="U26" i="37"/>
  <c r="H28" i="37"/>
  <c r="Z28" i="37" s="1"/>
  <c r="T28" i="37"/>
  <c r="U28" i="37"/>
  <c r="H262" i="37"/>
  <c r="Z262" i="37" s="1"/>
  <c r="T262" i="37"/>
  <c r="U262" i="37"/>
  <c r="H278" i="37"/>
  <c r="Z278" i="37" s="1"/>
  <c r="T278" i="37"/>
  <c r="U278" i="37"/>
  <c r="H274" i="37"/>
  <c r="Z274" i="37" s="1"/>
  <c r="T274" i="37"/>
  <c r="U274" i="37"/>
  <c r="H266" i="37"/>
  <c r="Z266" i="37" s="1"/>
  <c r="T266" i="37"/>
  <c r="U266" i="37"/>
  <c r="H427" i="37"/>
  <c r="Z427" i="37" s="1"/>
  <c r="T427" i="37"/>
  <c r="U427" i="37"/>
  <c r="H165" i="37"/>
  <c r="Z165" i="37" s="1"/>
  <c r="T165" i="37"/>
  <c r="U165" i="37"/>
  <c r="H181" i="37"/>
  <c r="Z181" i="37" s="1"/>
  <c r="T181" i="37"/>
  <c r="U181" i="37"/>
  <c r="H197" i="37"/>
  <c r="Z197" i="37" s="1"/>
  <c r="T197" i="37"/>
  <c r="U197" i="37"/>
  <c r="H213" i="37"/>
  <c r="Z213" i="37" s="1"/>
  <c r="T213" i="37"/>
  <c r="U213" i="37"/>
  <c r="H229" i="37"/>
  <c r="Z229" i="37" s="1"/>
  <c r="T229" i="37"/>
  <c r="U229" i="37"/>
  <c r="H245" i="37"/>
  <c r="Z245" i="37" s="1"/>
  <c r="T245" i="37"/>
  <c r="U245" i="37"/>
  <c r="H261" i="37"/>
  <c r="Z261" i="37" s="1"/>
  <c r="T261" i="37"/>
  <c r="U261" i="37"/>
  <c r="H392" i="37"/>
  <c r="Z392" i="37" s="1"/>
  <c r="T392" i="37"/>
  <c r="U392" i="37"/>
  <c r="H263" i="37"/>
  <c r="Z263" i="37" s="1"/>
  <c r="T263" i="37"/>
  <c r="U263" i="37"/>
  <c r="H279" i="37"/>
  <c r="Z279" i="37" s="1"/>
  <c r="T279" i="37"/>
  <c r="U279" i="37"/>
  <c r="H395" i="37"/>
  <c r="Z395" i="37" s="1"/>
  <c r="T395" i="37"/>
  <c r="U395" i="37"/>
  <c r="H382" i="37"/>
  <c r="Z382" i="37" s="1"/>
  <c r="T382" i="37"/>
  <c r="U382" i="37"/>
  <c r="H385" i="37"/>
  <c r="Z385" i="37" s="1"/>
  <c r="T385" i="37"/>
  <c r="U385" i="37"/>
  <c r="H560" i="37"/>
  <c r="Z560" i="37" s="1"/>
  <c r="U560" i="37"/>
  <c r="T560" i="37"/>
  <c r="H168" i="37"/>
  <c r="Z168" i="37" s="1"/>
  <c r="T168" i="37"/>
  <c r="U168" i="37"/>
  <c r="H184" i="37"/>
  <c r="Z184" i="37" s="1"/>
  <c r="T184" i="37"/>
  <c r="U184" i="37"/>
  <c r="H200" i="37"/>
  <c r="Z200" i="37" s="1"/>
  <c r="T200" i="37"/>
  <c r="U200" i="37"/>
  <c r="H216" i="37"/>
  <c r="Z216" i="37" s="1"/>
  <c r="T216" i="37"/>
  <c r="U216" i="37"/>
  <c r="H232" i="37"/>
  <c r="Z232" i="37" s="1"/>
  <c r="T232" i="37"/>
  <c r="U232" i="37"/>
  <c r="H248" i="37"/>
  <c r="Z248" i="37" s="1"/>
  <c r="T248" i="37"/>
  <c r="U248" i="37"/>
  <c r="H350" i="37"/>
  <c r="Z350" i="37" s="1"/>
  <c r="T350" i="37"/>
  <c r="U350" i="37"/>
  <c r="H284" i="37"/>
  <c r="Z284" i="37" s="1"/>
  <c r="T284" i="37"/>
  <c r="U284" i="37"/>
  <c r="H300" i="37"/>
  <c r="Z300" i="37" s="1"/>
  <c r="T300" i="37"/>
  <c r="U300" i="37"/>
  <c r="H316" i="37"/>
  <c r="Z316" i="37" s="1"/>
  <c r="T316" i="37"/>
  <c r="U316" i="37"/>
  <c r="H332" i="37"/>
  <c r="Z332" i="37" s="1"/>
  <c r="T332" i="37"/>
  <c r="U332" i="37"/>
  <c r="H407" i="37"/>
  <c r="Z407" i="37" s="1"/>
  <c r="T407" i="37"/>
  <c r="U407" i="37"/>
  <c r="H572" i="37"/>
  <c r="Z572" i="37" s="1"/>
  <c r="U572" i="37"/>
  <c r="T572" i="37"/>
  <c r="H707" i="37"/>
  <c r="Z707" i="37" s="1"/>
  <c r="T707" i="37"/>
  <c r="U707" i="37"/>
  <c r="H424" i="37"/>
  <c r="Z424" i="37" s="1"/>
  <c r="T424" i="37"/>
  <c r="U424" i="37"/>
  <c r="H550" i="37"/>
  <c r="Z550" i="37" s="1"/>
  <c r="T550" i="37"/>
  <c r="U550" i="37"/>
  <c r="H613" i="37"/>
  <c r="Z613" i="37" s="1"/>
  <c r="U613" i="37"/>
  <c r="T613" i="37"/>
  <c r="H417" i="37"/>
  <c r="Z417" i="37" s="1"/>
  <c r="T417" i="37"/>
  <c r="U417" i="37"/>
  <c r="H565" i="37"/>
  <c r="Z565" i="37" s="1"/>
  <c r="T565" i="37"/>
  <c r="U565" i="37"/>
  <c r="H602" i="37"/>
  <c r="Z602" i="37" s="1"/>
  <c r="U602" i="37"/>
  <c r="T602" i="37"/>
  <c r="H683" i="37"/>
  <c r="Z683" i="37" s="1"/>
  <c r="T683" i="37"/>
  <c r="U683" i="37"/>
  <c r="H770" i="37"/>
  <c r="Z770" i="37" s="1"/>
  <c r="U770" i="37"/>
  <c r="T770" i="37"/>
  <c r="H1145" i="37"/>
  <c r="Z1145" i="37" s="1"/>
  <c r="T1145" i="37"/>
  <c r="U1145" i="37"/>
  <c r="H556" i="37"/>
  <c r="Z556" i="37" s="1"/>
  <c r="U556" i="37"/>
  <c r="T556" i="37"/>
  <c r="H289" i="37"/>
  <c r="Z289" i="37" s="1"/>
  <c r="T289" i="37"/>
  <c r="U289" i="37"/>
  <c r="H305" i="37"/>
  <c r="Z305" i="37" s="1"/>
  <c r="T305" i="37"/>
  <c r="U305" i="37"/>
  <c r="H321" i="37"/>
  <c r="Z321" i="37" s="1"/>
  <c r="T321" i="37"/>
  <c r="U321" i="37"/>
  <c r="H337" i="37"/>
  <c r="Z337" i="37" s="1"/>
  <c r="T337" i="37"/>
  <c r="U337" i="37"/>
  <c r="H412" i="37"/>
  <c r="Z412" i="37" s="1"/>
  <c r="T412" i="37"/>
  <c r="U412" i="37"/>
  <c r="H571" i="37"/>
  <c r="Z571" i="37" s="1"/>
  <c r="T571" i="37"/>
  <c r="U571" i="37"/>
  <c r="H774" i="37"/>
  <c r="Z774" i="37" s="1"/>
  <c r="T774" i="37"/>
  <c r="U774" i="37"/>
  <c r="H718" i="37"/>
  <c r="Z718" i="37" s="1"/>
  <c r="T718" i="37"/>
  <c r="U718" i="37"/>
  <c r="H755" i="37"/>
  <c r="Z755" i="37" s="1"/>
  <c r="T755" i="37"/>
  <c r="U755" i="37"/>
  <c r="H1164" i="37"/>
  <c r="Z1164" i="37" s="1"/>
  <c r="T1164" i="37"/>
  <c r="U1164" i="37"/>
  <c r="H615" i="37"/>
  <c r="Z615" i="37" s="1"/>
  <c r="T615" i="37"/>
  <c r="U615" i="37"/>
  <c r="H634" i="37"/>
  <c r="Z634" i="37" s="1"/>
  <c r="T634" i="37"/>
  <c r="U634" i="37"/>
  <c r="H666" i="37"/>
  <c r="Z666" i="37" s="1"/>
  <c r="T666" i="37"/>
  <c r="U666" i="37"/>
  <c r="H741" i="37"/>
  <c r="Z741" i="37" s="1"/>
  <c r="T741" i="37"/>
  <c r="U741" i="37"/>
  <c r="H670" i="37"/>
  <c r="Z670" i="37" s="1"/>
  <c r="T670" i="37"/>
  <c r="U670" i="37"/>
  <c r="H689" i="37"/>
  <c r="Z689" i="37" s="1"/>
  <c r="T689" i="37"/>
  <c r="U689" i="37"/>
  <c r="H719" i="37"/>
  <c r="Z719" i="37" s="1"/>
  <c r="T719" i="37"/>
  <c r="U719" i="37"/>
  <c r="H780" i="37"/>
  <c r="Z780" i="37" s="1"/>
  <c r="T780" i="37"/>
  <c r="U780" i="37"/>
  <c r="H964" i="37"/>
  <c r="Z964" i="37" s="1"/>
  <c r="U964" i="37"/>
  <c r="T964" i="37"/>
  <c r="H1092" i="37"/>
  <c r="Z1092" i="37" s="1"/>
  <c r="U1092" i="37"/>
  <c r="T1092" i="37"/>
  <c r="H608" i="37"/>
  <c r="Z608" i="37" s="1"/>
  <c r="U608" i="37"/>
  <c r="T608" i="37"/>
  <c r="H627" i="37"/>
  <c r="Z627" i="37" s="1"/>
  <c r="T627" i="37"/>
  <c r="U627" i="37"/>
  <c r="H655" i="37"/>
  <c r="Z655" i="37" s="1"/>
  <c r="T655" i="37"/>
  <c r="U655" i="37"/>
  <c r="H734" i="37"/>
  <c r="Z734" i="37" s="1"/>
  <c r="T734" i="37"/>
  <c r="U734" i="37"/>
  <c r="H771" i="37"/>
  <c r="Z771" i="37" s="1"/>
  <c r="T771" i="37"/>
  <c r="U771" i="37"/>
  <c r="H938" i="37"/>
  <c r="Z938" i="37" s="1"/>
  <c r="T938" i="37"/>
  <c r="U938" i="37"/>
  <c r="H1136" i="37"/>
  <c r="Z1136" i="37" s="1"/>
  <c r="U1136" i="37"/>
  <c r="T1136" i="37"/>
  <c r="H736" i="37"/>
  <c r="Z736" i="37" s="1"/>
  <c r="T736" i="37"/>
  <c r="U736" i="37"/>
  <c r="H786" i="37"/>
  <c r="Z786" i="37" s="1"/>
  <c r="U786" i="37"/>
  <c r="T786" i="37"/>
  <c r="H828" i="37"/>
  <c r="Z828" i="37" s="1"/>
  <c r="T828" i="37"/>
  <c r="U828" i="37"/>
  <c r="H597" i="37"/>
  <c r="Z597" i="37" s="1"/>
  <c r="U597" i="37"/>
  <c r="T597" i="37"/>
  <c r="H620" i="37"/>
  <c r="Z620" i="37" s="1"/>
  <c r="T620" i="37"/>
  <c r="U620" i="37"/>
  <c r="H697" i="37"/>
  <c r="Z697" i="37" s="1"/>
  <c r="T697" i="37"/>
  <c r="U697" i="37"/>
  <c r="H965" i="37"/>
  <c r="Z965" i="37" s="1"/>
  <c r="T965" i="37"/>
  <c r="U965" i="37"/>
  <c r="H823" i="37"/>
  <c r="Z823" i="37" s="1"/>
  <c r="T823" i="37"/>
  <c r="U823" i="37"/>
  <c r="H959" i="37"/>
  <c r="Z959" i="37" s="1"/>
  <c r="T959" i="37"/>
  <c r="U959" i="37"/>
  <c r="H985" i="37"/>
  <c r="Z985" i="37" s="1"/>
  <c r="T985" i="37"/>
  <c r="U985" i="37"/>
  <c r="H1023" i="37"/>
  <c r="Z1023" i="37" s="1"/>
  <c r="T1023" i="37"/>
  <c r="U1023" i="37"/>
  <c r="H1049" i="37"/>
  <c r="Z1049" i="37" s="1"/>
  <c r="T1049" i="37"/>
  <c r="U1049" i="37"/>
  <c r="H1087" i="37"/>
  <c r="Z1087" i="37" s="1"/>
  <c r="T1087" i="37"/>
  <c r="U1087" i="37"/>
  <c r="H1122" i="37"/>
  <c r="Z1122" i="37" s="1"/>
  <c r="U1122" i="37"/>
  <c r="T1122" i="37"/>
  <c r="H1178" i="37"/>
  <c r="Z1178" i="37" s="1"/>
  <c r="U1178" i="37"/>
  <c r="T1178" i="37"/>
  <c r="H1142" i="37"/>
  <c r="Z1142" i="37" s="1"/>
  <c r="U1142" i="37"/>
  <c r="T1142" i="37"/>
  <c r="H1168" i="37"/>
  <c r="Z1168" i="37" s="1"/>
  <c r="T1168" i="37"/>
  <c r="U1168" i="37"/>
  <c r="H1027" i="37"/>
  <c r="Z1027" i="37" s="1"/>
  <c r="T1027" i="37"/>
  <c r="U1027" i="37"/>
  <c r="H1091" i="37"/>
  <c r="Z1091" i="37" s="1"/>
  <c r="T1091" i="37"/>
  <c r="U1091" i="37"/>
  <c r="H1112" i="37"/>
  <c r="Z1112" i="37" s="1"/>
  <c r="T1112" i="37"/>
  <c r="U1112" i="37"/>
  <c r="H1165" i="37"/>
  <c r="Z1165" i="37" s="1"/>
  <c r="T1165" i="37"/>
  <c r="U1165" i="37"/>
  <c r="H836" i="37"/>
  <c r="Z836" i="37" s="1"/>
  <c r="T836" i="37"/>
  <c r="U836" i="37"/>
  <c r="H998" i="37"/>
  <c r="Z998" i="37" s="1"/>
  <c r="T998" i="37"/>
  <c r="U998" i="37"/>
  <c r="H1062" i="37"/>
  <c r="Z1062" i="37" s="1"/>
  <c r="T1062" i="37"/>
  <c r="U1062" i="37"/>
  <c r="H1130" i="37"/>
  <c r="Z1130" i="37" s="1"/>
  <c r="U1130" i="37"/>
  <c r="T1130" i="37"/>
  <c r="H1167" i="37"/>
  <c r="Z1167" i="37" s="1"/>
  <c r="T1167" i="37"/>
  <c r="U1167" i="37"/>
  <c r="H948" i="37"/>
  <c r="Z948" i="37" s="1"/>
  <c r="U948" i="37"/>
  <c r="T948" i="37"/>
  <c r="H1012" i="37"/>
  <c r="Z1012" i="37" s="1"/>
  <c r="U1012" i="37"/>
  <c r="T1012" i="37"/>
  <c r="H1076" i="37"/>
  <c r="Z1076" i="37" s="1"/>
  <c r="U1076" i="37"/>
  <c r="T1076" i="37"/>
  <c r="H1134" i="37"/>
  <c r="Z1134" i="37" s="1"/>
  <c r="U1134" i="37"/>
  <c r="T1134" i="37"/>
  <c r="H957" i="37"/>
  <c r="Z957" i="37" s="1"/>
  <c r="T957" i="37"/>
  <c r="U957" i="37"/>
  <c r="H1021" i="37"/>
  <c r="Z1021" i="37" s="1"/>
  <c r="T1021" i="37"/>
  <c r="U1021" i="37"/>
  <c r="H1085" i="37"/>
  <c r="Z1085" i="37" s="1"/>
  <c r="T1085" i="37"/>
  <c r="U1085" i="37"/>
  <c r="H1111" i="37"/>
  <c r="Z1111" i="37" s="1"/>
  <c r="U1111" i="37"/>
  <c r="T1111" i="37"/>
  <c r="H1169" i="37"/>
  <c r="Z1169" i="37" s="1"/>
  <c r="T1169" i="37"/>
  <c r="U1169" i="37"/>
  <c r="H1197" i="37"/>
  <c r="Z1197" i="37" s="1"/>
  <c r="T1197" i="37"/>
  <c r="U1197" i="37"/>
  <c r="H1215" i="37"/>
  <c r="Z1215" i="37" s="1"/>
  <c r="T1215" i="37"/>
  <c r="U1215" i="37"/>
  <c r="H1222" i="37"/>
  <c r="Z1222" i="37" s="1"/>
  <c r="T1222" i="37"/>
  <c r="U1222" i="37"/>
  <c r="H1228" i="37"/>
  <c r="Z1228" i="37" s="1"/>
  <c r="T1228" i="37"/>
  <c r="U1228" i="37"/>
  <c r="H1218" i="37"/>
  <c r="Z1218" i="37" s="1"/>
  <c r="T1218" i="37"/>
  <c r="U1218" i="37"/>
  <c r="H1224" i="37"/>
  <c r="Z1224" i="37" s="1"/>
  <c r="T1224" i="37"/>
  <c r="U1224" i="37"/>
  <c r="H353" i="37"/>
  <c r="Z353" i="37" s="1"/>
  <c r="T353" i="37"/>
  <c r="U353" i="37"/>
  <c r="H183" i="37"/>
  <c r="Z183" i="37" s="1"/>
  <c r="T183" i="37"/>
  <c r="U183" i="37"/>
  <c r="H390" i="37"/>
  <c r="Z390" i="37" s="1"/>
  <c r="T390" i="37"/>
  <c r="U390" i="37"/>
  <c r="H170" i="37"/>
  <c r="Z170" i="37" s="1"/>
  <c r="T170" i="37"/>
  <c r="U170" i="37"/>
  <c r="H446" i="37"/>
  <c r="Z446" i="37" s="1"/>
  <c r="U446" i="37"/>
  <c r="T446" i="37"/>
  <c r="H426" i="37"/>
  <c r="Z426" i="37" s="1"/>
  <c r="T426" i="37"/>
  <c r="U426" i="37"/>
  <c r="H323" i="37"/>
  <c r="Z323" i="37" s="1"/>
  <c r="T323" i="37"/>
  <c r="U323" i="37"/>
  <c r="H668" i="37"/>
  <c r="Z668" i="37" s="1"/>
  <c r="T668" i="37"/>
  <c r="U668" i="37"/>
  <c r="H649" i="37"/>
  <c r="Z649" i="37" s="1"/>
  <c r="T649" i="37"/>
  <c r="U649" i="37"/>
  <c r="H760" i="37"/>
  <c r="Z760" i="37" s="1"/>
  <c r="T760" i="37"/>
  <c r="U760" i="37"/>
  <c r="H727" i="37"/>
  <c r="Z727" i="37" s="1"/>
  <c r="T727" i="37"/>
  <c r="U727" i="37"/>
  <c r="H1001" i="37"/>
  <c r="Z1001" i="37" s="1"/>
  <c r="T1001" i="37"/>
  <c r="U1001" i="37"/>
  <c r="H1088" i="37"/>
  <c r="Z1088" i="37" s="1"/>
  <c r="T1088" i="37"/>
  <c r="U1088" i="37"/>
  <c r="H1221" i="37"/>
  <c r="Z1221" i="37" s="1"/>
  <c r="T1221" i="37"/>
  <c r="U1221" i="37"/>
  <c r="H215" i="37"/>
  <c r="Z215" i="37" s="1"/>
  <c r="T215" i="37"/>
  <c r="U215" i="37"/>
  <c r="H681" i="37"/>
  <c r="Z681" i="37" s="1"/>
  <c r="T681" i="37"/>
  <c r="U681" i="37"/>
  <c r="H393" i="37"/>
  <c r="Z393" i="37" s="1"/>
  <c r="T393" i="37"/>
  <c r="U393" i="37"/>
  <c r="H154" i="37"/>
  <c r="Z154" i="37" s="1"/>
  <c r="T154" i="37"/>
  <c r="U154" i="37"/>
  <c r="H202" i="37"/>
  <c r="Z202" i="37" s="1"/>
  <c r="T202" i="37"/>
  <c r="U202" i="37"/>
  <c r="H997" i="37"/>
  <c r="Z997" i="37" s="1"/>
  <c r="T997" i="37"/>
  <c r="U997" i="37"/>
  <c r="H976" i="37"/>
  <c r="Z976" i="37" s="1"/>
  <c r="T976" i="37"/>
  <c r="U976" i="37"/>
  <c r="H975" i="37"/>
  <c r="Z975" i="37" s="1"/>
  <c r="T975" i="37"/>
  <c r="U975" i="37"/>
  <c r="H1029" i="37"/>
  <c r="Z1029" i="37" s="1"/>
  <c r="T1029" i="37"/>
  <c r="U1029" i="37"/>
  <c r="H1050" i="37"/>
  <c r="Z1050" i="37" s="1"/>
  <c r="T1050" i="37"/>
  <c r="U1050" i="37"/>
  <c r="H1229" i="37"/>
  <c r="Z1229" i="37" s="1"/>
  <c r="T1229" i="37"/>
  <c r="U1229" i="37"/>
  <c r="H1202" i="37"/>
  <c r="Z1202" i="37" s="1"/>
  <c r="U1202" i="37"/>
  <c r="T1202" i="37"/>
  <c r="H53" i="37"/>
  <c r="Z53" i="37" s="1"/>
  <c r="T53" i="37"/>
  <c r="U53" i="37"/>
  <c r="H46" i="37"/>
  <c r="Z46" i="37" s="1"/>
  <c r="T46" i="37"/>
  <c r="U46" i="37"/>
  <c r="T7" i="37"/>
  <c r="U7" i="37"/>
  <c r="H40" i="37"/>
  <c r="Z40" i="37" s="1"/>
  <c r="T40" i="37"/>
  <c r="U40" i="37"/>
  <c r="T9" i="37"/>
  <c r="U9" i="37"/>
  <c r="H42" i="37"/>
  <c r="Z42" i="37" s="1"/>
  <c r="T42" i="37"/>
  <c r="U42" i="37"/>
  <c r="H11" i="37"/>
  <c r="Z11" i="37" s="1"/>
  <c r="T11" i="37"/>
  <c r="U11" i="37"/>
  <c r="H44" i="37"/>
  <c r="Z44" i="37" s="1"/>
  <c r="T44" i="37"/>
  <c r="U44" i="37"/>
  <c r="H399" i="37"/>
  <c r="Z399" i="37" s="1"/>
  <c r="U399" i="37"/>
  <c r="T399" i="37"/>
  <c r="H549" i="37"/>
  <c r="Z549" i="37" s="1"/>
  <c r="T549" i="37"/>
  <c r="U549" i="37"/>
  <c r="H357" i="37"/>
  <c r="Z357" i="37" s="1"/>
  <c r="T357" i="37"/>
  <c r="U357" i="37"/>
  <c r="H360" i="37"/>
  <c r="Z360" i="37" s="1"/>
  <c r="T360" i="37"/>
  <c r="U360" i="37"/>
  <c r="H153" i="37"/>
  <c r="Z153" i="37" s="1"/>
  <c r="T153" i="37"/>
  <c r="U153" i="37"/>
  <c r="H169" i="37"/>
  <c r="Z169" i="37" s="1"/>
  <c r="T169" i="37"/>
  <c r="U169" i="37"/>
  <c r="H185" i="37"/>
  <c r="Z185" i="37" s="1"/>
  <c r="T185" i="37"/>
  <c r="U185" i="37"/>
  <c r="H201" i="37"/>
  <c r="Z201" i="37" s="1"/>
  <c r="T201" i="37"/>
  <c r="U201" i="37"/>
  <c r="H217" i="37"/>
  <c r="Z217" i="37" s="1"/>
  <c r="T217" i="37"/>
  <c r="U217" i="37"/>
  <c r="H233" i="37"/>
  <c r="Z233" i="37" s="1"/>
  <c r="T233" i="37"/>
  <c r="U233" i="37"/>
  <c r="H249" i="37"/>
  <c r="Z249" i="37" s="1"/>
  <c r="T249" i="37"/>
  <c r="U249" i="37"/>
  <c r="H267" i="37"/>
  <c r="Z267" i="37" s="1"/>
  <c r="T267" i="37"/>
  <c r="U267" i="37"/>
  <c r="H356" i="37"/>
  <c r="Z356" i="37" s="1"/>
  <c r="T356" i="37"/>
  <c r="U356" i="37"/>
  <c r="H440" i="37"/>
  <c r="Z440" i="37" s="1"/>
  <c r="T440" i="37"/>
  <c r="U440" i="37"/>
  <c r="H345" i="37"/>
  <c r="Z345" i="37" s="1"/>
  <c r="T345" i="37"/>
  <c r="U345" i="37"/>
  <c r="H398" i="37"/>
  <c r="Z398" i="37" s="1"/>
  <c r="T398" i="37"/>
  <c r="U398" i="37"/>
  <c r="H626" i="37"/>
  <c r="Z626" i="37" s="1"/>
  <c r="T626" i="37"/>
  <c r="U626" i="37"/>
  <c r="H401" i="37"/>
  <c r="Z401" i="37" s="1"/>
  <c r="T401" i="37"/>
  <c r="U401" i="37"/>
  <c r="H641" i="37"/>
  <c r="Z641" i="37" s="1"/>
  <c r="T641" i="37"/>
  <c r="U641" i="37"/>
  <c r="H156" i="37"/>
  <c r="Z156" i="37" s="1"/>
  <c r="T156" i="37"/>
  <c r="U156" i="37"/>
  <c r="H172" i="37"/>
  <c r="Z172" i="37" s="1"/>
  <c r="T172" i="37"/>
  <c r="U172" i="37"/>
  <c r="H188" i="37"/>
  <c r="Z188" i="37" s="1"/>
  <c r="T188" i="37"/>
  <c r="U188" i="37"/>
  <c r="H204" i="37"/>
  <c r="Z204" i="37" s="1"/>
  <c r="T204" i="37"/>
  <c r="U204" i="37"/>
  <c r="H220" i="37"/>
  <c r="Z220" i="37" s="1"/>
  <c r="T220" i="37"/>
  <c r="U220" i="37"/>
  <c r="H236" i="37"/>
  <c r="Z236" i="37" s="1"/>
  <c r="T236" i="37"/>
  <c r="U236" i="37"/>
  <c r="H252" i="37"/>
  <c r="Z252" i="37" s="1"/>
  <c r="T252" i="37"/>
  <c r="U252" i="37"/>
  <c r="H359" i="37"/>
  <c r="Z359" i="37" s="1"/>
  <c r="T359" i="37"/>
  <c r="U359" i="37"/>
  <c r="H438" i="37"/>
  <c r="Z438" i="37" s="1"/>
  <c r="U438" i="37"/>
  <c r="T438" i="37"/>
  <c r="H694" i="37"/>
  <c r="Z694" i="37" s="1"/>
  <c r="T694" i="37"/>
  <c r="U694" i="37"/>
  <c r="H405" i="37"/>
  <c r="Z405" i="37" s="1"/>
  <c r="T405" i="37"/>
  <c r="U405" i="37"/>
  <c r="H433" i="37"/>
  <c r="Z433" i="37" s="1"/>
  <c r="T433" i="37"/>
  <c r="U433" i="37"/>
  <c r="H581" i="37"/>
  <c r="Z581" i="37" s="1"/>
  <c r="T581" i="37"/>
  <c r="U581" i="37"/>
  <c r="H630" i="37"/>
  <c r="Z630" i="37" s="1"/>
  <c r="T630" i="37"/>
  <c r="U630" i="37"/>
  <c r="H722" i="37"/>
  <c r="Z722" i="37" s="1"/>
  <c r="U722" i="37"/>
  <c r="T722" i="37"/>
  <c r="H803" i="37"/>
  <c r="Z803" i="37" s="1"/>
  <c r="T803" i="37"/>
  <c r="U803" i="37"/>
  <c r="H288" i="37"/>
  <c r="Z288" i="37" s="1"/>
  <c r="T288" i="37"/>
  <c r="U288" i="37"/>
  <c r="H304" i="37"/>
  <c r="Z304" i="37" s="1"/>
  <c r="T304" i="37"/>
  <c r="U304" i="37"/>
  <c r="H320" i="37"/>
  <c r="Z320" i="37" s="1"/>
  <c r="T320" i="37"/>
  <c r="U320" i="37"/>
  <c r="H336" i="37"/>
  <c r="Z336" i="37" s="1"/>
  <c r="T336" i="37"/>
  <c r="U336" i="37"/>
  <c r="H411" i="37"/>
  <c r="Z411" i="37" s="1"/>
  <c r="T411" i="37"/>
  <c r="U411" i="37"/>
  <c r="H546" i="37"/>
  <c r="Z546" i="37" s="1"/>
  <c r="T546" i="37"/>
  <c r="U546" i="37"/>
  <c r="H624" i="37"/>
  <c r="Z624" i="37" s="1"/>
  <c r="T624" i="37"/>
  <c r="U624" i="37"/>
  <c r="H744" i="37"/>
  <c r="Z744" i="37" s="1"/>
  <c r="T744" i="37"/>
  <c r="U744" i="37"/>
  <c r="H963" i="37"/>
  <c r="Z963" i="37" s="1"/>
  <c r="T963" i="37"/>
  <c r="U963" i="37"/>
  <c r="H428" i="37"/>
  <c r="Z428" i="37" s="1"/>
  <c r="T428" i="37"/>
  <c r="U428" i="37"/>
  <c r="H587" i="37"/>
  <c r="Z587" i="37" s="1"/>
  <c r="T587" i="37"/>
  <c r="U587" i="37"/>
  <c r="H404" i="37"/>
  <c r="Z404" i="37" s="1"/>
  <c r="T404" i="37"/>
  <c r="U404" i="37"/>
  <c r="H628" i="37"/>
  <c r="Z628" i="37" s="1"/>
  <c r="T628" i="37"/>
  <c r="U628" i="37"/>
  <c r="H711" i="37"/>
  <c r="Z711" i="37" s="1"/>
  <c r="T711" i="37"/>
  <c r="U711" i="37"/>
  <c r="H789" i="37"/>
  <c r="Z789" i="37" s="1"/>
  <c r="T789" i="37"/>
  <c r="U789" i="37"/>
  <c r="H432" i="37"/>
  <c r="Z432" i="37" s="1"/>
  <c r="T432" i="37"/>
  <c r="U432" i="37"/>
  <c r="H293" i="37"/>
  <c r="Z293" i="37" s="1"/>
  <c r="T293" i="37"/>
  <c r="U293" i="37"/>
  <c r="H309" i="37"/>
  <c r="Z309" i="37" s="1"/>
  <c r="T309" i="37"/>
  <c r="U309" i="37"/>
  <c r="H325" i="37"/>
  <c r="Z325" i="37" s="1"/>
  <c r="T325" i="37"/>
  <c r="U325" i="37"/>
  <c r="H341" i="37"/>
  <c r="Z341" i="37" s="1"/>
  <c r="T341" i="37"/>
  <c r="U341" i="37"/>
  <c r="H650" i="37"/>
  <c r="Z650" i="37" s="1"/>
  <c r="T650" i="37"/>
  <c r="U650" i="37"/>
  <c r="H673" i="37"/>
  <c r="Z673" i="37" s="1"/>
  <c r="T673" i="37"/>
  <c r="U673" i="37"/>
  <c r="H690" i="37"/>
  <c r="Z690" i="37" s="1"/>
  <c r="T690" i="37"/>
  <c r="U690" i="37"/>
  <c r="H768" i="37"/>
  <c r="Z768" i="37" s="1"/>
  <c r="T768" i="37"/>
  <c r="U768" i="37"/>
  <c r="H818" i="37"/>
  <c r="Z818" i="37" s="1"/>
  <c r="U818" i="37"/>
  <c r="T818" i="37"/>
  <c r="H596" i="37"/>
  <c r="Z596" i="37" s="1"/>
  <c r="U596" i="37"/>
  <c r="T596" i="37"/>
  <c r="H619" i="37"/>
  <c r="Z619" i="37" s="1"/>
  <c r="T619" i="37"/>
  <c r="U619" i="37"/>
  <c r="H726" i="37"/>
  <c r="Z726" i="37" s="1"/>
  <c r="T726" i="37"/>
  <c r="U726" i="37"/>
  <c r="H776" i="37"/>
  <c r="Z776" i="37" s="1"/>
  <c r="T776" i="37"/>
  <c r="U776" i="37"/>
  <c r="H831" i="37"/>
  <c r="Z831" i="37" s="1"/>
  <c r="T831" i="37"/>
  <c r="U831" i="37"/>
  <c r="H995" i="37"/>
  <c r="Z995" i="37" s="1"/>
  <c r="T995" i="37"/>
  <c r="U995" i="37"/>
  <c r="H651" i="37"/>
  <c r="Z651" i="37" s="1"/>
  <c r="T651" i="37"/>
  <c r="U651" i="37"/>
  <c r="H674" i="37"/>
  <c r="Z674" i="37" s="1"/>
  <c r="T674" i="37"/>
  <c r="U674" i="37"/>
  <c r="H693" i="37"/>
  <c r="Z693" i="37" s="1"/>
  <c r="T693" i="37"/>
  <c r="U693" i="37"/>
  <c r="H819" i="37"/>
  <c r="Z819" i="37" s="1"/>
  <c r="T819" i="37"/>
  <c r="U819" i="37"/>
  <c r="H1113" i="37"/>
  <c r="Z1113" i="37" s="1"/>
  <c r="T1113" i="37"/>
  <c r="U1113" i="37"/>
  <c r="H612" i="37"/>
  <c r="Z612" i="37" s="1"/>
  <c r="U612" i="37"/>
  <c r="T612" i="37"/>
  <c r="H706" i="37"/>
  <c r="Z706" i="37" s="1"/>
  <c r="T706" i="37"/>
  <c r="U706" i="37"/>
  <c r="H784" i="37"/>
  <c r="Z784" i="37" s="1"/>
  <c r="T784" i="37"/>
  <c r="U784" i="37"/>
  <c r="H1166" i="37"/>
  <c r="Z1166" i="37" s="1"/>
  <c r="U1166" i="37"/>
  <c r="T1166" i="37"/>
  <c r="H657" i="37"/>
  <c r="Z657" i="37" s="1"/>
  <c r="T657" i="37"/>
  <c r="U657" i="37"/>
  <c r="H680" i="37"/>
  <c r="Z680" i="37" s="1"/>
  <c r="T680" i="37"/>
  <c r="U680" i="37"/>
  <c r="H745" i="37"/>
  <c r="Z745" i="37" s="1"/>
  <c r="T745" i="37"/>
  <c r="U745" i="37"/>
  <c r="H977" i="37"/>
  <c r="Z977" i="37" s="1"/>
  <c r="T977" i="37"/>
  <c r="U977" i="37"/>
  <c r="H701" i="37"/>
  <c r="Z701" i="37" s="1"/>
  <c r="U701" i="37"/>
  <c r="T701" i="37"/>
  <c r="H762" i="37"/>
  <c r="Z762" i="37" s="1"/>
  <c r="U762" i="37"/>
  <c r="T762" i="37"/>
  <c r="H804" i="37"/>
  <c r="Z804" i="37" s="1"/>
  <c r="T804" i="37"/>
  <c r="U804" i="37"/>
  <c r="H830" i="37"/>
  <c r="Z830" i="37" s="1"/>
  <c r="T830" i="37"/>
  <c r="U830" i="37"/>
  <c r="H1028" i="37"/>
  <c r="Z1028" i="37" s="1"/>
  <c r="U1028" i="37"/>
  <c r="T1028" i="37"/>
  <c r="H1138" i="37"/>
  <c r="Z1138" i="37" s="1"/>
  <c r="U1138" i="37"/>
  <c r="T1138" i="37"/>
  <c r="H949" i="37"/>
  <c r="Z949" i="37" s="1"/>
  <c r="T949" i="37"/>
  <c r="U949" i="37"/>
  <c r="H1013" i="37"/>
  <c r="Z1013" i="37" s="1"/>
  <c r="T1013" i="37"/>
  <c r="U1013" i="37"/>
  <c r="H1077" i="37"/>
  <c r="Z1077" i="37" s="1"/>
  <c r="T1077" i="37"/>
  <c r="U1077" i="37"/>
  <c r="H1126" i="37"/>
  <c r="Z1126" i="37" s="1"/>
  <c r="U1126" i="37"/>
  <c r="T1126" i="37"/>
  <c r="H1147" i="37"/>
  <c r="Z1147" i="37" s="1"/>
  <c r="T1147" i="37"/>
  <c r="U1147" i="37"/>
  <c r="H1175" i="37"/>
  <c r="Z1175" i="37" s="1"/>
  <c r="T1175" i="37"/>
  <c r="U1175" i="37"/>
  <c r="H982" i="37"/>
  <c r="Z982" i="37" s="1"/>
  <c r="T982" i="37"/>
  <c r="U982" i="37"/>
  <c r="H1046" i="37"/>
  <c r="Z1046" i="37" s="1"/>
  <c r="T1046" i="37"/>
  <c r="U1046" i="37"/>
  <c r="H1158" i="37"/>
  <c r="Z1158" i="37" s="1"/>
  <c r="U1158" i="37"/>
  <c r="T1158" i="37"/>
  <c r="H996" i="37"/>
  <c r="Z996" i="37" s="1"/>
  <c r="U996" i="37"/>
  <c r="T996" i="37"/>
  <c r="H1060" i="37"/>
  <c r="Z1060" i="37" s="1"/>
  <c r="U1060" i="37"/>
  <c r="T1060" i="37"/>
  <c r="H1177" i="37"/>
  <c r="Z1177" i="37" s="1"/>
  <c r="T1177" i="37"/>
  <c r="U1177" i="37"/>
  <c r="H939" i="37"/>
  <c r="Z939" i="37" s="1"/>
  <c r="T939" i="37"/>
  <c r="U939" i="37"/>
  <c r="H1003" i="37"/>
  <c r="Z1003" i="37" s="1"/>
  <c r="T1003" i="37"/>
  <c r="U1003" i="37"/>
  <c r="H1067" i="37"/>
  <c r="Z1067" i="37" s="1"/>
  <c r="T1067" i="37"/>
  <c r="U1067" i="37"/>
  <c r="H1146" i="37"/>
  <c r="Z1146" i="37" s="1"/>
  <c r="U1146" i="37"/>
  <c r="T1146" i="37"/>
  <c r="H1172" i="37"/>
  <c r="Z1172" i="37" s="1"/>
  <c r="T1172" i="37"/>
  <c r="U1172" i="37"/>
  <c r="H1118" i="37"/>
  <c r="Z1118" i="37" s="1"/>
  <c r="U1118" i="37"/>
  <c r="T1118" i="37"/>
  <c r="H1139" i="37"/>
  <c r="Z1139" i="37" s="1"/>
  <c r="T1139" i="37"/>
  <c r="U1139" i="37"/>
  <c r="H962" i="37"/>
  <c r="Z962" i="37" s="1"/>
  <c r="T962" i="37"/>
  <c r="U962" i="37"/>
  <c r="H1000" i="37"/>
  <c r="Z1000" i="37" s="1"/>
  <c r="T1000" i="37"/>
  <c r="U1000" i="37"/>
  <c r="H1026" i="37"/>
  <c r="Z1026" i="37" s="1"/>
  <c r="T1026" i="37"/>
  <c r="U1026" i="37"/>
  <c r="H1064" i="37"/>
  <c r="Z1064" i="37" s="1"/>
  <c r="T1064" i="37"/>
  <c r="U1064" i="37"/>
  <c r="H1090" i="37"/>
  <c r="Z1090" i="37" s="1"/>
  <c r="T1090" i="37"/>
  <c r="U1090" i="37"/>
  <c r="H1127" i="37"/>
  <c r="Z1127" i="37" s="1"/>
  <c r="T1127" i="37"/>
  <c r="U1127" i="37"/>
  <c r="H1226" i="37"/>
  <c r="Z1226" i="37" s="1"/>
  <c r="T1226" i="37"/>
  <c r="U1226" i="37"/>
  <c r="H1183" i="37"/>
  <c r="Z1183" i="37" s="1"/>
  <c r="T1183" i="37"/>
  <c r="U1183" i="37"/>
  <c r="H1188" i="37"/>
  <c r="Z1188" i="37" s="1"/>
  <c r="T1188" i="37"/>
  <c r="U1188" i="37"/>
  <c r="H1206" i="37"/>
  <c r="Z1206" i="37" s="1"/>
  <c r="U1206" i="37"/>
  <c r="T1206" i="37"/>
  <c r="H45" i="37"/>
  <c r="Z45" i="37" s="1"/>
  <c r="T45" i="37"/>
  <c r="U45" i="37"/>
  <c r="H32" i="37"/>
  <c r="Z32" i="37" s="1"/>
  <c r="T32" i="37"/>
  <c r="U32" i="37"/>
  <c r="H34" i="37"/>
  <c r="Z34" i="37" s="1"/>
  <c r="T34" i="37"/>
  <c r="U34" i="37"/>
  <c r="H355" i="37"/>
  <c r="Z355" i="37" s="1"/>
  <c r="T355" i="37"/>
  <c r="U355" i="37"/>
  <c r="H167" i="37"/>
  <c r="Z167" i="37" s="1"/>
  <c r="T167" i="37"/>
  <c r="U167" i="37"/>
  <c r="H400" i="37"/>
  <c r="Z400" i="37" s="1"/>
  <c r="T400" i="37"/>
  <c r="U400" i="37"/>
  <c r="H349" i="37"/>
  <c r="Z349" i="37" s="1"/>
  <c r="T349" i="37"/>
  <c r="U349" i="37"/>
  <c r="H186" i="37"/>
  <c r="Z186" i="37" s="1"/>
  <c r="T186" i="37"/>
  <c r="U186" i="37"/>
  <c r="H558" i="37"/>
  <c r="Z558" i="37" s="1"/>
  <c r="T558" i="37"/>
  <c r="U558" i="37"/>
  <c r="H339" i="37"/>
  <c r="Z339" i="37" s="1"/>
  <c r="T339" i="37"/>
  <c r="U339" i="37"/>
  <c r="H662" i="37"/>
  <c r="Z662" i="37" s="1"/>
  <c r="T662" i="37"/>
  <c r="U662" i="37"/>
  <c r="H648" i="37"/>
  <c r="Z648" i="37" s="1"/>
  <c r="T648" i="37"/>
  <c r="U648" i="37"/>
  <c r="H636" i="37"/>
  <c r="Z636" i="37" s="1"/>
  <c r="T636" i="37"/>
  <c r="U636" i="37"/>
  <c r="H810" i="37"/>
  <c r="Z810" i="37" s="1"/>
  <c r="U810" i="37"/>
  <c r="T810" i="37"/>
  <c r="H782" i="37"/>
  <c r="Z782" i="37" s="1"/>
  <c r="T782" i="37"/>
  <c r="U782" i="37"/>
  <c r="H629" i="37"/>
  <c r="Z629" i="37" s="1"/>
  <c r="T629" i="37"/>
  <c r="U629" i="37"/>
  <c r="H788" i="37"/>
  <c r="Z788" i="37" s="1"/>
  <c r="T788" i="37"/>
  <c r="U788" i="37"/>
  <c r="H1030" i="37"/>
  <c r="Z1030" i="37" s="1"/>
  <c r="T1030" i="37"/>
  <c r="U1030" i="37"/>
  <c r="H1052" i="37"/>
  <c r="Z1052" i="37" s="1"/>
  <c r="U1052" i="37"/>
  <c r="T1052" i="37"/>
  <c r="H54" i="37"/>
  <c r="Z54" i="37" s="1"/>
  <c r="T54" i="37"/>
  <c r="U54" i="37"/>
  <c r="H15" i="37"/>
  <c r="Z15" i="37" s="1"/>
  <c r="T15" i="37"/>
  <c r="U15" i="37"/>
  <c r="H48" i="37"/>
  <c r="Z48" i="37" s="1"/>
  <c r="T48" i="37"/>
  <c r="U48" i="37"/>
  <c r="H17" i="37"/>
  <c r="Z17" i="37" s="1"/>
  <c r="T17" i="37"/>
  <c r="U17" i="37"/>
  <c r="H50" i="37"/>
  <c r="Z50" i="37" s="1"/>
  <c r="T50" i="37"/>
  <c r="U50" i="37"/>
  <c r="H19" i="37"/>
  <c r="Z19" i="37" s="1"/>
  <c r="T19" i="37"/>
  <c r="U19" i="37"/>
  <c r="H52" i="37"/>
  <c r="Z52" i="37" s="1"/>
  <c r="T52" i="37"/>
  <c r="U52" i="37"/>
  <c r="H394" i="37"/>
  <c r="Z394" i="37" s="1"/>
  <c r="T394" i="37"/>
  <c r="U394" i="37"/>
  <c r="H386" i="37"/>
  <c r="Z386" i="37" s="1"/>
  <c r="T386" i="37"/>
  <c r="U386" i="37"/>
  <c r="H272" i="37"/>
  <c r="Z272" i="37" s="1"/>
  <c r="T272" i="37"/>
  <c r="U272" i="37"/>
  <c r="H346" i="37"/>
  <c r="Z346" i="37" s="1"/>
  <c r="T346" i="37"/>
  <c r="U346" i="37"/>
  <c r="H564" i="37"/>
  <c r="Z564" i="37" s="1"/>
  <c r="U564" i="37"/>
  <c r="T564" i="37"/>
  <c r="H375" i="37"/>
  <c r="Z375" i="37" s="1"/>
  <c r="T375" i="37"/>
  <c r="U375" i="37"/>
  <c r="H365" i="37"/>
  <c r="Z365" i="37" s="1"/>
  <c r="T365" i="37"/>
  <c r="U365" i="37"/>
  <c r="H155" i="37"/>
  <c r="Z155" i="37" s="1"/>
  <c r="T155" i="37"/>
  <c r="U155" i="37"/>
  <c r="H171" i="37"/>
  <c r="Z171" i="37" s="1"/>
  <c r="T171" i="37"/>
  <c r="U171" i="37"/>
  <c r="H187" i="37"/>
  <c r="Z187" i="37" s="1"/>
  <c r="T187" i="37"/>
  <c r="U187" i="37"/>
  <c r="H203" i="37"/>
  <c r="Z203" i="37" s="1"/>
  <c r="T203" i="37"/>
  <c r="U203" i="37"/>
  <c r="H219" i="37"/>
  <c r="Z219" i="37" s="1"/>
  <c r="T219" i="37"/>
  <c r="U219" i="37"/>
  <c r="H235" i="37"/>
  <c r="Z235" i="37" s="1"/>
  <c r="T235" i="37"/>
  <c r="U235" i="37"/>
  <c r="H251" i="37"/>
  <c r="Z251" i="37" s="1"/>
  <c r="T251" i="37"/>
  <c r="U251" i="37"/>
  <c r="H351" i="37"/>
  <c r="Z351" i="37" s="1"/>
  <c r="T351" i="37"/>
  <c r="U351" i="37"/>
  <c r="H418" i="37"/>
  <c r="Z418" i="37" s="1"/>
  <c r="T418" i="37"/>
  <c r="U418" i="37"/>
  <c r="H269" i="37"/>
  <c r="Z269" i="37" s="1"/>
  <c r="T269" i="37"/>
  <c r="U269" i="37"/>
  <c r="H347" i="37"/>
  <c r="Z347" i="37" s="1"/>
  <c r="T347" i="37"/>
  <c r="U347" i="37"/>
  <c r="H425" i="37"/>
  <c r="Z425" i="37" s="1"/>
  <c r="T425" i="37"/>
  <c r="U425" i="37"/>
  <c r="H937" i="37"/>
  <c r="Z937" i="37" s="1"/>
  <c r="T937" i="37"/>
  <c r="U937" i="37"/>
  <c r="H352" i="37"/>
  <c r="Z352" i="37" s="1"/>
  <c r="T352" i="37"/>
  <c r="U352" i="37"/>
  <c r="H656" i="37"/>
  <c r="Z656" i="37" s="1"/>
  <c r="T656" i="37"/>
  <c r="U656" i="37"/>
  <c r="H158" i="37"/>
  <c r="Z158" i="37" s="1"/>
  <c r="T158" i="37"/>
  <c r="U158" i="37"/>
  <c r="H174" i="37"/>
  <c r="Z174" i="37" s="1"/>
  <c r="T174" i="37"/>
  <c r="U174" i="37"/>
  <c r="H190" i="37"/>
  <c r="Z190" i="37" s="1"/>
  <c r="T190" i="37"/>
  <c r="U190" i="37"/>
  <c r="H206" i="37"/>
  <c r="Z206" i="37" s="1"/>
  <c r="T206" i="37"/>
  <c r="U206" i="37"/>
  <c r="H222" i="37"/>
  <c r="Z222" i="37" s="1"/>
  <c r="T222" i="37"/>
  <c r="U222" i="37"/>
  <c r="H238" i="37"/>
  <c r="Z238" i="37" s="1"/>
  <c r="T238" i="37"/>
  <c r="U238" i="37"/>
  <c r="H254" i="37"/>
  <c r="Z254" i="37" s="1"/>
  <c r="T254" i="37"/>
  <c r="U254" i="37"/>
  <c r="H364" i="37"/>
  <c r="Z364" i="37" s="1"/>
  <c r="T364" i="37"/>
  <c r="U364" i="37"/>
  <c r="H709" i="37"/>
  <c r="Z709" i="37" s="1"/>
  <c r="T709" i="37"/>
  <c r="U709" i="37"/>
  <c r="H731" i="37"/>
  <c r="Z731" i="37" s="1"/>
  <c r="T731" i="37"/>
  <c r="U731" i="37"/>
  <c r="H290" i="37"/>
  <c r="Z290" i="37" s="1"/>
  <c r="T290" i="37"/>
  <c r="U290" i="37"/>
  <c r="H306" i="37"/>
  <c r="Z306" i="37" s="1"/>
  <c r="T306" i="37"/>
  <c r="U306" i="37"/>
  <c r="H322" i="37"/>
  <c r="Z322" i="37" s="1"/>
  <c r="T322" i="37"/>
  <c r="U322" i="37"/>
  <c r="H338" i="37"/>
  <c r="Z338" i="37" s="1"/>
  <c r="T338" i="37"/>
  <c r="U338" i="37"/>
  <c r="H548" i="37"/>
  <c r="Z548" i="37" s="1"/>
  <c r="U548" i="37"/>
  <c r="T548" i="37"/>
  <c r="H645" i="37"/>
  <c r="Z645" i="37" s="1"/>
  <c r="T645" i="37"/>
  <c r="U645" i="37"/>
  <c r="H589" i="37"/>
  <c r="Z589" i="37" s="1"/>
  <c r="T589" i="37"/>
  <c r="U589" i="37"/>
  <c r="H639" i="37"/>
  <c r="Z639" i="37" s="1"/>
  <c r="T639" i="37"/>
  <c r="U639" i="37"/>
  <c r="H439" i="37"/>
  <c r="Z439" i="37" s="1"/>
  <c r="T439" i="37"/>
  <c r="U439" i="37"/>
  <c r="H720" i="37"/>
  <c r="Z720" i="37" s="1"/>
  <c r="T720" i="37"/>
  <c r="U720" i="37"/>
  <c r="H801" i="37"/>
  <c r="Z801" i="37" s="1"/>
  <c r="T801" i="37"/>
  <c r="U801" i="37"/>
  <c r="H434" i="37"/>
  <c r="Z434" i="37" s="1"/>
  <c r="U434" i="37"/>
  <c r="T434" i="37"/>
  <c r="H835" i="37"/>
  <c r="Z835" i="37" s="1"/>
  <c r="T835" i="37"/>
  <c r="U835" i="37"/>
  <c r="H295" i="37"/>
  <c r="Z295" i="37" s="1"/>
  <c r="T295" i="37"/>
  <c r="U295" i="37"/>
  <c r="H311" i="37"/>
  <c r="Z311" i="37" s="1"/>
  <c r="T311" i="37"/>
  <c r="U311" i="37"/>
  <c r="H327" i="37"/>
  <c r="Z327" i="37" s="1"/>
  <c r="T327" i="37"/>
  <c r="U327" i="37"/>
  <c r="H343" i="37"/>
  <c r="Z343" i="37" s="1"/>
  <c r="T343" i="37"/>
  <c r="U343" i="37"/>
  <c r="H545" i="37"/>
  <c r="Z545" i="37" s="1"/>
  <c r="T545" i="37"/>
  <c r="U545" i="37"/>
  <c r="H652" i="37"/>
  <c r="Z652" i="37" s="1"/>
  <c r="T652" i="37"/>
  <c r="U652" i="37"/>
  <c r="H675" i="37"/>
  <c r="Z675" i="37" s="1"/>
  <c r="T675" i="37"/>
  <c r="U675" i="37"/>
  <c r="H692" i="37"/>
  <c r="Z692" i="37" s="1"/>
  <c r="T692" i="37"/>
  <c r="U692" i="37"/>
  <c r="H742" i="37"/>
  <c r="Z742" i="37" s="1"/>
  <c r="T742" i="37"/>
  <c r="U742" i="37"/>
  <c r="H792" i="37"/>
  <c r="Z792" i="37" s="1"/>
  <c r="T792" i="37"/>
  <c r="U792" i="37"/>
  <c r="H820" i="37"/>
  <c r="Z820" i="37" s="1"/>
  <c r="T820" i="37"/>
  <c r="U820" i="37"/>
  <c r="H598" i="37"/>
  <c r="Z598" i="37" s="1"/>
  <c r="T598" i="37"/>
  <c r="U598" i="37"/>
  <c r="H621" i="37"/>
  <c r="Z621" i="37" s="1"/>
  <c r="U621" i="37"/>
  <c r="T621" i="37"/>
  <c r="H687" i="37"/>
  <c r="Z687" i="37" s="1"/>
  <c r="T687" i="37"/>
  <c r="U687" i="37"/>
  <c r="H761" i="37"/>
  <c r="Z761" i="37" s="1"/>
  <c r="T761" i="37"/>
  <c r="U761" i="37"/>
  <c r="H833" i="37"/>
  <c r="Z833" i="37" s="1"/>
  <c r="T833" i="37"/>
  <c r="U833" i="37"/>
  <c r="H1047" i="37"/>
  <c r="Z1047" i="37" s="1"/>
  <c r="T1047" i="37"/>
  <c r="U1047" i="37"/>
  <c r="H653" i="37"/>
  <c r="Z653" i="37" s="1"/>
  <c r="U653" i="37"/>
  <c r="T653" i="37"/>
  <c r="H676" i="37"/>
  <c r="Z676" i="37" s="1"/>
  <c r="T676" i="37"/>
  <c r="U676" i="37"/>
  <c r="H704" i="37"/>
  <c r="Z704" i="37" s="1"/>
  <c r="T704" i="37"/>
  <c r="U704" i="37"/>
  <c r="H754" i="37"/>
  <c r="Z754" i="37" s="1"/>
  <c r="U754" i="37"/>
  <c r="T754" i="37"/>
  <c r="H821" i="37"/>
  <c r="Z821" i="37" s="1"/>
  <c r="T821" i="37"/>
  <c r="U821" i="37"/>
  <c r="H708" i="37"/>
  <c r="Z708" i="37" s="1"/>
  <c r="T708" i="37"/>
  <c r="U708" i="37"/>
  <c r="H758" i="37"/>
  <c r="Z758" i="37" s="1"/>
  <c r="T758" i="37"/>
  <c r="U758" i="37"/>
  <c r="H614" i="37"/>
  <c r="Z614" i="37" s="1"/>
  <c r="T614" i="37"/>
  <c r="U614" i="37"/>
  <c r="H659" i="37"/>
  <c r="Z659" i="37" s="1"/>
  <c r="T659" i="37"/>
  <c r="U659" i="37"/>
  <c r="H682" i="37"/>
  <c r="Z682" i="37" s="1"/>
  <c r="T682" i="37"/>
  <c r="U682" i="37"/>
  <c r="H747" i="37"/>
  <c r="Z747" i="37" s="1"/>
  <c r="T747" i="37"/>
  <c r="U747" i="37"/>
  <c r="H775" i="37"/>
  <c r="Z775" i="37" s="1"/>
  <c r="T775" i="37"/>
  <c r="U775" i="37"/>
  <c r="H983" i="37"/>
  <c r="Z983" i="37" s="1"/>
  <c r="T983" i="37"/>
  <c r="U983" i="37"/>
  <c r="H703" i="37"/>
  <c r="Z703" i="37" s="1"/>
  <c r="T703" i="37"/>
  <c r="U703" i="37"/>
  <c r="H764" i="37"/>
  <c r="Z764" i="37" s="1"/>
  <c r="T764" i="37"/>
  <c r="U764" i="37"/>
  <c r="H832" i="37"/>
  <c r="Z832" i="37" s="1"/>
  <c r="T832" i="37"/>
  <c r="U832" i="37"/>
  <c r="H971" i="37"/>
  <c r="Z971" i="37" s="1"/>
  <c r="T971" i="37"/>
  <c r="U971" i="37"/>
  <c r="H1035" i="37"/>
  <c r="Z1035" i="37" s="1"/>
  <c r="T1035" i="37"/>
  <c r="U1035" i="37"/>
  <c r="H1099" i="37"/>
  <c r="Z1099" i="37" s="1"/>
  <c r="U1099" i="37"/>
  <c r="T1099" i="37"/>
  <c r="H980" i="37"/>
  <c r="Z980" i="37" s="1"/>
  <c r="U980" i="37"/>
  <c r="T980" i="37"/>
  <c r="H1044" i="37"/>
  <c r="Z1044" i="37" s="1"/>
  <c r="U1044" i="37"/>
  <c r="T1044" i="37"/>
  <c r="H1108" i="37"/>
  <c r="Z1108" i="37" s="1"/>
  <c r="T1108" i="37"/>
  <c r="U1108" i="37"/>
  <c r="H1149" i="37"/>
  <c r="Z1149" i="37" s="1"/>
  <c r="T1149" i="37"/>
  <c r="U1149" i="37"/>
  <c r="H1119" i="37"/>
  <c r="Z1119" i="37" s="1"/>
  <c r="T1119" i="37"/>
  <c r="U1119" i="37"/>
  <c r="H1008" i="37"/>
  <c r="Z1008" i="37" s="1"/>
  <c r="T1008" i="37"/>
  <c r="U1008" i="37"/>
  <c r="H1034" i="37"/>
  <c r="Z1034" i="37" s="1"/>
  <c r="T1034" i="37"/>
  <c r="U1034" i="37"/>
  <c r="H1072" i="37"/>
  <c r="Z1072" i="37" s="1"/>
  <c r="T1072" i="37"/>
  <c r="U1072" i="37"/>
  <c r="H1098" i="37"/>
  <c r="Z1098" i="37" s="1"/>
  <c r="U1098" i="37"/>
  <c r="T1098" i="37"/>
  <c r="H1121" i="37"/>
  <c r="Z1121" i="37" s="1"/>
  <c r="T1121" i="37"/>
  <c r="U1121" i="37"/>
  <c r="H941" i="37"/>
  <c r="Z941" i="37" s="1"/>
  <c r="T941" i="37"/>
  <c r="U941" i="37"/>
  <c r="H1005" i="37"/>
  <c r="Z1005" i="37" s="1"/>
  <c r="T1005" i="37"/>
  <c r="U1005" i="37"/>
  <c r="H1069" i="37"/>
  <c r="Z1069" i="37" s="1"/>
  <c r="T1069" i="37"/>
  <c r="U1069" i="37"/>
  <c r="H1153" i="37"/>
  <c r="Z1153" i="37" s="1"/>
  <c r="T1153" i="37"/>
  <c r="U1153" i="37"/>
  <c r="H1174" i="37"/>
  <c r="Z1174" i="37" s="1"/>
  <c r="U1174" i="37"/>
  <c r="T1174" i="37"/>
  <c r="H967" i="37"/>
  <c r="Z967" i="37" s="1"/>
  <c r="T967" i="37"/>
  <c r="U967" i="37"/>
  <c r="H993" i="37"/>
  <c r="Z993" i="37" s="1"/>
  <c r="T993" i="37"/>
  <c r="U993" i="37"/>
  <c r="H1031" i="37"/>
  <c r="Z1031" i="37" s="1"/>
  <c r="T1031" i="37"/>
  <c r="U1031" i="37"/>
  <c r="H1057" i="37"/>
  <c r="Z1057" i="37" s="1"/>
  <c r="T1057" i="37"/>
  <c r="U1057" i="37"/>
  <c r="H1095" i="37"/>
  <c r="Z1095" i="37" s="1"/>
  <c r="T1095" i="37"/>
  <c r="U1095" i="37"/>
  <c r="H1141" i="37"/>
  <c r="Z1141" i="37" s="1"/>
  <c r="T1141" i="37"/>
  <c r="U1141" i="37"/>
  <c r="H1179" i="37"/>
  <c r="Z1179" i="37" s="1"/>
  <c r="T1179" i="37"/>
  <c r="U1179" i="37"/>
  <c r="H1176" i="37"/>
  <c r="Z1176" i="37" s="1"/>
  <c r="T1176" i="37"/>
  <c r="U1176" i="37"/>
  <c r="H1190" i="37"/>
  <c r="Z1190" i="37" s="1"/>
  <c r="U1190" i="37"/>
  <c r="T1190" i="37"/>
  <c r="H1230" i="37"/>
  <c r="Z1230" i="37" s="1"/>
  <c r="T1230" i="37"/>
  <c r="U1230" i="37"/>
  <c r="H1192" i="37"/>
  <c r="Z1192" i="37" s="1"/>
  <c r="T1192" i="37"/>
  <c r="U1192" i="37"/>
  <c r="H1213" i="37"/>
  <c r="Z1213" i="37" s="1"/>
  <c r="T1213" i="37"/>
  <c r="U1213" i="37"/>
  <c r="H1185" i="37"/>
  <c r="Z1185" i="37" s="1"/>
  <c r="T1185" i="37"/>
  <c r="U1185" i="37"/>
  <c r="H1211" i="37"/>
  <c r="Z1211" i="37" s="1"/>
  <c r="T1211" i="37"/>
  <c r="U1211" i="37"/>
  <c r="H1184" i="37"/>
  <c r="Z1184" i="37" s="1"/>
  <c r="T1184" i="37"/>
  <c r="U1184" i="37"/>
  <c r="H1200" i="37"/>
  <c r="Z1200" i="37" s="1"/>
  <c r="T1200" i="37"/>
  <c r="U1200" i="37"/>
  <c r="H38" i="37"/>
  <c r="Z38" i="37" s="1"/>
  <c r="T38" i="37"/>
  <c r="U38" i="37"/>
  <c r="H36" i="37"/>
  <c r="Z36" i="37" s="1"/>
  <c r="T36" i="37"/>
  <c r="U36" i="37"/>
  <c r="H367" i="37"/>
  <c r="Z367" i="37" s="1"/>
  <c r="U367" i="37"/>
  <c r="T367" i="37"/>
  <c r="H231" i="37"/>
  <c r="Z231" i="37" s="1"/>
  <c r="T231" i="37"/>
  <c r="U231" i="37"/>
  <c r="H218" i="37"/>
  <c r="Z218" i="37" s="1"/>
  <c r="T218" i="37"/>
  <c r="U218" i="37"/>
  <c r="H286" i="37"/>
  <c r="Z286" i="37" s="1"/>
  <c r="T286" i="37"/>
  <c r="U286" i="37"/>
  <c r="H409" i="37"/>
  <c r="Z409" i="37" s="1"/>
  <c r="T409" i="37"/>
  <c r="U409" i="37"/>
  <c r="H307" i="37"/>
  <c r="Z307" i="37" s="1"/>
  <c r="T307" i="37"/>
  <c r="U307" i="37"/>
  <c r="H752" i="37"/>
  <c r="Z752" i="37" s="1"/>
  <c r="T752" i="37"/>
  <c r="U752" i="37"/>
  <c r="H672" i="37"/>
  <c r="Z672" i="37" s="1"/>
  <c r="T672" i="37"/>
  <c r="U672" i="37"/>
  <c r="H817" i="37"/>
  <c r="Z817" i="37" s="1"/>
  <c r="T817" i="37"/>
  <c r="U817" i="37"/>
  <c r="H610" i="37"/>
  <c r="Z610" i="37" s="1"/>
  <c r="T610" i="37"/>
  <c r="U610" i="37"/>
  <c r="H1156" i="37"/>
  <c r="Z1156" i="37" s="1"/>
  <c r="U1156" i="37"/>
  <c r="T1156" i="37"/>
  <c r="H1093" i="37"/>
  <c r="Z1093" i="37" s="1"/>
  <c r="T1093" i="37"/>
  <c r="U1093" i="37"/>
  <c r="H1137" i="37"/>
  <c r="Z1137" i="37" s="1"/>
  <c r="T1137" i="37"/>
  <c r="U1137" i="37"/>
  <c r="H986" i="37"/>
  <c r="Z986" i="37" s="1"/>
  <c r="T986" i="37"/>
  <c r="U986" i="37"/>
  <c r="H1204" i="37"/>
  <c r="Z1204" i="37" s="1"/>
  <c r="T1204" i="37"/>
  <c r="U1204" i="37"/>
  <c r="H29" i="37"/>
  <c r="Z29" i="37" s="1"/>
  <c r="T29" i="37"/>
  <c r="U29" i="37"/>
  <c r="H13" i="37"/>
  <c r="Z13" i="37" s="1"/>
  <c r="T13" i="37"/>
  <c r="U13" i="37"/>
  <c r="H23" i="37"/>
  <c r="Z23" i="37" s="1"/>
  <c r="T23" i="37"/>
  <c r="U23" i="37"/>
  <c r="H25" i="37"/>
  <c r="Z25" i="37" s="1"/>
  <c r="T25" i="37"/>
  <c r="U25" i="37"/>
  <c r="H27" i="37"/>
  <c r="Z27" i="37" s="1"/>
  <c r="T27" i="37"/>
  <c r="U27" i="37"/>
  <c r="H442" i="37"/>
  <c r="Z442" i="37" s="1"/>
  <c r="U442" i="37"/>
  <c r="T442" i="37"/>
  <c r="H270" i="37"/>
  <c r="Z270" i="37" s="1"/>
  <c r="T270" i="37"/>
  <c r="U270" i="37"/>
  <c r="H373" i="37"/>
  <c r="Z373" i="37" s="1"/>
  <c r="T373" i="37"/>
  <c r="U373" i="37"/>
  <c r="H577" i="37"/>
  <c r="Z577" i="37" s="1"/>
  <c r="T577" i="37"/>
  <c r="U577" i="37"/>
  <c r="H157" i="37"/>
  <c r="Z157" i="37" s="1"/>
  <c r="T157" i="37"/>
  <c r="U157" i="37"/>
  <c r="H173" i="37"/>
  <c r="Z173" i="37" s="1"/>
  <c r="T173" i="37"/>
  <c r="U173" i="37"/>
  <c r="H189" i="37"/>
  <c r="Z189" i="37" s="1"/>
  <c r="T189" i="37"/>
  <c r="U189" i="37"/>
  <c r="H205" i="37"/>
  <c r="Z205" i="37" s="1"/>
  <c r="T205" i="37"/>
  <c r="U205" i="37"/>
  <c r="H221" i="37"/>
  <c r="Z221" i="37" s="1"/>
  <c r="T221" i="37"/>
  <c r="U221" i="37"/>
  <c r="H237" i="37"/>
  <c r="Z237" i="37" s="1"/>
  <c r="T237" i="37"/>
  <c r="U237" i="37"/>
  <c r="H253" i="37"/>
  <c r="Z253" i="37" s="1"/>
  <c r="T253" i="37"/>
  <c r="U253" i="37"/>
  <c r="H358" i="37"/>
  <c r="Z358" i="37" s="1"/>
  <c r="T358" i="37"/>
  <c r="U358" i="37"/>
  <c r="H759" i="37"/>
  <c r="Z759" i="37" s="1"/>
  <c r="T759" i="37"/>
  <c r="U759" i="37"/>
  <c r="H271" i="37"/>
  <c r="Z271" i="37" s="1"/>
  <c r="T271" i="37"/>
  <c r="U271" i="37"/>
  <c r="H363" i="37"/>
  <c r="Z363" i="37" s="1"/>
  <c r="T363" i="37"/>
  <c r="U363" i="37"/>
  <c r="H354" i="37"/>
  <c r="Z354" i="37" s="1"/>
  <c r="T354" i="37"/>
  <c r="U354" i="37"/>
  <c r="H416" i="37"/>
  <c r="Z416" i="37" s="1"/>
  <c r="T416" i="37"/>
  <c r="U416" i="37"/>
  <c r="H787" i="37"/>
  <c r="Z787" i="37" s="1"/>
  <c r="T787" i="37"/>
  <c r="U787" i="37"/>
  <c r="H160" i="37"/>
  <c r="Z160" i="37" s="1"/>
  <c r="T160" i="37"/>
  <c r="U160" i="37"/>
  <c r="H176" i="37"/>
  <c r="Z176" i="37" s="1"/>
  <c r="T176" i="37"/>
  <c r="U176" i="37"/>
  <c r="H192" i="37"/>
  <c r="Z192" i="37" s="1"/>
  <c r="T192" i="37"/>
  <c r="U192" i="37"/>
  <c r="H208" i="37"/>
  <c r="Z208" i="37" s="1"/>
  <c r="T208" i="37"/>
  <c r="U208" i="37"/>
  <c r="H224" i="37"/>
  <c r="Z224" i="37" s="1"/>
  <c r="T224" i="37"/>
  <c r="U224" i="37"/>
  <c r="H240" i="37"/>
  <c r="Z240" i="37" s="1"/>
  <c r="T240" i="37"/>
  <c r="U240" i="37"/>
  <c r="H256" i="37"/>
  <c r="Z256" i="37" s="1"/>
  <c r="T256" i="37"/>
  <c r="U256" i="37"/>
  <c r="H372" i="37"/>
  <c r="Z372" i="37" s="1"/>
  <c r="T372" i="37"/>
  <c r="U372" i="37"/>
  <c r="H746" i="37"/>
  <c r="Z746" i="37" s="1"/>
  <c r="U746" i="37"/>
  <c r="T746" i="37"/>
  <c r="H420" i="37"/>
  <c r="Z420" i="37" s="1"/>
  <c r="T420" i="37"/>
  <c r="U420" i="37"/>
  <c r="H660" i="37"/>
  <c r="Z660" i="37" s="1"/>
  <c r="T660" i="37"/>
  <c r="U660" i="37"/>
  <c r="H292" i="37"/>
  <c r="Z292" i="37" s="1"/>
  <c r="T292" i="37"/>
  <c r="U292" i="37"/>
  <c r="H308" i="37"/>
  <c r="Z308" i="37" s="1"/>
  <c r="T308" i="37"/>
  <c r="U308" i="37"/>
  <c r="H324" i="37"/>
  <c r="Z324" i="37" s="1"/>
  <c r="T324" i="37"/>
  <c r="U324" i="37"/>
  <c r="H340" i="37"/>
  <c r="Z340" i="37" s="1"/>
  <c r="T340" i="37"/>
  <c r="U340" i="37"/>
  <c r="H559" i="37"/>
  <c r="Z559" i="37" s="1"/>
  <c r="T559" i="37"/>
  <c r="U559" i="37"/>
  <c r="H441" i="37"/>
  <c r="Z441" i="37" s="1"/>
  <c r="T441" i="37"/>
  <c r="U441" i="37"/>
  <c r="H576" i="37"/>
  <c r="Z576" i="37" s="1"/>
  <c r="U576" i="37"/>
  <c r="T576" i="37"/>
  <c r="H729" i="37"/>
  <c r="Z729" i="37" s="1"/>
  <c r="T729" i="37"/>
  <c r="U729" i="37"/>
  <c r="H445" i="37"/>
  <c r="Z445" i="37" s="1"/>
  <c r="T445" i="37"/>
  <c r="U445" i="37"/>
  <c r="H593" i="37"/>
  <c r="Z593" i="37" s="1"/>
  <c r="T593" i="37"/>
  <c r="U593" i="37"/>
  <c r="H643" i="37"/>
  <c r="Z643" i="37" s="1"/>
  <c r="T643" i="37"/>
  <c r="U643" i="37"/>
  <c r="H281" i="37"/>
  <c r="Z281" i="37" s="1"/>
  <c r="T281" i="37"/>
  <c r="U281" i="37"/>
  <c r="H297" i="37"/>
  <c r="Z297" i="37" s="1"/>
  <c r="T297" i="37"/>
  <c r="U297" i="37"/>
  <c r="H313" i="37"/>
  <c r="Z313" i="37" s="1"/>
  <c r="T313" i="37"/>
  <c r="U313" i="37"/>
  <c r="H329" i="37"/>
  <c r="Z329" i="37" s="1"/>
  <c r="T329" i="37"/>
  <c r="U329" i="37"/>
  <c r="H421" i="37"/>
  <c r="Z421" i="37" s="1"/>
  <c r="T421" i="37"/>
  <c r="U421" i="37"/>
  <c r="H547" i="37"/>
  <c r="Z547" i="37" s="1"/>
  <c r="T547" i="37"/>
  <c r="U547" i="37"/>
  <c r="H724" i="37"/>
  <c r="Z724" i="37" s="1"/>
  <c r="T724" i="37"/>
  <c r="U724" i="37"/>
  <c r="H654" i="37"/>
  <c r="Z654" i="37" s="1"/>
  <c r="T654" i="37"/>
  <c r="U654" i="37"/>
  <c r="H677" i="37"/>
  <c r="Z677" i="37" s="1"/>
  <c r="T677" i="37"/>
  <c r="U677" i="37"/>
  <c r="H777" i="37"/>
  <c r="Z777" i="37" s="1"/>
  <c r="T777" i="37"/>
  <c r="U777" i="37"/>
  <c r="H824" i="37"/>
  <c r="Z824" i="37" s="1"/>
  <c r="T824" i="37"/>
  <c r="U824" i="37"/>
  <c r="H1059" i="37"/>
  <c r="Z1059" i="37" s="1"/>
  <c r="T1059" i="37"/>
  <c r="U1059" i="37"/>
  <c r="H763" i="37"/>
  <c r="Z763" i="37" s="1"/>
  <c r="T763" i="37"/>
  <c r="U763" i="37"/>
  <c r="H791" i="37"/>
  <c r="Z791" i="37" s="1"/>
  <c r="T791" i="37"/>
  <c r="U791" i="37"/>
  <c r="H837" i="37"/>
  <c r="Z837" i="37" s="1"/>
  <c r="T837" i="37"/>
  <c r="U837" i="37"/>
  <c r="H1054" i="37"/>
  <c r="Z1054" i="37" s="1"/>
  <c r="T1054" i="37"/>
  <c r="U1054" i="37"/>
  <c r="H728" i="37"/>
  <c r="Z728" i="37" s="1"/>
  <c r="T728" i="37"/>
  <c r="U728" i="37"/>
  <c r="H756" i="37"/>
  <c r="Z756" i="37" s="1"/>
  <c r="T756" i="37"/>
  <c r="U756" i="37"/>
  <c r="H798" i="37"/>
  <c r="Z798" i="37" s="1"/>
  <c r="T798" i="37"/>
  <c r="U798" i="37"/>
  <c r="H825" i="37"/>
  <c r="Z825" i="37" s="1"/>
  <c r="T825" i="37"/>
  <c r="U825" i="37"/>
  <c r="H1002" i="37"/>
  <c r="Z1002" i="37" s="1"/>
  <c r="T1002" i="37"/>
  <c r="U1002" i="37"/>
  <c r="H1152" i="37"/>
  <c r="Z1152" i="37" s="1"/>
  <c r="T1152" i="37"/>
  <c r="U1152" i="37"/>
  <c r="H678" i="37"/>
  <c r="Z678" i="37" s="1"/>
  <c r="T678" i="37"/>
  <c r="U678" i="37"/>
  <c r="H793" i="37"/>
  <c r="Z793" i="37" s="1"/>
  <c r="T793" i="37"/>
  <c r="U793" i="37"/>
  <c r="H1061" i="37"/>
  <c r="Z1061" i="37" s="1"/>
  <c r="T1061" i="37"/>
  <c r="U1061" i="37"/>
  <c r="H631" i="37"/>
  <c r="Z631" i="37" s="1"/>
  <c r="T631" i="37"/>
  <c r="U631" i="37"/>
  <c r="H661" i="37"/>
  <c r="Z661" i="37" s="1"/>
  <c r="T661" i="37"/>
  <c r="U661" i="37"/>
  <c r="H684" i="37"/>
  <c r="Z684" i="37" s="1"/>
  <c r="T684" i="37"/>
  <c r="U684" i="37"/>
  <c r="H749" i="37"/>
  <c r="Z749" i="37" s="1"/>
  <c r="T749" i="37"/>
  <c r="U749" i="37"/>
  <c r="H802" i="37"/>
  <c r="Z802" i="37" s="1"/>
  <c r="U802" i="37"/>
  <c r="T802" i="37"/>
  <c r="H990" i="37"/>
  <c r="Z990" i="37" s="1"/>
  <c r="T990" i="37"/>
  <c r="U990" i="37"/>
  <c r="H665" i="37"/>
  <c r="Z665" i="37" s="1"/>
  <c r="T665" i="37"/>
  <c r="U665" i="37"/>
  <c r="H766" i="37"/>
  <c r="Z766" i="37" s="1"/>
  <c r="T766" i="37"/>
  <c r="U766" i="37"/>
  <c r="H809" i="37"/>
  <c r="Z809" i="37" s="1"/>
  <c r="T809" i="37"/>
  <c r="U809" i="37"/>
  <c r="H834" i="37"/>
  <c r="Z834" i="37" s="1"/>
  <c r="U834" i="37"/>
  <c r="T834" i="37"/>
  <c r="H1104" i="37"/>
  <c r="Z1104" i="37" s="1"/>
  <c r="U1104" i="37"/>
  <c r="T1104" i="37"/>
  <c r="H973" i="37"/>
  <c r="Z973" i="37" s="1"/>
  <c r="T973" i="37"/>
  <c r="U973" i="37"/>
  <c r="H1037" i="37"/>
  <c r="Z1037" i="37" s="1"/>
  <c r="T1037" i="37"/>
  <c r="U1037" i="37"/>
  <c r="H1101" i="37"/>
  <c r="Z1101" i="37" s="1"/>
  <c r="T1101" i="37"/>
  <c r="U1101" i="37"/>
  <c r="H954" i="37"/>
  <c r="Z954" i="37" s="1"/>
  <c r="T954" i="37"/>
  <c r="U954" i="37"/>
  <c r="H992" i="37"/>
  <c r="Z992" i="37" s="1"/>
  <c r="T992" i="37"/>
  <c r="U992" i="37"/>
  <c r="H1018" i="37"/>
  <c r="Z1018" i="37" s="1"/>
  <c r="T1018" i="37"/>
  <c r="U1018" i="37"/>
  <c r="H1056" i="37"/>
  <c r="Z1056" i="37" s="1"/>
  <c r="T1056" i="37"/>
  <c r="U1056" i="37"/>
  <c r="H1082" i="37"/>
  <c r="Z1082" i="37" s="1"/>
  <c r="T1082" i="37"/>
  <c r="U1082" i="37"/>
  <c r="H1110" i="37"/>
  <c r="Z1110" i="37" s="1"/>
  <c r="U1110" i="37"/>
  <c r="T1110" i="37"/>
  <c r="H1131" i="37"/>
  <c r="Z1131" i="37" s="1"/>
  <c r="U1131" i="37"/>
  <c r="T1131" i="37"/>
  <c r="H1154" i="37"/>
  <c r="Z1154" i="37" s="1"/>
  <c r="U1154" i="37"/>
  <c r="T1154" i="37"/>
  <c r="H1180" i="37"/>
  <c r="Z1180" i="37" s="1"/>
  <c r="U1180" i="37"/>
  <c r="T1180" i="37"/>
  <c r="H987" i="37"/>
  <c r="Z987" i="37" s="1"/>
  <c r="T987" i="37"/>
  <c r="U987" i="37"/>
  <c r="H1051" i="37"/>
  <c r="Z1051" i="37" s="1"/>
  <c r="T1051" i="37"/>
  <c r="U1051" i="37"/>
  <c r="H1144" i="37"/>
  <c r="Z1144" i="37" s="1"/>
  <c r="T1144" i="37"/>
  <c r="U1144" i="37"/>
  <c r="H972" i="37"/>
  <c r="Z972" i="37" s="1"/>
  <c r="U972" i="37"/>
  <c r="T972" i="37"/>
  <c r="H1036" i="37"/>
  <c r="Z1036" i="37" s="1"/>
  <c r="U1036" i="37"/>
  <c r="T1036" i="37"/>
  <c r="H1100" i="37"/>
  <c r="Z1100" i="37" s="1"/>
  <c r="T1100" i="37"/>
  <c r="U1100" i="37"/>
  <c r="H974" i="37"/>
  <c r="Z974" i="37" s="1"/>
  <c r="T974" i="37"/>
  <c r="U974" i="37"/>
  <c r="H1038" i="37"/>
  <c r="Z1038" i="37" s="1"/>
  <c r="T1038" i="37"/>
  <c r="U1038" i="37"/>
  <c r="H1102" i="37"/>
  <c r="Z1102" i="37" s="1"/>
  <c r="U1102" i="37"/>
  <c r="T1102" i="37"/>
  <c r="H1123" i="37"/>
  <c r="Z1123" i="37" s="1"/>
  <c r="T1123" i="37"/>
  <c r="U1123" i="37"/>
  <c r="H1181" i="37"/>
  <c r="Z1181" i="37" s="1"/>
  <c r="T1181" i="37"/>
  <c r="U1181" i="37"/>
  <c r="H969" i="37"/>
  <c r="Z969" i="37" s="1"/>
  <c r="T969" i="37"/>
  <c r="U969" i="37"/>
  <c r="H1007" i="37"/>
  <c r="Z1007" i="37" s="1"/>
  <c r="T1007" i="37"/>
  <c r="U1007" i="37"/>
  <c r="H1033" i="37"/>
  <c r="Z1033" i="37" s="1"/>
  <c r="T1033" i="37"/>
  <c r="U1033" i="37"/>
  <c r="H1071" i="37"/>
  <c r="Z1071" i="37" s="1"/>
  <c r="T1071" i="37"/>
  <c r="U1071" i="37"/>
  <c r="H1097" i="37"/>
  <c r="Z1097" i="37" s="1"/>
  <c r="T1097" i="37"/>
  <c r="U1097" i="37"/>
  <c r="H1143" i="37"/>
  <c r="Z1143" i="37" s="1"/>
  <c r="T1143" i="37"/>
  <c r="U1143" i="37"/>
  <c r="H1182" i="37"/>
  <c r="Z1182" i="37" s="1"/>
  <c r="U1182" i="37"/>
  <c r="T1182" i="37"/>
  <c r="H1186" i="37"/>
  <c r="Z1186" i="37" s="1"/>
  <c r="U1186" i="37"/>
  <c r="T1186" i="37"/>
  <c r="H1191" i="37"/>
  <c r="Z1191" i="37" s="1"/>
  <c r="T1191" i="37"/>
  <c r="U1191" i="37"/>
  <c r="H1195" i="37"/>
  <c r="Z1195" i="37" s="1"/>
  <c r="T1195" i="37"/>
  <c r="U1195" i="37"/>
  <c r="H1187" i="37"/>
  <c r="Z1187" i="37" s="1"/>
  <c r="T1187" i="37"/>
  <c r="U1187" i="37"/>
  <c r="H1203" i="37"/>
  <c r="Z1203" i="37" s="1"/>
  <c r="T1203" i="37"/>
  <c r="U1203" i="37"/>
  <c r="H1217" i="37"/>
  <c r="Z1217" i="37" s="1"/>
  <c r="T1217" i="37"/>
  <c r="U1217" i="37"/>
  <c r="H1210" i="37"/>
  <c r="Z1210" i="37" s="1"/>
  <c r="T1210" i="37"/>
  <c r="U1210" i="37"/>
  <c r="L975" i="38"/>
  <c r="AF975" i="38" s="1"/>
  <c r="L899" i="38"/>
  <c r="AF899" i="38" s="1"/>
  <c r="L921" i="38"/>
  <c r="AF921" i="38" s="1"/>
  <c r="L972" i="38"/>
  <c r="AF972" i="38" s="1"/>
  <c r="L940" i="38"/>
  <c r="AF940" i="38" s="1"/>
  <c r="L934" i="38"/>
  <c r="AF934" i="38" s="1"/>
  <c r="L970" i="38"/>
  <c r="AF970" i="38" s="1"/>
  <c r="L929" i="38"/>
  <c r="AF929" i="38" s="1"/>
  <c r="L974" i="38"/>
  <c r="AF974" i="38" s="1"/>
  <c r="L947" i="38"/>
  <c r="AF947" i="38" s="1"/>
  <c r="L895" i="38"/>
  <c r="AF895" i="38" s="1"/>
  <c r="L904" i="38"/>
  <c r="AF904" i="38" s="1"/>
  <c r="L960" i="38"/>
  <c r="AF960" i="38" s="1"/>
  <c r="L942" i="38"/>
  <c r="AF942" i="38" s="1"/>
  <c r="L928" i="38"/>
  <c r="AF928" i="38" s="1"/>
  <c r="L952" i="38"/>
  <c r="AF952" i="38" s="1"/>
  <c r="L961" i="38"/>
  <c r="AF961" i="38" s="1"/>
  <c r="L963" i="38"/>
  <c r="AF963" i="38" s="1"/>
  <c r="L923" i="38"/>
  <c r="AF923" i="38" s="1"/>
  <c r="L971" i="38"/>
  <c r="AF971" i="38" s="1"/>
  <c r="L939" i="38"/>
  <c r="AF939" i="38" s="1"/>
  <c r="L897" i="38"/>
  <c r="AF897" i="38" s="1"/>
  <c r="L951" i="38"/>
  <c r="AF951" i="38" s="1"/>
  <c r="L932" i="38"/>
  <c r="AF932" i="38" s="1"/>
  <c r="L945" i="38"/>
  <c r="AF945" i="38" s="1"/>
  <c r="L958" i="38"/>
  <c r="AF958" i="38" s="1"/>
  <c r="L901" i="38"/>
  <c r="AF901" i="38" s="1"/>
  <c r="L954" i="38"/>
  <c r="AF954" i="38" s="1"/>
  <c r="L964" i="38"/>
  <c r="AF964" i="38" s="1"/>
  <c r="L962" i="38"/>
  <c r="AF962" i="38" s="1"/>
  <c r="L965" i="38"/>
  <c r="AF965" i="38" s="1"/>
  <c r="L915" i="38"/>
  <c r="AF915" i="38" s="1"/>
  <c r="L896" i="38"/>
  <c r="AF896" i="38" s="1"/>
  <c r="L910" i="38"/>
  <c r="AF910" i="38" s="1"/>
  <c r="L967" i="38"/>
  <c r="AF967" i="38" s="1"/>
  <c r="L931" i="38"/>
  <c r="AF931" i="38" s="1"/>
  <c r="L930" i="38"/>
  <c r="AF930" i="38" s="1"/>
  <c r="L950" i="38"/>
  <c r="AF950" i="38" s="1"/>
  <c r="L969" i="38"/>
  <c r="AF969" i="38" s="1"/>
  <c r="L922" i="38"/>
  <c r="AF922" i="38" s="1"/>
  <c r="L955" i="38"/>
  <c r="AF955" i="38" s="1"/>
  <c r="L914" i="38"/>
  <c r="AF914" i="38" s="1"/>
  <c r="L925" i="38"/>
  <c r="AF925" i="38" s="1"/>
  <c r="L916" i="38"/>
  <c r="AF916" i="38" s="1"/>
  <c r="L905" i="38"/>
  <c r="AF905" i="38" s="1"/>
  <c r="L912" i="38"/>
  <c r="AF912" i="38" s="1"/>
  <c r="L924" i="38"/>
  <c r="AF924" i="38" s="1"/>
  <c r="L953" i="38"/>
  <c r="AF953" i="38" s="1"/>
  <c r="L956" i="38"/>
  <c r="AF956" i="38" s="1"/>
  <c r="L966" i="38"/>
  <c r="AF966" i="38" s="1"/>
  <c r="L926" i="38"/>
  <c r="AF926" i="38" s="1"/>
  <c r="L976" i="38"/>
  <c r="AF976" i="38" s="1"/>
  <c r="L917" i="38"/>
  <c r="AF917" i="38" s="1"/>
  <c r="L937" i="38"/>
  <c r="AF937" i="38" s="1"/>
  <c r="L918" i="38"/>
  <c r="AF918" i="38" s="1"/>
  <c r="L907" i="38"/>
  <c r="AF907" i="38" s="1"/>
  <c r="L933" i="38"/>
  <c r="AF933" i="38" s="1"/>
  <c r="L909" i="38"/>
  <c r="AF909" i="38" s="1"/>
  <c r="L936" i="38"/>
  <c r="AF936" i="38" s="1"/>
  <c r="L927" i="38"/>
  <c r="AF927" i="38" s="1"/>
  <c r="L944" i="38"/>
  <c r="AF944" i="38" s="1"/>
  <c r="L913" i="38"/>
  <c r="AF913" i="38" s="1"/>
  <c r="L948" i="38"/>
  <c r="AF948" i="38" s="1"/>
  <c r="L911" i="38"/>
  <c r="AF911" i="38" s="1"/>
  <c r="L935" i="38"/>
  <c r="AF935" i="38" s="1"/>
  <c r="L908" i="38"/>
  <c r="AF908" i="38" s="1"/>
  <c r="L938" i="38"/>
  <c r="AF938" i="38" s="1"/>
  <c r="L919" i="38"/>
  <c r="AF919" i="38" s="1"/>
  <c r="L941" i="38"/>
  <c r="AF941" i="38" s="1"/>
  <c r="L900" i="38"/>
  <c r="AF900" i="38" s="1"/>
  <c r="L968" i="38"/>
  <c r="AF968" i="38" s="1"/>
  <c r="L959" i="38"/>
  <c r="AF959" i="38" s="1"/>
  <c r="L898" i="38"/>
  <c r="AF898" i="38" s="1"/>
  <c r="L902" i="38"/>
  <c r="AF902" i="38" s="1"/>
  <c r="L949" i="38"/>
  <c r="AF949" i="38" s="1"/>
  <c r="L957" i="38"/>
  <c r="AF957" i="38" s="1"/>
  <c r="L943" i="38"/>
  <c r="AF943" i="38" s="1"/>
  <c r="L920" i="38"/>
  <c r="AF920" i="38" s="1"/>
  <c r="L973" i="38"/>
  <c r="AF973" i="38" s="1"/>
  <c r="L906" i="38"/>
  <c r="AF906" i="38" s="1"/>
  <c r="L903" i="38"/>
  <c r="AF903" i="38" s="1"/>
  <c r="L946" i="38"/>
  <c r="AF946" i="38" s="1"/>
  <c r="L894" i="38"/>
  <c r="AF894" i="38" s="1"/>
  <c r="L287" i="38"/>
  <c r="AF287" i="38" s="1"/>
  <c r="L409" i="38"/>
  <c r="AF409" i="38" s="1"/>
  <c r="L878" i="38"/>
  <c r="L805" i="38"/>
  <c r="L407" i="38"/>
  <c r="AF407" i="38" s="1"/>
  <c r="L804" i="38"/>
  <c r="AF804" i="38" s="1"/>
  <c r="L857" i="38"/>
  <c r="L880" i="38"/>
  <c r="L889" i="38"/>
  <c r="L854" i="38"/>
  <c r="L876" i="38"/>
  <c r="L800" i="38"/>
  <c r="AF800" i="38" s="1"/>
  <c r="L286" i="38"/>
  <c r="AF286" i="38" s="1"/>
  <c r="L884" i="38"/>
  <c r="L806" i="38"/>
  <c r="AF806" i="38" s="1"/>
  <c r="G917" i="38"/>
  <c r="G913" i="38"/>
  <c r="G968" i="38"/>
  <c r="G906" i="38"/>
  <c r="G973" i="38"/>
  <c r="G934" i="38"/>
  <c r="G940" i="38"/>
  <c r="G972" i="38"/>
  <c r="G921" i="38"/>
  <c r="G904" i="38"/>
  <c r="G976" i="38"/>
  <c r="G944" i="38"/>
  <c r="G900" i="38"/>
  <c r="G941" i="38"/>
  <c r="G920" i="38"/>
  <c r="G943" i="38"/>
  <c r="G957" i="38"/>
  <c r="G949" i="38"/>
  <c r="G899" i="38"/>
  <c r="G896" i="38"/>
  <c r="G925" i="38"/>
  <c r="G914" i="38"/>
  <c r="G927" i="38"/>
  <c r="G936" i="38"/>
  <c r="G919" i="38"/>
  <c r="G938" i="38"/>
  <c r="G908" i="38"/>
  <c r="G935" i="38"/>
  <c r="G902" i="38"/>
  <c r="G897" i="38"/>
  <c r="G915" i="38"/>
  <c r="G926" i="38"/>
  <c r="G966" i="38"/>
  <c r="G956" i="38"/>
  <c r="G909" i="38"/>
  <c r="G933" i="38"/>
  <c r="G907" i="38"/>
  <c r="G918" i="38"/>
  <c r="G911" i="38"/>
  <c r="G895" i="38"/>
  <c r="G939" i="38"/>
  <c r="G965" i="38"/>
  <c r="G955" i="38"/>
  <c r="G922" i="38"/>
  <c r="G953" i="38"/>
  <c r="G924" i="38"/>
  <c r="G912" i="38"/>
  <c r="G905" i="38"/>
  <c r="G937" i="38"/>
  <c r="G894" i="38"/>
  <c r="G947" i="38"/>
  <c r="G971" i="38"/>
  <c r="G962" i="38"/>
  <c r="G964" i="38"/>
  <c r="G969" i="38"/>
  <c r="G950" i="38"/>
  <c r="G930" i="38"/>
  <c r="G931" i="38"/>
  <c r="G967" i="38"/>
  <c r="G916" i="38"/>
  <c r="G898" i="38"/>
  <c r="G946" i="38"/>
  <c r="G974" i="38"/>
  <c r="G923" i="38"/>
  <c r="G963" i="38"/>
  <c r="G954" i="38"/>
  <c r="G901" i="38"/>
  <c r="G958" i="38"/>
  <c r="G945" i="38"/>
  <c r="G932" i="38"/>
  <c r="G910" i="38"/>
  <c r="G948" i="38"/>
  <c r="G959" i="38"/>
  <c r="G903" i="38"/>
  <c r="G929" i="38"/>
  <c r="G970" i="38"/>
  <c r="G961" i="38"/>
  <c r="G952" i="38"/>
  <c r="G928" i="38"/>
  <c r="G942" i="38"/>
  <c r="G960" i="38"/>
  <c r="G951" i="38"/>
  <c r="G975" i="38"/>
  <c r="G733" i="38"/>
  <c r="G613" i="38"/>
  <c r="G653" i="38"/>
  <c r="G796" i="38"/>
  <c r="G208" i="38"/>
  <c r="G597" i="38"/>
  <c r="G893" i="38"/>
  <c r="G259" i="38"/>
  <c r="G875" i="38"/>
  <c r="G9" i="38"/>
  <c r="G876" i="38"/>
  <c r="G379" i="38"/>
  <c r="G532" i="38"/>
  <c r="G349" i="38"/>
  <c r="G219" i="38"/>
  <c r="G821" i="38"/>
  <c r="G307" i="38"/>
  <c r="G250" i="38"/>
  <c r="G50" i="38"/>
  <c r="G517" i="38"/>
  <c r="G805" i="38"/>
  <c r="G171" i="38"/>
  <c r="G643" i="38"/>
  <c r="G44" i="38"/>
  <c r="G732" i="38"/>
  <c r="G624" i="38"/>
  <c r="G725" i="38"/>
  <c r="G186" i="38"/>
  <c r="G295" i="38"/>
  <c r="G612" i="38"/>
  <c r="G731" i="38"/>
  <c r="G97" i="38"/>
  <c r="G264" i="38"/>
  <c r="G552" i="38"/>
  <c r="G719" i="38"/>
  <c r="G91" i="38"/>
  <c r="G255" i="38"/>
  <c r="G359" i="38"/>
  <c r="G798" i="38"/>
  <c r="G300" i="38"/>
  <c r="G851" i="38"/>
  <c r="G217" i="38"/>
  <c r="G384" i="38"/>
  <c r="G672" i="38"/>
  <c r="G839" i="38"/>
  <c r="G205" i="38"/>
  <c r="G16" i="38"/>
  <c r="G68" i="38"/>
  <c r="G78" i="38"/>
  <c r="G678" i="38"/>
  <c r="G715" i="38"/>
  <c r="G882" i="38"/>
  <c r="G248" i="38"/>
  <c r="G536" i="38"/>
  <c r="G703" i="38"/>
  <c r="G75" i="38"/>
  <c r="G175" i="38"/>
  <c r="G279" i="38"/>
  <c r="G766" i="38"/>
  <c r="G212" i="38"/>
  <c r="G746" i="38"/>
  <c r="G112" i="38"/>
  <c r="G278" i="38"/>
  <c r="G567" i="38"/>
  <c r="G111" i="38"/>
  <c r="G41" i="38"/>
  <c r="G865" i="38"/>
  <c r="G364" i="38"/>
  <c r="G772" i="38"/>
  <c r="G891" i="38"/>
  <c r="G257" i="38"/>
  <c r="G546" i="38"/>
  <c r="G712" i="38"/>
  <c r="G879" i="38"/>
  <c r="G245" i="38"/>
  <c r="G10" i="38"/>
  <c r="G15" i="38"/>
  <c r="G180" i="38"/>
  <c r="G758" i="38"/>
  <c r="G322" i="38"/>
  <c r="G563" i="38"/>
  <c r="G730" i="38"/>
  <c r="G96" i="38"/>
  <c r="G262" i="38"/>
  <c r="G551" i="38"/>
  <c r="G31" i="38"/>
  <c r="G25" i="38"/>
  <c r="G825" i="38"/>
  <c r="G284" i="38"/>
  <c r="G305" i="38"/>
  <c r="G594" i="38"/>
  <c r="G760" i="38"/>
  <c r="G126" i="38"/>
  <c r="G293" i="38"/>
  <c r="G58" i="38"/>
  <c r="G287" i="38"/>
  <c r="G159" i="38"/>
  <c r="G870" i="38"/>
  <c r="G414" i="38"/>
  <c r="G491" i="38"/>
  <c r="G510" i="38"/>
  <c r="G437" i="38"/>
  <c r="G403" i="38"/>
  <c r="G434" i="38"/>
  <c r="G497" i="38"/>
  <c r="G469" i="38"/>
  <c r="G471" i="38"/>
  <c r="G444" i="38"/>
  <c r="G430" i="38"/>
  <c r="G475" i="38"/>
  <c r="G492" i="38"/>
  <c r="G410" i="38"/>
  <c r="G419" i="38"/>
  <c r="G435" i="38"/>
  <c r="G714" i="38"/>
  <c r="G748" i="38"/>
  <c r="G589" i="38"/>
  <c r="G716" i="38"/>
  <c r="G374" i="38"/>
  <c r="G806" i="38"/>
  <c r="G829" i="38"/>
  <c r="G195" i="38"/>
  <c r="G707" i="38"/>
  <c r="G793" i="38"/>
  <c r="G314" i="38"/>
  <c r="G315" i="38"/>
  <c r="G274" i="38"/>
  <c r="G114" i="38"/>
  <c r="G773" i="38"/>
  <c r="G877" i="38"/>
  <c r="G243" i="38"/>
  <c r="G835" i="38"/>
  <c r="G231" i="38"/>
  <c r="G139" i="38"/>
  <c r="G741" i="38"/>
  <c r="G107" i="38"/>
  <c r="G233" i="38"/>
  <c r="G710" i="38"/>
  <c r="G620" i="38"/>
  <c r="G791" i="38"/>
  <c r="G283" i="38"/>
  <c r="G771" i="38"/>
  <c r="G513" i="38"/>
  <c r="G548" i="38"/>
  <c r="G667" i="38"/>
  <c r="G834" i="38"/>
  <c r="G200" i="38"/>
  <c r="G366" i="38"/>
  <c r="G655" i="38"/>
  <c r="G27" i="38"/>
  <c r="G276" i="38"/>
  <c r="G47" i="38"/>
  <c r="G670" i="38"/>
  <c r="G668" i="38"/>
  <c r="G787" i="38"/>
  <c r="G153" i="38"/>
  <c r="G320" i="38"/>
  <c r="G608" i="38"/>
  <c r="G775" i="38"/>
  <c r="G141" i="38"/>
  <c r="G625" i="38"/>
  <c r="G713" i="38"/>
  <c r="G14" i="38"/>
  <c r="G558" i="38"/>
  <c r="G651" i="38"/>
  <c r="G818" i="38"/>
  <c r="G184" i="38"/>
  <c r="G350" i="38"/>
  <c r="G639" i="38"/>
  <c r="G11" i="38"/>
  <c r="G148" i="38"/>
  <c r="G324" i="38"/>
  <c r="G638" i="38"/>
  <c r="G515" i="38"/>
  <c r="G682" i="38"/>
  <c r="G848" i="38"/>
  <c r="G214" i="38"/>
  <c r="G381" i="38"/>
  <c r="G36" i="38"/>
  <c r="G809" i="38"/>
  <c r="G673" i="38"/>
  <c r="G85" i="38"/>
  <c r="G708" i="38"/>
  <c r="G827" i="38"/>
  <c r="G193" i="38"/>
  <c r="G360" i="38"/>
  <c r="G648" i="38"/>
  <c r="G815" i="38"/>
  <c r="G181" i="38"/>
  <c r="G777" i="38"/>
  <c r="G48" i="38"/>
  <c r="G54" i="38"/>
  <c r="G630" i="38"/>
  <c r="G258" i="38"/>
  <c r="G377" i="38"/>
  <c r="G666" i="38"/>
  <c r="G832" i="38"/>
  <c r="G198" i="38"/>
  <c r="G365" i="38"/>
  <c r="G130" i="38"/>
  <c r="G761" i="38"/>
  <c r="G617" i="38"/>
  <c r="G69" i="38"/>
  <c r="G241" i="38"/>
  <c r="G530" i="38"/>
  <c r="G696" i="38"/>
  <c r="G863" i="38"/>
  <c r="G229" i="38"/>
  <c r="G72" i="38"/>
  <c r="G268" i="38"/>
  <c r="G92" i="38"/>
  <c r="G726" i="38"/>
  <c r="G474" i="38"/>
  <c r="G463" i="38"/>
  <c r="G506" i="38"/>
  <c r="G433" i="38"/>
  <c r="G422" i="38"/>
  <c r="G500" i="38"/>
  <c r="G449" i="38"/>
  <c r="G480" i="38"/>
  <c r="G460" i="38"/>
  <c r="G461" i="38"/>
  <c r="G501" i="38"/>
  <c r="G476" i="38"/>
  <c r="G486" i="38"/>
  <c r="G457" i="38"/>
  <c r="G456" i="38"/>
  <c r="G338" i="38"/>
  <c r="G187" i="38"/>
  <c r="G210" i="38"/>
  <c r="G525" i="38"/>
  <c r="G588" i="38"/>
  <c r="G663" i="38"/>
  <c r="G645" i="38"/>
  <c r="G765" i="38"/>
  <c r="G131" i="38"/>
  <c r="G547" i="38"/>
  <c r="G172" i="38"/>
  <c r="G144" i="38"/>
  <c r="G251" i="38"/>
  <c r="G867" i="38"/>
  <c r="G689" i="38"/>
  <c r="G581" i="38"/>
  <c r="G813" i="38"/>
  <c r="G179" i="38"/>
  <c r="G675" i="38"/>
  <c r="G119" i="38"/>
  <c r="G564" i="38"/>
  <c r="G677" i="38"/>
  <c r="G828" i="38"/>
  <c r="G522" i="38"/>
  <c r="G355" i="38"/>
  <c r="G370" i="38"/>
  <c r="G157" i="38"/>
  <c r="G155" i="38"/>
  <c r="G611" i="38"/>
  <c r="G822" i="38"/>
  <c r="G362" i="38"/>
  <c r="G603" i="38"/>
  <c r="G770" i="38"/>
  <c r="G136" i="38"/>
  <c r="G302" i="38"/>
  <c r="G591" i="38"/>
  <c r="G223" i="38"/>
  <c r="G65" i="38"/>
  <c r="G889" i="38"/>
  <c r="G534" i="38"/>
  <c r="G604" i="38"/>
  <c r="G723" i="38"/>
  <c r="G890" i="38"/>
  <c r="G256" i="38"/>
  <c r="G544" i="38"/>
  <c r="G711" i="38"/>
  <c r="G83" i="38"/>
  <c r="G215" i="38"/>
  <c r="G319" i="38"/>
  <c r="G782" i="38"/>
  <c r="G260" i="38"/>
  <c r="G587" i="38"/>
  <c r="G754" i="38"/>
  <c r="G120" i="38"/>
  <c r="G286" i="38"/>
  <c r="G575" i="38"/>
  <c r="G151" i="38"/>
  <c r="G49" i="38"/>
  <c r="G873" i="38"/>
  <c r="G380" i="38"/>
  <c r="G329" i="38"/>
  <c r="G618" i="38"/>
  <c r="G784" i="38"/>
  <c r="G150" i="38"/>
  <c r="G317" i="38"/>
  <c r="G82" i="38"/>
  <c r="G537" i="38"/>
  <c r="G271" i="38"/>
  <c r="G21" i="38"/>
  <c r="G644" i="38"/>
  <c r="G763" i="38"/>
  <c r="G129" i="38"/>
  <c r="G296" i="38"/>
  <c r="G584" i="38"/>
  <c r="G751" i="38"/>
  <c r="G117" i="38"/>
  <c r="G529" i="38"/>
  <c r="G609" i="38"/>
  <c r="G862" i="38"/>
  <c r="G388" i="38"/>
  <c r="G194" i="38"/>
  <c r="G313" i="38"/>
  <c r="G602" i="38"/>
  <c r="G768" i="38"/>
  <c r="G134" i="38"/>
  <c r="G301" i="38"/>
  <c r="G66" i="38"/>
  <c r="G327" i="38"/>
  <c r="G199" i="38"/>
  <c r="G5" i="38"/>
  <c r="G177" i="38"/>
  <c r="G344" i="38"/>
  <c r="G632" i="38"/>
  <c r="G799" i="38"/>
  <c r="G165" i="38"/>
  <c r="G729" i="38"/>
  <c r="G8" i="38"/>
  <c r="G38" i="38"/>
  <c r="G606" i="38"/>
  <c r="G428" i="38"/>
  <c r="G458" i="38"/>
  <c r="G450" i="38"/>
  <c r="G484" i="38"/>
  <c r="G448" i="38"/>
  <c r="G436" i="38"/>
  <c r="G408" i="38"/>
  <c r="G411" i="38"/>
  <c r="G399" i="38"/>
  <c r="G468" i="38"/>
  <c r="G439" i="38"/>
  <c r="G478" i="38"/>
  <c r="G442" i="38"/>
  <c r="G487" i="38"/>
  <c r="G397" i="38"/>
  <c r="G267" i="38"/>
  <c r="G683" i="38"/>
  <c r="G545" i="38"/>
  <c r="G203" i="38"/>
  <c r="G749" i="38"/>
  <c r="G115" i="38"/>
  <c r="G297" i="38"/>
  <c r="G846" i="38"/>
  <c r="G697" i="38"/>
  <c r="G105" i="38"/>
  <c r="G348" i="38"/>
  <c r="G298" i="38"/>
  <c r="G539" i="38"/>
  <c r="G706" i="38"/>
  <c r="G872" i="38"/>
  <c r="G238" i="38"/>
  <c r="G527" i="38"/>
  <c r="G188" i="38"/>
  <c r="G64" i="38"/>
  <c r="G769" i="38"/>
  <c r="G116" i="38"/>
  <c r="G540" i="38"/>
  <c r="G659" i="38"/>
  <c r="G826" i="38"/>
  <c r="G192" i="38"/>
  <c r="G358" i="38"/>
  <c r="G647" i="38"/>
  <c r="G19" i="38"/>
  <c r="G220" i="38"/>
  <c r="G7" i="38"/>
  <c r="G654" i="38"/>
  <c r="G282" i="38"/>
  <c r="G523" i="38"/>
  <c r="G690" i="38"/>
  <c r="G856" i="38"/>
  <c r="G222" i="38"/>
  <c r="G389" i="38"/>
  <c r="G108" i="38"/>
  <c r="G857" i="38"/>
  <c r="G705" i="38"/>
  <c r="G4" i="38"/>
  <c r="G265" i="38"/>
  <c r="G554" i="38"/>
  <c r="G720" i="38"/>
  <c r="G887" i="38"/>
  <c r="G253" i="38"/>
  <c r="G18" i="38"/>
  <c r="G55" i="38"/>
  <c r="G228" i="38"/>
  <c r="G774" i="38"/>
  <c r="G580" i="38"/>
  <c r="G699" i="38"/>
  <c r="G866" i="38"/>
  <c r="G232" i="38"/>
  <c r="G520" i="38"/>
  <c r="G687" i="38"/>
  <c r="G59" i="38"/>
  <c r="G95" i="38"/>
  <c r="G207" i="38"/>
  <c r="G734" i="38"/>
  <c r="G76" i="38"/>
  <c r="G883" i="38"/>
  <c r="G249" i="38"/>
  <c r="G538" i="38"/>
  <c r="G704" i="38"/>
  <c r="G871" i="38"/>
  <c r="G237" i="38"/>
  <c r="G80" i="38"/>
  <c r="G308" i="38"/>
  <c r="G124" i="38"/>
  <c r="G742" i="38"/>
  <c r="G113" i="38"/>
  <c r="G280" i="38"/>
  <c r="G568" i="38"/>
  <c r="G735" i="38"/>
  <c r="G101" i="38"/>
  <c r="G335" i="38"/>
  <c r="G553" i="38"/>
  <c r="G838" i="38"/>
  <c r="G356" i="38"/>
  <c r="G508" i="38"/>
  <c r="G490" i="38"/>
  <c r="G507" i="38"/>
  <c r="G406" i="38"/>
  <c r="G459" i="38"/>
  <c r="G488" i="38"/>
  <c r="G417" i="38"/>
  <c r="G465" i="38"/>
  <c r="G479" i="38"/>
  <c r="G412" i="38"/>
  <c r="G425" i="38"/>
  <c r="G427" i="38"/>
  <c r="G404" i="38"/>
  <c r="G451" i="38"/>
  <c r="G409" i="38"/>
  <c r="G860" i="38"/>
  <c r="G291" i="38"/>
  <c r="G3" i="38"/>
  <c r="G275" i="38"/>
  <c r="G178" i="38"/>
  <c r="G332" i="38"/>
  <c r="G692" i="38"/>
  <c r="G637" i="38"/>
  <c r="G780" i="38"/>
  <c r="G880" i="38"/>
  <c r="G853" i="38"/>
  <c r="G757" i="38"/>
  <c r="G123" i="38"/>
  <c r="G361" i="38"/>
  <c r="G53" i="38"/>
  <c r="G788" i="38"/>
  <c r="G685" i="38"/>
  <c r="G844" i="38"/>
  <c r="G586" i="38"/>
  <c r="G605" i="38"/>
  <c r="G310" i="38"/>
  <c r="G549" i="38"/>
  <c r="G628" i="38"/>
  <c r="G855" i="38"/>
  <c r="G227" i="38"/>
  <c r="G803" i="38"/>
  <c r="G833" i="38"/>
  <c r="G812" i="38"/>
  <c r="G272" i="38"/>
  <c r="G868" i="38"/>
  <c r="G234" i="38"/>
  <c r="G353" i="38"/>
  <c r="G642" i="38"/>
  <c r="G808" i="38"/>
  <c r="G174" i="38"/>
  <c r="G341" i="38"/>
  <c r="G106" i="38"/>
  <c r="G649" i="38"/>
  <c r="G383" i="38"/>
  <c r="G45" i="38"/>
  <c r="G354" i="38"/>
  <c r="G595" i="38"/>
  <c r="G762" i="38"/>
  <c r="G128" i="38"/>
  <c r="G294" i="38"/>
  <c r="G583" i="38"/>
  <c r="G183" i="38"/>
  <c r="G57" i="38"/>
  <c r="G881" i="38"/>
  <c r="G518" i="38"/>
  <c r="G218" i="38"/>
  <c r="G337" i="38"/>
  <c r="G626" i="38"/>
  <c r="G792" i="38"/>
  <c r="G158" i="38"/>
  <c r="G325" i="38"/>
  <c r="G90" i="38"/>
  <c r="G569" i="38"/>
  <c r="G311" i="38"/>
  <c r="G29" i="38"/>
  <c r="G201" i="38"/>
  <c r="G368" i="38"/>
  <c r="G656" i="38"/>
  <c r="G823" i="38"/>
  <c r="G189" i="38"/>
  <c r="G801" i="38"/>
  <c r="G88" i="38"/>
  <c r="G62" i="38"/>
  <c r="G646" i="38"/>
  <c r="G516" i="38"/>
  <c r="G635" i="38"/>
  <c r="G802" i="38"/>
  <c r="G168" i="38"/>
  <c r="G334" i="38"/>
  <c r="G623" i="38"/>
  <c r="G521" i="38"/>
  <c r="G28" i="38"/>
  <c r="G196" i="38"/>
  <c r="G598" i="38"/>
  <c r="G700" i="38"/>
  <c r="G819" i="38"/>
  <c r="G185" i="38"/>
  <c r="G352" i="38"/>
  <c r="G640" i="38"/>
  <c r="G807" i="38"/>
  <c r="G173" i="38"/>
  <c r="G753" i="38"/>
  <c r="G32" i="38"/>
  <c r="G46" i="38"/>
  <c r="G614" i="38"/>
  <c r="G850" i="38"/>
  <c r="G216" i="38"/>
  <c r="G382" i="38"/>
  <c r="G671" i="38"/>
  <c r="G43" i="38"/>
  <c r="G23" i="38"/>
  <c r="G127" i="38"/>
  <c r="G702" i="38"/>
  <c r="G886" i="38"/>
  <c r="G398" i="38"/>
  <c r="G503" i="38"/>
  <c r="G498" i="38"/>
  <c r="G438" i="38"/>
  <c r="G466" i="38"/>
  <c r="G395" i="38"/>
  <c r="G504" i="38"/>
  <c r="G482" i="38"/>
  <c r="G401" i="38"/>
  <c r="G405" i="38"/>
  <c r="G477" i="38"/>
  <c r="G470" i="38"/>
  <c r="G421" i="38"/>
  <c r="G390" i="38"/>
  <c r="G424" i="38"/>
  <c r="G701" i="38"/>
  <c r="G688" i="38"/>
  <c r="G845" i="38"/>
  <c r="G211" i="38"/>
  <c r="G747" i="38"/>
  <c r="G87" i="38"/>
  <c r="G739" i="38"/>
  <c r="G573" i="38"/>
  <c r="G684" i="38"/>
  <c r="G246" i="38"/>
  <c r="G347" i="38"/>
  <c r="G693" i="38"/>
  <c r="G852" i="38"/>
  <c r="G650" i="38"/>
  <c r="G861" i="38"/>
  <c r="G146" i="38"/>
  <c r="G621" i="38"/>
  <c r="G756" i="38"/>
  <c r="G752" i="38"/>
  <c r="G789" i="38"/>
  <c r="G263" i="38"/>
  <c r="G363" i="38"/>
  <c r="G378" i="38"/>
  <c r="G221" i="38"/>
  <c r="G163" i="38"/>
  <c r="G619" i="38"/>
  <c r="G30" i="38"/>
  <c r="G724" i="38"/>
  <c r="G560" i="38"/>
  <c r="G804" i="38"/>
  <c r="G170" i="38"/>
  <c r="G289" i="38"/>
  <c r="G578" i="38"/>
  <c r="G744" i="38"/>
  <c r="G110" i="38"/>
  <c r="G277" i="38"/>
  <c r="G42" i="38"/>
  <c r="G191" i="38"/>
  <c r="G79" i="38"/>
  <c r="G830" i="38"/>
  <c r="G290" i="38"/>
  <c r="G531" i="38"/>
  <c r="G698" i="38"/>
  <c r="G864" i="38"/>
  <c r="G230" i="38"/>
  <c r="G519" i="38"/>
  <c r="G164" i="38"/>
  <c r="G24" i="38"/>
  <c r="G737" i="38"/>
  <c r="G60" i="38"/>
  <c r="G154" i="38"/>
  <c r="G273" i="38"/>
  <c r="G562" i="38"/>
  <c r="G728" i="38"/>
  <c r="G94" i="38"/>
  <c r="G261" i="38"/>
  <c r="G26" i="38"/>
  <c r="G103" i="38"/>
  <c r="G292" i="38"/>
  <c r="G790" i="38"/>
  <c r="G137" i="38"/>
  <c r="G304" i="38"/>
  <c r="G592" i="38"/>
  <c r="G759" i="38"/>
  <c r="G125" i="38"/>
  <c r="G561" i="38"/>
  <c r="G641" i="38"/>
  <c r="G878" i="38"/>
  <c r="G526" i="38"/>
  <c r="G330" i="38"/>
  <c r="G571" i="38"/>
  <c r="G738" i="38"/>
  <c r="G104" i="38"/>
  <c r="G270" i="38"/>
  <c r="G559" i="38"/>
  <c r="G71" i="38"/>
  <c r="G33" i="38"/>
  <c r="G849" i="38"/>
  <c r="G340" i="38"/>
  <c r="G636" i="38"/>
  <c r="G755" i="38"/>
  <c r="G121" i="38"/>
  <c r="G288" i="38"/>
  <c r="G576" i="38"/>
  <c r="G743" i="38"/>
  <c r="G109" i="38"/>
  <c r="G375" i="38"/>
  <c r="G585" i="38"/>
  <c r="G854" i="38"/>
  <c r="G372" i="38"/>
  <c r="G786" i="38"/>
  <c r="G152" i="38"/>
  <c r="G318" i="38"/>
  <c r="G607" i="38"/>
  <c r="G303" i="38"/>
  <c r="G81" i="38"/>
  <c r="G100" i="38"/>
  <c r="G566" i="38"/>
  <c r="G454" i="38"/>
  <c r="G431" i="38"/>
  <c r="G391" i="38"/>
  <c r="G502" i="38"/>
  <c r="G511" i="38"/>
  <c r="G446" i="38"/>
  <c r="G495" i="38"/>
  <c r="G413" i="38"/>
  <c r="G489" i="38"/>
  <c r="G462" i="38"/>
  <c r="G483" i="38"/>
  <c r="G493" i="38"/>
  <c r="G447" i="38"/>
  <c r="G394" i="38"/>
  <c r="G440" i="38"/>
  <c r="G339" i="38"/>
  <c r="G52" i="38"/>
  <c r="G892" i="38"/>
  <c r="G781" i="38"/>
  <c r="G147" i="38"/>
  <c r="G579" i="38"/>
  <c r="G686" i="38"/>
  <c r="G599" i="38"/>
  <c r="G387" i="38"/>
  <c r="G556" i="38"/>
  <c r="G535" i="38"/>
  <c r="G709" i="38"/>
  <c r="G629" i="38"/>
  <c r="G764" i="38"/>
  <c r="G816" i="38"/>
  <c r="G541" i="38"/>
  <c r="G778" i="38"/>
  <c r="G557" i="38"/>
  <c r="G652" i="38"/>
  <c r="G118" i="38"/>
  <c r="G533" i="38"/>
  <c r="G885" i="38"/>
  <c r="G299" i="38"/>
  <c r="G242" i="38"/>
  <c r="G56" i="38"/>
  <c r="G99" i="38"/>
  <c r="G169" i="38"/>
  <c r="G590" i="38"/>
  <c r="G596" i="38"/>
  <c r="G727" i="38"/>
  <c r="G740" i="38"/>
  <c r="G859" i="38"/>
  <c r="G225" i="38"/>
  <c r="G514" i="38"/>
  <c r="G680" i="38"/>
  <c r="G847" i="38"/>
  <c r="G213" i="38"/>
  <c r="G40" i="38"/>
  <c r="G132" i="38"/>
  <c r="G86" i="38"/>
  <c r="G694" i="38"/>
  <c r="G226" i="38"/>
  <c r="G345" i="38"/>
  <c r="G634" i="38"/>
  <c r="G800" i="38"/>
  <c r="G166" i="38"/>
  <c r="G333" i="38"/>
  <c r="G98" i="38"/>
  <c r="G601" i="38"/>
  <c r="G343" i="38"/>
  <c r="G37" i="38"/>
  <c r="G843" i="38"/>
  <c r="G209" i="38"/>
  <c r="G376" i="38"/>
  <c r="G664" i="38"/>
  <c r="G831" i="38"/>
  <c r="G197" i="38"/>
  <c r="G841" i="38"/>
  <c r="G12" i="38"/>
  <c r="G70" i="38"/>
  <c r="G662" i="38"/>
  <c r="G874" i="38"/>
  <c r="G240" i="38"/>
  <c r="G528" i="38"/>
  <c r="G695" i="38"/>
  <c r="G67" i="38"/>
  <c r="G135" i="38"/>
  <c r="G247" i="38"/>
  <c r="G750" i="38"/>
  <c r="G140" i="38"/>
  <c r="G266" i="38"/>
  <c r="G385" i="38"/>
  <c r="G674" i="38"/>
  <c r="G840" i="38"/>
  <c r="G206" i="38"/>
  <c r="G373" i="38"/>
  <c r="G138" i="38"/>
  <c r="G785" i="38"/>
  <c r="G633" i="38"/>
  <c r="G77" i="38"/>
  <c r="G572" i="38"/>
  <c r="G691" i="38"/>
  <c r="G858" i="38"/>
  <c r="G224" i="38"/>
  <c r="G512" i="38"/>
  <c r="G679" i="38"/>
  <c r="G51" i="38"/>
  <c r="G63" i="38"/>
  <c r="G167" i="38"/>
  <c r="G718" i="38"/>
  <c r="G20" i="38"/>
  <c r="G722" i="38"/>
  <c r="G888" i="38"/>
  <c r="G254" i="38"/>
  <c r="G543" i="38"/>
  <c r="G316" i="38"/>
  <c r="G17" i="38"/>
  <c r="G817" i="38"/>
  <c r="G236" i="38"/>
  <c r="G423" i="38"/>
  <c r="G396" i="38"/>
  <c r="G485" i="38"/>
  <c r="G481" i="38"/>
  <c r="G415" i="38"/>
  <c r="G494" i="38"/>
  <c r="G441" i="38"/>
  <c r="G416" i="38"/>
  <c r="G420" i="38"/>
  <c r="G392" i="38"/>
  <c r="G499" i="38"/>
  <c r="G429" i="38"/>
  <c r="G400" i="38"/>
  <c r="G467" i="38"/>
  <c r="G472" i="38"/>
  <c r="G35" i="38"/>
  <c r="G555" i="38"/>
  <c r="G717" i="38"/>
  <c r="G884" i="38"/>
  <c r="G842" i="38"/>
  <c r="G669" i="38"/>
  <c r="G550" i="38"/>
  <c r="G323" i="38"/>
  <c r="G306" i="38"/>
  <c r="G244" i="38"/>
  <c r="G331" i="38"/>
  <c r="G565" i="38"/>
  <c r="G660" i="38"/>
  <c r="G182" i="38"/>
  <c r="G661" i="38"/>
  <c r="G73" i="38"/>
  <c r="G371" i="38"/>
  <c r="G524" i="38"/>
  <c r="G285" i="38"/>
  <c r="G837" i="38"/>
  <c r="G869" i="38"/>
  <c r="G235" i="38"/>
  <c r="G811" i="38"/>
  <c r="G204" i="38"/>
  <c r="G820" i="38"/>
  <c r="G336" i="38"/>
  <c r="G797" i="38"/>
  <c r="G346" i="38"/>
  <c r="G93" i="38"/>
  <c r="G676" i="38"/>
  <c r="G795" i="38"/>
  <c r="G161" i="38"/>
  <c r="G328" i="38"/>
  <c r="G616" i="38"/>
  <c r="G783" i="38"/>
  <c r="G149" i="38"/>
  <c r="G657" i="38"/>
  <c r="G745" i="38"/>
  <c r="G22" i="38"/>
  <c r="G574" i="38"/>
  <c r="G162" i="38"/>
  <c r="G281" i="38"/>
  <c r="G570" i="38"/>
  <c r="G736" i="38"/>
  <c r="G102" i="38"/>
  <c r="G269" i="38"/>
  <c r="G34" i="38"/>
  <c r="G143" i="38"/>
  <c r="G39" i="38"/>
  <c r="G814" i="38"/>
  <c r="G779" i="38"/>
  <c r="G145" i="38"/>
  <c r="G312" i="38"/>
  <c r="G600" i="38"/>
  <c r="G767" i="38"/>
  <c r="G133" i="38"/>
  <c r="G593" i="38"/>
  <c r="G681" i="38"/>
  <c r="G6" i="38"/>
  <c r="G542" i="38"/>
  <c r="G810" i="38"/>
  <c r="G176" i="38"/>
  <c r="G342" i="38"/>
  <c r="G631" i="38"/>
  <c r="G665" i="38"/>
  <c r="G84" i="38"/>
  <c r="G252" i="38"/>
  <c r="G622" i="38"/>
  <c r="G836" i="38"/>
  <c r="G202" i="38"/>
  <c r="G321" i="38"/>
  <c r="G610" i="38"/>
  <c r="G776" i="38"/>
  <c r="G142" i="38"/>
  <c r="G309" i="38"/>
  <c r="G74" i="38"/>
  <c r="G367" i="38"/>
  <c r="G239" i="38"/>
  <c r="G13" i="38"/>
  <c r="G386" i="38"/>
  <c r="G627" i="38"/>
  <c r="G794" i="38"/>
  <c r="G160" i="38"/>
  <c r="G326" i="38"/>
  <c r="G615" i="38"/>
  <c r="G351" i="38"/>
  <c r="G89" i="38"/>
  <c r="G156" i="38"/>
  <c r="G582" i="38"/>
  <c r="G369" i="38"/>
  <c r="G658" i="38"/>
  <c r="G824" i="38"/>
  <c r="G190" i="38"/>
  <c r="G357" i="38"/>
  <c r="G122" i="38"/>
  <c r="G721" i="38"/>
  <c r="G577" i="38"/>
  <c r="G61" i="38"/>
  <c r="G455" i="38"/>
  <c r="G418" i="38"/>
  <c r="G452" i="38"/>
  <c r="G464" i="38"/>
  <c r="G496" i="38"/>
  <c r="G509" i="38"/>
  <c r="G407" i="38"/>
  <c r="G426" i="38"/>
  <c r="G443" i="38"/>
  <c r="G393" i="38"/>
  <c r="G432" i="38"/>
  <c r="G445" i="38"/>
  <c r="G473" i="38"/>
  <c r="G453" i="38"/>
  <c r="G505" i="38"/>
  <c r="G402" i="38"/>
  <c r="R274" i="41"/>
  <c r="E274" i="41"/>
  <c r="I274" i="41" s="1"/>
  <c r="S274" i="41"/>
  <c r="S321" i="41"/>
  <c r="R321" i="41"/>
  <c r="E321" i="41"/>
  <c r="I321" i="41" s="1"/>
  <c r="S17" i="41"/>
  <c r="E17" i="41"/>
  <c r="I17" i="41" s="1"/>
  <c r="R17" i="41"/>
  <c r="R67" i="41"/>
  <c r="S67" i="41"/>
  <c r="E67" i="41"/>
  <c r="I67" i="41" s="1"/>
  <c r="R99" i="41"/>
  <c r="E99" i="41"/>
  <c r="I99" i="41" s="1"/>
  <c r="S99" i="41"/>
  <c r="S131" i="41"/>
  <c r="E131" i="41"/>
  <c r="I131" i="41" s="1"/>
  <c r="R131" i="41"/>
  <c r="S163" i="41"/>
  <c r="E163" i="41"/>
  <c r="I163" i="41" s="1"/>
  <c r="R163" i="41"/>
  <c r="S195" i="41"/>
  <c r="R195" i="41"/>
  <c r="E195" i="41"/>
  <c r="I195" i="41" s="1"/>
  <c r="S227" i="41"/>
  <c r="E227" i="41"/>
  <c r="I227" i="41" s="1"/>
  <c r="R227" i="41"/>
  <c r="S259" i="41"/>
  <c r="E259" i="41"/>
  <c r="I259" i="41" s="1"/>
  <c r="R259" i="41"/>
  <c r="R26" i="41"/>
  <c r="S26" i="41"/>
  <c r="E26" i="41"/>
  <c r="I26" i="41" s="1"/>
  <c r="S287" i="41"/>
  <c r="R287" i="41"/>
  <c r="E287" i="41"/>
  <c r="I287" i="41" s="1"/>
  <c r="S330" i="41"/>
  <c r="E330" i="41"/>
  <c r="I330" i="41" s="1"/>
  <c r="R330" i="41"/>
  <c r="S35" i="41"/>
  <c r="R35" i="41"/>
  <c r="E35" i="41"/>
  <c r="I35" i="41" s="1"/>
  <c r="R76" i="41"/>
  <c r="S76" i="41"/>
  <c r="E76" i="41"/>
  <c r="I76" i="41" s="1"/>
  <c r="S108" i="41"/>
  <c r="E108" i="41"/>
  <c r="I108" i="41" s="1"/>
  <c r="R108" i="41"/>
  <c r="R140" i="41"/>
  <c r="E140" i="41"/>
  <c r="I140" i="41" s="1"/>
  <c r="S140" i="41"/>
  <c r="S172" i="41"/>
  <c r="E172" i="41"/>
  <c r="I172" i="41" s="1"/>
  <c r="R172" i="41"/>
  <c r="S204" i="41"/>
  <c r="R204" i="41"/>
  <c r="E204" i="41"/>
  <c r="I204" i="41" s="1"/>
  <c r="S236" i="41"/>
  <c r="E236" i="41"/>
  <c r="I236" i="41" s="1"/>
  <c r="R236" i="41"/>
  <c r="S268" i="41"/>
  <c r="R268" i="41"/>
  <c r="E268" i="41"/>
  <c r="I268" i="41" s="1"/>
  <c r="R44" i="41"/>
  <c r="S44" i="41"/>
  <c r="E44" i="41"/>
  <c r="I44" i="41" s="1"/>
  <c r="R296" i="41"/>
  <c r="S296" i="41"/>
  <c r="E296" i="41"/>
  <c r="I296" i="41" s="1"/>
  <c r="R339" i="41"/>
  <c r="S339" i="41"/>
  <c r="E339" i="41"/>
  <c r="I339" i="41" s="1"/>
  <c r="R53" i="41"/>
  <c r="E53" i="41"/>
  <c r="I53" i="41" s="1"/>
  <c r="S53" i="41"/>
  <c r="S85" i="41"/>
  <c r="E85" i="41"/>
  <c r="I85" i="41" s="1"/>
  <c r="R85" i="41"/>
  <c r="R117" i="41"/>
  <c r="E117" i="41"/>
  <c r="I117" i="41" s="1"/>
  <c r="S117" i="41"/>
  <c r="R149" i="41"/>
  <c r="E149" i="41"/>
  <c r="I149" i="41" s="1"/>
  <c r="S149" i="41"/>
  <c r="R181" i="41"/>
  <c r="S181" i="41"/>
  <c r="E181" i="41"/>
  <c r="I181" i="41" s="1"/>
  <c r="S213" i="41"/>
  <c r="E213" i="41"/>
  <c r="I213" i="41" s="1"/>
  <c r="R213" i="41"/>
  <c r="S245" i="41"/>
  <c r="R245" i="41"/>
  <c r="E245" i="41"/>
  <c r="I245" i="41" s="1"/>
  <c r="S316" i="41"/>
  <c r="R316" i="41"/>
  <c r="E316" i="41"/>
  <c r="I316" i="41" s="1"/>
  <c r="S269" i="41"/>
  <c r="E269" i="41"/>
  <c r="I269" i="41" s="1"/>
  <c r="R269" i="41"/>
  <c r="S301" i="41"/>
  <c r="E301" i="41"/>
  <c r="I301" i="41" s="1"/>
  <c r="R301" i="41"/>
  <c r="S344" i="41"/>
  <c r="R344" i="41"/>
  <c r="E344" i="41"/>
  <c r="I344" i="41" s="1"/>
  <c r="R58" i="41"/>
  <c r="S58" i="41"/>
  <c r="E58" i="41"/>
  <c r="I58" i="41" s="1"/>
  <c r="S90" i="41"/>
  <c r="R90" i="41"/>
  <c r="E90" i="41"/>
  <c r="I90" i="41" s="1"/>
  <c r="S122" i="41"/>
  <c r="R122" i="41"/>
  <c r="E122" i="41"/>
  <c r="I122" i="41" s="1"/>
  <c r="S154" i="41"/>
  <c r="R154" i="41"/>
  <c r="E154" i="41"/>
  <c r="I154" i="41" s="1"/>
  <c r="S186" i="41"/>
  <c r="R186" i="41"/>
  <c r="E186" i="41"/>
  <c r="I186" i="41" s="1"/>
  <c r="S218" i="41"/>
  <c r="E218" i="41"/>
  <c r="I218" i="41" s="1"/>
  <c r="R218" i="41"/>
  <c r="R8" i="41"/>
  <c r="S8" i="41"/>
  <c r="E8" i="41"/>
  <c r="I8" i="41" s="1"/>
  <c r="S278" i="41"/>
  <c r="R278" i="41"/>
  <c r="E278" i="41"/>
  <c r="I278" i="41" s="1"/>
  <c r="R325" i="41"/>
  <c r="E325" i="41"/>
  <c r="I325" i="41" s="1"/>
  <c r="S325" i="41"/>
  <c r="S25" i="41"/>
  <c r="R25" i="41"/>
  <c r="E25" i="41"/>
  <c r="I25" i="41" s="1"/>
  <c r="S71" i="41"/>
  <c r="R71" i="41"/>
  <c r="E71" i="41"/>
  <c r="I71" i="41" s="1"/>
  <c r="S103" i="41"/>
  <c r="R103" i="41"/>
  <c r="E103" i="41"/>
  <c r="I103" i="41" s="1"/>
  <c r="R135" i="41"/>
  <c r="S135" i="41"/>
  <c r="E135" i="41"/>
  <c r="I135" i="41" s="1"/>
  <c r="R167" i="41"/>
  <c r="E167" i="41"/>
  <c r="I167" i="41" s="1"/>
  <c r="S167" i="41"/>
  <c r="S199" i="41"/>
  <c r="R199" i="41"/>
  <c r="E199" i="41"/>
  <c r="I199" i="41" s="1"/>
  <c r="R231" i="41"/>
  <c r="E231" i="41"/>
  <c r="I231" i="41" s="1"/>
  <c r="S231" i="41"/>
  <c r="S263" i="41"/>
  <c r="R263" i="41"/>
  <c r="E263" i="41"/>
  <c r="I263" i="41" s="1"/>
  <c r="R34" i="41"/>
  <c r="E34" i="41"/>
  <c r="I34" i="41" s="1"/>
  <c r="S34" i="41"/>
  <c r="S291" i="41"/>
  <c r="R291" i="41"/>
  <c r="E291" i="41"/>
  <c r="I291" i="41" s="1"/>
  <c r="S334" i="41"/>
  <c r="E334" i="41"/>
  <c r="I334" i="41" s="1"/>
  <c r="R334" i="41"/>
  <c r="S43" i="41"/>
  <c r="E43" i="41"/>
  <c r="I43" i="41" s="1"/>
  <c r="R43" i="41"/>
  <c r="S80" i="41"/>
  <c r="R80" i="41"/>
  <c r="E80" i="41"/>
  <c r="I80" i="41" s="1"/>
  <c r="S112" i="41"/>
  <c r="E112" i="41"/>
  <c r="I112" i="41" s="1"/>
  <c r="R112" i="41"/>
  <c r="S144" i="41"/>
  <c r="E144" i="41"/>
  <c r="I144" i="41" s="1"/>
  <c r="R144" i="41"/>
  <c r="R176" i="41"/>
  <c r="S176" i="41"/>
  <c r="E176" i="41"/>
  <c r="I176" i="41" s="1"/>
  <c r="S208" i="41"/>
  <c r="E208" i="41"/>
  <c r="I208" i="41" s="1"/>
  <c r="R208" i="41"/>
  <c r="S240" i="41"/>
  <c r="R240" i="41"/>
  <c r="E240" i="41"/>
  <c r="I240" i="41" s="1"/>
  <c r="R307" i="41"/>
  <c r="S307" i="41"/>
  <c r="E307" i="41"/>
  <c r="I307" i="41" s="1"/>
  <c r="R52" i="41"/>
  <c r="E52" i="41"/>
  <c r="I52" i="41" s="1"/>
  <c r="S52" i="41"/>
  <c r="S300" i="41"/>
  <c r="E300" i="41"/>
  <c r="I300" i="41" s="1"/>
  <c r="R300" i="41"/>
  <c r="S343" i="41"/>
  <c r="E343" i="41"/>
  <c r="I343" i="41" s="1"/>
  <c r="R343" i="41"/>
  <c r="S57" i="41"/>
  <c r="E57" i="41"/>
  <c r="I57" i="41" s="1"/>
  <c r="R57" i="41"/>
  <c r="S89" i="41"/>
  <c r="E89" i="41"/>
  <c r="I89" i="41" s="1"/>
  <c r="R89" i="41"/>
  <c r="S121" i="41"/>
  <c r="R121" i="41"/>
  <c r="E121" i="41"/>
  <c r="I121" i="41" s="1"/>
  <c r="S153" i="41"/>
  <c r="R153" i="41"/>
  <c r="E153" i="41"/>
  <c r="I153" i="41" s="1"/>
  <c r="S185" i="41"/>
  <c r="R185" i="41"/>
  <c r="E185" i="41"/>
  <c r="I185" i="41" s="1"/>
  <c r="R217" i="41"/>
  <c r="S217" i="41"/>
  <c r="E217" i="41"/>
  <c r="I217" i="41" s="1"/>
  <c r="R249" i="41"/>
  <c r="S249" i="41"/>
  <c r="E249" i="41"/>
  <c r="I249" i="41" s="1"/>
  <c r="R6" i="41"/>
  <c r="S6" i="41"/>
  <c r="E6" i="41"/>
  <c r="S273" i="41"/>
  <c r="E273" i="41"/>
  <c r="I273" i="41" s="1"/>
  <c r="R273" i="41"/>
  <c r="R305" i="41"/>
  <c r="S305" i="41"/>
  <c r="E305" i="41"/>
  <c r="I305" i="41" s="1"/>
  <c r="S348" i="41"/>
  <c r="R348" i="41"/>
  <c r="E348" i="41"/>
  <c r="I348" i="41" s="1"/>
  <c r="S62" i="41"/>
  <c r="R62" i="41"/>
  <c r="E62" i="41"/>
  <c r="I62" i="41" s="1"/>
  <c r="R94" i="41"/>
  <c r="E94" i="41"/>
  <c r="I94" i="41" s="1"/>
  <c r="S94" i="41"/>
  <c r="S126" i="41"/>
  <c r="E126" i="41"/>
  <c r="I126" i="41" s="1"/>
  <c r="R126" i="41"/>
  <c r="R158" i="41"/>
  <c r="E158" i="41"/>
  <c r="I158" i="41" s="1"/>
  <c r="S158" i="41"/>
  <c r="R190" i="41"/>
  <c r="E190" i="41"/>
  <c r="I190" i="41" s="1"/>
  <c r="S190" i="41"/>
  <c r="S222" i="41"/>
  <c r="R222" i="41"/>
  <c r="E222" i="41"/>
  <c r="I222" i="41" s="1"/>
  <c r="S254" i="41"/>
  <c r="E254" i="41"/>
  <c r="I254" i="41" s="1"/>
  <c r="R254" i="41"/>
  <c r="R16" i="41"/>
  <c r="E16" i="41"/>
  <c r="I16" i="41" s="1"/>
  <c r="S16" i="41"/>
  <c r="R282" i="41"/>
  <c r="E282" i="41"/>
  <c r="I282" i="41" s="1"/>
  <c r="S282" i="41"/>
  <c r="R329" i="41"/>
  <c r="E329" i="41"/>
  <c r="I329" i="41" s="1"/>
  <c r="S329" i="41"/>
  <c r="S33" i="41"/>
  <c r="E33" i="41"/>
  <c r="I33" i="41" s="1"/>
  <c r="R33" i="41"/>
  <c r="S75" i="41"/>
  <c r="R75" i="41"/>
  <c r="E75" i="41"/>
  <c r="I75" i="41" s="1"/>
  <c r="S107" i="41"/>
  <c r="E107" i="41"/>
  <c r="I107" i="41" s="1"/>
  <c r="R107" i="41"/>
  <c r="S139" i="41"/>
  <c r="E139" i="41"/>
  <c r="I139" i="41" s="1"/>
  <c r="R139" i="41"/>
  <c r="S171" i="41"/>
  <c r="E171" i="41"/>
  <c r="I171" i="41" s="1"/>
  <c r="R171" i="41"/>
  <c r="S203" i="41"/>
  <c r="E203" i="41"/>
  <c r="I203" i="41" s="1"/>
  <c r="R203" i="41"/>
  <c r="S235" i="41"/>
  <c r="R235" i="41"/>
  <c r="E235" i="41"/>
  <c r="I235" i="41" s="1"/>
  <c r="S267" i="41"/>
  <c r="E267" i="41"/>
  <c r="I267" i="41" s="1"/>
  <c r="R267" i="41"/>
  <c r="R42" i="41"/>
  <c r="S42" i="41"/>
  <c r="E42" i="41"/>
  <c r="I42" i="41" s="1"/>
  <c r="E295" i="41"/>
  <c r="I295" i="41" s="1"/>
  <c r="S295" i="41"/>
  <c r="R295" i="41"/>
  <c r="S338" i="41"/>
  <c r="R338" i="41"/>
  <c r="E338" i="41"/>
  <c r="I338" i="41" s="1"/>
  <c r="S51" i="41"/>
  <c r="E51" i="41"/>
  <c r="I51" i="41" s="1"/>
  <c r="R51" i="41"/>
  <c r="S84" i="41"/>
  <c r="R84" i="41"/>
  <c r="E84" i="41"/>
  <c r="I84" i="41" s="1"/>
  <c r="S116" i="41"/>
  <c r="E116" i="41"/>
  <c r="I116" i="41" s="1"/>
  <c r="R116" i="41"/>
  <c r="S148" i="41"/>
  <c r="E148" i="41"/>
  <c r="I148" i="41" s="1"/>
  <c r="R148" i="41"/>
  <c r="S180" i="41"/>
  <c r="E180" i="41"/>
  <c r="I180" i="41" s="1"/>
  <c r="R180" i="41"/>
  <c r="S212" i="41"/>
  <c r="E212" i="41"/>
  <c r="I212" i="41" s="1"/>
  <c r="R212" i="41"/>
  <c r="S244" i="41"/>
  <c r="R244" i="41"/>
  <c r="E244" i="41"/>
  <c r="I244" i="41" s="1"/>
  <c r="S311" i="41"/>
  <c r="R311" i="41"/>
  <c r="E311" i="41"/>
  <c r="I311" i="41" s="1"/>
  <c r="R272" i="41"/>
  <c r="S272" i="41"/>
  <c r="E272" i="41"/>
  <c r="I272" i="41" s="1"/>
  <c r="E304" i="41"/>
  <c r="I304" i="41" s="1"/>
  <c r="R304" i="41"/>
  <c r="S304" i="41"/>
  <c r="R347" i="41"/>
  <c r="E347" i="41"/>
  <c r="I347" i="41" s="1"/>
  <c r="S347" i="41"/>
  <c r="R61" i="41"/>
  <c r="E61" i="41"/>
  <c r="I61" i="41" s="1"/>
  <c r="S61" i="41"/>
  <c r="S93" i="41"/>
  <c r="R93" i="41"/>
  <c r="E93" i="41"/>
  <c r="I93" i="41" s="1"/>
  <c r="R125" i="41"/>
  <c r="E125" i="41"/>
  <c r="I125" i="41" s="1"/>
  <c r="S125" i="41"/>
  <c r="S157" i="41"/>
  <c r="E157" i="41"/>
  <c r="I157" i="41" s="1"/>
  <c r="R157" i="41"/>
  <c r="S189" i="41"/>
  <c r="E189" i="41"/>
  <c r="I189" i="41" s="1"/>
  <c r="R189" i="41"/>
  <c r="R221" i="41"/>
  <c r="E221" i="41"/>
  <c r="I221" i="41" s="1"/>
  <c r="S221" i="41"/>
  <c r="S253" i="41"/>
  <c r="E253" i="41"/>
  <c r="I253" i="41" s="1"/>
  <c r="R253" i="41"/>
  <c r="R14" i="41"/>
  <c r="S14" i="41"/>
  <c r="E14" i="41"/>
  <c r="I14" i="41" s="1"/>
  <c r="S277" i="41"/>
  <c r="R277" i="41"/>
  <c r="E277" i="41"/>
  <c r="I277" i="41" s="1"/>
  <c r="E320" i="41"/>
  <c r="I320" i="41" s="1"/>
  <c r="S320" i="41"/>
  <c r="R320" i="41"/>
  <c r="S7" i="41"/>
  <c r="E7" i="41"/>
  <c r="I7" i="41" s="1"/>
  <c r="R7" i="41"/>
  <c r="R66" i="41"/>
  <c r="S66" i="41"/>
  <c r="E66" i="41"/>
  <c r="I66" i="41" s="1"/>
  <c r="S98" i="41"/>
  <c r="R98" i="41"/>
  <c r="E98" i="41"/>
  <c r="I98" i="41" s="1"/>
  <c r="S130" i="41"/>
  <c r="E130" i="41"/>
  <c r="I130" i="41" s="1"/>
  <c r="R130" i="41"/>
  <c r="S162" i="41"/>
  <c r="E162" i="41"/>
  <c r="I162" i="41" s="1"/>
  <c r="R162" i="41"/>
  <c r="S194" i="41"/>
  <c r="E194" i="41"/>
  <c r="I194" i="41" s="1"/>
  <c r="R194" i="41"/>
  <c r="S226" i="41"/>
  <c r="R226" i="41"/>
  <c r="E226" i="41"/>
  <c r="I226" i="41" s="1"/>
  <c r="R258" i="41"/>
  <c r="E258" i="41"/>
  <c r="I258" i="41" s="1"/>
  <c r="S258" i="41"/>
  <c r="R24" i="41"/>
  <c r="S24" i="41"/>
  <c r="E24" i="41"/>
  <c r="I24" i="41" s="1"/>
  <c r="R286" i="41"/>
  <c r="E286" i="41"/>
  <c r="I286" i="41" s="1"/>
  <c r="S286" i="41"/>
  <c r="S333" i="41"/>
  <c r="R333" i="41"/>
  <c r="E333" i="41"/>
  <c r="I333" i="41" s="1"/>
  <c r="S41" i="41"/>
  <c r="E41" i="41"/>
  <c r="I41" i="41" s="1"/>
  <c r="R41" i="41"/>
  <c r="S79" i="41"/>
  <c r="E79" i="41"/>
  <c r="I79" i="41" s="1"/>
  <c r="R79" i="41"/>
  <c r="R111" i="41"/>
  <c r="S111" i="41"/>
  <c r="E111" i="41"/>
  <c r="I111" i="41" s="1"/>
  <c r="R143" i="41"/>
  <c r="E143" i="41"/>
  <c r="I143" i="41" s="1"/>
  <c r="S143" i="41"/>
  <c r="R175" i="41"/>
  <c r="S175" i="41"/>
  <c r="E175" i="41"/>
  <c r="I175" i="41" s="1"/>
  <c r="R207" i="41"/>
  <c r="E207" i="41"/>
  <c r="I207" i="41" s="1"/>
  <c r="S207" i="41"/>
  <c r="R239" i="41"/>
  <c r="E239" i="41"/>
  <c r="I239" i="41" s="1"/>
  <c r="S239" i="41"/>
  <c r="S306" i="41"/>
  <c r="E306" i="41"/>
  <c r="I306" i="41" s="1"/>
  <c r="R306" i="41"/>
  <c r="R50" i="41"/>
  <c r="E50" i="41"/>
  <c r="I50" i="41" s="1"/>
  <c r="S50" i="41"/>
  <c r="S299" i="41"/>
  <c r="R299" i="41"/>
  <c r="E299" i="41"/>
  <c r="I299" i="41" s="1"/>
  <c r="S342" i="41"/>
  <c r="R342" i="41"/>
  <c r="E342" i="41"/>
  <c r="I342" i="41" s="1"/>
  <c r="S56" i="41"/>
  <c r="R56" i="41"/>
  <c r="E56" i="41"/>
  <c r="I56" i="41" s="1"/>
  <c r="S88" i="41"/>
  <c r="R88" i="41"/>
  <c r="E88" i="41"/>
  <c r="I88" i="41" s="1"/>
  <c r="S120" i="41"/>
  <c r="E120" i="41"/>
  <c r="I120" i="41" s="1"/>
  <c r="R120" i="41"/>
  <c r="S152" i="41"/>
  <c r="R152" i="41"/>
  <c r="E152" i="41"/>
  <c r="I152" i="41" s="1"/>
  <c r="R184" i="41"/>
  <c r="S184" i="41"/>
  <c r="E184" i="41"/>
  <c r="I184" i="41" s="1"/>
  <c r="S216" i="41"/>
  <c r="E216" i="41"/>
  <c r="I216" i="41" s="1"/>
  <c r="R216" i="41"/>
  <c r="S248" i="41"/>
  <c r="R248" i="41"/>
  <c r="E248" i="41"/>
  <c r="I248" i="41" s="1"/>
  <c r="E315" i="41"/>
  <c r="I315" i="41" s="1"/>
  <c r="R315" i="41"/>
  <c r="S315" i="41"/>
  <c r="S276" i="41"/>
  <c r="E276" i="41"/>
  <c r="I276" i="41" s="1"/>
  <c r="R276" i="41"/>
  <c r="S319" i="41"/>
  <c r="R319" i="41"/>
  <c r="E319" i="41"/>
  <c r="I319" i="41" s="1"/>
  <c r="R13" i="41"/>
  <c r="S13" i="41"/>
  <c r="E13" i="41"/>
  <c r="I13" i="41" s="1"/>
  <c r="S65" i="41"/>
  <c r="E65" i="41"/>
  <c r="I65" i="41" s="1"/>
  <c r="R65" i="41"/>
  <c r="S97" i="41"/>
  <c r="E97" i="41"/>
  <c r="I97" i="41" s="1"/>
  <c r="R97" i="41"/>
  <c r="S129" i="41"/>
  <c r="E129" i="41"/>
  <c r="I129" i="41" s="1"/>
  <c r="R129" i="41"/>
  <c r="S161" i="41"/>
  <c r="E161" i="41"/>
  <c r="I161" i="41" s="1"/>
  <c r="R161" i="41"/>
  <c r="S193" i="41"/>
  <c r="E193" i="41"/>
  <c r="I193" i="41" s="1"/>
  <c r="R193" i="41"/>
  <c r="R225" i="41"/>
  <c r="E225" i="41"/>
  <c r="I225" i="41" s="1"/>
  <c r="S225" i="41"/>
  <c r="S257" i="41"/>
  <c r="R257" i="41"/>
  <c r="E257" i="41"/>
  <c r="I257" i="41" s="1"/>
  <c r="R22" i="41"/>
  <c r="E22" i="41"/>
  <c r="I22" i="41" s="1"/>
  <c r="S22" i="41"/>
  <c r="S281" i="41"/>
  <c r="E281" i="41"/>
  <c r="I281" i="41" s="1"/>
  <c r="R281" i="41"/>
  <c r="S324" i="41"/>
  <c r="R324" i="41"/>
  <c r="E324" i="41"/>
  <c r="I324" i="41" s="1"/>
  <c r="S15" i="41"/>
  <c r="E15" i="41"/>
  <c r="I15" i="41" s="1"/>
  <c r="R15" i="41"/>
  <c r="S70" i="41"/>
  <c r="E70" i="41"/>
  <c r="I70" i="41" s="1"/>
  <c r="R70" i="41"/>
  <c r="R102" i="41"/>
  <c r="E102" i="41"/>
  <c r="I102" i="41" s="1"/>
  <c r="S102" i="41"/>
  <c r="S134" i="41"/>
  <c r="R134" i="41"/>
  <c r="E134" i="41"/>
  <c r="I134" i="41" s="1"/>
  <c r="R166" i="41"/>
  <c r="S166" i="41"/>
  <c r="E166" i="41"/>
  <c r="I166" i="41" s="1"/>
  <c r="R198" i="41"/>
  <c r="E198" i="41"/>
  <c r="I198" i="41" s="1"/>
  <c r="S198" i="41"/>
  <c r="S230" i="41"/>
  <c r="R230" i="41"/>
  <c r="E230" i="41"/>
  <c r="I230" i="41" s="1"/>
  <c r="R262" i="41"/>
  <c r="E262" i="41"/>
  <c r="I262" i="41" s="1"/>
  <c r="S262" i="41"/>
  <c r="R32" i="41"/>
  <c r="S32" i="41"/>
  <c r="E32" i="41"/>
  <c r="I32" i="41" s="1"/>
  <c r="R290" i="41"/>
  <c r="E290" i="41"/>
  <c r="I290" i="41" s="1"/>
  <c r="S290" i="41"/>
  <c r="R337" i="41"/>
  <c r="E337" i="41"/>
  <c r="I337" i="41" s="1"/>
  <c r="S337" i="41"/>
  <c r="S49" i="41"/>
  <c r="R49" i="41"/>
  <c r="E49" i="41"/>
  <c r="I49" i="41" s="1"/>
  <c r="S83" i="41"/>
  <c r="R83" i="41"/>
  <c r="E83" i="41"/>
  <c r="I83" i="41" s="1"/>
  <c r="R115" i="41"/>
  <c r="E115" i="41"/>
  <c r="I115" i="41" s="1"/>
  <c r="S115" i="41"/>
  <c r="S147" i="41"/>
  <c r="R147" i="41"/>
  <c r="E147" i="41"/>
  <c r="I147" i="41" s="1"/>
  <c r="S179" i="41"/>
  <c r="E179" i="41"/>
  <c r="I179" i="41" s="1"/>
  <c r="R179" i="41"/>
  <c r="S211" i="41"/>
  <c r="E211" i="41"/>
  <c r="I211" i="41" s="1"/>
  <c r="R211" i="41"/>
  <c r="S243" i="41"/>
  <c r="R243" i="41"/>
  <c r="E243" i="41"/>
  <c r="I243" i="41" s="1"/>
  <c r="S310" i="41"/>
  <c r="E310" i="41"/>
  <c r="I310" i="41" s="1"/>
  <c r="R310" i="41"/>
  <c r="S271" i="41"/>
  <c r="R271" i="41"/>
  <c r="E271" i="41"/>
  <c r="I271" i="41" s="1"/>
  <c r="S303" i="41"/>
  <c r="R303" i="41"/>
  <c r="E303" i="41"/>
  <c r="I303" i="41" s="1"/>
  <c r="S346" i="41"/>
  <c r="E346" i="41"/>
  <c r="I346" i="41" s="1"/>
  <c r="R346" i="41"/>
  <c r="S60" i="41"/>
  <c r="E60" i="41"/>
  <c r="I60" i="41" s="1"/>
  <c r="R60" i="41"/>
  <c r="S92" i="41"/>
  <c r="E92" i="41"/>
  <c r="I92" i="41" s="1"/>
  <c r="R92" i="41"/>
  <c r="R124" i="41"/>
  <c r="E124" i="41"/>
  <c r="I124" i="41" s="1"/>
  <c r="S124" i="41"/>
  <c r="R156" i="41"/>
  <c r="E156" i="41"/>
  <c r="I156" i="41" s="1"/>
  <c r="S156" i="41"/>
  <c r="S188" i="41"/>
  <c r="E188" i="41"/>
  <c r="I188" i="41" s="1"/>
  <c r="R188" i="41"/>
  <c r="S220" i="41"/>
  <c r="R220" i="41"/>
  <c r="E220" i="41"/>
  <c r="I220" i="41" s="1"/>
  <c r="S252" i="41"/>
  <c r="E252" i="41"/>
  <c r="I252" i="41" s="1"/>
  <c r="R252" i="41"/>
  <c r="R12" i="41"/>
  <c r="S12" i="41"/>
  <c r="E12" i="41"/>
  <c r="I12" i="41" s="1"/>
  <c r="R280" i="41"/>
  <c r="S280" i="41"/>
  <c r="E280" i="41"/>
  <c r="I280" i="41" s="1"/>
  <c r="R323" i="41"/>
  <c r="S323" i="41"/>
  <c r="E323" i="41"/>
  <c r="I323" i="41" s="1"/>
  <c r="E21" i="41"/>
  <c r="I21" i="41" s="1"/>
  <c r="R21" i="41"/>
  <c r="S21" i="41"/>
  <c r="S69" i="41"/>
  <c r="R69" i="41"/>
  <c r="E69" i="41"/>
  <c r="I69" i="41" s="1"/>
  <c r="S101" i="41"/>
  <c r="E101" i="41"/>
  <c r="I101" i="41" s="1"/>
  <c r="R101" i="41"/>
  <c r="R133" i="41"/>
  <c r="E133" i="41"/>
  <c r="I133" i="41" s="1"/>
  <c r="S133" i="41"/>
  <c r="R165" i="41"/>
  <c r="S165" i="41"/>
  <c r="E165" i="41"/>
  <c r="I165" i="41" s="1"/>
  <c r="S197" i="41"/>
  <c r="E197" i="41"/>
  <c r="I197" i="41" s="1"/>
  <c r="R197" i="41"/>
  <c r="S229" i="41"/>
  <c r="R229" i="41"/>
  <c r="E229" i="41"/>
  <c r="I229" i="41" s="1"/>
  <c r="S261" i="41"/>
  <c r="E261" i="41"/>
  <c r="I261" i="41" s="1"/>
  <c r="R261" i="41"/>
  <c r="R30" i="41"/>
  <c r="E30" i="41"/>
  <c r="I30" i="41" s="1"/>
  <c r="S30" i="41"/>
  <c r="S285" i="41"/>
  <c r="R285" i="41"/>
  <c r="E285" i="41"/>
  <c r="I285" i="41" s="1"/>
  <c r="R328" i="41"/>
  <c r="S328" i="41"/>
  <c r="E328" i="41"/>
  <c r="I328" i="41" s="1"/>
  <c r="S23" i="41"/>
  <c r="E23" i="41"/>
  <c r="I23" i="41" s="1"/>
  <c r="R23" i="41"/>
  <c r="R74" i="41"/>
  <c r="E74" i="41"/>
  <c r="I74" i="41" s="1"/>
  <c r="S74" i="41"/>
  <c r="S106" i="41"/>
  <c r="R106" i="41"/>
  <c r="E106" i="41"/>
  <c r="I106" i="41" s="1"/>
  <c r="S138" i="41"/>
  <c r="R138" i="41"/>
  <c r="E138" i="41"/>
  <c r="I138" i="41" s="1"/>
  <c r="R170" i="41"/>
  <c r="E170" i="41"/>
  <c r="I170" i="41" s="1"/>
  <c r="S170" i="41"/>
  <c r="S202" i="41"/>
  <c r="E202" i="41"/>
  <c r="I202" i="41" s="1"/>
  <c r="R202" i="41"/>
  <c r="S234" i="41"/>
  <c r="E234" i="41"/>
  <c r="I234" i="41" s="1"/>
  <c r="R234" i="41"/>
  <c r="R40" i="41"/>
  <c r="E40" i="41"/>
  <c r="I40" i="41" s="1"/>
  <c r="S40" i="41"/>
  <c r="S294" i="41"/>
  <c r="R294" i="41"/>
  <c r="E294" i="41"/>
  <c r="I294" i="41" s="1"/>
  <c r="R341" i="41"/>
  <c r="E341" i="41"/>
  <c r="I341" i="41" s="1"/>
  <c r="S341" i="41"/>
  <c r="S55" i="41"/>
  <c r="E55" i="41"/>
  <c r="I55" i="41" s="1"/>
  <c r="R55" i="41"/>
  <c r="S87" i="41"/>
  <c r="E87" i="41"/>
  <c r="I87" i="41" s="1"/>
  <c r="R87" i="41"/>
  <c r="R119" i="41"/>
  <c r="S119" i="41"/>
  <c r="E119" i="41"/>
  <c r="I119" i="41" s="1"/>
  <c r="R151" i="41"/>
  <c r="E151" i="41"/>
  <c r="I151" i="41" s="1"/>
  <c r="S151" i="41"/>
  <c r="S183" i="41"/>
  <c r="R183" i="41"/>
  <c r="E183" i="41"/>
  <c r="I183" i="41" s="1"/>
  <c r="R215" i="41"/>
  <c r="S215" i="41"/>
  <c r="E215" i="41"/>
  <c r="I215" i="41" s="1"/>
  <c r="R247" i="41"/>
  <c r="S247" i="41"/>
  <c r="E247" i="41"/>
  <c r="I247" i="41" s="1"/>
  <c r="S314" i="41"/>
  <c r="E314" i="41"/>
  <c r="I314" i="41" s="1"/>
  <c r="R314" i="41"/>
  <c r="S275" i="41"/>
  <c r="E275" i="41"/>
  <c r="I275" i="41" s="1"/>
  <c r="R275" i="41"/>
  <c r="S318" i="41"/>
  <c r="E318" i="41"/>
  <c r="I318" i="41" s="1"/>
  <c r="R318" i="41"/>
  <c r="S11" i="41"/>
  <c r="R11" i="41"/>
  <c r="E11" i="41"/>
  <c r="I11" i="41" s="1"/>
  <c r="S64" i="41"/>
  <c r="E64" i="41"/>
  <c r="I64" i="41" s="1"/>
  <c r="R64" i="41"/>
  <c r="S96" i="41"/>
  <c r="E96" i="41"/>
  <c r="I96" i="41" s="1"/>
  <c r="R96" i="41"/>
  <c r="S128" i="41"/>
  <c r="E128" i="41"/>
  <c r="I128" i="41" s="1"/>
  <c r="R128" i="41"/>
  <c r="R160" i="41"/>
  <c r="E160" i="41"/>
  <c r="I160" i="41" s="1"/>
  <c r="S160" i="41"/>
  <c r="R192" i="41"/>
  <c r="E192" i="41"/>
  <c r="I192" i="41" s="1"/>
  <c r="S192" i="41"/>
  <c r="S224" i="41"/>
  <c r="R224" i="41"/>
  <c r="E224" i="41"/>
  <c r="I224" i="41" s="1"/>
  <c r="R256" i="41"/>
  <c r="E256" i="41"/>
  <c r="I256" i="41" s="1"/>
  <c r="S256" i="41"/>
  <c r="R20" i="41"/>
  <c r="S20" i="41"/>
  <c r="E20" i="41"/>
  <c r="I20" i="41" s="1"/>
  <c r="R284" i="41"/>
  <c r="S284" i="41"/>
  <c r="E284" i="41"/>
  <c r="I284" i="41" s="1"/>
  <c r="R327" i="41"/>
  <c r="E327" i="41"/>
  <c r="I327" i="41" s="1"/>
  <c r="S327" i="41"/>
  <c r="R29" i="41"/>
  <c r="S29" i="41"/>
  <c r="E29" i="41"/>
  <c r="I29" i="41" s="1"/>
  <c r="S73" i="41"/>
  <c r="R73" i="41"/>
  <c r="E73" i="41"/>
  <c r="I73" i="41" s="1"/>
  <c r="S105" i="41"/>
  <c r="E105" i="41"/>
  <c r="I105" i="41" s="1"/>
  <c r="R105" i="41"/>
  <c r="R137" i="41"/>
  <c r="E137" i="41"/>
  <c r="I137" i="41" s="1"/>
  <c r="S137" i="41"/>
  <c r="S169" i="41"/>
  <c r="R169" i="41"/>
  <c r="E169" i="41"/>
  <c r="I169" i="41" s="1"/>
  <c r="S201" i="41"/>
  <c r="R201" i="41"/>
  <c r="E201" i="41"/>
  <c r="I201" i="41" s="1"/>
  <c r="R233" i="41"/>
  <c r="E233" i="41"/>
  <c r="I233" i="41" s="1"/>
  <c r="S233" i="41"/>
  <c r="S265" i="41"/>
  <c r="R265" i="41"/>
  <c r="E265" i="41"/>
  <c r="I265" i="41" s="1"/>
  <c r="R38" i="41"/>
  <c r="E38" i="41"/>
  <c r="I38" i="41" s="1"/>
  <c r="S38" i="41"/>
  <c r="S289" i="41"/>
  <c r="E289" i="41"/>
  <c r="I289" i="41" s="1"/>
  <c r="R289" i="41"/>
  <c r="S332" i="41"/>
  <c r="R332" i="41"/>
  <c r="E332" i="41"/>
  <c r="I332" i="41" s="1"/>
  <c r="S31" i="41"/>
  <c r="R31" i="41"/>
  <c r="E31" i="41"/>
  <c r="I31" i="41" s="1"/>
  <c r="R78" i="41"/>
  <c r="S78" i="41"/>
  <c r="E78" i="41"/>
  <c r="I78" i="41" s="1"/>
  <c r="S110" i="41"/>
  <c r="E110" i="41"/>
  <c r="I110" i="41" s="1"/>
  <c r="R110" i="41"/>
  <c r="S142" i="41"/>
  <c r="R142" i="41"/>
  <c r="E142" i="41"/>
  <c r="I142" i="41" s="1"/>
  <c r="R174" i="41"/>
  <c r="S174" i="41"/>
  <c r="E174" i="41"/>
  <c r="I174" i="41" s="1"/>
  <c r="S206" i="41"/>
  <c r="R206" i="41"/>
  <c r="E206" i="41"/>
  <c r="I206" i="41" s="1"/>
  <c r="S238" i="41"/>
  <c r="E238" i="41"/>
  <c r="I238" i="41" s="1"/>
  <c r="R238" i="41"/>
  <c r="S309" i="41"/>
  <c r="E309" i="41"/>
  <c r="I309" i="41" s="1"/>
  <c r="R309" i="41"/>
  <c r="R48" i="41"/>
  <c r="E48" i="41"/>
  <c r="I48" i="41" s="1"/>
  <c r="S48" i="41"/>
  <c r="R298" i="41"/>
  <c r="E298" i="41"/>
  <c r="I298" i="41" s="1"/>
  <c r="S298" i="41"/>
  <c r="R345" i="41"/>
  <c r="S345" i="41"/>
  <c r="E345" i="41"/>
  <c r="I345" i="41" s="1"/>
  <c r="S59" i="41"/>
  <c r="R59" i="41"/>
  <c r="E59" i="41"/>
  <c r="I59" i="41" s="1"/>
  <c r="S91" i="41"/>
  <c r="E91" i="41"/>
  <c r="I91" i="41" s="1"/>
  <c r="R91" i="41"/>
  <c r="S123" i="41"/>
  <c r="E123" i="41"/>
  <c r="I123" i="41" s="1"/>
  <c r="R123" i="41"/>
  <c r="S155" i="41"/>
  <c r="R155" i="41"/>
  <c r="E155" i="41"/>
  <c r="I155" i="41" s="1"/>
  <c r="S187" i="41"/>
  <c r="R187" i="41"/>
  <c r="E187" i="41"/>
  <c r="I187" i="41" s="1"/>
  <c r="S219" i="41"/>
  <c r="E219" i="41"/>
  <c r="I219" i="41" s="1"/>
  <c r="R219" i="41"/>
  <c r="S251" i="41"/>
  <c r="E251" i="41"/>
  <c r="I251" i="41" s="1"/>
  <c r="R251" i="41"/>
  <c r="R10" i="41"/>
  <c r="S10" i="41"/>
  <c r="E10" i="41"/>
  <c r="I10" i="41" s="1"/>
  <c r="R279" i="41"/>
  <c r="S279" i="41"/>
  <c r="E279" i="41"/>
  <c r="I279" i="41" s="1"/>
  <c r="S322" i="41"/>
  <c r="E322" i="41"/>
  <c r="I322" i="41" s="1"/>
  <c r="R322" i="41"/>
  <c r="S19" i="41"/>
  <c r="E19" i="41"/>
  <c r="I19" i="41" s="1"/>
  <c r="R19" i="41"/>
  <c r="S68" i="41"/>
  <c r="E68" i="41"/>
  <c r="I68" i="41" s="1"/>
  <c r="R68" i="41"/>
  <c r="S100" i="41"/>
  <c r="E100" i="41"/>
  <c r="I100" i="41" s="1"/>
  <c r="R100" i="41"/>
  <c r="S132" i="41"/>
  <c r="E132" i="41"/>
  <c r="I132" i="41" s="1"/>
  <c r="R132" i="41"/>
  <c r="S164" i="41"/>
  <c r="R164" i="41"/>
  <c r="E164" i="41"/>
  <c r="I164" i="41" s="1"/>
  <c r="S196" i="41"/>
  <c r="E196" i="41"/>
  <c r="I196" i="41" s="1"/>
  <c r="R196" i="41"/>
  <c r="S228" i="41"/>
  <c r="E228" i="41"/>
  <c r="I228" i="41" s="1"/>
  <c r="R228" i="41"/>
  <c r="S260" i="41"/>
  <c r="E260" i="41"/>
  <c r="I260" i="41" s="1"/>
  <c r="R260" i="41"/>
  <c r="R28" i="41"/>
  <c r="S28" i="41"/>
  <c r="E28" i="41"/>
  <c r="I28" i="41" s="1"/>
  <c r="E288" i="41"/>
  <c r="I288" i="41" s="1"/>
  <c r="S288" i="41"/>
  <c r="R288" i="41"/>
  <c r="R331" i="41"/>
  <c r="S331" i="41"/>
  <c r="E331" i="41"/>
  <c r="I331" i="41" s="1"/>
  <c r="S37" i="41"/>
  <c r="E37" i="41"/>
  <c r="I37" i="41" s="1"/>
  <c r="R37" i="41"/>
  <c r="S77" i="41"/>
  <c r="R77" i="41"/>
  <c r="E77" i="41"/>
  <c r="I77" i="41" s="1"/>
  <c r="R109" i="41"/>
  <c r="E109" i="41"/>
  <c r="I109" i="41" s="1"/>
  <c r="S109" i="41"/>
  <c r="R141" i="41"/>
  <c r="S141" i="41"/>
  <c r="E141" i="41"/>
  <c r="I141" i="41" s="1"/>
  <c r="S173" i="41"/>
  <c r="R173" i="41"/>
  <c r="E173" i="41"/>
  <c r="I173" i="41" s="1"/>
  <c r="S205" i="41"/>
  <c r="E205" i="41"/>
  <c r="I205" i="41" s="1"/>
  <c r="R205" i="41"/>
  <c r="S237" i="41"/>
  <c r="E237" i="41"/>
  <c r="I237" i="41" s="1"/>
  <c r="R237" i="41"/>
  <c r="S308" i="41"/>
  <c r="R308" i="41"/>
  <c r="E308" i="41"/>
  <c r="I308" i="41" s="1"/>
  <c r="R46" i="41"/>
  <c r="E46" i="41"/>
  <c r="I46" i="41" s="1"/>
  <c r="S46" i="41"/>
  <c r="S293" i="41"/>
  <c r="R293" i="41"/>
  <c r="E293" i="41"/>
  <c r="I293" i="41" s="1"/>
  <c r="E336" i="41"/>
  <c r="I336" i="41" s="1"/>
  <c r="S336" i="41"/>
  <c r="R336" i="41"/>
  <c r="S39" i="41"/>
  <c r="E39" i="41"/>
  <c r="I39" i="41" s="1"/>
  <c r="R39" i="41"/>
  <c r="R82" i="41"/>
  <c r="E82" i="41"/>
  <c r="I82" i="41" s="1"/>
  <c r="S82" i="41"/>
  <c r="S114" i="41"/>
  <c r="R114" i="41"/>
  <c r="E114" i="41"/>
  <c r="I114" i="41" s="1"/>
  <c r="S146" i="41"/>
  <c r="R146" i="41"/>
  <c r="E146" i="41"/>
  <c r="I146" i="41" s="1"/>
  <c r="S178" i="41"/>
  <c r="R178" i="41"/>
  <c r="E178" i="41"/>
  <c r="I178" i="41" s="1"/>
  <c r="S210" i="41"/>
  <c r="R210" i="41"/>
  <c r="E210" i="41"/>
  <c r="I210" i="41" s="1"/>
  <c r="S242" i="41"/>
  <c r="R242" i="41"/>
  <c r="E242" i="41"/>
  <c r="I242" i="41" s="1"/>
  <c r="R313" i="41"/>
  <c r="S313" i="41"/>
  <c r="E313" i="41"/>
  <c r="I313" i="41" s="1"/>
  <c r="S270" i="41"/>
  <c r="E270" i="41"/>
  <c r="I270" i="41" s="1"/>
  <c r="R270" i="41"/>
  <c r="S302" i="41"/>
  <c r="R302" i="41"/>
  <c r="E302" i="41"/>
  <c r="I302" i="41" s="1"/>
  <c r="S9" i="41"/>
  <c r="E9" i="41"/>
  <c r="I9" i="41" s="1"/>
  <c r="R9" i="41"/>
  <c r="S63" i="41"/>
  <c r="E63" i="41"/>
  <c r="I63" i="41" s="1"/>
  <c r="R63" i="41"/>
  <c r="S95" i="41"/>
  <c r="E95" i="41"/>
  <c r="I95" i="41" s="1"/>
  <c r="R95" i="41"/>
  <c r="R127" i="41"/>
  <c r="S127" i="41"/>
  <c r="E127" i="41"/>
  <c r="I127" i="41" s="1"/>
  <c r="R159" i="41"/>
  <c r="E159" i="41"/>
  <c r="I159" i="41" s="1"/>
  <c r="S159" i="41"/>
  <c r="S191" i="41"/>
  <c r="R191" i="41"/>
  <c r="E191" i="41"/>
  <c r="I191" i="41" s="1"/>
  <c r="R223" i="41"/>
  <c r="S223" i="41"/>
  <c r="E223" i="41"/>
  <c r="I223" i="41" s="1"/>
  <c r="S255" i="41"/>
  <c r="E255" i="41"/>
  <c r="I255" i="41" s="1"/>
  <c r="R255" i="41"/>
  <c r="R18" i="41"/>
  <c r="S18" i="41"/>
  <c r="E18" i="41"/>
  <c r="I18" i="41" s="1"/>
  <c r="S283" i="41"/>
  <c r="R283" i="41"/>
  <c r="E283" i="41"/>
  <c r="I283" i="41" s="1"/>
  <c r="S326" i="41"/>
  <c r="R326" i="41"/>
  <c r="E326" i="41"/>
  <c r="I326" i="41" s="1"/>
  <c r="S27" i="41"/>
  <c r="R27" i="41"/>
  <c r="E27" i="41"/>
  <c r="I27" i="41" s="1"/>
  <c r="S72" i="41"/>
  <c r="R72" i="41"/>
  <c r="E72" i="41"/>
  <c r="I72" i="41" s="1"/>
  <c r="S104" i="41"/>
  <c r="E104" i="41"/>
  <c r="I104" i="41" s="1"/>
  <c r="R104" i="41"/>
  <c r="S136" i="41"/>
  <c r="E136" i="41"/>
  <c r="I136" i="41" s="1"/>
  <c r="R136" i="41"/>
  <c r="R168" i="41"/>
  <c r="E168" i="41"/>
  <c r="I168" i="41" s="1"/>
  <c r="S168" i="41"/>
  <c r="R200" i="41"/>
  <c r="E200" i="41"/>
  <c r="I200" i="41" s="1"/>
  <c r="S200" i="41"/>
  <c r="S232" i="41"/>
  <c r="R232" i="41"/>
  <c r="E232" i="41"/>
  <c r="I232" i="41" s="1"/>
  <c r="R264" i="41"/>
  <c r="E264" i="41"/>
  <c r="I264" i="41" s="1"/>
  <c r="S264" i="41"/>
  <c r="R36" i="41"/>
  <c r="E36" i="41"/>
  <c r="I36" i="41" s="1"/>
  <c r="S36" i="41"/>
  <c r="S292" i="41"/>
  <c r="R292" i="41"/>
  <c r="E292" i="41"/>
  <c r="I292" i="41" s="1"/>
  <c r="S335" i="41"/>
  <c r="R335" i="41"/>
  <c r="E335" i="41"/>
  <c r="I335" i="41" s="1"/>
  <c r="S45" i="41"/>
  <c r="R45" i="41"/>
  <c r="E45" i="41"/>
  <c r="I45" i="41" s="1"/>
  <c r="S81" i="41"/>
  <c r="E81" i="41"/>
  <c r="I81" i="41" s="1"/>
  <c r="R81" i="41"/>
  <c r="S113" i="41"/>
  <c r="E113" i="41"/>
  <c r="I113" i="41" s="1"/>
  <c r="R113" i="41"/>
  <c r="S145" i="41"/>
  <c r="R145" i="41"/>
  <c r="E145" i="41"/>
  <c r="I145" i="41" s="1"/>
  <c r="S177" i="41"/>
  <c r="E177" i="41"/>
  <c r="I177" i="41" s="1"/>
  <c r="R177" i="41"/>
  <c r="R209" i="41"/>
  <c r="E209" i="41"/>
  <c r="I209" i="41" s="1"/>
  <c r="S209" i="41"/>
  <c r="R241" i="41"/>
  <c r="E241" i="41"/>
  <c r="I241" i="41" s="1"/>
  <c r="S241" i="41"/>
  <c r="S312" i="41"/>
  <c r="E312" i="41"/>
  <c r="I312" i="41" s="1"/>
  <c r="R312" i="41"/>
  <c r="R54" i="41"/>
  <c r="S54" i="41"/>
  <c r="E54" i="41"/>
  <c r="I54" i="41" s="1"/>
  <c r="S297" i="41"/>
  <c r="R297" i="41"/>
  <c r="E297" i="41"/>
  <c r="I297" i="41" s="1"/>
  <c r="S340" i="41"/>
  <c r="E340" i="41"/>
  <c r="I340" i="41" s="1"/>
  <c r="R340" i="41"/>
  <c r="S47" i="41"/>
  <c r="R47" i="41"/>
  <c r="E47" i="41"/>
  <c r="I47" i="41" s="1"/>
  <c r="R86" i="41"/>
  <c r="E86" i="41"/>
  <c r="I86" i="41" s="1"/>
  <c r="S86" i="41"/>
  <c r="S118" i="41"/>
  <c r="E118" i="41"/>
  <c r="I118" i="41" s="1"/>
  <c r="R118" i="41"/>
  <c r="S150" i="41"/>
  <c r="E150" i="41"/>
  <c r="I150" i="41" s="1"/>
  <c r="R150" i="41"/>
  <c r="S182" i="41"/>
  <c r="R182" i="41"/>
  <c r="E182" i="41"/>
  <c r="I182" i="41" s="1"/>
  <c r="R214" i="41"/>
  <c r="S214" i="41"/>
  <c r="E214" i="41"/>
  <c r="I214" i="41" s="1"/>
  <c r="S246" i="41"/>
  <c r="R246" i="41"/>
  <c r="E246" i="41"/>
  <c r="I246" i="41" s="1"/>
  <c r="R317" i="41"/>
  <c r="S317" i="41"/>
  <c r="E317" i="41"/>
  <c r="I317" i="41" s="1"/>
  <c r="S250" i="41"/>
  <c r="R250" i="41"/>
  <c r="E250" i="41"/>
  <c r="I250" i="41" s="1"/>
  <c r="R266" i="41"/>
  <c r="E266" i="41"/>
  <c r="I266" i="41" s="1"/>
  <c r="S266" i="41"/>
  <c r="K6" i="37"/>
  <c r="S29" i="9"/>
  <c r="Q17" i="1" s="1"/>
  <c r="R29" i="9"/>
  <c r="O17" i="1" s="1"/>
  <c r="S16" i="9"/>
  <c r="Q16" i="1" s="1"/>
  <c r="R16" i="9"/>
  <c r="O16" i="1" s="1"/>
  <c r="V36" i="8"/>
  <c r="S9" i="1" s="1"/>
  <c r="U36" i="8"/>
  <c r="R9" i="1" s="1"/>
  <c r="V29" i="8"/>
  <c r="U29" i="8"/>
  <c r="V21" i="8"/>
  <c r="U21" i="8"/>
  <c r="V13" i="8"/>
  <c r="U13" i="8"/>
  <c r="S36" i="8"/>
  <c r="Q9" i="1" s="1"/>
  <c r="R36" i="8"/>
  <c r="O9" i="1" s="1"/>
  <c r="S29" i="8"/>
  <c r="S21" i="8"/>
  <c r="R21" i="8"/>
  <c r="S13" i="8"/>
  <c r="R13" i="8"/>
  <c r="P36" i="8"/>
  <c r="N9" i="1" s="1"/>
  <c r="O36" i="8"/>
  <c r="M9" i="1" s="1"/>
  <c r="P29" i="8"/>
  <c r="O29" i="8"/>
  <c r="P21" i="8"/>
  <c r="O21" i="8"/>
  <c r="P13" i="8"/>
  <c r="O13" i="8"/>
  <c r="M36" i="8"/>
  <c r="L9" i="1" s="1"/>
  <c r="L36" i="8"/>
  <c r="K9" i="1" s="1"/>
  <c r="M29" i="8"/>
  <c r="L29" i="8"/>
  <c r="M21" i="8"/>
  <c r="L21" i="8"/>
  <c r="M13" i="8"/>
  <c r="L13" i="8"/>
  <c r="J36" i="8"/>
  <c r="J9" i="1" s="1"/>
  <c r="I36" i="8"/>
  <c r="I9" i="1" s="1"/>
  <c r="J29" i="8"/>
  <c r="I29" i="8"/>
  <c r="J21" i="8"/>
  <c r="I21" i="8"/>
  <c r="J13" i="8"/>
  <c r="I13" i="8"/>
  <c r="G36" i="8"/>
  <c r="H9" i="1" s="1"/>
  <c r="F36" i="8"/>
  <c r="G9" i="1" s="1"/>
  <c r="G29" i="8"/>
  <c r="F29" i="8"/>
  <c r="G21" i="8"/>
  <c r="F21" i="8"/>
  <c r="G13" i="8"/>
  <c r="F13" i="8"/>
  <c r="G9" i="37"/>
  <c r="H9" i="37" s="1"/>
  <c r="Z9" i="37" s="1"/>
  <c r="G8" i="37"/>
  <c r="H8" i="37" s="1"/>
  <c r="Z8" i="37" s="1"/>
  <c r="G7" i="37"/>
  <c r="H7" i="37" s="1"/>
  <c r="Z7" i="37" s="1"/>
  <c r="G6" i="37"/>
  <c r="H6" i="37" s="1"/>
  <c r="I15" i="13"/>
  <c r="D29" i="8"/>
  <c r="D13" i="8"/>
  <c r="D31" i="7"/>
  <c r="F8" i="1" s="1"/>
  <c r="AG8" i="1"/>
  <c r="AI8" i="1"/>
  <c r="AG10" i="1"/>
  <c r="AI10" i="1"/>
  <c r="AI11" i="1"/>
  <c r="AG12" i="1"/>
  <c r="AI12" i="1"/>
  <c r="AG14" i="1"/>
  <c r="AI14" i="1"/>
  <c r="AI15" i="1"/>
  <c r="AG16" i="1"/>
  <c r="AI16" i="1"/>
  <c r="AI17" i="1"/>
  <c r="AG18" i="1"/>
  <c r="AI18" i="1"/>
  <c r="AA21" i="1"/>
  <c r="AB10" i="1" s="1"/>
  <c r="AJ13" i="1" s="1"/>
  <c r="A4" i="1"/>
  <c r="E4" i="1"/>
  <c r="Q3" i="1"/>
  <c r="Q28" i="1"/>
  <c r="Q27" i="1"/>
  <c r="Q29" i="1"/>
  <c r="N28" i="1"/>
  <c r="N27" i="1"/>
  <c r="N29" i="1"/>
  <c r="L28" i="1"/>
  <c r="L27" i="1"/>
  <c r="L29" i="1"/>
  <c r="J28" i="1"/>
  <c r="J27" i="1"/>
  <c r="H28" i="1"/>
  <c r="H27" i="1"/>
  <c r="H29" i="1"/>
  <c r="F28" i="1"/>
  <c r="F27" i="1"/>
  <c r="F29" i="1"/>
  <c r="S16" i="14"/>
  <c r="N26" i="1"/>
  <c r="J26" i="1"/>
  <c r="H26" i="1"/>
  <c r="D15" i="13"/>
  <c r="F22" i="1" s="1"/>
  <c r="S15" i="13"/>
  <c r="Q22" i="1" s="1"/>
  <c r="M15" i="13"/>
  <c r="L22" i="1" s="1"/>
  <c r="G15" i="13"/>
  <c r="H22" i="1" s="1"/>
  <c r="J18" i="12"/>
  <c r="J20" i="1" s="1"/>
  <c r="S31" i="12"/>
  <c r="Q21" i="1" s="1"/>
  <c r="M31" i="12"/>
  <c r="L21" i="1" s="1"/>
  <c r="M18" i="12"/>
  <c r="L20" i="1" s="1"/>
  <c r="J31" i="12"/>
  <c r="J21" i="1" s="1"/>
  <c r="V30" i="11"/>
  <c r="P30" i="11"/>
  <c r="J30" i="11"/>
  <c r="G30" i="11"/>
  <c r="S21" i="11"/>
  <c r="V29" i="9"/>
  <c r="S17" i="1" s="1"/>
  <c r="V16" i="9"/>
  <c r="S16" i="1" s="1"/>
  <c r="J16" i="9"/>
  <c r="J16" i="1" s="1"/>
  <c r="D16" i="9"/>
  <c r="F16" i="1" s="1"/>
  <c r="F10" i="1"/>
  <c r="F14" i="1"/>
  <c r="S31" i="7"/>
  <c r="Q8" i="1" s="1"/>
  <c r="J17" i="25"/>
  <c r="P28" i="1"/>
  <c r="F31" i="12"/>
  <c r="G21" i="1" s="1"/>
  <c r="L31" i="12"/>
  <c r="K21" i="1" s="1"/>
  <c r="O31" i="12"/>
  <c r="M21" i="1" s="1"/>
  <c r="R31" i="12"/>
  <c r="O21" i="1" s="1"/>
  <c r="E10" i="1"/>
  <c r="C10" i="1" s="1"/>
  <c r="C31" i="13"/>
  <c r="C32" i="1" s="1"/>
  <c r="C35" i="9"/>
  <c r="U1" i="14"/>
  <c r="U1" i="13"/>
  <c r="U1" i="12"/>
  <c r="U1" i="11"/>
  <c r="U1" i="7"/>
  <c r="R31" i="7"/>
  <c r="O8" i="1" s="1"/>
  <c r="E14" i="1"/>
  <c r="C14" i="1" s="1"/>
  <c r="E13" i="1"/>
  <c r="C13" i="1" s="1"/>
  <c r="C21" i="11"/>
  <c r="F21" i="11"/>
  <c r="U30" i="11"/>
  <c r="R30" i="11"/>
  <c r="O30" i="11"/>
  <c r="L30" i="11"/>
  <c r="I30" i="11"/>
  <c r="F30" i="11"/>
  <c r="C30" i="11"/>
  <c r="C32" i="11"/>
  <c r="E19" i="1" s="1"/>
  <c r="F32" i="11"/>
  <c r="G19" i="1" s="1"/>
  <c r="R32" i="11"/>
  <c r="O19" i="1" s="1"/>
  <c r="I32" i="11"/>
  <c r="I19" i="1" s="1"/>
  <c r="L32" i="11"/>
  <c r="K19" i="1" s="1"/>
  <c r="O32" i="11"/>
  <c r="M19" i="1" s="1"/>
  <c r="U32" i="11"/>
  <c r="R19" i="1" s="1"/>
  <c r="U21" i="11"/>
  <c r="R21" i="11"/>
  <c r="O21" i="11"/>
  <c r="L21" i="11"/>
  <c r="I21" i="11"/>
  <c r="O31" i="7"/>
  <c r="M8" i="1" s="1"/>
  <c r="L31" i="7"/>
  <c r="K8" i="1" s="1"/>
  <c r="F31" i="7"/>
  <c r="G8" i="1" s="1"/>
  <c r="C31" i="7"/>
  <c r="E8" i="1" s="1"/>
  <c r="I31" i="7"/>
  <c r="I8" i="1" s="1"/>
  <c r="U31" i="7"/>
  <c r="R8" i="1" s="1"/>
  <c r="C16" i="14"/>
  <c r="F16" i="14"/>
  <c r="I16" i="14"/>
  <c r="L16" i="14"/>
  <c r="O16" i="14"/>
  <c r="R16" i="14"/>
  <c r="C21" i="8"/>
  <c r="E26" i="1"/>
  <c r="G26" i="1"/>
  <c r="I26" i="1"/>
  <c r="K26" i="1"/>
  <c r="M26" i="1"/>
  <c r="P26" i="1"/>
  <c r="U16" i="9"/>
  <c r="R16" i="1" s="1"/>
  <c r="C13" i="8"/>
  <c r="P29" i="1"/>
  <c r="I27" i="1"/>
  <c r="C16" i="9"/>
  <c r="F16" i="9"/>
  <c r="G16" i="1" s="1"/>
  <c r="I16" i="9"/>
  <c r="I16" i="1" s="1"/>
  <c r="L16" i="9"/>
  <c r="K16" i="1" s="1"/>
  <c r="O16" i="9"/>
  <c r="M16" i="1" s="1"/>
  <c r="C29" i="9"/>
  <c r="F29" i="9"/>
  <c r="G17" i="1" s="1"/>
  <c r="I29" i="9"/>
  <c r="I17" i="1" s="1"/>
  <c r="L29" i="9"/>
  <c r="K17" i="1" s="1"/>
  <c r="O29" i="9"/>
  <c r="M17" i="1" s="1"/>
  <c r="U29" i="9"/>
  <c r="R17" i="1" s="1"/>
  <c r="C36" i="8"/>
  <c r="E11" i="1"/>
  <c r="C11" i="1" s="1"/>
  <c r="C18" i="12"/>
  <c r="E20" i="1" s="1"/>
  <c r="F18" i="12"/>
  <c r="G20" i="1" s="1"/>
  <c r="I18" i="12"/>
  <c r="I20" i="1" s="1"/>
  <c r="L18" i="12"/>
  <c r="K20" i="1" s="1"/>
  <c r="O18" i="12"/>
  <c r="M20" i="1" s="1"/>
  <c r="R18" i="12"/>
  <c r="O20" i="1" s="1"/>
  <c r="U18" i="12"/>
  <c r="R20" i="1" s="1"/>
  <c r="C31" i="12"/>
  <c r="E21" i="1" s="1"/>
  <c r="I31" i="12"/>
  <c r="I21" i="1" s="1"/>
  <c r="U31" i="12"/>
  <c r="C15" i="13"/>
  <c r="E22" i="1" s="1"/>
  <c r="F15" i="13"/>
  <c r="G22" i="1" s="1"/>
  <c r="I22" i="1"/>
  <c r="L15" i="13"/>
  <c r="K22" i="1" s="1"/>
  <c r="O15" i="13"/>
  <c r="M22" i="1" s="1"/>
  <c r="R15" i="13"/>
  <c r="O22" i="1" s="1"/>
  <c r="U15" i="13"/>
  <c r="R22" i="1" s="1"/>
  <c r="E27" i="1"/>
  <c r="G27" i="1"/>
  <c r="K27" i="1"/>
  <c r="M27" i="1"/>
  <c r="P27" i="1"/>
  <c r="E28" i="1"/>
  <c r="G28" i="1"/>
  <c r="I28" i="1"/>
  <c r="K28" i="1"/>
  <c r="M28" i="1"/>
  <c r="E29" i="1"/>
  <c r="G29" i="1"/>
  <c r="I29" i="1"/>
  <c r="K29" i="1"/>
  <c r="M29" i="1"/>
  <c r="C29" i="8"/>
  <c r="Q26" i="1"/>
  <c r="V16" i="14"/>
  <c r="D21" i="8"/>
  <c r="P18" i="12"/>
  <c r="N20" i="1" s="1"/>
  <c r="J29" i="1"/>
  <c r="D31" i="13"/>
  <c r="F33" i="1" s="1"/>
  <c r="G31" i="12"/>
  <c r="H21" i="1" s="1"/>
  <c r="V18" i="12"/>
  <c r="S20" i="1" s="1"/>
  <c r="M30" i="11"/>
  <c r="S18" i="12"/>
  <c r="Q20" i="1" s="1"/>
  <c r="V31" i="12"/>
  <c r="S21" i="1" s="1"/>
  <c r="L26" i="1"/>
  <c r="M16" i="14"/>
  <c r="D18" i="12"/>
  <c r="F20" i="1" s="1"/>
  <c r="P16" i="14"/>
  <c r="D31" i="12"/>
  <c r="F21" i="1" s="1"/>
  <c r="V15" i="13"/>
  <c r="S22" i="1" s="1"/>
  <c r="M16" i="9"/>
  <c r="L16" i="1" s="1"/>
  <c r="D35" i="9"/>
  <c r="F34" i="1" s="1"/>
  <c r="G16" i="9"/>
  <c r="H16" i="1" s="1"/>
  <c r="F13" i="1"/>
  <c r="G31" i="7"/>
  <c r="H8" i="1" s="1"/>
  <c r="D29" i="9"/>
  <c r="F17" i="1" s="1"/>
  <c r="G29" i="9"/>
  <c r="H17" i="1" s="1"/>
  <c r="J29" i="9"/>
  <c r="J17" i="1" s="1"/>
  <c r="M29" i="9"/>
  <c r="L17" i="1" s="1"/>
  <c r="P16" i="9"/>
  <c r="N16" i="1" s="1"/>
  <c r="M21" i="11"/>
  <c r="D30" i="11"/>
  <c r="J15" i="13"/>
  <c r="J22" i="1" s="1"/>
  <c r="D16" i="14"/>
  <c r="M31" i="7"/>
  <c r="L8" i="1" s="1"/>
  <c r="P31" i="7"/>
  <c r="N8" i="1" s="1"/>
  <c r="V31" i="7"/>
  <c r="S8" i="1" s="1"/>
  <c r="D21" i="11"/>
  <c r="J21" i="11"/>
  <c r="G18" i="12"/>
  <c r="H20" i="1" s="1"/>
  <c r="P31" i="12"/>
  <c r="N21" i="1" s="1"/>
  <c r="P29" i="9"/>
  <c r="N17" i="1" s="1"/>
  <c r="G21" i="11"/>
  <c r="P21" i="11"/>
  <c r="V21" i="11"/>
  <c r="P15" i="13"/>
  <c r="J31" i="7"/>
  <c r="J8" i="1" s="1"/>
  <c r="F11" i="1"/>
  <c r="S30" i="11"/>
  <c r="F26" i="1"/>
  <c r="J16" i="14"/>
  <c r="G16" i="14"/>
  <c r="D36" i="8"/>
  <c r="Y854" i="37" l="1"/>
  <c r="Z854" i="37"/>
  <c r="Y541" i="37"/>
  <c r="Z541" i="37"/>
  <c r="Z908" i="37"/>
  <c r="Y908" i="37"/>
  <c r="Y921" i="37"/>
  <c r="Z921" i="37"/>
  <c r="Y530" i="37"/>
  <c r="Z530" i="37"/>
  <c r="Y496" i="37"/>
  <c r="Z496" i="37"/>
  <c r="Y110" i="37"/>
  <c r="Z110" i="37"/>
  <c r="Z920" i="37"/>
  <c r="Y920" i="37"/>
  <c r="Z71" i="37"/>
  <c r="Y71" i="37"/>
  <c r="Z507" i="37"/>
  <c r="Y507" i="37"/>
  <c r="Z105" i="37"/>
  <c r="Y105" i="37"/>
  <c r="Y845" i="37"/>
  <c r="Z845" i="37"/>
  <c r="Y135" i="37"/>
  <c r="Z135" i="37"/>
  <c r="Y898" i="37"/>
  <c r="Z898" i="37"/>
  <c r="Z538" i="37"/>
  <c r="Y538" i="37"/>
  <c r="Z448" i="37"/>
  <c r="Y448" i="37"/>
  <c r="Z486" i="37"/>
  <c r="Y486" i="37"/>
  <c r="Z126" i="37"/>
  <c r="Y126" i="37"/>
  <c r="Y501" i="37"/>
  <c r="Z501" i="37"/>
  <c r="Z531" i="37"/>
  <c r="Y531" i="37"/>
  <c r="Z65" i="37"/>
  <c r="Y65" i="37"/>
  <c r="Y877" i="37"/>
  <c r="Z877" i="37"/>
  <c r="Z502" i="37"/>
  <c r="Y502" i="37"/>
  <c r="Y109" i="37"/>
  <c r="Z109" i="37"/>
  <c r="Y933" i="37"/>
  <c r="Z933" i="37"/>
  <c r="Y883" i="37"/>
  <c r="Z883" i="37"/>
  <c r="Y846" i="37"/>
  <c r="Z846" i="37"/>
  <c r="Z107" i="37"/>
  <c r="Y107" i="37"/>
  <c r="Z464" i="37"/>
  <c r="Y464" i="37"/>
  <c r="Z481" i="37"/>
  <c r="Y481" i="37"/>
  <c r="Y851" i="37"/>
  <c r="Z851" i="37"/>
  <c r="Y889" i="37"/>
  <c r="Z889" i="37"/>
  <c r="Y81" i="37"/>
  <c r="Z81" i="37"/>
  <c r="Z148" i="37"/>
  <c r="Y148" i="37"/>
  <c r="Y150" i="37"/>
  <c r="Z150" i="37"/>
  <c r="Z86" i="37"/>
  <c r="Y86" i="37"/>
  <c r="Z140" i="37"/>
  <c r="Y140" i="37"/>
  <c r="Z489" i="37"/>
  <c r="Y489" i="37"/>
  <c r="Z101" i="37"/>
  <c r="Y101" i="37"/>
  <c r="Z491" i="37"/>
  <c r="Y491" i="37"/>
  <c r="Y534" i="37"/>
  <c r="Z534" i="37"/>
  <c r="Y119" i="37"/>
  <c r="Z119" i="37"/>
  <c r="Z870" i="37"/>
  <c r="Y870" i="37"/>
  <c r="Z916" i="37"/>
  <c r="Y916" i="37"/>
  <c r="Y893" i="37"/>
  <c r="Z893" i="37"/>
  <c r="Z479" i="37"/>
  <c r="Y479" i="37"/>
  <c r="Z74" i="37"/>
  <c r="Y74" i="37"/>
  <c r="Z88" i="37"/>
  <c r="Y88" i="37"/>
  <c r="Z55" i="37"/>
  <c r="Y55" i="37"/>
  <c r="Z912" i="37"/>
  <c r="Y912" i="37"/>
  <c r="Z932" i="37"/>
  <c r="Y932" i="37"/>
  <c r="Z924" i="37"/>
  <c r="Y924" i="37"/>
  <c r="Z897" i="37"/>
  <c r="Y897" i="37"/>
  <c r="Z503" i="37"/>
  <c r="Y503" i="37"/>
  <c r="Z910" i="37"/>
  <c r="Y910" i="37"/>
  <c r="Z896" i="37"/>
  <c r="Y896" i="37"/>
  <c r="Y887" i="37"/>
  <c r="Z887" i="37"/>
  <c r="Z532" i="37"/>
  <c r="Y532" i="37"/>
  <c r="Y852" i="37"/>
  <c r="Z852" i="37"/>
  <c r="Z841" i="37"/>
  <c r="Y841" i="37"/>
  <c r="Z935" i="37"/>
  <c r="Y935" i="37"/>
  <c r="C8" i="1"/>
  <c r="Z480" i="37"/>
  <c r="Y480" i="37"/>
  <c r="Y470" i="37"/>
  <c r="Z470" i="37"/>
  <c r="Z468" i="37"/>
  <c r="Y468" i="37"/>
  <c r="Z894" i="37"/>
  <c r="Y894" i="37"/>
  <c r="Z484" i="37"/>
  <c r="Y484" i="37"/>
  <c r="Z128" i="37"/>
  <c r="Y128" i="37"/>
  <c r="Z66" i="37"/>
  <c r="Y66" i="37"/>
  <c r="Z56" i="37"/>
  <c r="Y56" i="37"/>
  <c r="Y453" i="37"/>
  <c r="Z453" i="37"/>
  <c r="Y509" i="37"/>
  <c r="Z509" i="37"/>
  <c r="Z108" i="37"/>
  <c r="Y108" i="37"/>
  <c r="Y87" i="37"/>
  <c r="Z87" i="37"/>
  <c r="Z141" i="37"/>
  <c r="Y141" i="37"/>
  <c r="Z928" i="37"/>
  <c r="Y928" i="37"/>
  <c r="Z122" i="37"/>
  <c r="Y122" i="37"/>
  <c r="Z914" i="37"/>
  <c r="Y914" i="37"/>
  <c r="Z98" i="37"/>
  <c r="Y98" i="37"/>
  <c r="Z93" i="37"/>
  <c r="Y93" i="37"/>
  <c r="Z529" i="37"/>
  <c r="Y529" i="37"/>
  <c r="Z899" i="37"/>
  <c r="Y899" i="37"/>
  <c r="Y113" i="37"/>
  <c r="Z113" i="37"/>
  <c r="Z498" i="37"/>
  <c r="Y498" i="37"/>
  <c r="Z474" i="37"/>
  <c r="Y474" i="37"/>
  <c r="Z106" i="37"/>
  <c r="Y106" i="37"/>
  <c r="Z905" i="37"/>
  <c r="Y905" i="37"/>
  <c r="Y76" i="37"/>
  <c r="Z76" i="37"/>
  <c r="Z475" i="37"/>
  <c r="Y475" i="37"/>
  <c r="Y73" i="37"/>
  <c r="Z73" i="37"/>
  <c r="Z67" i="37"/>
  <c r="Y67" i="37"/>
  <c r="Y885" i="37"/>
  <c r="Z885" i="37"/>
  <c r="Y145" i="37"/>
  <c r="Z145" i="37"/>
  <c r="Y861" i="37"/>
  <c r="Z861" i="37"/>
  <c r="Z95" i="37"/>
  <c r="Y95" i="37"/>
  <c r="Y493" i="37"/>
  <c r="Z493" i="37"/>
  <c r="Y510" i="37"/>
  <c r="Z510" i="37"/>
  <c r="Z79" i="37"/>
  <c r="Y79" i="37"/>
  <c r="Z466" i="37"/>
  <c r="Y466" i="37"/>
  <c r="Z540" i="37"/>
  <c r="Y540" i="37"/>
  <c r="Y57" i="37"/>
  <c r="Z57" i="37"/>
  <c r="Y454" i="37"/>
  <c r="Z454" i="37"/>
  <c r="Z522" i="37"/>
  <c r="Y522" i="37"/>
  <c r="Z457" i="37"/>
  <c r="Y457" i="37"/>
  <c r="Z102" i="37"/>
  <c r="Y102" i="37"/>
  <c r="Z127" i="37"/>
  <c r="Y127" i="37"/>
  <c r="Z75" i="37"/>
  <c r="Y75" i="37"/>
  <c r="Z929" i="37"/>
  <c r="Y929" i="37"/>
  <c r="Y452" i="37"/>
  <c r="Z452" i="37"/>
  <c r="Z462" i="37"/>
  <c r="Y462" i="37"/>
  <c r="Y906" i="37"/>
  <c r="Z906" i="37"/>
  <c r="Z516" i="37"/>
  <c r="Y516" i="37"/>
  <c r="Z449" i="37"/>
  <c r="Y449" i="37"/>
  <c r="Z99" i="37"/>
  <c r="Y99" i="37"/>
  <c r="Z525" i="37"/>
  <c r="Y525" i="37"/>
  <c r="Z514" i="37"/>
  <c r="Y514" i="37"/>
  <c r="Z888" i="37"/>
  <c r="Y888" i="37"/>
  <c r="Z495" i="37"/>
  <c r="Y495" i="37"/>
  <c r="Z866" i="37"/>
  <c r="Y866" i="37"/>
  <c r="Z874" i="37"/>
  <c r="Y874" i="37"/>
  <c r="Y72" i="37"/>
  <c r="Z72" i="37"/>
  <c r="Z476" i="37"/>
  <c r="Y476" i="37"/>
  <c r="Z467" i="37"/>
  <c r="Y467" i="37"/>
  <c r="Z539" i="37"/>
  <c r="Y539" i="37"/>
  <c r="Z144" i="37"/>
  <c r="Y144" i="37"/>
  <c r="Z858" i="37"/>
  <c r="Y858" i="37"/>
  <c r="Y137" i="37"/>
  <c r="Z137" i="37"/>
  <c r="Y890" i="37"/>
  <c r="Z890" i="37"/>
  <c r="Z855" i="37"/>
  <c r="Y855" i="37"/>
  <c r="Z458" i="37"/>
  <c r="Y458" i="37"/>
  <c r="Z131" i="37"/>
  <c r="Y131" i="37"/>
  <c r="Y927" i="37"/>
  <c r="Z927" i="37"/>
  <c r="Z124" i="37"/>
  <c r="Y124" i="37"/>
  <c r="Y97" i="37"/>
  <c r="Z97" i="37"/>
  <c r="Z864" i="37"/>
  <c r="Y864" i="37"/>
  <c r="Z884" i="37"/>
  <c r="Y884" i="37"/>
  <c r="Z934" i="37"/>
  <c r="Y934" i="37"/>
  <c r="Z915" i="37"/>
  <c r="Y915" i="37"/>
  <c r="Y848" i="37"/>
  <c r="Z848" i="37"/>
  <c r="Z907" i="37"/>
  <c r="Y907" i="37"/>
  <c r="Y536" i="37"/>
  <c r="Z536" i="37"/>
  <c r="Z936" i="37"/>
  <c r="Y936" i="37"/>
  <c r="Y89" i="37"/>
  <c r="Z89" i="37"/>
  <c r="Z882" i="37"/>
  <c r="Y882" i="37"/>
  <c r="Y132" i="37"/>
  <c r="Z132" i="37"/>
  <c r="Y871" i="37"/>
  <c r="Z871" i="37"/>
  <c r="Z543" i="37"/>
  <c r="Y543" i="37"/>
  <c r="Y60" i="37"/>
  <c r="Z60" i="37"/>
  <c r="Y92" i="37"/>
  <c r="Z92" i="37"/>
  <c r="Y505" i="37"/>
  <c r="Z505" i="37"/>
  <c r="Y111" i="37"/>
  <c r="Z111" i="37"/>
  <c r="Z872" i="37"/>
  <c r="Y872" i="37"/>
  <c r="Z499" i="37"/>
  <c r="Y499" i="37"/>
  <c r="Y517" i="37"/>
  <c r="Z517" i="37"/>
  <c r="Z521" i="37"/>
  <c r="Y521" i="37"/>
  <c r="Z919" i="37"/>
  <c r="Y919" i="37"/>
  <c r="Z115" i="37"/>
  <c r="Y115" i="37"/>
  <c r="Y134" i="37"/>
  <c r="Z134" i="37"/>
  <c r="Z542" i="37"/>
  <c r="Y542" i="37"/>
  <c r="Y143" i="37"/>
  <c r="Z143" i="37"/>
  <c r="Z103" i="37"/>
  <c r="Y103" i="37"/>
  <c r="Y104" i="37"/>
  <c r="Z104" i="37"/>
  <c r="Z892" i="37"/>
  <c r="Y892" i="37"/>
  <c r="Z69" i="37"/>
  <c r="Y69" i="37"/>
  <c r="Z463" i="37"/>
  <c r="Y463" i="37"/>
  <c r="Y125" i="37"/>
  <c r="Z125" i="37"/>
  <c r="Y930" i="37"/>
  <c r="Z930" i="37"/>
  <c r="Z130" i="37"/>
  <c r="Y130" i="37"/>
  <c r="Z117" i="37"/>
  <c r="Y117" i="37"/>
  <c r="Z121" i="37"/>
  <c r="Y121" i="37"/>
  <c r="Z868" i="37"/>
  <c r="Y868" i="37"/>
  <c r="Z455" i="37"/>
  <c r="Y455" i="37"/>
  <c r="Z91" i="37"/>
  <c r="Y91" i="37"/>
  <c r="Z61" i="37"/>
  <c r="Y61" i="37"/>
  <c r="Z535" i="37"/>
  <c r="Y535" i="37"/>
  <c r="Z147" i="37"/>
  <c r="Y147" i="37"/>
  <c r="Y922" i="37"/>
  <c r="Z922" i="37"/>
  <c r="Z477" i="37"/>
  <c r="Y477" i="37"/>
  <c r="Y84" i="37"/>
  <c r="Z84" i="37"/>
  <c r="Z488" i="37"/>
  <c r="Y488" i="37"/>
  <c r="Y483" i="37"/>
  <c r="Z483" i="37"/>
  <c r="Z451" i="37"/>
  <c r="Y451" i="37"/>
  <c r="Z528" i="37"/>
  <c r="Y528" i="37"/>
  <c r="Z865" i="37"/>
  <c r="Y865" i="37"/>
  <c r="Y520" i="37"/>
  <c r="Z520" i="37"/>
  <c r="Z120" i="37"/>
  <c r="Y120" i="37"/>
  <c r="Z506" i="37"/>
  <c r="Y506" i="37"/>
  <c r="Z70" i="37"/>
  <c r="Y70" i="37"/>
  <c r="Z860" i="37"/>
  <c r="Y860" i="37"/>
  <c r="Z544" i="37"/>
  <c r="Y544" i="37"/>
  <c r="Z519" i="37"/>
  <c r="Y519" i="37"/>
  <c r="Z114" i="37"/>
  <c r="Y114" i="37"/>
  <c r="Z461" i="37"/>
  <c r="Y461" i="37"/>
  <c r="Z873" i="37"/>
  <c r="Y873" i="37"/>
  <c r="Z849" i="37"/>
  <c r="Y849" i="37"/>
  <c r="Z526" i="37"/>
  <c r="Y526" i="37"/>
  <c r="Z142" i="37"/>
  <c r="Y142" i="37"/>
  <c r="Z847" i="37"/>
  <c r="Y847" i="37"/>
  <c r="Z926" i="37"/>
  <c r="Y926" i="37"/>
  <c r="Z923" i="37"/>
  <c r="Y923" i="37"/>
  <c r="Z487" i="37"/>
  <c r="Y487" i="37"/>
  <c r="Y63" i="37"/>
  <c r="Z63" i="37"/>
  <c r="Z842" i="37"/>
  <c r="Y842" i="37"/>
  <c r="Z891" i="37"/>
  <c r="Y891" i="37"/>
  <c r="Z902" i="37"/>
  <c r="Y902" i="37"/>
  <c r="Z471" i="37"/>
  <c r="Y471" i="37"/>
  <c r="Y843" i="37"/>
  <c r="Z843" i="37"/>
  <c r="Y504" i="37"/>
  <c r="Z504" i="37"/>
  <c r="Y533" i="37"/>
  <c r="Z533" i="37"/>
  <c r="Z513" i="37"/>
  <c r="Y513" i="37"/>
  <c r="Z497" i="37"/>
  <c r="Y497" i="37"/>
  <c r="Z456" i="37"/>
  <c r="Y456" i="37"/>
  <c r="Z123" i="37"/>
  <c r="Y123" i="37"/>
  <c r="Y83" i="37"/>
  <c r="Z83" i="37"/>
  <c r="Z911" i="37"/>
  <c r="Y911" i="37"/>
  <c r="Y895" i="37"/>
  <c r="Z895" i="37"/>
  <c r="Z450" i="37"/>
  <c r="Y450" i="37"/>
  <c r="Z527" i="37"/>
  <c r="Y527" i="37"/>
  <c r="Z859" i="37"/>
  <c r="Y859" i="37"/>
  <c r="Z94" i="37"/>
  <c r="Y94" i="37"/>
  <c r="Z511" i="37"/>
  <c r="Y511" i="37"/>
  <c r="Z152" i="37"/>
  <c r="Y152" i="37"/>
  <c r="Z133" i="37"/>
  <c r="Y133" i="37"/>
  <c r="Z840" i="37"/>
  <c r="Y840" i="37"/>
  <c r="Z77" i="37"/>
  <c r="Y77" i="37"/>
  <c r="Y909" i="37"/>
  <c r="Z909" i="37"/>
  <c r="Z465" i="37"/>
  <c r="Y465" i="37"/>
  <c r="Z59" i="37"/>
  <c r="Y59" i="37"/>
  <c r="Z494" i="37"/>
  <c r="Y494" i="37"/>
  <c r="Y839" i="37"/>
  <c r="Z839" i="37"/>
  <c r="Y492" i="37"/>
  <c r="Z492" i="37"/>
  <c r="Z508" i="37"/>
  <c r="Y508" i="37"/>
  <c r="Z862" i="37"/>
  <c r="Y862" i="37"/>
  <c r="Z857" i="37"/>
  <c r="Y857" i="37"/>
  <c r="Z459" i="37"/>
  <c r="Y459" i="37"/>
  <c r="Z469" i="37"/>
  <c r="Y469" i="37"/>
  <c r="Z850" i="37"/>
  <c r="Y850" i="37"/>
  <c r="Z80" i="37"/>
  <c r="Y80" i="37"/>
  <c r="Z62" i="37"/>
  <c r="Y62" i="37"/>
  <c r="Z879" i="37"/>
  <c r="Y879" i="37"/>
  <c r="Z112" i="37"/>
  <c r="Y112" i="37"/>
  <c r="Y863" i="37"/>
  <c r="Z863" i="37"/>
  <c r="Z85" i="37"/>
  <c r="Y85" i="37"/>
  <c r="Z136" i="37"/>
  <c r="Y136" i="37"/>
  <c r="Z515" i="37"/>
  <c r="Y515" i="37"/>
  <c r="Z500" i="37"/>
  <c r="Y500" i="37"/>
  <c r="Z523" i="37"/>
  <c r="Y523" i="37"/>
  <c r="Z913" i="37"/>
  <c r="Y913" i="37"/>
  <c r="Z875" i="37"/>
  <c r="Y875" i="37"/>
  <c r="Y925" i="37"/>
  <c r="Z925" i="37"/>
  <c r="Z524" i="37"/>
  <c r="Y524" i="37"/>
  <c r="Z867" i="37"/>
  <c r="Y867" i="37"/>
  <c r="Y116" i="37"/>
  <c r="Z116" i="37"/>
  <c r="Y880" i="37"/>
  <c r="Z880" i="37"/>
  <c r="Z537" i="37"/>
  <c r="Y537" i="37"/>
  <c r="Z473" i="37"/>
  <c r="Y473" i="37"/>
  <c r="Z82" i="37"/>
  <c r="Y82" i="37"/>
  <c r="Z447" i="37"/>
  <c r="Y447" i="37"/>
  <c r="Z918" i="37"/>
  <c r="Y918" i="37"/>
  <c r="Y903" i="37"/>
  <c r="Z903" i="37"/>
  <c r="Z138" i="37"/>
  <c r="Y138" i="37"/>
  <c r="Z478" i="37"/>
  <c r="Y478" i="37"/>
  <c r="Y460" i="37"/>
  <c r="Z460" i="37"/>
  <c r="Y100" i="37"/>
  <c r="Z100" i="37"/>
  <c r="Y485" i="37"/>
  <c r="Z485" i="37"/>
  <c r="Z58" i="37"/>
  <c r="Y58" i="37"/>
  <c r="Z900" i="37"/>
  <c r="Y900" i="37"/>
  <c r="Z96" i="37"/>
  <c r="Y96" i="37"/>
  <c r="Z78" i="37"/>
  <c r="Y78" i="37"/>
  <c r="Y856" i="37"/>
  <c r="Z856" i="37"/>
  <c r="Y149" i="37"/>
  <c r="Z149" i="37"/>
  <c r="Y886" i="37"/>
  <c r="Z886" i="37"/>
  <c r="Y917" i="37"/>
  <c r="Z917" i="37"/>
  <c r="Y904" i="37"/>
  <c r="Z904" i="37"/>
  <c r="Z512" i="37"/>
  <c r="Y512" i="37"/>
  <c r="Y878" i="37"/>
  <c r="Z878" i="37"/>
  <c r="Y901" i="37"/>
  <c r="Z901" i="37"/>
  <c r="Z64" i="37"/>
  <c r="Y64" i="37"/>
  <c r="Y68" i="37"/>
  <c r="Z68" i="37"/>
  <c r="Z139" i="37"/>
  <c r="Y139" i="37"/>
  <c r="Y129" i="37"/>
  <c r="Z129" i="37"/>
  <c r="Z881" i="37"/>
  <c r="Y881" i="37"/>
  <c r="Z931" i="37"/>
  <c r="Y931" i="37"/>
  <c r="Z472" i="37"/>
  <c r="Y472" i="37"/>
  <c r="Z876" i="37"/>
  <c r="Y876" i="37"/>
  <c r="Z146" i="37"/>
  <c r="Y146" i="37"/>
  <c r="Z151" i="37"/>
  <c r="Y151" i="37"/>
  <c r="Y844" i="37"/>
  <c r="Z844" i="37"/>
  <c r="Z90" i="37"/>
  <c r="Y90" i="37"/>
  <c r="Z490" i="37"/>
  <c r="Y490" i="37"/>
  <c r="Y482" i="37"/>
  <c r="Z482" i="37"/>
  <c r="Y853" i="37"/>
  <c r="Z853" i="37"/>
  <c r="Z118" i="37"/>
  <c r="Y118" i="37"/>
  <c r="Z869" i="37"/>
  <c r="Y869" i="37"/>
  <c r="Y518" i="37"/>
  <c r="Z518" i="37"/>
  <c r="AF805" i="38"/>
  <c r="U23" i="8"/>
  <c r="A21" i="8"/>
  <c r="AB889" i="38"/>
  <c r="AF889" i="38"/>
  <c r="AB880" i="38"/>
  <c r="AF880" i="38"/>
  <c r="AB857" i="38"/>
  <c r="AF857" i="38"/>
  <c r="AB884" i="38"/>
  <c r="AF884" i="38"/>
  <c r="AB876" i="38"/>
  <c r="AF876" i="38"/>
  <c r="AB878" i="38"/>
  <c r="AF878" i="38"/>
  <c r="AB854" i="38"/>
  <c r="AF854" i="38"/>
  <c r="L853" i="38"/>
  <c r="L860" i="38"/>
  <c r="L888" i="38"/>
  <c r="L852" i="38"/>
  <c r="L887" i="38"/>
  <c r="L867" i="38"/>
  <c r="L845" i="38"/>
  <c r="AF845" i="38" s="1"/>
  <c r="L866" i="38"/>
  <c r="L872" i="38"/>
  <c r="L858" i="38"/>
  <c r="L886" i="38"/>
  <c r="L893" i="38"/>
  <c r="L865" i="38"/>
  <c r="L879" i="38"/>
  <c r="L851" i="38"/>
  <c r="AF851" i="38" s="1"/>
  <c r="L803" i="38"/>
  <c r="AF803" i="38" s="1"/>
  <c r="L798" i="38"/>
  <c r="AF798" i="38" s="1"/>
  <c r="L801" i="38"/>
  <c r="AF801" i="38" s="1"/>
  <c r="L285" i="38"/>
  <c r="AF285" i="38" s="1"/>
  <c r="L808" i="38"/>
  <c r="AF808" i="38" s="1"/>
  <c r="L408" i="38"/>
  <c r="AF408" i="38" s="1"/>
  <c r="L802" i="38"/>
  <c r="L799" i="38"/>
  <c r="AF799" i="38" s="1"/>
  <c r="L807" i="38"/>
  <c r="AF807" i="38" s="1"/>
  <c r="AB952" i="38"/>
  <c r="AB929" i="38"/>
  <c r="AB932" i="38"/>
  <c r="AB922" i="38"/>
  <c r="AB915" i="38"/>
  <c r="AB904" i="38"/>
  <c r="AB931" i="38"/>
  <c r="AB971" i="38"/>
  <c r="AB954" i="38"/>
  <c r="AB972" i="38"/>
  <c r="AB940" i="38"/>
  <c r="L848" i="38"/>
  <c r="AF848" i="38" s="1"/>
  <c r="L870" i="38"/>
  <c r="L849" i="38"/>
  <c r="AF849" i="38" s="1"/>
  <c r="L855" i="38"/>
  <c r="L885" i="38"/>
  <c r="L883" i="38"/>
  <c r="L892" i="38"/>
  <c r="L868" i="38"/>
  <c r="L890" i="38"/>
  <c r="L882" i="38"/>
  <c r="L856" i="38"/>
  <c r="L871" i="38"/>
  <c r="L863" i="38"/>
  <c r="L862" i="38"/>
  <c r="L891" i="38"/>
  <c r="L850" i="38"/>
  <c r="AF850" i="38" s="1"/>
  <c r="L847" i="38"/>
  <c r="AF847" i="38" s="1"/>
  <c r="L864" i="38"/>
  <c r="AB960" i="38"/>
  <c r="AB895" i="38"/>
  <c r="AB901" i="38"/>
  <c r="AB923" i="38"/>
  <c r="AB921" i="38"/>
  <c r="AB967" i="38"/>
  <c r="L861" i="38"/>
  <c r="L875" i="38"/>
  <c r="L869" i="38"/>
  <c r="L877" i="38"/>
  <c r="AB912" i="38"/>
  <c r="AB970" i="38"/>
  <c r="AB966" i="38"/>
  <c r="AB951" i="38"/>
  <c r="AB965" i="38"/>
  <c r="AB928" i="38"/>
  <c r="AB917" i="38"/>
  <c r="AB905" i="38"/>
  <c r="AB908" i="38"/>
  <c r="AB409" i="38"/>
  <c r="AB909" i="38"/>
  <c r="AB925" i="38"/>
  <c r="AB937" i="38"/>
  <c r="AB944" i="38"/>
  <c r="AB898" i="38"/>
  <c r="AB942" i="38"/>
  <c r="Y6" i="37"/>
  <c r="Z6" i="37"/>
  <c r="AB964" i="38"/>
  <c r="AB939" i="38"/>
  <c r="AB918" i="38"/>
  <c r="AB968" i="38"/>
  <c r="L874" i="38"/>
  <c r="AB920" i="38"/>
  <c r="L881" i="38"/>
  <c r="AB948" i="38"/>
  <c r="L873" i="38"/>
  <c r="L846" i="38"/>
  <c r="AF846" i="38" s="1"/>
  <c r="AB930" i="38"/>
  <c r="L859" i="38"/>
  <c r="AB924" i="38"/>
  <c r="AD14" i="38"/>
  <c r="AB900" i="38"/>
  <c r="AB913" i="38"/>
  <c r="AB287" i="38"/>
  <c r="AB903" i="38"/>
  <c r="AB943" i="38"/>
  <c r="AB957" i="38"/>
  <c r="AB941" i="38"/>
  <c r="AD961" i="38"/>
  <c r="AB914" i="38"/>
  <c r="L450" i="38"/>
  <c r="AB450" i="38" s="1"/>
  <c r="AB407" i="38"/>
  <c r="AB956" i="38"/>
  <c r="AB969" i="38"/>
  <c r="AB906" i="38"/>
  <c r="AB933" i="38"/>
  <c r="AB935" i="38"/>
  <c r="AB907" i="38"/>
  <c r="AB973" i="38"/>
  <c r="AB894" i="38"/>
  <c r="AB949" i="38"/>
  <c r="AB927" i="38"/>
  <c r="AB976" i="38"/>
  <c r="AB916" i="38"/>
  <c r="AB910" i="38"/>
  <c r="AB958" i="38"/>
  <c r="AB947" i="38"/>
  <c r="AB899" i="38"/>
  <c r="AB946" i="38"/>
  <c r="AB902" i="38"/>
  <c r="AB938" i="38"/>
  <c r="AB936" i="38"/>
  <c r="AB926" i="38"/>
  <c r="AB955" i="38"/>
  <c r="AB896" i="38"/>
  <c r="AB945" i="38"/>
  <c r="AB961" i="38"/>
  <c r="AB974" i="38"/>
  <c r="AB975" i="38"/>
  <c r="AB959" i="38"/>
  <c r="AB962" i="38"/>
  <c r="AB800" i="38"/>
  <c r="AB953" i="38"/>
  <c r="AB911" i="38"/>
  <c r="AB897" i="38"/>
  <c r="AB286" i="38"/>
  <c r="AB805" i="38"/>
  <c r="AB950" i="38"/>
  <c r="AB934" i="38"/>
  <c r="S3" i="42"/>
  <c r="S3" i="44"/>
  <c r="AB963" i="38"/>
  <c r="AB919" i="38"/>
  <c r="AB804" i="38"/>
  <c r="C4" i="42"/>
  <c r="C4" i="14"/>
  <c r="C4" i="44"/>
  <c r="AB806" i="38"/>
  <c r="L276" i="38"/>
  <c r="AF276" i="38" s="1"/>
  <c r="L764" i="38"/>
  <c r="AB764" i="38" s="1"/>
  <c r="L781" i="38"/>
  <c r="AB781" i="38" s="1"/>
  <c r="L771" i="38"/>
  <c r="AB771" i="38" s="1"/>
  <c r="L314" i="38"/>
  <c r="AB314" i="38" s="1"/>
  <c r="L3" i="38"/>
  <c r="AF3" i="38" s="1"/>
  <c r="L283" i="38"/>
  <c r="AF283" i="38" s="1"/>
  <c r="L517" i="38"/>
  <c r="AF517" i="38" s="1"/>
  <c r="L195" i="38"/>
  <c r="AB195" i="38" s="1"/>
  <c r="L554" i="38"/>
  <c r="AB554" i="38" s="1"/>
  <c r="L621" i="38"/>
  <c r="AB621" i="38" s="1"/>
  <c r="L87" i="38"/>
  <c r="AB87" i="38" s="1"/>
  <c r="L131" i="38"/>
  <c r="AB131" i="38" s="1"/>
  <c r="L813" i="38"/>
  <c r="AB813" i="38" s="1"/>
  <c r="L355" i="38"/>
  <c r="AB355" i="38" s="1"/>
  <c r="L770" i="38"/>
  <c r="AB770" i="38" s="1"/>
  <c r="L540" i="38"/>
  <c r="AB540" i="38" s="1"/>
  <c r="L60" i="38"/>
  <c r="AB60" i="38" s="1"/>
  <c r="L515" i="38"/>
  <c r="AF515" i="38" s="1"/>
  <c r="L687" i="38"/>
  <c r="AB687" i="38" s="1"/>
  <c r="L718" i="38"/>
  <c r="AB718" i="38" s="1"/>
  <c r="L441" i="38"/>
  <c r="AB441" i="38" s="1"/>
  <c r="L210" i="38"/>
  <c r="AB210" i="38" s="1"/>
  <c r="L238" i="38"/>
  <c r="AB238" i="38" s="1"/>
  <c r="L672" i="38"/>
  <c r="AF672" i="38" s="1"/>
  <c r="L94" i="38"/>
  <c r="AB94" i="38" s="1"/>
  <c r="L308" i="38"/>
  <c r="AB308" i="38" s="1"/>
  <c r="L426" i="38"/>
  <c r="AB426" i="38" s="1"/>
  <c r="L53" i="38"/>
  <c r="AB53" i="38" s="1"/>
  <c r="L227" i="38"/>
  <c r="AB227" i="38" s="1"/>
  <c r="L174" i="38"/>
  <c r="AB174" i="38" s="1"/>
  <c r="L343" i="38"/>
  <c r="AB343" i="38" s="1"/>
  <c r="L427" i="38"/>
  <c r="AB427" i="38" s="1"/>
  <c r="L694" i="38"/>
  <c r="AB694" i="38" s="1"/>
  <c r="L763" i="38"/>
  <c r="AB763" i="38" s="1"/>
  <c r="L356" i="38"/>
  <c r="AB356" i="38" s="1"/>
  <c r="L727" i="38"/>
  <c r="AB727" i="38" s="1"/>
  <c r="L519" i="38"/>
  <c r="AF519" i="38" s="1"/>
  <c r="L140" i="38"/>
  <c r="AB140" i="38" s="1"/>
  <c r="L429" i="38"/>
  <c r="AB429" i="38" s="1"/>
  <c r="L787" i="38"/>
  <c r="AB787" i="38" s="1"/>
  <c r="L571" i="38"/>
  <c r="AB571" i="38" s="1"/>
  <c r="L817" i="38"/>
  <c r="AB817" i="38" s="1"/>
  <c r="L295" i="38"/>
  <c r="AB295" i="38" s="1"/>
  <c r="L269" i="38"/>
  <c r="AF269" i="38" s="1"/>
  <c r="L77" i="38"/>
  <c r="AB77" i="38" s="1"/>
  <c r="L404" i="38"/>
  <c r="AF404" i="38" s="1"/>
  <c r="L424" i="38"/>
  <c r="AB424" i="38" s="1"/>
  <c r="L693" i="38"/>
  <c r="AB693" i="38" s="1"/>
  <c r="L548" i="38"/>
  <c r="AB548" i="38" s="1"/>
  <c r="L653" i="38"/>
  <c r="AB653" i="38" s="1"/>
  <c r="L532" i="38"/>
  <c r="AF532" i="38" s="1"/>
  <c r="L670" i="38"/>
  <c r="AF670" i="38" s="1"/>
  <c r="L338" i="38"/>
  <c r="AB338" i="38" s="1"/>
  <c r="L661" i="38"/>
  <c r="AF661" i="38" s="1"/>
  <c r="L654" i="38"/>
  <c r="AB654" i="38" s="1"/>
  <c r="L419" i="38"/>
  <c r="AB419" i="38" s="1"/>
  <c r="L497" i="38"/>
  <c r="AB497" i="38" s="1"/>
  <c r="L577" i="38"/>
  <c r="AB577" i="38" s="1"/>
  <c r="L582" i="38"/>
  <c r="AB582" i="38" s="1"/>
  <c r="L627" i="38"/>
  <c r="AB627" i="38" s="1"/>
  <c r="L776" i="38"/>
  <c r="AB776" i="38" s="1"/>
  <c r="L665" i="38"/>
  <c r="AF665" i="38" s="1"/>
  <c r="L394" i="38"/>
  <c r="AF394" i="38" s="1"/>
  <c r="L446" i="38"/>
  <c r="AB446" i="38" s="1"/>
  <c r="L127" i="38"/>
  <c r="AB127" i="38" s="1"/>
  <c r="L46" i="38"/>
  <c r="AB46" i="38" s="1"/>
  <c r="L819" i="38"/>
  <c r="AB819" i="38" s="1"/>
  <c r="L168" i="38"/>
  <c r="AF168" i="38" s="1"/>
  <c r="L189" i="38"/>
  <c r="AB189" i="38" s="1"/>
  <c r="L90" i="38"/>
  <c r="AB90" i="38" s="1"/>
  <c r="L354" i="38"/>
  <c r="AB354" i="38" s="1"/>
  <c r="L397" i="38"/>
  <c r="AF397" i="38" s="1"/>
  <c r="L92" i="38"/>
  <c r="AB92" i="38" s="1"/>
  <c r="L486" i="38"/>
  <c r="AB486" i="38" s="1"/>
  <c r="L422" i="38"/>
  <c r="AB422" i="38" s="1"/>
  <c r="L58" i="38"/>
  <c r="AB58" i="38" s="1"/>
  <c r="L25" i="38"/>
  <c r="AB25" i="38" s="1"/>
  <c r="L758" i="38"/>
  <c r="AB758" i="38" s="1"/>
  <c r="L257" i="38"/>
  <c r="AB257" i="38" s="1"/>
  <c r="L278" i="38"/>
  <c r="AF278" i="38" s="1"/>
  <c r="L703" i="38"/>
  <c r="AB703" i="38" s="1"/>
  <c r="L459" i="38"/>
  <c r="AB459" i="38" s="1"/>
  <c r="L124" i="38"/>
  <c r="AB124" i="38" s="1"/>
  <c r="L71" i="38"/>
  <c r="AB71" i="38" s="1"/>
  <c r="L528" i="38"/>
  <c r="AF528" i="38" s="1"/>
  <c r="L273" i="38"/>
  <c r="AF273" i="38" s="1"/>
  <c r="L826" i="38"/>
  <c r="AB826" i="38" s="1"/>
  <c r="L552" i="38"/>
  <c r="AB552" i="38" s="1"/>
  <c r="L624" i="38"/>
  <c r="AB624" i="38" s="1"/>
  <c r="L432" i="38"/>
  <c r="AB432" i="38" s="1"/>
  <c r="L194" i="38"/>
  <c r="AB194" i="38" s="1"/>
  <c r="L228" i="38"/>
  <c r="AB228" i="38" s="1"/>
  <c r="L575" i="38"/>
  <c r="AB575" i="38" s="1"/>
  <c r="L333" i="38"/>
  <c r="AB333" i="38" s="1"/>
  <c r="L657" i="38"/>
  <c r="AB657" i="38" s="1"/>
  <c r="L93" i="38"/>
  <c r="AB93" i="38" s="1"/>
  <c r="L416" i="38"/>
  <c r="AB416" i="38" s="1"/>
  <c r="L372" i="38"/>
  <c r="AB372" i="38" s="1"/>
  <c r="L785" i="38"/>
  <c r="AB785" i="38" s="1"/>
  <c r="L381" i="38"/>
  <c r="AB381" i="38" s="1"/>
  <c r="L690" i="38"/>
  <c r="AB690" i="38" s="1"/>
  <c r="L256" i="38"/>
  <c r="AB256" i="38" s="1"/>
  <c r="L590" i="38"/>
  <c r="AB590" i="38" s="1"/>
  <c r="L118" i="38"/>
  <c r="AB118" i="38" s="1"/>
  <c r="L405" i="38"/>
  <c r="AF405" i="38" s="1"/>
  <c r="L318" i="38"/>
  <c r="AB318" i="38" s="1"/>
  <c r="L572" i="38"/>
  <c r="AB572" i="38" s="1"/>
  <c r="L673" i="38"/>
  <c r="AF673" i="38" s="1"/>
  <c r="L767" i="38"/>
  <c r="AB767" i="38" s="1"/>
  <c r="L647" i="38"/>
  <c r="AB647" i="38" s="1"/>
  <c r="L42" i="38"/>
  <c r="AB42" i="38" s="1"/>
  <c r="L560" i="38"/>
  <c r="AB560" i="38" s="1"/>
  <c r="L465" i="38"/>
  <c r="AB465" i="38" s="1"/>
  <c r="L722" i="38"/>
  <c r="AB722" i="38" s="1"/>
  <c r="L54" i="38"/>
  <c r="AB54" i="38" s="1"/>
  <c r="L82" i="38"/>
  <c r="AB82" i="38" s="1"/>
  <c r="L608" i="38"/>
  <c r="AB608" i="38" s="1"/>
  <c r="L341" i="38"/>
  <c r="AB341" i="38" s="1"/>
  <c r="L812" i="38"/>
  <c r="AB812" i="38" s="1"/>
  <c r="L605" i="38"/>
  <c r="AB605" i="38" s="1"/>
  <c r="L757" i="38"/>
  <c r="AB757" i="38" s="1"/>
  <c r="L393" i="38"/>
  <c r="AF393" i="38" s="1"/>
  <c r="L632" i="38"/>
  <c r="AB632" i="38" s="1"/>
  <c r="L76" i="38"/>
  <c r="AB76" i="38" s="1"/>
  <c r="L641" i="38"/>
  <c r="AB641" i="38" s="1"/>
  <c r="L717" i="38"/>
  <c r="AB717" i="38" s="1"/>
  <c r="L660" i="38"/>
  <c r="AF660" i="38" s="1"/>
  <c r="L47" i="38"/>
  <c r="AB47" i="38" s="1"/>
  <c r="L716" i="38"/>
  <c r="AB716" i="38" s="1"/>
  <c r="L319" i="38"/>
  <c r="AB319" i="38" s="1"/>
  <c r="L332" i="38"/>
  <c r="AB332" i="38" s="1"/>
  <c r="L749" i="38"/>
  <c r="AB749" i="38" s="1"/>
  <c r="L662" i="38"/>
  <c r="AF662" i="38" s="1"/>
  <c r="L410" i="38"/>
  <c r="AB410" i="38" s="1"/>
  <c r="L434" i="38"/>
  <c r="AB434" i="38" s="1"/>
  <c r="L721" i="38"/>
  <c r="AB721" i="38" s="1"/>
  <c r="L156" i="38"/>
  <c r="AF156" i="38" s="1"/>
  <c r="L386" i="38"/>
  <c r="AB386" i="38" s="1"/>
  <c r="L610" i="38"/>
  <c r="AB610" i="38" s="1"/>
  <c r="L631" i="38"/>
  <c r="AB631" i="38" s="1"/>
  <c r="L447" i="38"/>
  <c r="AB447" i="38" s="1"/>
  <c r="L511" i="38"/>
  <c r="AB511" i="38" s="1"/>
  <c r="L23" i="38"/>
  <c r="AF23" i="38" s="1"/>
  <c r="L32" i="38"/>
  <c r="AB32" i="38" s="1"/>
  <c r="L700" i="38"/>
  <c r="AB700" i="38" s="1"/>
  <c r="L823" i="38"/>
  <c r="AB823" i="38" s="1"/>
  <c r="L325" i="38"/>
  <c r="AB325" i="38" s="1"/>
  <c r="L57" i="38"/>
  <c r="AB57" i="38" s="1"/>
  <c r="L45" i="38"/>
  <c r="AB45" i="38" s="1"/>
  <c r="L487" i="38"/>
  <c r="AB487" i="38" s="1"/>
  <c r="L436" i="38"/>
  <c r="AB436" i="38" s="1"/>
  <c r="L268" i="38"/>
  <c r="AF268" i="38" s="1"/>
  <c r="L476" i="38"/>
  <c r="AB476" i="38" s="1"/>
  <c r="L433" i="38"/>
  <c r="AB433" i="38" s="1"/>
  <c r="L293" i="38"/>
  <c r="AB293" i="38" s="1"/>
  <c r="L31" i="38"/>
  <c r="AB31" i="38" s="1"/>
  <c r="L180" i="38"/>
  <c r="AB180" i="38" s="1"/>
  <c r="L112" i="38"/>
  <c r="AB112" i="38" s="1"/>
  <c r="L536" i="38"/>
  <c r="AB536" i="38" s="1"/>
  <c r="L507" i="38"/>
  <c r="AB507" i="38" s="1"/>
  <c r="L63" i="38"/>
  <c r="AB63" i="38" s="1"/>
  <c r="L815" i="38"/>
  <c r="AB815" i="38" s="1"/>
  <c r="L618" i="38"/>
  <c r="AB618" i="38" s="1"/>
  <c r="L282" i="38"/>
  <c r="AF282" i="38" s="1"/>
  <c r="L723" i="38"/>
  <c r="AB723" i="38" s="1"/>
  <c r="L264" i="38"/>
  <c r="AB264" i="38" s="1"/>
  <c r="L732" i="38"/>
  <c r="AB732" i="38" s="1"/>
  <c r="L443" i="38"/>
  <c r="AB443" i="38" s="1"/>
  <c r="L280" i="38"/>
  <c r="AF280" i="38" s="1"/>
  <c r="L340" i="38"/>
  <c r="AB340" i="38" s="1"/>
  <c r="L135" i="38"/>
  <c r="AB135" i="38" s="1"/>
  <c r="L600" i="38"/>
  <c r="AB600" i="38" s="1"/>
  <c r="L230" i="38"/>
  <c r="AB230" i="38" s="1"/>
  <c r="L149" i="38"/>
  <c r="AB149" i="38" s="1"/>
  <c r="L346" i="38"/>
  <c r="AB346" i="38" s="1"/>
  <c r="L494" i="38"/>
  <c r="AB494" i="38" s="1"/>
  <c r="L617" i="38"/>
  <c r="AB617" i="38" s="1"/>
  <c r="L117" i="38"/>
  <c r="AB117" i="38" s="1"/>
  <c r="L720" i="38"/>
  <c r="AB720" i="38" s="1"/>
  <c r="L587" i="38"/>
  <c r="AB587" i="38" s="1"/>
  <c r="L153" i="38"/>
  <c r="AB153" i="38" s="1"/>
  <c r="L680" i="38"/>
  <c r="AB680" i="38" s="1"/>
  <c r="L169" i="38"/>
  <c r="AF169" i="38" s="1"/>
  <c r="L652" i="38"/>
  <c r="AB652" i="38" s="1"/>
  <c r="L482" i="38"/>
  <c r="AB482" i="38" s="1"/>
  <c r="L530" i="38"/>
  <c r="AF530" i="38" s="1"/>
  <c r="L18" i="38"/>
  <c r="AF18" i="38" s="1"/>
  <c r="L728" i="38"/>
  <c r="AB728" i="38" s="1"/>
  <c r="L544" i="38"/>
  <c r="AB544" i="38" s="1"/>
  <c r="L277" i="38"/>
  <c r="AF277" i="38" s="1"/>
  <c r="L724" i="38"/>
  <c r="AB724" i="38" s="1"/>
  <c r="L488" i="38"/>
  <c r="AB488" i="38" s="1"/>
  <c r="L5" i="38"/>
  <c r="AF5" i="38" s="1"/>
  <c r="L95" i="38"/>
  <c r="AB95" i="38" s="1"/>
  <c r="L759" i="38"/>
  <c r="AB759" i="38" s="1"/>
  <c r="L818" i="38"/>
  <c r="AB818" i="38" s="1"/>
  <c r="L384" i="38"/>
  <c r="AB384" i="38" s="1"/>
  <c r="L796" i="38"/>
  <c r="AF796" i="38" s="1"/>
  <c r="L545" i="38"/>
  <c r="AB545" i="38" s="1"/>
  <c r="L625" i="38"/>
  <c r="AB625" i="38" s="1"/>
  <c r="L35" i="38"/>
  <c r="AB35" i="38" s="1"/>
  <c r="L739" i="38"/>
  <c r="AB739" i="38" s="1"/>
  <c r="L250" i="38"/>
  <c r="AB250" i="38" s="1"/>
  <c r="L104" i="38"/>
  <c r="AB104" i="38" s="1"/>
  <c r="L492" i="38"/>
  <c r="AB492" i="38" s="1"/>
  <c r="L403" i="38"/>
  <c r="AF403" i="38" s="1"/>
  <c r="L122" i="38"/>
  <c r="AB122" i="38" s="1"/>
  <c r="L89" i="38"/>
  <c r="AB89" i="38" s="1"/>
  <c r="L13" i="38"/>
  <c r="AF13" i="38" s="1"/>
  <c r="L321" i="38"/>
  <c r="AB321" i="38" s="1"/>
  <c r="L342" i="38"/>
  <c r="AB342" i="38" s="1"/>
  <c r="L493" i="38"/>
  <c r="AB493" i="38" s="1"/>
  <c r="L502" i="38"/>
  <c r="AB502" i="38" s="1"/>
  <c r="L43" i="38"/>
  <c r="AB43" i="38" s="1"/>
  <c r="L753" i="38"/>
  <c r="AB753" i="38" s="1"/>
  <c r="L598" i="38"/>
  <c r="AB598" i="38" s="1"/>
  <c r="L635" i="38"/>
  <c r="AB635" i="38" s="1"/>
  <c r="L656" i="38"/>
  <c r="AB656" i="38" s="1"/>
  <c r="L158" i="38"/>
  <c r="AF158" i="38" s="1"/>
  <c r="L183" i="38"/>
  <c r="AB183" i="38" s="1"/>
  <c r="L442" i="38"/>
  <c r="AB442" i="38" s="1"/>
  <c r="L448" i="38"/>
  <c r="AB448" i="38" s="1"/>
  <c r="L72" i="38"/>
  <c r="AB72" i="38" s="1"/>
  <c r="L501" i="38"/>
  <c r="AB501" i="38" s="1"/>
  <c r="L506" i="38"/>
  <c r="AB506" i="38" s="1"/>
  <c r="L126" i="38"/>
  <c r="AB126" i="38" s="1"/>
  <c r="L551" i="38"/>
  <c r="AB551" i="38" s="1"/>
  <c r="L15" i="38"/>
  <c r="AF15" i="38" s="1"/>
  <c r="L772" i="38"/>
  <c r="AB772" i="38" s="1"/>
  <c r="L746" i="38"/>
  <c r="AB746" i="38" s="1"/>
  <c r="L248" i="38"/>
  <c r="AB248" i="38" s="1"/>
  <c r="L508" i="38"/>
  <c r="AB508" i="38" s="1"/>
  <c r="L301" i="38"/>
  <c r="AB301" i="38" s="1"/>
  <c r="L232" i="38"/>
  <c r="AB232" i="38" s="1"/>
  <c r="L790" i="38"/>
  <c r="AB790" i="38" s="1"/>
  <c r="L782" i="38"/>
  <c r="AB782" i="38" s="1"/>
  <c r="L668" i="38"/>
  <c r="AF668" i="38" s="1"/>
  <c r="L97" i="38"/>
  <c r="AB97" i="38" s="1"/>
  <c r="L44" i="38"/>
  <c r="AB44" i="38" s="1"/>
  <c r="L20" i="38"/>
  <c r="AF20" i="38" s="1"/>
  <c r="L48" i="38"/>
  <c r="AB48" i="38" s="1"/>
  <c r="L317" i="38"/>
  <c r="AB317" i="38" s="1"/>
  <c r="L562" i="38"/>
  <c r="AB562" i="38" s="1"/>
  <c r="L192" i="38"/>
  <c r="AB192" i="38" s="1"/>
  <c r="L783" i="38"/>
  <c r="AB783" i="38" s="1"/>
  <c r="L797" i="38"/>
  <c r="AF797" i="38" s="1"/>
  <c r="L481" i="38"/>
  <c r="AB481" i="38" s="1"/>
  <c r="L80" i="38"/>
  <c r="AB80" i="38" s="1"/>
  <c r="L270" i="38"/>
  <c r="AF270" i="38" s="1"/>
  <c r="L558" i="38"/>
  <c r="AB558" i="38" s="1"/>
  <c r="L514" i="38"/>
  <c r="AF514" i="38" s="1"/>
  <c r="L99" i="38"/>
  <c r="AB99" i="38" s="1"/>
  <c r="L557" i="38"/>
  <c r="AB557" i="38" s="1"/>
  <c r="L395" i="38"/>
  <c r="AF395" i="38" s="1"/>
  <c r="L742" i="38"/>
  <c r="AB742" i="38" s="1"/>
  <c r="L33" i="38"/>
  <c r="AB33" i="38" s="1"/>
  <c r="L695" i="38"/>
  <c r="AB695" i="38" s="1"/>
  <c r="L754" i="38"/>
  <c r="AB754" i="38" s="1"/>
  <c r="L320" i="38"/>
  <c r="AB320" i="38" s="1"/>
  <c r="L110" i="38"/>
  <c r="AB110" i="38" s="1"/>
  <c r="L30" i="38"/>
  <c r="AB30" i="38" s="1"/>
  <c r="L374" i="38"/>
  <c r="AB374" i="38" s="1"/>
  <c r="L821" i="38"/>
  <c r="AB821" i="38" s="1"/>
  <c r="L593" i="38"/>
  <c r="AB593" i="38" s="1"/>
  <c r="L692" i="38"/>
  <c r="AB692" i="38" s="1"/>
  <c r="L524" i="38"/>
  <c r="AF524" i="38" s="1"/>
  <c r="L193" i="38"/>
  <c r="AB193" i="38" s="1"/>
  <c r="L323" i="38"/>
  <c r="AB323" i="38" s="1"/>
  <c r="L789" i="38"/>
  <c r="AB789" i="38" s="1"/>
  <c r="L237" i="38"/>
  <c r="AB237" i="38" s="1"/>
  <c r="L475" i="38"/>
  <c r="AB475" i="38" s="1"/>
  <c r="L437" i="38"/>
  <c r="AB437" i="38" s="1"/>
  <c r="L357" i="38"/>
  <c r="AB357" i="38" s="1"/>
  <c r="L351" i="38"/>
  <c r="AB351" i="38" s="1"/>
  <c r="L239" i="38"/>
  <c r="AB239" i="38" s="1"/>
  <c r="L202" i="38"/>
  <c r="AB202" i="38" s="1"/>
  <c r="L176" i="38"/>
  <c r="AB176" i="38" s="1"/>
  <c r="L483" i="38"/>
  <c r="AB483" i="38" s="1"/>
  <c r="L391" i="38"/>
  <c r="AF391" i="38" s="1"/>
  <c r="L671" i="38"/>
  <c r="AF671" i="38" s="1"/>
  <c r="L173" i="38"/>
  <c r="AB173" i="38" s="1"/>
  <c r="L196" i="38"/>
  <c r="AB196" i="38" s="1"/>
  <c r="L516" i="38"/>
  <c r="AF516" i="38" s="1"/>
  <c r="L368" i="38"/>
  <c r="AB368" i="38" s="1"/>
  <c r="L792" i="38"/>
  <c r="AF792" i="38" s="1"/>
  <c r="L583" i="38"/>
  <c r="AB583" i="38" s="1"/>
  <c r="L478" i="38"/>
  <c r="AB478" i="38" s="1"/>
  <c r="L484" i="38"/>
  <c r="AB484" i="38" s="1"/>
  <c r="L229" i="38"/>
  <c r="AB229" i="38" s="1"/>
  <c r="L461" i="38"/>
  <c r="AB461" i="38" s="1"/>
  <c r="L463" i="38"/>
  <c r="AB463" i="38" s="1"/>
  <c r="L760" i="38"/>
  <c r="AB760" i="38" s="1"/>
  <c r="L262" i="38"/>
  <c r="AB262" i="38" s="1"/>
  <c r="L10" i="38"/>
  <c r="AF10" i="38" s="1"/>
  <c r="L364" i="38"/>
  <c r="AB364" i="38" s="1"/>
  <c r="L212" i="38"/>
  <c r="AB212" i="38" s="1"/>
  <c r="L38" i="38"/>
  <c r="AB38" i="38" s="1"/>
  <c r="L576" i="38"/>
  <c r="AB576" i="38" s="1"/>
  <c r="L385" i="38"/>
  <c r="AB385" i="38" s="1"/>
  <c r="L324" i="38"/>
  <c r="AB324" i="38" s="1"/>
  <c r="L713" i="38"/>
  <c r="AB713" i="38" s="1"/>
  <c r="L731" i="38"/>
  <c r="AB731" i="38" s="1"/>
  <c r="L643" i="38"/>
  <c r="AB643" i="38" s="1"/>
  <c r="L496" i="38"/>
  <c r="AB496" i="38" s="1"/>
  <c r="L199" i="38"/>
  <c r="AB199" i="38" s="1"/>
  <c r="L59" i="38"/>
  <c r="AB59" i="38" s="1"/>
  <c r="L592" i="38"/>
  <c r="AB592" i="38" s="1"/>
  <c r="L523" i="38"/>
  <c r="AF523" i="38" s="1"/>
  <c r="L616" i="38"/>
  <c r="AB616" i="38" s="1"/>
  <c r="L336" i="38"/>
  <c r="AB336" i="38" s="1"/>
  <c r="L396" i="38"/>
  <c r="AF396" i="38" s="1"/>
  <c r="L679" i="38"/>
  <c r="AB679" i="38" s="1"/>
  <c r="L360" i="38"/>
  <c r="AB360" i="38" s="1"/>
  <c r="L380" i="38"/>
  <c r="AB380" i="38" s="1"/>
  <c r="L78" i="38"/>
  <c r="AB78" i="38" s="1"/>
  <c r="L574" i="38"/>
  <c r="AB574" i="38" s="1"/>
  <c r="L225" i="38"/>
  <c r="AB225" i="38" s="1"/>
  <c r="L56" i="38"/>
  <c r="AB56" i="38" s="1"/>
  <c r="L778" i="38"/>
  <c r="AB778" i="38" s="1"/>
  <c r="L438" i="38"/>
  <c r="AB438" i="38" s="1"/>
  <c r="L167" i="38"/>
  <c r="AF167" i="38" s="1"/>
  <c r="L181" i="38"/>
  <c r="AB181" i="38" s="1"/>
  <c r="L784" i="38"/>
  <c r="AB784" i="38" s="1"/>
  <c r="L651" i="38"/>
  <c r="AB651" i="38" s="1"/>
  <c r="L217" i="38"/>
  <c r="AB217" i="38" s="1"/>
  <c r="L744" i="38"/>
  <c r="AB744" i="38" s="1"/>
  <c r="L619" i="38"/>
  <c r="AB619" i="38" s="1"/>
  <c r="L267" i="38"/>
  <c r="AB267" i="38" s="1"/>
  <c r="L756" i="38"/>
  <c r="AB756" i="38" s="1"/>
  <c r="L580" i="38"/>
  <c r="AB580" i="38" s="1"/>
  <c r="L387" i="38"/>
  <c r="AB387" i="38" s="1"/>
  <c r="L512" i="38"/>
  <c r="AF512" i="38" s="1"/>
  <c r="L707" i="38"/>
  <c r="AB707" i="38" s="1"/>
  <c r="L363" i="38"/>
  <c r="AB363" i="38" s="1"/>
  <c r="L430" i="38"/>
  <c r="AB430" i="38" s="1"/>
  <c r="L510" i="38"/>
  <c r="AB510" i="38" s="1"/>
  <c r="L190" i="38"/>
  <c r="AB190" i="38" s="1"/>
  <c r="L615" i="38"/>
  <c r="AB615" i="38" s="1"/>
  <c r="L367" i="38"/>
  <c r="AB367" i="38" s="1"/>
  <c r="L836" i="38"/>
  <c r="AB836" i="38" s="1"/>
  <c r="L810" i="38"/>
  <c r="AB810" i="38" s="1"/>
  <c r="L462" i="38"/>
  <c r="AB462" i="38" s="1"/>
  <c r="L431" i="38"/>
  <c r="AB431" i="38" s="1"/>
  <c r="L382" i="38"/>
  <c r="AB382" i="38" s="1"/>
  <c r="L28" i="38"/>
  <c r="AB28" i="38" s="1"/>
  <c r="L646" i="38"/>
  <c r="AB646" i="38" s="1"/>
  <c r="L201" i="38"/>
  <c r="AB201" i="38" s="1"/>
  <c r="L626" i="38"/>
  <c r="AB626" i="38" s="1"/>
  <c r="L294" i="38"/>
  <c r="AB294" i="38" s="1"/>
  <c r="L573" i="38"/>
  <c r="AB573" i="38" s="1"/>
  <c r="L231" i="38"/>
  <c r="AB231" i="38" s="1"/>
  <c r="L602" i="38"/>
  <c r="AB602" i="38" s="1"/>
  <c r="L741" i="38"/>
  <c r="AB741" i="38" s="1"/>
  <c r="L838" i="38"/>
  <c r="AB838" i="38" s="1"/>
  <c r="L347" i="38"/>
  <c r="AB347" i="38" s="1"/>
  <c r="L710" i="38"/>
  <c r="AB710" i="38" s="1"/>
  <c r="L444" i="38"/>
  <c r="AB444" i="38" s="1"/>
  <c r="L491" i="38"/>
  <c r="AB491" i="38" s="1"/>
  <c r="L824" i="38"/>
  <c r="AB824" i="38" s="1"/>
  <c r="L326" i="38"/>
  <c r="AB326" i="38" s="1"/>
  <c r="L74" i="38"/>
  <c r="AB74" i="38" s="1"/>
  <c r="L622" i="38"/>
  <c r="AB622" i="38" s="1"/>
  <c r="L542" i="38"/>
  <c r="AB542" i="38" s="1"/>
  <c r="L489" i="38"/>
  <c r="AB489" i="38" s="1"/>
  <c r="L454" i="38"/>
  <c r="AB454" i="38" s="1"/>
  <c r="L306" i="38"/>
  <c r="AB306" i="38" s="1"/>
  <c r="L335" i="38"/>
  <c r="AB335" i="38" s="1"/>
  <c r="L733" i="38"/>
  <c r="AB733" i="38" s="1"/>
  <c r="L204" i="38"/>
  <c r="AB204" i="38" s="1"/>
  <c r="L421" i="38"/>
  <c r="AB421" i="38" s="1"/>
  <c r="L565" i="38"/>
  <c r="AB565" i="38" s="1"/>
  <c r="L834" i="38"/>
  <c r="AB834" i="38" s="1"/>
  <c r="L471" i="38"/>
  <c r="AB471" i="38" s="1"/>
  <c r="L414" i="38"/>
  <c r="AB414" i="38" s="1"/>
  <c r="L658" i="38"/>
  <c r="AB658" i="38" s="1"/>
  <c r="L160" i="38"/>
  <c r="AF160" i="38" s="1"/>
  <c r="L309" i="38"/>
  <c r="AB309" i="38" s="1"/>
  <c r="L252" i="38"/>
  <c r="AB252" i="38" s="1"/>
  <c r="L6" i="38"/>
  <c r="AF6" i="38" s="1"/>
  <c r="L413" i="38"/>
  <c r="AB413" i="38" s="1"/>
  <c r="L352" i="38"/>
  <c r="AB352" i="38" s="1"/>
  <c r="L623" i="38"/>
  <c r="AB623" i="38" s="1"/>
  <c r="L88" i="38"/>
  <c r="AB88" i="38" s="1"/>
  <c r="L311" i="38"/>
  <c r="AB311" i="38" s="1"/>
  <c r="L218" i="38"/>
  <c r="AB218" i="38" s="1"/>
  <c r="L762" i="38"/>
  <c r="AB762" i="38" s="1"/>
  <c r="L399" i="38"/>
  <c r="AF399" i="38" s="1"/>
  <c r="L428" i="38"/>
  <c r="AB428" i="38" s="1"/>
  <c r="L456" i="38"/>
  <c r="AB456" i="38" s="1"/>
  <c r="L449" i="38"/>
  <c r="AB449" i="38" s="1"/>
  <c r="L159" i="38"/>
  <c r="AF159" i="38" s="1"/>
  <c r="L284" i="38"/>
  <c r="AF284" i="38" s="1"/>
  <c r="L563" i="38"/>
  <c r="AB563" i="38" s="1"/>
  <c r="L793" i="38"/>
  <c r="AF793" i="38" s="1"/>
  <c r="L221" i="38"/>
  <c r="AB221" i="38" s="1"/>
  <c r="L477" i="38"/>
  <c r="AB477" i="38" s="1"/>
  <c r="L629" i="38"/>
  <c r="AB629" i="38" s="1"/>
  <c r="L667" i="38"/>
  <c r="AF667" i="38" s="1"/>
  <c r="L589" i="38"/>
  <c r="AB589" i="38" s="1"/>
  <c r="L274" i="38"/>
  <c r="AF274" i="38" s="1"/>
  <c r="L604" i="38"/>
  <c r="AB604" i="38" s="1"/>
  <c r="L435" i="38"/>
  <c r="AB435" i="38" s="1"/>
  <c r="L469" i="38"/>
  <c r="AB469" i="38" s="1"/>
  <c r="L61" i="38"/>
  <c r="AB61" i="38" s="1"/>
  <c r="L369" i="38"/>
  <c r="AB369" i="38" s="1"/>
  <c r="L794" i="38"/>
  <c r="AF794" i="38" s="1"/>
  <c r="L142" i="38"/>
  <c r="AB142" i="38" s="1"/>
  <c r="L84" i="38"/>
  <c r="AB84" i="38" s="1"/>
  <c r="L440" i="38"/>
  <c r="AB440" i="38" s="1"/>
  <c r="L495" i="38"/>
  <c r="AB495" i="38" s="1"/>
  <c r="L702" i="38"/>
  <c r="AB702" i="38" s="1"/>
  <c r="L614" i="38"/>
  <c r="AB614" i="38" s="1"/>
  <c r="L185" i="38"/>
  <c r="AB185" i="38" s="1"/>
  <c r="L334" i="38"/>
  <c r="AB334" i="38" s="1"/>
  <c r="L569" i="38"/>
  <c r="AB569" i="38" s="1"/>
  <c r="L518" i="38"/>
  <c r="AF518" i="38" s="1"/>
  <c r="L595" i="38"/>
  <c r="AB595" i="38" s="1"/>
  <c r="L411" i="38"/>
  <c r="AB411" i="38" s="1"/>
  <c r="L726" i="38"/>
  <c r="AB726" i="38" s="1"/>
  <c r="L457" i="38"/>
  <c r="AB457" i="38" s="1"/>
  <c r="L500" i="38"/>
  <c r="AB500" i="38" s="1"/>
  <c r="L825" i="38"/>
  <c r="AB825" i="38" s="1"/>
  <c r="L322" i="38"/>
  <c r="AB322" i="38" s="1"/>
  <c r="L546" i="38"/>
  <c r="AB546" i="38" s="1"/>
  <c r="L567" i="38"/>
  <c r="AB567" i="38" s="1"/>
  <c r="L75" i="38"/>
  <c r="AB75" i="38" s="1"/>
  <c r="L417" i="38"/>
  <c r="AB417" i="38" s="1"/>
  <c r="L241" i="38"/>
  <c r="AB241" i="38" s="1"/>
  <c r="L609" i="38"/>
  <c r="AB609" i="38" s="1"/>
  <c r="L253" i="38"/>
  <c r="AB253" i="38" s="1"/>
  <c r="L376" i="38"/>
  <c r="AB376" i="38" s="1"/>
  <c r="L719" i="38"/>
  <c r="AB719" i="38" s="1"/>
  <c r="L725" i="38"/>
  <c r="AB725" i="38" s="1"/>
  <c r="L473" i="38"/>
  <c r="AB473" i="38" s="1"/>
  <c r="L316" i="38"/>
  <c r="AB316" i="38" s="1"/>
  <c r="L708" i="38"/>
  <c r="AB708" i="38" s="1"/>
  <c r="L26" i="38"/>
  <c r="AB26" i="38" s="1"/>
  <c r="L34" i="38"/>
  <c r="AB34" i="38" s="1"/>
  <c r="L745" i="38"/>
  <c r="AB745" i="38" s="1"/>
  <c r="L676" i="38"/>
  <c r="AF676" i="38" s="1"/>
  <c r="L392" i="38"/>
  <c r="AF392" i="38" s="1"/>
  <c r="L344" i="38"/>
  <c r="AB344" i="38" s="1"/>
  <c r="L734" i="38"/>
  <c r="AB734" i="38" s="1"/>
  <c r="L561" i="38"/>
  <c r="AB561" i="38" s="1"/>
  <c r="L664" i="38"/>
  <c r="AF664" i="38" s="1"/>
  <c r="L358" i="38"/>
  <c r="AB358" i="38" s="1"/>
  <c r="L213" i="38"/>
  <c r="AB213" i="38" s="1"/>
  <c r="L596" i="38"/>
  <c r="AB596" i="38" s="1"/>
  <c r="L533" i="38"/>
  <c r="AB533" i="38" s="1"/>
  <c r="L470" i="38"/>
  <c r="AB470" i="38" s="1"/>
  <c r="L101" i="38"/>
  <c r="AB101" i="38" s="1"/>
  <c r="L249" i="38"/>
  <c r="AB249" i="38" s="1"/>
  <c r="L526" i="38"/>
  <c r="AF526" i="38" s="1"/>
  <c r="L151" i="38"/>
  <c r="AB151" i="38" s="1"/>
  <c r="L164" i="38"/>
  <c r="AF164" i="38" s="1"/>
  <c r="L191" i="38"/>
  <c r="AB191" i="38" s="1"/>
  <c r="L412" i="38"/>
  <c r="AB412" i="38" s="1"/>
  <c r="L568" i="38"/>
  <c r="AB568" i="38" s="1"/>
  <c r="L636" i="38"/>
  <c r="AB636" i="38" s="1"/>
  <c r="L247" i="38"/>
  <c r="AB247" i="38" s="1"/>
  <c r="L831" i="38"/>
  <c r="AB831" i="38" s="1"/>
  <c r="L711" i="38"/>
  <c r="AB711" i="38" s="1"/>
  <c r="L106" i="38"/>
  <c r="AB106" i="38" s="1"/>
  <c r="L272" i="38"/>
  <c r="AF272" i="38" s="1"/>
  <c r="L310" i="38"/>
  <c r="AB310" i="38" s="1"/>
  <c r="L123" i="38"/>
  <c r="AB123" i="38" s="1"/>
  <c r="L445" i="38"/>
  <c r="AB445" i="38" s="1"/>
  <c r="L543" i="38"/>
  <c r="AB543" i="38" s="1"/>
  <c r="L377" i="38"/>
  <c r="AB377" i="38" s="1"/>
  <c r="L21" i="38"/>
  <c r="AF21" i="38" s="1"/>
  <c r="L133" i="38"/>
  <c r="AB133" i="38" s="1"/>
  <c r="L83" i="38"/>
  <c r="AB83" i="38" s="1"/>
  <c r="L64" i="38"/>
  <c r="AB64" i="38" s="1"/>
  <c r="L348" i="38"/>
  <c r="AB348" i="38" s="1"/>
  <c r="L613" i="38"/>
  <c r="AB613" i="38" s="1"/>
  <c r="L423" i="38"/>
  <c r="AB423" i="38" s="1"/>
  <c r="L109" i="38"/>
  <c r="AB109" i="38" s="1"/>
  <c r="L840" i="38"/>
  <c r="AB840" i="38" s="1"/>
  <c r="L2" i="38"/>
  <c r="AF2" i="38" s="1"/>
  <c r="L513" i="38"/>
  <c r="AF513" i="38" s="1"/>
  <c r="L52" i="38"/>
  <c r="AB52" i="38" s="1"/>
  <c r="L504" i="38"/>
  <c r="AB504" i="38" s="1"/>
  <c r="L811" i="38"/>
  <c r="AB811" i="38" s="1"/>
  <c r="L244" i="38"/>
  <c r="AB244" i="38" s="1"/>
  <c r="L466" i="38"/>
  <c r="AB466" i="38" s="1"/>
  <c r="L378" i="38"/>
  <c r="AB378" i="38" s="1"/>
  <c r="L535" i="38"/>
  <c r="AB535" i="38" s="1"/>
  <c r="L138" i="38"/>
  <c r="AB138" i="38" s="1"/>
  <c r="L297" i="38"/>
  <c r="AB297" i="38" s="1"/>
  <c r="L550" i="38"/>
  <c r="AB550" i="38" s="1"/>
  <c r="L154" i="38"/>
  <c r="AB154" i="38" s="1"/>
  <c r="L219" i="38"/>
  <c r="AB219" i="38" s="1"/>
  <c r="L178" i="38"/>
  <c r="AB178" i="38" s="1"/>
  <c r="L547" i="38"/>
  <c r="AB547" i="38" s="1"/>
  <c r="L179" i="38"/>
  <c r="AB179" i="38" s="1"/>
  <c r="L370" i="38"/>
  <c r="AB370" i="38" s="1"/>
  <c r="L136" i="38"/>
  <c r="AB136" i="38" s="1"/>
  <c r="L531" i="38"/>
  <c r="AF531" i="38" s="1"/>
  <c r="L843" i="38"/>
  <c r="AB843" i="38" s="1"/>
  <c r="L304" i="38"/>
  <c r="AB304" i="38" s="1"/>
  <c r="L777" i="38"/>
  <c r="AB777" i="38" s="1"/>
  <c r="L113" i="38"/>
  <c r="AB113" i="38" s="1"/>
  <c r="L420" i="38"/>
  <c r="AB420" i="38" s="1"/>
  <c r="L697" i="38"/>
  <c r="AB697" i="38" s="1"/>
  <c r="L527" i="38"/>
  <c r="AF527" i="38" s="1"/>
  <c r="L775" i="38"/>
  <c r="AB775" i="38" s="1"/>
  <c r="L49" i="38"/>
  <c r="AB49" i="38" s="1"/>
  <c r="L648" i="38"/>
  <c r="AB648" i="38" s="1"/>
  <c r="L69" i="38"/>
  <c r="AB69" i="38" s="1"/>
  <c r="L453" i="38"/>
  <c r="AB453" i="38" s="1"/>
  <c r="L788" i="38"/>
  <c r="AB788" i="38" s="1"/>
  <c r="L649" i="38"/>
  <c r="AB649" i="38" s="1"/>
  <c r="L814" i="38"/>
  <c r="AB814" i="38" s="1"/>
  <c r="L774" i="38"/>
  <c r="AB774" i="38" s="1"/>
  <c r="L130" i="38"/>
  <c r="AB130" i="38" s="1"/>
  <c r="L451" i="38"/>
  <c r="AB451" i="38" s="1"/>
  <c r="L162" i="38"/>
  <c r="AF162" i="38" s="1"/>
  <c r="L674" i="38"/>
  <c r="AF674" i="38" s="1"/>
  <c r="L503" i="38"/>
  <c r="AB503" i="38" s="1"/>
  <c r="L740" i="38"/>
  <c r="AB740" i="38" s="1"/>
  <c r="L98" i="38"/>
  <c r="AB98" i="38" s="1"/>
  <c r="L699" i="38"/>
  <c r="AB699" i="38" s="1"/>
  <c r="L467" i="38"/>
  <c r="AB467" i="38" s="1"/>
  <c r="L296" i="38"/>
  <c r="AB296" i="38" s="1"/>
  <c r="L455" i="38"/>
  <c r="AB455" i="38" s="1"/>
  <c r="L612" i="38"/>
  <c r="AB612" i="38" s="1"/>
  <c r="L16" i="38"/>
  <c r="AF16" i="38" s="1"/>
  <c r="L712" i="38"/>
  <c r="AB712" i="38" s="1"/>
  <c r="L521" i="38"/>
  <c r="AF521" i="38" s="1"/>
  <c r="L401" i="38"/>
  <c r="AF401" i="38" s="1"/>
  <c r="L233" i="38"/>
  <c r="AB233" i="38" s="1"/>
  <c r="L9" i="38"/>
  <c r="AF9" i="38" s="1"/>
  <c r="L555" i="38"/>
  <c r="AB555" i="38" s="1"/>
  <c r="L684" i="38"/>
  <c r="AB684" i="38" s="1"/>
  <c r="L177" i="38"/>
  <c r="AB177" i="38" s="1"/>
  <c r="L139" i="38"/>
  <c r="AB139" i="38" s="1"/>
  <c r="L214" i="38"/>
  <c r="AB214" i="38" s="1"/>
  <c r="L371" i="38"/>
  <c r="AB371" i="38" s="1"/>
  <c r="L686" i="38"/>
  <c r="AB686" i="38" s="1"/>
  <c r="L659" i="38"/>
  <c r="AF659" i="38" s="1"/>
  <c r="L683" i="38"/>
  <c r="AB683" i="38" s="1"/>
  <c r="L339" i="38"/>
  <c r="AB339" i="38" s="1"/>
  <c r="L172" i="38"/>
  <c r="AB172" i="38" s="1"/>
  <c r="L675" i="38"/>
  <c r="AF675" i="38" s="1"/>
  <c r="L157" i="38"/>
  <c r="AF157" i="38" s="1"/>
  <c r="L302" i="38"/>
  <c r="AB302" i="38" s="1"/>
  <c r="L634" i="38"/>
  <c r="AB634" i="38" s="1"/>
  <c r="L145" i="38"/>
  <c r="AB145" i="38" s="1"/>
  <c r="L150" i="38"/>
  <c r="AB150" i="38" s="1"/>
  <c r="L696" i="38"/>
  <c r="AB696" i="38" s="1"/>
  <c r="L499" i="38"/>
  <c r="AB499" i="38" s="1"/>
  <c r="L188" i="38"/>
  <c r="AB188" i="38" s="1"/>
  <c r="L220" i="38"/>
  <c r="AB220" i="38" s="1"/>
  <c r="L292" i="38"/>
  <c r="AB292" i="38" s="1"/>
  <c r="L559" i="38"/>
  <c r="AB559" i="38" s="1"/>
  <c r="L786" i="38"/>
  <c r="AB786" i="38" s="1"/>
  <c r="L402" i="38"/>
  <c r="AF402" i="38" s="1"/>
  <c r="L685" i="38"/>
  <c r="AB685" i="38" s="1"/>
  <c r="L833" i="38"/>
  <c r="AB833" i="38" s="1"/>
  <c r="L383" i="38"/>
  <c r="AB383" i="38" s="1"/>
  <c r="L715" i="38"/>
  <c r="AB715" i="38" s="1"/>
  <c r="L827" i="38"/>
  <c r="AB827" i="38" s="1"/>
  <c r="L585" i="38"/>
  <c r="AB585" i="38" s="1"/>
  <c r="L163" i="38"/>
  <c r="AF163" i="38" s="1"/>
  <c r="L601" i="38"/>
  <c r="AB601" i="38" s="1"/>
  <c r="L520" i="38"/>
  <c r="AF520" i="38" s="1"/>
  <c r="L390" i="38"/>
  <c r="AF390" i="38" s="1"/>
  <c r="L143" i="38"/>
  <c r="AB143" i="38" s="1"/>
  <c r="L258" i="38"/>
  <c r="AB258" i="38" s="1"/>
  <c r="L820" i="38"/>
  <c r="AB820" i="38" s="1"/>
  <c r="L68" i="38"/>
  <c r="AB68" i="38" s="1"/>
  <c r="L206" i="38"/>
  <c r="AB206" i="38" s="1"/>
  <c r="L452" i="38"/>
  <c r="AB452" i="38" s="1"/>
  <c r="L91" i="38"/>
  <c r="AB91" i="38" s="1"/>
  <c r="L350" i="38"/>
  <c r="AB350" i="38" s="1"/>
  <c r="L666" i="38"/>
  <c r="AF666" i="38" s="1"/>
  <c r="L175" i="38"/>
  <c r="AB175" i="38" s="1"/>
  <c r="L474" i="38"/>
  <c r="AB474" i="38" s="1"/>
  <c r="L468" i="38"/>
  <c r="AB468" i="38" s="1"/>
  <c r="L128" i="38"/>
  <c r="AB128" i="38" s="1"/>
  <c r="L640" i="38"/>
  <c r="AB640" i="38" s="1"/>
  <c r="L735" i="38"/>
  <c r="AB735" i="38" s="1"/>
  <c r="L263" i="38"/>
  <c r="AB263" i="38" s="1"/>
  <c r="L556" i="38"/>
  <c r="AB556" i="38" s="1"/>
  <c r="L630" i="38"/>
  <c r="AB630" i="38" s="1"/>
  <c r="L829" i="38"/>
  <c r="AB829" i="38" s="1"/>
  <c r="L207" i="38"/>
  <c r="AB207" i="38" s="1"/>
  <c r="L752" i="38"/>
  <c r="AB752" i="38" s="1"/>
  <c r="L209" i="38"/>
  <c r="AB209" i="38" s="1"/>
  <c r="L773" i="38"/>
  <c r="AB773" i="38" s="1"/>
  <c r="L747" i="38"/>
  <c r="AB747" i="38" s="1"/>
  <c r="L200" i="38"/>
  <c r="AB200" i="38" s="1"/>
  <c r="L379" i="38"/>
  <c r="AB379" i="38" s="1"/>
  <c r="L525" i="38"/>
  <c r="AF525" i="38" s="1"/>
  <c r="L144" i="38"/>
  <c r="AB144" i="38" s="1"/>
  <c r="L119" i="38"/>
  <c r="AB119" i="38" s="1"/>
  <c r="L155" i="38"/>
  <c r="AB155" i="38" s="1"/>
  <c r="L591" i="38"/>
  <c r="AB591" i="38" s="1"/>
  <c r="L736" i="38"/>
  <c r="AB736" i="38" s="1"/>
  <c r="L184" i="38"/>
  <c r="AB184" i="38" s="1"/>
  <c r="L67" i="38"/>
  <c r="AB67" i="38" s="1"/>
  <c r="L388" i="38"/>
  <c r="AB388" i="38" s="1"/>
  <c r="L607" i="38"/>
  <c r="AB607" i="38" s="1"/>
  <c r="L400" i="38"/>
  <c r="AF400" i="38" s="1"/>
  <c r="L105" i="38"/>
  <c r="AB105" i="38" s="1"/>
  <c r="L769" i="38"/>
  <c r="AB769" i="38" s="1"/>
  <c r="L737" i="38"/>
  <c r="AB737" i="38" s="1"/>
  <c r="L329" i="38"/>
  <c r="AB329" i="38" s="1"/>
  <c r="L529" i="38"/>
  <c r="AF529" i="38" s="1"/>
  <c r="L17" i="38"/>
  <c r="AF17" i="38" s="1"/>
  <c r="L637" i="38"/>
  <c r="AB637" i="38" s="1"/>
  <c r="L844" i="38"/>
  <c r="AB844" i="38" s="1"/>
  <c r="L830" i="38"/>
  <c r="AB830" i="38" s="1"/>
  <c r="L738" i="38"/>
  <c r="AB738" i="38" s="1"/>
  <c r="L165" i="38"/>
  <c r="AF165" i="38" s="1"/>
  <c r="L39" i="38"/>
  <c r="AB39" i="38" s="1"/>
  <c r="L816" i="38"/>
  <c r="AB816" i="38" s="1"/>
  <c r="L639" i="38"/>
  <c r="AB639" i="38" s="1"/>
  <c r="L121" i="38"/>
  <c r="AB121" i="38" s="1"/>
  <c r="L795" i="38"/>
  <c r="AF795" i="38" s="1"/>
  <c r="L14" i="38"/>
  <c r="AF14" i="38" s="1"/>
  <c r="L255" i="38"/>
  <c r="AB255" i="38" s="1"/>
  <c r="L389" i="38"/>
  <c r="AB389" i="38" s="1"/>
  <c r="L152" i="38"/>
  <c r="AB152" i="38" s="1"/>
  <c r="L279" i="38"/>
  <c r="AF279" i="38" s="1"/>
  <c r="L245" i="38"/>
  <c r="AB245" i="38" s="1"/>
  <c r="L480" i="38"/>
  <c r="AB480" i="38" s="1"/>
  <c r="L439" i="38"/>
  <c r="AB439" i="38" s="1"/>
  <c r="L755" i="38"/>
  <c r="AB755" i="38" s="1"/>
  <c r="L50" i="38"/>
  <c r="AB50" i="38" s="1"/>
  <c r="L701" i="38"/>
  <c r="AB701" i="38" s="1"/>
  <c r="L537" i="38"/>
  <c r="AB537" i="38" s="1"/>
  <c r="L243" i="38"/>
  <c r="AB243" i="38" s="1"/>
  <c r="L597" i="38"/>
  <c r="AB597" i="38" s="1"/>
  <c r="L125" i="38"/>
  <c r="AB125" i="38" s="1"/>
  <c r="L307" i="38"/>
  <c r="AB307" i="38" s="1"/>
  <c r="L669" i="38"/>
  <c r="AF669" i="38" s="1"/>
  <c r="L698" i="38"/>
  <c r="AB698" i="38" s="1"/>
  <c r="L650" i="38"/>
  <c r="AB650" i="38" s="1"/>
  <c r="L275" i="38"/>
  <c r="AF275" i="38" s="1"/>
  <c r="L620" i="38"/>
  <c r="AB620" i="38" s="1"/>
  <c r="L709" i="38"/>
  <c r="AB709" i="38" s="1"/>
  <c r="L588" i="38"/>
  <c r="AB588" i="38" s="1"/>
  <c r="L251" i="38"/>
  <c r="AB251" i="38" s="1"/>
  <c r="L564" i="38"/>
  <c r="AB564" i="38" s="1"/>
  <c r="L611" i="38"/>
  <c r="AB611" i="38" s="1"/>
  <c r="L223" i="38"/>
  <c r="AB223" i="38" s="1"/>
  <c r="L839" i="38"/>
  <c r="AB839" i="38" s="1"/>
  <c r="L222" i="38"/>
  <c r="AB222" i="38" s="1"/>
  <c r="L55" i="38"/>
  <c r="AB55" i="38" s="1"/>
  <c r="L691" i="38"/>
  <c r="AB691" i="38" s="1"/>
  <c r="L81" i="38"/>
  <c r="AB81" i="38" s="1"/>
  <c r="L472" i="38"/>
  <c r="AB472" i="38" s="1"/>
  <c r="L298" i="38"/>
  <c r="AB298" i="38" s="1"/>
  <c r="L116" i="38"/>
  <c r="AB116" i="38" s="1"/>
  <c r="L37" i="38"/>
  <c r="AB37" i="38" s="1"/>
  <c r="L240" i="38"/>
  <c r="AB240" i="38" s="1"/>
  <c r="L633" i="38"/>
  <c r="AB633" i="38" s="1"/>
  <c r="L236" i="38"/>
  <c r="AB236" i="38" s="1"/>
  <c r="L780" i="38"/>
  <c r="AB780" i="38" s="1"/>
  <c r="L586" i="38"/>
  <c r="AB586" i="38" s="1"/>
  <c r="L234" i="38"/>
  <c r="AB234" i="38" s="1"/>
  <c r="L226" i="38"/>
  <c r="AB226" i="38" s="1"/>
  <c r="L11" i="38"/>
  <c r="AF11" i="38" s="1"/>
  <c r="L584" i="38"/>
  <c r="AB584" i="38" s="1"/>
  <c r="L8" i="38"/>
  <c r="AF8" i="38" s="1"/>
  <c r="L170" i="38"/>
  <c r="AF170" i="38" s="1"/>
  <c r="L678" i="38"/>
  <c r="AB678" i="38" s="1"/>
  <c r="L832" i="38"/>
  <c r="AB832" i="38" s="1"/>
  <c r="L541" i="38"/>
  <c r="AB541" i="38" s="1"/>
  <c r="L40" i="38"/>
  <c r="AB40" i="38" s="1"/>
  <c r="L108" i="38"/>
  <c r="AB108" i="38" s="1"/>
  <c r="L768" i="38"/>
  <c r="AB768" i="38" s="1"/>
  <c r="L161" i="38"/>
  <c r="AF161" i="38" s="1"/>
  <c r="L260" i="38"/>
  <c r="AB260" i="38" s="1"/>
  <c r="L704" i="38"/>
  <c r="AB704" i="38" s="1"/>
  <c r="L505" i="38"/>
  <c r="AB505" i="38" s="1"/>
  <c r="L359" i="38"/>
  <c r="AB359" i="38" s="1"/>
  <c r="L841" i="38"/>
  <c r="AB841" i="38" s="1"/>
  <c r="L766" i="38"/>
  <c r="AB766" i="38" s="1"/>
  <c r="L730" i="38"/>
  <c r="AB730" i="38" s="1"/>
  <c r="L460" i="38"/>
  <c r="AB460" i="38" s="1"/>
  <c r="L337" i="38"/>
  <c r="AB337" i="38" s="1"/>
  <c r="L750" i="38"/>
  <c r="AB750" i="38" s="1"/>
  <c r="L115" i="38"/>
  <c r="AB115" i="38" s="1"/>
  <c r="L146" i="38"/>
  <c r="AB146" i="38" s="1"/>
  <c r="L842" i="38"/>
  <c r="AB842" i="38" s="1"/>
  <c r="L312" i="38"/>
  <c r="AB312" i="38" s="1"/>
  <c r="L203" i="38"/>
  <c r="AB203" i="38" s="1"/>
  <c r="L579" i="38"/>
  <c r="AB579" i="38" s="1"/>
  <c r="L366" i="38"/>
  <c r="AB366" i="38" s="1"/>
  <c r="L315" i="38"/>
  <c r="AB315" i="38" s="1"/>
  <c r="L398" i="38"/>
  <c r="AF398" i="38" s="1"/>
  <c r="L235" i="38"/>
  <c r="AB235" i="38" s="1"/>
  <c r="L714" i="38"/>
  <c r="AB714" i="38" s="1"/>
  <c r="L663" i="38"/>
  <c r="AF663" i="38" s="1"/>
  <c r="L677" i="38"/>
  <c r="AF677" i="38" s="1"/>
  <c r="L822" i="38"/>
  <c r="AB822" i="38" s="1"/>
  <c r="L65" i="38"/>
  <c r="AB65" i="38" s="1"/>
  <c r="L141" i="38"/>
  <c r="AB141" i="38" s="1"/>
  <c r="L197" i="38"/>
  <c r="AB197" i="38" s="1"/>
  <c r="L85" i="38"/>
  <c r="AB85" i="38" s="1"/>
  <c r="L538" i="38"/>
  <c r="AB538" i="38" s="1"/>
  <c r="L566" i="38"/>
  <c r="AB566" i="38" s="1"/>
  <c r="L748" i="38"/>
  <c r="AB748" i="38" s="1"/>
  <c r="L539" i="38"/>
  <c r="AB539" i="38" s="1"/>
  <c r="L290" i="38"/>
  <c r="AB290" i="38" s="1"/>
  <c r="L779" i="38"/>
  <c r="AB779" i="38" s="1"/>
  <c r="L288" i="38"/>
  <c r="AB288" i="38" s="1"/>
  <c r="L418" i="38"/>
  <c r="AB418" i="38" s="1"/>
  <c r="L549" i="38"/>
  <c r="AB549" i="38" s="1"/>
  <c r="L353" i="38"/>
  <c r="AB353" i="38" s="1"/>
  <c r="L281" i="38"/>
  <c r="AF281" i="38" s="1"/>
  <c r="L373" i="38"/>
  <c r="AB373" i="38" s="1"/>
  <c r="L606" i="38"/>
  <c r="AB606" i="38" s="1"/>
  <c r="L289" i="38"/>
  <c r="AB289" i="38" s="1"/>
  <c r="L103" i="38"/>
  <c r="AB103" i="38" s="1"/>
  <c r="L743" i="38"/>
  <c r="AB743" i="38" s="1"/>
  <c r="L132" i="38"/>
  <c r="AB132" i="38" s="1"/>
  <c r="L12" i="38"/>
  <c r="AF12" i="38" s="1"/>
  <c r="L254" i="38"/>
  <c r="AB254" i="38" s="1"/>
  <c r="L328" i="38"/>
  <c r="AB328" i="38" s="1"/>
  <c r="L681" i="38"/>
  <c r="AB681" i="38" s="1"/>
  <c r="L365" i="38"/>
  <c r="AB365" i="38" s="1"/>
  <c r="L809" i="38"/>
  <c r="AB809" i="38" s="1"/>
  <c r="L729" i="38"/>
  <c r="AB729" i="38" s="1"/>
  <c r="L111" i="38"/>
  <c r="AB111" i="38" s="1"/>
  <c r="L96" i="38"/>
  <c r="AB96" i="38" s="1"/>
  <c r="L29" i="38"/>
  <c r="AB29" i="38" s="1"/>
  <c r="L216" i="38"/>
  <c r="AB216" i="38" s="1"/>
  <c r="L261" i="38"/>
  <c r="AB261" i="38" s="1"/>
  <c r="L73" i="38"/>
  <c r="AB73" i="38" s="1"/>
  <c r="L208" i="38"/>
  <c r="AB208" i="38" s="1"/>
  <c r="L102" i="38"/>
  <c r="AB102" i="38" s="1"/>
  <c r="L349" i="38"/>
  <c r="AB349" i="38" s="1"/>
  <c r="L147" i="38"/>
  <c r="AB147" i="38" s="1"/>
  <c r="L182" i="38"/>
  <c r="AB182" i="38" s="1"/>
  <c r="L211" i="38"/>
  <c r="AB211" i="38" s="1"/>
  <c r="L791" i="38"/>
  <c r="AB791" i="38" s="1"/>
  <c r="L331" i="38"/>
  <c r="AB331" i="38" s="1"/>
  <c r="L761" i="38"/>
  <c r="AB761" i="38" s="1"/>
  <c r="L837" i="38"/>
  <c r="AB837" i="38" s="1"/>
  <c r="L259" i="38"/>
  <c r="AB259" i="38" s="1"/>
  <c r="L645" i="38"/>
  <c r="AB645" i="38" s="1"/>
  <c r="L689" i="38"/>
  <c r="AB689" i="38" s="1"/>
  <c r="L828" i="38"/>
  <c r="AB828" i="38" s="1"/>
  <c r="L362" i="38"/>
  <c r="AB362" i="38" s="1"/>
  <c r="L215" i="38"/>
  <c r="AB215" i="38" s="1"/>
  <c r="L148" i="38"/>
  <c r="AB148" i="38" s="1"/>
  <c r="L330" i="38"/>
  <c r="AB330" i="38" s="1"/>
  <c r="L198" i="38"/>
  <c r="AB198" i="38" s="1"/>
  <c r="L485" i="38"/>
  <c r="AB485" i="38" s="1"/>
  <c r="L688" i="38"/>
  <c r="AB688" i="38" s="1"/>
  <c r="L706" i="38"/>
  <c r="AB706" i="38" s="1"/>
  <c r="L345" i="38"/>
  <c r="AB345" i="38" s="1"/>
  <c r="L36" i="38"/>
  <c r="AB36" i="38" s="1"/>
  <c r="L134" i="38"/>
  <c r="AB134" i="38" s="1"/>
  <c r="L464" i="38"/>
  <c r="AB464" i="38" s="1"/>
  <c r="L628" i="38"/>
  <c r="AB628" i="38" s="1"/>
  <c r="L642" i="38"/>
  <c r="AB642" i="38" s="1"/>
  <c r="L19" i="38"/>
  <c r="AF19" i="38" s="1"/>
  <c r="L70" i="38"/>
  <c r="AB70" i="38" s="1"/>
  <c r="L313" i="38"/>
  <c r="AB313" i="38" s="1"/>
  <c r="L490" i="38"/>
  <c r="AB490" i="38" s="1"/>
  <c r="L578" i="38"/>
  <c r="AB578" i="38" s="1"/>
  <c r="L638" i="38"/>
  <c r="AB638" i="38" s="1"/>
  <c r="L66" i="38"/>
  <c r="AB66" i="38" s="1"/>
  <c r="L299" i="38"/>
  <c r="AB299" i="38" s="1"/>
  <c r="L86" i="38"/>
  <c r="AB86" i="38" s="1"/>
  <c r="L303" i="38"/>
  <c r="AB303" i="38" s="1"/>
  <c r="L22" i="38"/>
  <c r="AF22" i="38" s="1"/>
  <c r="L4" i="38"/>
  <c r="AF4" i="38" s="1"/>
  <c r="L375" i="38"/>
  <c r="AB375" i="38" s="1"/>
  <c r="L171" i="38"/>
  <c r="AF171" i="38" s="1"/>
  <c r="L479" i="38"/>
  <c r="AB479" i="38" s="1"/>
  <c r="L41" i="38"/>
  <c r="AB41" i="38" s="1"/>
  <c r="L305" i="38"/>
  <c r="AB305" i="38" s="1"/>
  <c r="L205" i="38"/>
  <c r="AB205" i="38" s="1"/>
  <c r="L114" i="38"/>
  <c r="AB114" i="38" s="1"/>
  <c r="L27" i="38"/>
  <c r="AB27" i="38" s="1"/>
  <c r="L655" i="38"/>
  <c r="AB655" i="38" s="1"/>
  <c r="L187" i="38"/>
  <c r="AB187" i="38" s="1"/>
  <c r="L498" i="38"/>
  <c r="AB498" i="38" s="1"/>
  <c r="L107" i="38"/>
  <c r="AB107" i="38" s="1"/>
  <c r="L246" i="38"/>
  <c r="AB246" i="38" s="1"/>
  <c r="L751" i="38"/>
  <c r="AB751" i="38" s="1"/>
  <c r="L835" i="38"/>
  <c r="AB835" i="38" s="1"/>
  <c r="L599" i="38"/>
  <c r="AB599" i="38" s="1"/>
  <c r="L765" i="38"/>
  <c r="AB765" i="38" s="1"/>
  <c r="L581" i="38"/>
  <c r="AB581" i="38" s="1"/>
  <c r="L522" i="38"/>
  <c r="AF522" i="38" s="1"/>
  <c r="L603" i="38"/>
  <c r="AB603" i="38" s="1"/>
  <c r="L534" i="38"/>
  <c r="AB534" i="38" s="1"/>
  <c r="L7" i="38"/>
  <c r="AF7" i="38" s="1"/>
  <c r="L705" i="38"/>
  <c r="AB705" i="38" s="1"/>
  <c r="L129" i="38"/>
  <c r="AB129" i="38" s="1"/>
  <c r="L327" i="38"/>
  <c r="AB327" i="38" s="1"/>
  <c r="L415" i="38"/>
  <c r="AB415" i="38" s="1"/>
  <c r="L291" i="38"/>
  <c r="AB291" i="38" s="1"/>
  <c r="L570" i="38"/>
  <c r="AB570" i="38" s="1"/>
  <c r="L120" i="38"/>
  <c r="AB120" i="38" s="1"/>
  <c r="L266" i="38"/>
  <c r="AB266" i="38" s="1"/>
  <c r="L51" i="38"/>
  <c r="AB51" i="38" s="1"/>
  <c r="L509" i="38"/>
  <c r="AB509" i="38" s="1"/>
  <c r="L361" i="38"/>
  <c r="AB361" i="38" s="1"/>
  <c r="L24" i="38"/>
  <c r="AB24" i="38" s="1"/>
  <c r="L265" i="38"/>
  <c r="AB265" i="38" s="1"/>
  <c r="L224" i="38"/>
  <c r="AB224" i="38" s="1"/>
  <c r="L406" i="38"/>
  <c r="AF406" i="38" s="1"/>
  <c r="L79" i="38"/>
  <c r="AB79" i="38" s="1"/>
  <c r="L137" i="38"/>
  <c r="AB137" i="38" s="1"/>
  <c r="L553" i="38"/>
  <c r="AB553" i="38" s="1"/>
  <c r="L242" i="38"/>
  <c r="AB242" i="38" s="1"/>
  <c r="L271" i="38"/>
  <c r="AF271" i="38" s="1"/>
  <c r="L100" i="38"/>
  <c r="AB100" i="38" s="1"/>
  <c r="L300" i="38"/>
  <c r="AB300" i="38" s="1"/>
  <c r="L682" i="38"/>
  <c r="AB682" i="38" s="1"/>
  <c r="L186" i="38"/>
  <c r="AB186" i="38" s="1"/>
  <c r="L166" i="38"/>
  <c r="AF166" i="38" s="1"/>
  <c r="L644" i="38"/>
  <c r="AB644" i="38" s="1"/>
  <c r="L425" i="38"/>
  <c r="AB425" i="38" s="1"/>
  <c r="L594" i="38"/>
  <c r="AB594" i="38" s="1"/>
  <c r="L458" i="38"/>
  <c r="AB458" i="38" s="1"/>
  <c r="L62" i="38"/>
  <c r="AB62" i="38" s="1"/>
  <c r="A4" i="42"/>
  <c r="A4" i="44"/>
  <c r="AD529" i="38"/>
  <c r="AD518" i="38"/>
  <c r="AD404" i="38"/>
  <c r="AD282" i="38"/>
  <c r="AD156" i="38"/>
  <c r="AD269" i="38"/>
  <c r="AD792" i="38"/>
  <c r="AD801" i="38"/>
  <c r="AD396" i="38"/>
  <c r="AD407" i="38"/>
  <c r="AD532" i="38"/>
  <c r="AD274" i="38"/>
  <c r="AD20" i="38"/>
  <c r="AD398" i="38"/>
  <c r="AD672" i="38"/>
  <c r="AD799" i="38"/>
  <c r="AD530" i="38"/>
  <c r="AD515" i="38"/>
  <c r="AD851" i="38"/>
  <c r="AD273" i="38"/>
  <c r="AD279" i="38"/>
  <c r="AD401" i="38"/>
  <c r="AD674" i="38"/>
  <c r="AD8" i="38"/>
  <c r="AD285" i="38"/>
  <c r="AD5" i="38"/>
  <c r="AD805" i="38"/>
  <c r="AD168" i="38"/>
  <c r="AD795" i="38"/>
  <c r="AD663" i="38"/>
  <c r="AD677" i="38"/>
  <c r="AD10" i="38"/>
  <c r="AD393" i="38"/>
  <c r="AD524" i="38"/>
  <c r="AD522" i="38"/>
  <c r="AD170" i="38"/>
  <c r="AD808" i="38"/>
  <c r="AD675" i="38"/>
  <c r="AD276" i="38"/>
  <c r="AD659" i="38"/>
  <c r="AD394" i="38"/>
  <c r="AD160" i="38"/>
  <c r="AD957" i="38"/>
  <c r="AD913" i="38"/>
  <c r="AD959" i="38"/>
  <c r="AD960" i="38"/>
  <c r="AD901" i="38"/>
  <c r="AD966" i="38"/>
  <c r="AD962" i="38"/>
  <c r="AD958" i="38"/>
  <c r="AD902" i="38"/>
  <c r="AD972" i="38"/>
  <c r="AD946" i="38"/>
  <c r="AD900" i="38"/>
  <c r="AD976" i="38"/>
  <c r="AD973" i="38"/>
  <c r="AD969" i="38"/>
  <c r="AD942" i="38"/>
  <c r="AD924" i="38"/>
  <c r="AD921" i="38"/>
  <c r="AD528" i="38"/>
  <c r="AD803" i="38"/>
  <c r="AD287" i="38"/>
  <c r="AD512" i="38"/>
  <c r="AD400" i="38"/>
  <c r="AD664" i="38"/>
  <c r="AD286" i="38"/>
  <c r="AD278" i="38"/>
  <c r="AD661" i="38"/>
  <c r="AD521" i="38"/>
  <c r="AD13" i="38"/>
  <c r="AD920" i="38"/>
  <c r="AD917" i="38"/>
  <c r="AD930" i="38"/>
  <c r="AD927" i="38"/>
  <c r="AD922" i="38"/>
  <c r="AD918" i="38"/>
  <c r="AD964" i="38"/>
  <c r="AD965" i="38"/>
  <c r="AD912" i="38"/>
  <c r="AD798" i="38"/>
  <c r="AD390" i="38"/>
  <c r="AD516" i="38"/>
  <c r="AD277" i="38"/>
  <c r="AD391" i="38"/>
  <c r="AD157" i="38"/>
  <c r="AD793" i="38"/>
  <c r="AD272" i="38"/>
  <c r="AD531" i="38"/>
  <c r="AD166" i="38"/>
  <c r="AD908" i="38"/>
  <c r="AD953" i="38"/>
  <c r="AD909" i="38"/>
  <c r="AD945" i="38"/>
  <c r="AD914" i="38"/>
  <c r="AD910" i="38"/>
  <c r="AD906" i="38"/>
  <c r="AD939" i="38"/>
  <c r="AD513" i="38"/>
  <c r="AD392" i="38"/>
  <c r="AD169" i="38"/>
  <c r="AD514" i="38"/>
  <c r="AD847" i="38"/>
  <c r="AD525" i="38"/>
  <c r="AD662" i="38"/>
  <c r="AD523" i="38"/>
  <c r="AD163" i="38"/>
  <c r="AD935" i="38"/>
  <c r="AD971" i="38"/>
  <c r="AD968" i="38"/>
  <c r="AD915" i="38"/>
  <c r="AD940" i="38"/>
  <c r="AD937" i="38"/>
  <c r="AD936" i="38"/>
  <c r="AD933" i="38"/>
  <c r="AD932" i="38"/>
  <c r="AD929" i="38"/>
  <c r="AD928" i="38"/>
  <c r="AD925" i="38"/>
  <c r="AD903" i="38"/>
  <c r="AD956" i="38"/>
  <c r="AD963" i="38"/>
  <c r="AD975" i="38"/>
  <c r="AD926" i="38"/>
  <c r="AD955" i="38"/>
  <c r="AD952" i="38"/>
  <c r="AD951" i="38"/>
  <c r="AD948" i="38"/>
  <c r="AD947" i="38"/>
  <c r="AD944" i="38"/>
  <c r="AD916" i="38"/>
  <c r="AD905" i="38"/>
  <c r="AD954" i="38"/>
  <c r="AD800" i="38"/>
  <c r="AD520" i="38"/>
  <c r="AD397" i="38"/>
  <c r="AD846" i="38"/>
  <c r="AD850" i="38"/>
  <c r="AD409" i="38"/>
  <c r="AD406" i="38"/>
  <c r="AD399" i="38"/>
  <c r="AD848" i="38"/>
  <c r="AD665" i="38"/>
  <c r="AD3" i="38"/>
  <c r="AD950" i="38"/>
  <c r="AD904" i="38"/>
  <c r="AD949" i="38"/>
  <c r="AD899" i="38"/>
  <c r="AD974" i="38"/>
  <c r="AD970" i="38"/>
  <c r="AD943" i="38"/>
  <c r="AD938" i="38"/>
  <c r="AD934" i="38"/>
  <c r="AD931" i="38"/>
  <c r="AD967" i="38"/>
  <c r="AD941" i="38"/>
  <c r="AD923" i="38"/>
  <c r="AD919" i="38"/>
  <c r="AD911" i="38"/>
  <c r="AD907" i="38"/>
  <c r="I6" i="41"/>
  <c r="AD895" i="38"/>
  <c r="AD896" i="38"/>
  <c r="AD897" i="38"/>
  <c r="AD898" i="38"/>
  <c r="AD894" i="38"/>
  <c r="Y1194" i="37"/>
  <c r="Y1212" i="37"/>
  <c r="Y1214" i="37"/>
  <c r="Y1207" i="37"/>
  <c r="Y1219" i="37"/>
  <c r="Y1195" i="37"/>
  <c r="Y1184" i="37"/>
  <c r="Y1213" i="37"/>
  <c r="Y1199" i="37"/>
  <c r="Y1185" i="37"/>
  <c r="Y1230" i="37"/>
  <c r="Y1205" i="37"/>
  <c r="Y1224" i="37"/>
  <c r="Y1228" i="37"/>
  <c r="Y1223" i="37"/>
  <c r="Y1201" i="37"/>
  <c r="Y1210" i="37"/>
  <c r="Y1191" i="37"/>
  <c r="Y1226" i="37"/>
  <c r="Y1204" i="37"/>
  <c r="Y1208" i="37"/>
  <c r="Y1203" i="37"/>
  <c r="Y1227" i="37"/>
  <c r="Y1209" i="37"/>
  <c r="Y1192" i="37"/>
  <c r="Y1188" i="37"/>
  <c r="Y1229" i="37"/>
  <c r="Y1189" i="37"/>
  <c r="Y1186" i="37"/>
  <c r="Y1218" i="37"/>
  <c r="Y1220" i="37"/>
  <c r="Y1225" i="37"/>
  <c r="Y1196" i="37"/>
  <c r="Y1182" i="37"/>
  <c r="Y1190" i="37"/>
  <c r="Y1215" i="37"/>
  <c r="Y1216" i="37"/>
  <c r="Y1193" i="37"/>
  <c r="Y1217" i="37"/>
  <c r="Y1206" i="37"/>
  <c r="Y1202" i="37"/>
  <c r="Y1197" i="37"/>
  <c r="Y1198" i="37"/>
  <c r="Y1187" i="37"/>
  <c r="Y1200" i="37"/>
  <c r="Y1211" i="37"/>
  <c r="Y1183" i="37"/>
  <c r="Y1221" i="37"/>
  <c r="Y1222" i="37"/>
  <c r="AD299" i="38"/>
  <c r="AD327" i="38"/>
  <c r="AD762" i="38"/>
  <c r="AD447" i="38"/>
  <c r="AD337" i="38"/>
  <c r="AD475" i="38"/>
  <c r="AD822" i="38"/>
  <c r="AD347" i="38"/>
  <c r="AD228" i="38"/>
  <c r="AD879" i="38"/>
  <c r="AD866" i="38"/>
  <c r="AD772" i="38"/>
  <c r="AD50" i="38"/>
  <c r="AD581" i="38"/>
  <c r="AD178" i="38"/>
  <c r="AD335" i="38"/>
  <c r="AD439" i="38"/>
  <c r="AD693" i="38"/>
  <c r="AD862" i="38"/>
  <c r="AD615" i="38"/>
  <c r="AD545" i="38"/>
  <c r="AD465" i="38"/>
  <c r="AD583" i="38"/>
  <c r="AD863" i="38"/>
  <c r="AD236" i="38"/>
  <c r="AD500" i="38"/>
  <c r="AD367" i="38"/>
  <c r="AD613" i="38"/>
  <c r="AD483" i="38"/>
  <c r="AD446" i="38"/>
  <c r="AD715" i="38"/>
  <c r="AD101" i="38"/>
  <c r="AD861" i="38"/>
  <c r="AD576" i="38"/>
  <c r="AD214" i="38"/>
  <c r="AD741" i="38"/>
  <c r="AD260" i="38"/>
  <c r="AD418" i="38"/>
  <c r="AD707" i="38"/>
  <c r="AD824" i="38"/>
  <c r="AD410" i="38"/>
  <c r="AD633" i="38"/>
  <c r="AD867" i="38"/>
  <c r="AD472" i="38"/>
  <c r="AD227" i="38"/>
  <c r="AD346" i="38"/>
  <c r="AD492" i="38"/>
  <c r="AD192" i="38"/>
  <c r="AD724" i="38"/>
  <c r="AD643" i="38"/>
  <c r="AD573" i="38"/>
  <c r="AD185" i="38"/>
  <c r="AD123" i="38"/>
  <c r="AD455" i="38"/>
  <c r="AD194" i="38"/>
  <c r="AD883" i="38"/>
  <c r="AD690" i="38"/>
  <c r="AD608" i="38"/>
  <c r="AD350" i="38"/>
  <c r="AD740" i="38"/>
  <c r="AD360" i="38"/>
  <c r="AD466" i="38"/>
  <c r="AD220" i="38"/>
  <c r="AD754" i="38"/>
  <c r="AD543" i="38"/>
  <c r="AD849" i="38"/>
  <c r="AD820" i="38"/>
  <c r="AD540" i="38"/>
  <c r="AD565" i="38"/>
  <c r="AD408" i="38"/>
  <c r="AD667" i="38"/>
  <c r="AD670" i="38"/>
  <c r="AD403" i="38"/>
  <c r="AD270" i="38"/>
  <c r="AD517" i="38"/>
  <c r="AD164" i="38"/>
  <c r="AD794" i="38"/>
  <c r="AD527" i="38"/>
  <c r="AD17" i="38"/>
  <c r="AD16" i="38"/>
  <c r="AD12" i="38"/>
  <c r="AD15" i="38"/>
  <c r="AD826" i="38"/>
  <c r="AD188" i="38"/>
  <c r="AD720" i="38"/>
  <c r="AD203" i="38"/>
  <c r="AD246" i="38"/>
  <c r="AD743" i="38"/>
  <c r="AD744" i="38"/>
  <c r="AD167" i="38"/>
  <c r="AD526" i="38"/>
  <c r="AD797" i="38"/>
  <c r="AD676" i="38"/>
  <c r="AD344" i="38"/>
  <c r="AD402" i="38"/>
  <c r="AD806" i="38"/>
  <c r="AD845" i="38"/>
  <c r="AD275" i="38"/>
  <c r="AD807" i="38"/>
  <c r="AD281" i="38"/>
  <c r="AD11" i="38"/>
  <c r="AD4" i="38"/>
  <c r="AD2" i="38"/>
  <c r="AD611" i="38"/>
  <c r="AD217" i="38"/>
  <c r="AD671" i="38"/>
  <c r="AD23" i="38"/>
  <c r="AD480" i="38"/>
  <c r="AD165" i="38"/>
  <c r="AD280" i="38"/>
  <c r="AD195" i="38"/>
  <c r="AD314" i="38"/>
  <c r="AD315" i="38"/>
  <c r="AD593" i="38"/>
  <c r="AD268" i="38"/>
  <c r="AD564" i="38"/>
  <c r="AD405" i="38"/>
  <c r="AD660" i="38"/>
  <c r="AD161" i="38"/>
  <c r="AD283" i="38"/>
  <c r="AD162" i="38"/>
  <c r="AD469" i="38"/>
  <c r="AD295" i="38"/>
  <c r="AD541" i="38"/>
  <c r="AD457" i="38"/>
  <c r="AD575" i="38"/>
  <c r="AD271" i="38"/>
  <c r="AD305" i="38"/>
  <c r="AD69" i="38"/>
  <c r="AD284" i="38"/>
  <c r="AD821" i="38"/>
  <c r="AD597" i="38"/>
  <c r="AD395" i="38"/>
  <c r="AD706" i="38"/>
  <c r="AD669" i="38"/>
  <c r="AD478" i="38"/>
  <c r="AD668" i="38"/>
  <c r="AD802" i="38"/>
  <c r="AD666" i="38"/>
  <c r="AD336" i="38"/>
  <c r="AD18" i="38"/>
  <c r="AD21" i="38"/>
  <c r="AD171" i="38"/>
  <c r="AD673" i="38"/>
  <c r="AD386" i="38"/>
  <c r="AD430" i="38"/>
  <c r="AD415" i="38"/>
  <c r="AD836" i="38"/>
  <c r="AD555" i="38"/>
  <c r="AD229" i="38"/>
  <c r="AD652" i="38"/>
  <c r="AD332" i="38"/>
  <c r="AD755" i="38"/>
  <c r="AD441" i="38"/>
  <c r="AD330" i="38"/>
  <c r="AD757" i="38"/>
  <c r="AD860" i="38"/>
  <c r="AD885" i="38"/>
  <c r="AD584" i="38"/>
  <c r="AD254" i="38"/>
  <c r="AD683" i="38"/>
  <c r="AD345" i="38"/>
  <c r="AD490" i="38"/>
  <c r="AD358" i="38"/>
  <c r="AD786" i="38"/>
  <c r="AD189" i="38"/>
  <c r="AD612" i="38"/>
  <c r="AD292" i="38"/>
  <c r="AD712" i="38"/>
  <c r="AD341" i="38"/>
  <c r="AD437" i="38"/>
  <c r="AD481" i="38"/>
  <c r="AD290" i="38"/>
  <c r="AD714" i="38"/>
  <c r="AD355" i="38"/>
  <c r="AD749" i="38"/>
  <c r="AD818" i="38"/>
  <c r="AD537" i="38"/>
  <c r="AD27" i="38"/>
  <c r="AD44" i="38"/>
  <c r="AD118" i="38"/>
  <c r="AD426" i="38"/>
  <c r="AD464" i="38"/>
  <c r="AD244" i="38"/>
  <c r="AD635" i="38"/>
  <c r="AD678" i="38"/>
  <c r="AD316" i="38"/>
  <c r="AD738" i="38"/>
  <c r="AD425" i="38"/>
  <c r="AD208" i="38"/>
  <c r="AD599" i="38"/>
  <c r="AD209" i="38"/>
  <c r="AD600" i="38"/>
  <c r="AD238" i="38"/>
  <c r="AD361" i="38"/>
  <c r="AD462" i="38"/>
  <c r="AD702" i="38"/>
  <c r="AD205" i="38"/>
  <c r="AD202" i="38"/>
  <c r="AD493" i="38"/>
  <c r="AD9" i="38"/>
  <c r="AD791" i="38"/>
  <c r="AD471" i="38"/>
  <c r="AD366" i="38"/>
  <c r="AD197" i="38"/>
  <c r="AD620" i="38"/>
  <c r="AD300" i="38"/>
  <c r="AD721" i="38"/>
  <c r="AD381" i="38"/>
  <c r="AD507" i="38"/>
  <c r="AD459" i="38"/>
  <c r="AD298" i="38"/>
  <c r="AD723" i="38"/>
  <c r="AD833" i="38"/>
  <c r="AD552" i="38"/>
  <c r="AD222" i="38"/>
  <c r="AD641" i="38"/>
  <c r="AD438" i="38"/>
  <c r="AD482" i="38"/>
  <c r="AD326" i="38"/>
  <c r="AD752" i="38"/>
  <c r="AD852" i="38"/>
  <c r="AD877" i="38"/>
  <c r="AD580" i="38"/>
  <c r="AD250" i="38"/>
  <c r="AD679" i="38"/>
  <c r="AD309" i="38"/>
  <c r="AD473" i="38"/>
  <c r="AD248" i="38"/>
  <c r="AD681" i="38"/>
  <c r="AD323" i="38"/>
  <c r="AD716" i="38"/>
  <c r="AD352" i="38"/>
  <c r="AD776" i="38"/>
  <c r="AD880" i="38"/>
  <c r="AD570" i="38"/>
  <c r="AD90" i="38"/>
  <c r="AD122" i="38"/>
  <c r="AD865" i="38"/>
  <c r="AD423" i="38"/>
  <c r="AD456" i="38"/>
  <c r="AD212" i="38"/>
  <c r="AD603" i="38"/>
  <c r="AD245" i="38"/>
  <c r="AD636" i="38"/>
  <c r="AD704" i="38"/>
  <c r="AD365" i="38"/>
  <c r="AD422" i="38"/>
  <c r="AD176" i="38"/>
  <c r="AD567" i="38"/>
  <c r="AD177" i="38"/>
  <c r="AD568" i="38"/>
  <c r="AD174" i="38"/>
  <c r="AD223" i="38"/>
  <c r="AD450" i="38"/>
  <c r="AD173" i="38"/>
  <c r="AD257" i="38"/>
  <c r="AD505" i="38"/>
  <c r="AD196" i="38"/>
  <c r="AD419" i="38"/>
  <c r="AD448" i="38"/>
  <c r="AD334" i="38"/>
  <c r="AD761" i="38"/>
  <c r="AD868" i="38"/>
  <c r="AD893" i="38"/>
  <c r="AD588" i="38"/>
  <c r="AD258" i="38"/>
  <c r="AD687" i="38"/>
  <c r="AD349" i="38"/>
  <c r="AD499" i="38"/>
  <c r="AD454" i="38"/>
  <c r="AD256" i="38"/>
  <c r="AD689" i="38"/>
  <c r="AD363" i="38"/>
  <c r="AD190" i="38"/>
  <c r="AD609" i="38"/>
  <c r="AD449" i="38"/>
  <c r="AD474" i="38"/>
  <c r="AD294" i="38"/>
  <c r="AD719" i="38"/>
  <c r="AD829" i="38"/>
  <c r="AD548" i="38"/>
  <c r="AD218" i="38"/>
  <c r="AD637" i="38"/>
  <c r="AD267" i="38"/>
  <c r="AD427" i="38"/>
  <c r="AD412" i="38"/>
  <c r="AD216" i="38"/>
  <c r="AD639" i="38"/>
  <c r="AD291" i="38"/>
  <c r="AD682" i="38"/>
  <c r="AD320" i="38"/>
  <c r="AD742" i="38"/>
  <c r="AD881" i="38"/>
  <c r="AD756" i="38"/>
  <c r="AD566" i="38"/>
  <c r="AD578" i="38"/>
  <c r="AD444" i="38"/>
  <c r="AD451" i="38"/>
  <c r="AD180" i="38"/>
  <c r="AD571" i="38"/>
  <c r="AD213" i="38"/>
  <c r="AD604" i="38"/>
  <c r="AD242" i="38"/>
  <c r="AD333" i="38"/>
  <c r="AD487" i="38"/>
  <c r="AD753" i="38"/>
  <c r="AD535" i="38"/>
  <c r="AD853" i="38"/>
  <c r="AD536" i="38"/>
  <c r="AD810" i="38"/>
  <c r="AD627" i="38"/>
  <c r="AD554" i="38"/>
  <c r="AD651" i="38"/>
  <c r="AD388" i="38"/>
  <c r="AD508" i="38"/>
  <c r="AD460" i="38"/>
  <c r="AD302" i="38"/>
  <c r="AD727" i="38"/>
  <c r="AD837" i="38"/>
  <c r="AD556" i="38"/>
  <c r="AD226" i="38"/>
  <c r="AD645" i="38"/>
  <c r="AD317" i="38"/>
  <c r="AD491" i="38"/>
  <c r="AD440" i="38"/>
  <c r="AD224" i="38"/>
  <c r="AD647" i="38"/>
  <c r="AD331" i="38"/>
  <c r="AD758" i="38"/>
  <c r="AD854" i="38"/>
  <c r="AD871" i="38"/>
  <c r="AD577" i="38"/>
  <c r="AD428" i="38"/>
  <c r="AD413" i="38"/>
  <c r="AD252" i="38"/>
  <c r="AD685" i="38"/>
  <c r="AD359" i="38"/>
  <c r="AD787" i="38"/>
  <c r="AD186" i="38"/>
  <c r="AD605" i="38"/>
  <c r="AD235" i="38"/>
  <c r="AD443" i="38"/>
  <c r="AD468" i="38"/>
  <c r="AD734" i="38"/>
  <c r="AD184" i="38"/>
  <c r="AD607" i="38"/>
  <c r="AD249" i="38"/>
  <c r="AD640" i="38"/>
  <c r="AD288" i="38"/>
  <c r="AD708" i="38"/>
  <c r="AD369" i="38"/>
  <c r="AD102" i="38"/>
  <c r="AD133" i="38"/>
  <c r="AD488" i="38"/>
  <c r="AD696" i="38"/>
  <c r="AD859" i="38"/>
  <c r="AD539" i="38"/>
  <c r="AD181" i="38"/>
  <c r="AD572" i="38"/>
  <c r="AD210" i="38"/>
  <c r="AD629" i="38"/>
  <c r="AD301" i="38"/>
  <c r="AD479" i="38"/>
  <c r="AD816" i="38"/>
  <c r="AD817" i="38"/>
  <c r="AD886" i="38"/>
  <c r="AD767" i="38"/>
  <c r="AD424" i="38"/>
  <c r="AD310" i="38"/>
  <c r="AD563" i="38"/>
  <c r="AD737" i="38"/>
  <c r="AD733" i="38"/>
  <c r="AD421" i="38"/>
  <c r="AD293" i="38"/>
  <c r="AD784" i="38"/>
  <c r="AD484" i="38"/>
  <c r="AD619" i="38"/>
  <c r="AD303" i="38"/>
  <c r="AD728" i="38"/>
  <c r="AD830" i="38"/>
  <c r="AD429" i="38"/>
  <c r="AD414" i="38"/>
  <c r="AD832" i="38"/>
  <c r="AD551" i="38"/>
  <c r="AD225" i="38"/>
  <c r="AD648" i="38"/>
  <c r="AD328" i="38"/>
  <c r="AD750" i="38"/>
  <c r="AD506" i="38"/>
  <c r="AD458" i="38"/>
  <c r="AD858" i="38"/>
  <c r="AD875" i="38"/>
  <c r="AD579" i="38"/>
  <c r="AD253" i="38"/>
  <c r="AD686" i="38"/>
  <c r="AD356" i="38"/>
  <c r="AD780" i="38"/>
  <c r="AD888" i="38"/>
  <c r="AD602" i="38"/>
  <c r="AD497" i="38"/>
  <c r="AD452" i="38"/>
  <c r="AD354" i="38"/>
  <c r="AD782" i="38"/>
  <c r="AD869" i="38"/>
  <c r="AD544" i="38"/>
  <c r="AD182" i="38"/>
  <c r="AD601" i="38"/>
  <c r="AD231" i="38"/>
  <c r="AD91" i="38"/>
  <c r="AD108" i="38"/>
  <c r="AD37" i="38"/>
  <c r="AD436" i="38"/>
  <c r="AD411" i="38"/>
  <c r="AD318" i="38"/>
  <c r="AD710" i="38"/>
  <c r="AD351" i="38"/>
  <c r="AD745" i="38"/>
  <c r="AD814" i="38"/>
  <c r="AD533" i="38"/>
  <c r="AD435" i="38"/>
  <c r="AD312" i="38"/>
  <c r="AD172" i="38"/>
  <c r="AD343" i="38"/>
  <c r="AD549" i="38"/>
  <c r="AD476" i="38"/>
  <c r="AD874" i="38"/>
  <c r="AD891" i="38"/>
  <c r="AD587" i="38"/>
  <c r="AD261" i="38"/>
  <c r="AD694" i="38"/>
  <c r="AD364" i="38"/>
  <c r="AD788" i="38"/>
  <c r="AD470" i="38"/>
  <c r="AD362" i="38"/>
  <c r="AD790" i="38"/>
  <c r="AD193" i="38"/>
  <c r="AD616" i="38"/>
  <c r="AD296" i="38"/>
  <c r="AD717" i="38"/>
  <c r="AD377" i="38"/>
  <c r="AD498" i="38"/>
  <c r="AD453" i="38"/>
  <c r="AD828" i="38"/>
  <c r="AD547" i="38"/>
  <c r="AD221" i="38"/>
  <c r="AD644" i="38"/>
  <c r="AD324" i="38"/>
  <c r="AD746" i="38"/>
  <c r="AD489" i="38"/>
  <c r="AD322" i="38"/>
  <c r="AD748" i="38"/>
  <c r="AD825" i="38"/>
  <c r="AD855" i="38"/>
  <c r="AD569" i="38"/>
  <c r="AD199" i="38"/>
  <c r="AD59" i="38"/>
  <c r="AD76" i="38"/>
  <c r="AD857" i="38"/>
  <c r="AD434" i="38"/>
  <c r="AD467" i="38"/>
  <c r="AD319" i="38"/>
  <c r="AD711" i="38"/>
  <c r="AD348" i="38"/>
  <c r="AD771" i="38"/>
  <c r="AD872" i="38"/>
  <c r="AD433" i="38"/>
  <c r="AD463" i="38"/>
  <c r="AD240" i="38"/>
  <c r="AD631" i="38"/>
  <c r="AD241" i="38"/>
  <c r="AD632" i="38"/>
  <c r="AD812" i="38"/>
  <c r="AD698" i="38"/>
  <c r="AD373" i="38"/>
  <c r="AD700" i="38"/>
  <c r="AD329" i="38"/>
  <c r="AD494" i="38"/>
  <c r="AD769" i="38"/>
  <c r="AD884" i="38"/>
  <c r="AD187" i="38"/>
  <c r="AD339" i="38"/>
  <c r="AD625" i="38"/>
  <c r="AD297" i="38"/>
  <c r="AD486" i="38"/>
  <c r="AD342" i="38"/>
  <c r="AD736" i="38"/>
  <c r="AD813" i="38"/>
  <c r="AD308" i="38"/>
  <c r="AD338" i="38"/>
  <c r="AD726" i="38"/>
  <c r="AD519" i="38"/>
  <c r="AD699" i="38"/>
  <c r="AD215" i="38"/>
  <c r="AD243" i="38"/>
  <c r="AD206" i="38"/>
  <c r="AD561" i="38"/>
  <c r="AD191" i="38"/>
  <c r="AD417" i="38"/>
  <c r="AD311" i="38"/>
  <c r="AD703" i="38"/>
  <c r="AD560" i="38"/>
  <c r="AD751" i="38"/>
  <c r="AD864" i="38"/>
  <c r="AD432" i="38"/>
  <c r="AD204" i="38"/>
  <c r="AD595" i="38"/>
  <c r="AD237" i="38"/>
  <c r="AD628" i="38"/>
  <c r="AD557" i="38"/>
  <c r="AD559" i="38"/>
  <c r="AD638" i="38"/>
  <c r="AD106" i="38"/>
  <c r="AD713" i="38"/>
  <c r="AD431" i="38"/>
  <c r="AD200" i="38"/>
  <c r="AD201" i="38"/>
  <c r="AD796" i="38"/>
  <c r="AD695" i="38"/>
  <c r="AD585" i="38"/>
  <c r="AD42" i="38"/>
  <c r="AD22" i="38"/>
  <c r="AD159" i="38"/>
  <c r="AD140" i="38"/>
  <c r="AD6" i="38"/>
  <c r="AD384" i="38"/>
  <c r="AD834" i="38"/>
  <c r="AD7" i="38"/>
  <c r="AD504" i="38"/>
  <c r="AD654" i="38"/>
  <c r="AD856" i="38"/>
  <c r="AD477" i="38"/>
  <c r="AD882" i="38"/>
  <c r="AD876" i="38"/>
  <c r="AD809" i="38"/>
  <c r="AD870" i="38"/>
  <c r="AD759" i="38"/>
  <c r="AD321" i="38"/>
  <c r="AD582" i="38"/>
  <c r="AD58" i="38"/>
  <c r="AD692" i="38"/>
  <c r="AD372" i="38"/>
  <c r="AD763" i="38"/>
  <c r="AD357" i="38"/>
  <c r="AD618" i="38"/>
  <c r="AD416" i="38"/>
  <c r="AD765" i="38"/>
  <c r="AD766" i="38"/>
  <c r="AD691" i="38"/>
  <c r="AD289" i="38"/>
  <c r="AD107" i="38"/>
  <c r="AD60" i="38"/>
  <c r="AD49" i="38"/>
  <c r="AD340" i="38"/>
  <c r="AD729" i="38"/>
  <c r="AD325" i="38"/>
  <c r="AD445" i="38"/>
  <c r="AD370" i="38"/>
  <c r="AD731" i="38"/>
  <c r="AD371" i="38"/>
  <c r="AD732" i="38"/>
  <c r="AD368" i="38"/>
  <c r="AD617" i="38"/>
  <c r="AD247" i="38"/>
  <c r="AD28" i="38"/>
  <c r="AD596" i="38"/>
  <c r="AD234" i="38"/>
  <c r="AD621" i="38"/>
  <c r="AD251" i="38"/>
  <c r="AD461" i="38"/>
  <c r="AD306" i="38"/>
  <c r="AD623" i="38"/>
  <c r="AD307" i="38"/>
  <c r="AD624" i="38"/>
  <c r="AD230" i="38"/>
  <c r="AD553" i="38"/>
  <c r="AD697" i="38"/>
  <c r="AD626" i="38"/>
  <c r="AD117" i="38"/>
  <c r="AD550" i="38"/>
  <c r="AD46" i="38"/>
  <c r="AD589" i="38"/>
  <c r="AD219" i="38"/>
  <c r="AD420" i="38"/>
  <c r="AD442" i="38"/>
  <c r="AD232" i="38"/>
  <c r="AD591" i="38"/>
  <c r="AD233" i="38"/>
  <c r="AD592" i="38"/>
  <c r="AD198" i="38"/>
  <c r="AD747" i="38"/>
  <c r="AD39" i="38"/>
  <c r="AD770" i="38"/>
  <c r="AD878" i="38"/>
  <c r="AD838" i="38"/>
  <c r="AD730" i="38"/>
  <c r="AD485" i="38"/>
  <c r="AD353" i="38"/>
  <c r="AD811" i="38"/>
  <c r="AD211" i="38"/>
  <c r="AD120" i="38"/>
  <c r="AD380" i="38"/>
  <c r="AD376" i="38"/>
  <c r="AD844" i="38"/>
  <c r="AD501" i="38"/>
  <c r="AD264" i="38"/>
  <c r="AD103" i="38"/>
  <c r="AD768" i="38"/>
  <c r="AD113" i="38"/>
  <c r="AD146" i="38"/>
  <c r="AD831" i="38"/>
  <c r="AD52" i="38"/>
  <c r="AD684" i="38"/>
  <c r="AD127" i="38"/>
  <c r="AD70" i="38"/>
  <c r="AD137" i="38"/>
  <c r="AD610" i="38"/>
  <c r="AD839" i="38"/>
  <c r="AD55" i="38"/>
  <c r="AD136" i="38"/>
  <c r="AD65" i="38"/>
  <c r="AD764" i="38"/>
  <c r="AD51" i="38"/>
  <c r="AD132" i="38"/>
  <c r="AD61" i="38"/>
  <c r="AD34" i="38"/>
  <c r="AD658" i="38"/>
  <c r="AD32" i="38"/>
  <c r="AD558" i="38"/>
  <c r="AD374" i="38"/>
  <c r="AD389" i="38"/>
  <c r="AD655" i="38"/>
  <c r="AD887" i="38"/>
  <c r="AD139" i="38"/>
  <c r="AD149" i="38"/>
  <c r="AD739" i="38"/>
  <c r="AD179" i="38"/>
  <c r="AD71" i="38"/>
  <c r="AD152" i="38"/>
  <c r="AD81" i="38"/>
  <c r="AD313" i="38"/>
  <c r="AD819" i="38"/>
  <c r="AD562" i="38"/>
  <c r="AD154" i="38"/>
  <c r="AD95" i="38"/>
  <c r="AD701" i="38"/>
  <c r="AD105" i="38"/>
  <c r="AD538" i="38"/>
  <c r="AD104" i="38"/>
  <c r="AD33" i="38"/>
  <c r="AD100" i="38"/>
  <c r="AD29" i="38"/>
  <c r="AD614" i="38"/>
  <c r="AD823" i="38"/>
  <c r="AD760" i="38"/>
  <c r="AD66" i="38"/>
  <c r="AD382" i="38"/>
  <c r="AD378" i="38"/>
  <c r="AD266" i="38"/>
  <c r="AD650" i="38"/>
  <c r="AD630" i="38"/>
  <c r="AD38" i="38"/>
  <c r="AD63" i="38"/>
  <c r="AD144" i="38"/>
  <c r="AD73" i="38"/>
  <c r="AD781" i="38"/>
  <c r="AD78" i="38"/>
  <c r="AD72" i="38"/>
  <c r="AD827" i="38"/>
  <c r="AD680" i="38"/>
  <c r="AD62" i="38"/>
  <c r="AD68" i="38"/>
  <c r="AD143" i="38"/>
  <c r="AD134" i="38"/>
  <c r="AD153" i="38"/>
  <c r="AD773" i="38"/>
  <c r="AD387" i="38"/>
  <c r="AD778" i="38"/>
  <c r="AD774" i="38"/>
  <c r="AD892" i="38"/>
  <c r="AD653" i="38"/>
  <c r="AD265" i="38"/>
  <c r="AD183" i="38"/>
  <c r="AD75" i="38"/>
  <c r="AD85" i="38"/>
  <c r="AD138" i="38"/>
  <c r="AD88" i="38"/>
  <c r="AD239" i="38"/>
  <c r="AD131" i="38"/>
  <c r="AD82" i="38"/>
  <c r="AD141" i="38"/>
  <c r="AD642" i="38"/>
  <c r="AD31" i="38"/>
  <c r="AD112" i="38"/>
  <c r="AD41" i="38"/>
  <c r="AD98" i="38"/>
  <c r="AD722" i="38"/>
  <c r="AD40" i="38"/>
  <c r="AD622" i="38"/>
  <c r="AD74" i="38"/>
  <c r="AD688" i="38"/>
  <c r="AD36" i="38"/>
  <c r="AD590" i="38"/>
  <c r="AD111" i="38"/>
  <c r="AD843" i="38"/>
  <c r="AD121" i="38"/>
  <c r="AD19" i="38"/>
  <c r="AD783" i="38"/>
  <c r="AD263" i="38"/>
  <c r="AD155" i="38"/>
  <c r="AD657" i="38"/>
  <c r="AD375" i="38"/>
  <c r="AD840" i="38"/>
  <c r="AD656" i="38"/>
  <c r="AD43" i="38"/>
  <c r="AD124" i="38"/>
  <c r="AD53" i="38"/>
  <c r="AD26" i="38"/>
  <c r="AD56" i="38"/>
  <c r="AD718" i="38"/>
  <c r="AD207" i="38"/>
  <c r="AD99" i="38"/>
  <c r="AD735" i="38"/>
  <c r="AD109" i="38"/>
  <c r="AD114" i="38"/>
  <c r="AD80" i="38"/>
  <c r="AD709" i="38"/>
  <c r="AD873" i="38"/>
  <c r="AD110" i="38"/>
  <c r="AD646" i="38"/>
  <c r="AD835" i="38"/>
  <c r="AD86" i="38"/>
  <c r="AD79" i="38"/>
  <c r="AD542" i="38"/>
  <c r="AD89" i="38"/>
  <c r="AD383" i="38"/>
  <c r="AD511" i="38"/>
  <c r="AD379" i="38"/>
  <c r="AD510" i="38"/>
  <c r="AD304" i="38"/>
  <c r="AD725" i="38"/>
  <c r="AD385" i="38"/>
  <c r="AD92" i="38"/>
  <c r="AD594" i="38"/>
  <c r="AD24" i="38"/>
  <c r="AD175" i="38"/>
  <c r="AD67" i="38"/>
  <c r="AD148" i="38"/>
  <c r="AD77" i="38"/>
  <c r="AD130" i="38"/>
  <c r="AD789" i="38"/>
  <c r="AD48" i="38"/>
  <c r="AD151" i="38"/>
  <c r="AD534" i="38"/>
  <c r="AD815" i="38"/>
  <c r="AD147" i="38"/>
  <c r="AD150" i="38"/>
  <c r="AD158" i="38"/>
  <c r="AD804" i="38"/>
  <c r="AD47" i="38"/>
  <c r="AD128" i="38"/>
  <c r="AD57" i="38"/>
  <c r="AD779" i="38"/>
  <c r="AD259" i="38"/>
  <c r="AD503" i="38"/>
  <c r="AD775" i="38"/>
  <c r="AD255" i="38"/>
  <c r="AD502" i="38"/>
  <c r="AD262" i="38"/>
  <c r="AD634" i="38"/>
  <c r="AD35" i="38"/>
  <c r="AD116" i="38"/>
  <c r="AD45" i="38"/>
  <c r="AD777" i="38"/>
  <c r="AD142" i="38"/>
  <c r="AD119" i="38"/>
  <c r="AD30" i="38"/>
  <c r="AD129" i="38"/>
  <c r="AD546" i="38"/>
  <c r="AD115" i="38"/>
  <c r="AD889" i="38"/>
  <c r="AD125" i="38"/>
  <c r="AD96" i="38"/>
  <c r="AD25" i="38"/>
  <c r="AD496" i="38"/>
  <c r="AD495" i="38"/>
  <c r="AD842" i="38"/>
  <c r="AD890" i="38"/>
  <c r="AD509" i="38"/>
  <c r="AD841" i="38"/>
  <c r="AD649" i="38"/>
  <c r="AD135" i="38"/>
  <c r="AD94" i="38"/>
  <c r="AD145" i="38"/>
  <c r="AD705" i="38"/>
  <c r="AD126" i="38"/>
  <c r="AD84" i="38"/>
  <c r="AD586" i="38"/>
  <c r="AD598" i="38"/>
  <c r="AD87" i="38"/>
  <c r="AD606" i="38"/>
  <c r="AD97" i="38"/>
  <c r="AD83" i="38"/>
  <c r="AD574" i="38"/>
  <c r="AD93" i="38"/>
  <c r="AD54" i="38"/>
  <c r="AD64" i="38"/>
  <c r="AD785" i="38"/>
  <c r="I18" i="1"/>
  <c r="A31" i="13"/>
  <c r="A13" i="8"/>
  <c r="Y7" i="37"/>
  <c r="Y1157" i="37"/>
  <c r="Y1086" i="37"/>
  <c r="Y1025" i="37"/>
  <c r="Y978" i="37"/>
  <c r="Y730" i="37"/>
  <c r="Y767" i="37"/>
  <c r="Y408" i="37"/>
  <c r="Y580" i="37"/>
  <c r="Y328" i="37"/>
  <c r="Y260" i="37"/>
  <c r="Y551" i="37"/>
  <c r="Y368" i="37"/>
  <c r="Y389" i="37"/>
  <c r="Y24" i="37"/>
  <c r="Y396" i="37"/>
  <c r="Y1014" i="37"/>
  <c r="Y946" i="37"/>
  <c r="Y989" i="37"/>
  <c r="Y667" i="37"/>
  <c r="Y646" i="37"/>
  <c r="Y647" i="37"/>
  <c r="Y315" i="37"/>
  <c r="Y443" i="37"/>
  <c r="Y310" i="37"/>
  <c r="Y242" i="37"/>
  <c r="Y354" i="37"/>
  <c r="Y205" i="37"/>
  <c r="Y549" i="37"/>
  <c r="Y230" i="37"/>
  <c r="Y1071" i="37"/>
  <c r="Y974" i="37"/>
  <c r="Y1154" i="37"/>
  <c r="Y1101" i="37"/>
  <c r="Y990" i="37"/>
  <c r="Y678" i="37"/>
  <c r="Y837" i="37"/>
  <c r="Y724" i="37"/>
  <c r="Y593" i="37"/>
  <c r="Y308" i="37"/>
  <c r="Y224" i="37"/>
  <c r="Y347" i="37"/>
  <c r="Y187" i="37"/>
  <c r="Y12" i="37"/>
  <c r="Y276" i="37"/>
  <c r="Y562" i="37"/>
  <c r="Y1179" i="37"/>
  <c r="Y1153" i="37"/>
  <c r="Y1008" i="37"/>
  <c r="Y971" i="37"/>
  <c r="Y659" i="37"/>
  <c r="Y653" i="37"/>
  <c r="Y792" i="37"/>
  <c r="Y311" i="37"/>
  <c r="Y589" i="37"/>
  <c r="Y709" i="37"/>
  <c r="Y158" i="37"/>
  <c r="Y267" i="37"/>
  <c r="Y31" i="37"/>
  <c r="Y1090" i="37"/>
  <c r="Y1146" i="37"/>
  <c r="Y1046" i="37"/>
  <c r="Y1138" i="37"/>
  <c r="Y680" i="37"/>
  <c r="Y693" i="37"/>
  <c r="Y596" i="37"/>
  <c r="Y309" i="37"/>
  <c r="Y428" i="37"/>
  <c r="Y304" i="37"/>
  <c r="Y694" i="37"/>
  <c r="Y172" i="37"/>
  <c r="Y681" i="37"/>
  <c r="Y360" i="37"/>
  <c r="Y13" i="37"/>
  <c r="Y422" i="37"/>
  <c r="Y1052" i="37"/>
  <c r="Y1170" i="37"/>
  <c r="Y1001" i="37"/>
  <c r="Y966" i="37"/>
  <c r="Y760" i="37"/>
  <c r="Y782" i="37"/>
  <c r="Y636" i="37"/>
  <c r="Y662" i="37"/>
  <c r="Y430" i="37"/>
  <c r="Y318" i="37"/>
  <c r="Y234" i="37"/>
  <c r="Y382" i="37"/>
  <c r="Y213" i="37"/>
  <c r="Y50" i="37"/>
  <c r="Y166" i="37"/>
  <c r="Y1076" i="37"/>
  <c r="Y1165" i="37"/>
  <c r="Y1087" i="37"/>
  <c r="Y620" i="37"/>
  <c r="Y734" i="37"/>
  <c r="Y689" i="37"/>
  <c r="Y718" i="37"/>
  <c r="Y556" i="37"/>
  <c r="Y550" i="37"/>
  <c r="Y284" i="37"/>
  <c r="Y623" i="37"/>
  <c r="Y384" i="37"/>
  <c r="Y427" i="37"/>
  <c r="Y42" i="37"/>
  <c r="Y335" i="37"/>
  <c r="Y246" i="37"/>
  <c r="Y1045" i="37"/>
  <c r="Y1163" i="37"/>
  <c r="Y1117" i="37"/>
  <c r="Y637" i="37"/>
  <c r="Y606" i="37"/>
  <c r="Y664" i="37"/>
  <c r="Y8" i="37"/>
  <c r="Y1043" i="37"/>
  <c r="Y1020" i="37"/>
  <c r="Y1171" i="37"/>
  <c r="Y738" i="37"/>
  <c r="Y942" i="37"/>
  <c r="Y943" i="37"/>
  <c r="Y301" i="37"/>
  <c r="Y437" i="37"/>
  <c r="Y685" i="37"/>
  <c r="Y212" i="37"/>
  <c r="Y566" i="37"/>
  <c r="Y223" i="37"/>
  <c r="Y367" i="37"/>
  <c r="Y16" i="37"/>
  <c r="Y376" i="37"/>
  <c r="Y1125" i="37"/>
  <c r="Y1079" i="37"/>
  <c r="Y1068" i="37"/>
  <c r="Y814" i="37"/>
  <c r="Y640" i="37"/>
  <c r="Y601" i="37"/>
  <c r="Y595" i="37"/>
  <c r="Y785" i="37"/>
  <c r="Y750" i="37"/>
  <c r="Y194" i="37"/>
  <c r="Y759" i="37"/>
  <c r="Y157" i="37"/>
  <c r="Y20" i="37"/>
  <c r="Y270" i="37"/>
  <c r="Y969" i="37"/>
  <c r="Y972" i="37"/>
  <c r="Y1082" i="37"/>
  <c r="Y1104" i="37"/>
  <c r="Y684" i="37"/>
  <c r="Y825" i="37"/>
  <c r="Y1059" i="37"/>
  <c r="Y329" i="37"/>
  <c r="Y576" i="37"/>
  <c r="Y420" i="37"/>
  <c r="Y176" i="37"/>
  <c r="Y351" i="37"/>
  <c r="Y577" i="37"/>
  <c r="Y41" i="37"/>
  <c r="Y14" i="37"/>
  <c r="Y36" i="37"/>
  <c r="Y1057" i="37"/>
  <c r="Y941" i="37"/>
  <c r="Y1108" i="37"/>
  <c r="Y703" i="37"/>
  <c r="Y708" i="37"/>
  <c r="Y761" i="37"/>
  <c r="Y675" i="37"/>
  <c r="Y434" i="37"/>
  <c r="Y338" i="37"/>
  <c r="Y238" i="37"/>
  <c r="Y626" i="37"/>
  <c r="Y217" i="37"/>
  <c r="Y366" i="37"/>
  <c r="Y1000" i="37"/>
  <c r="Y939" i="37"/>
  <c r="Y1147" i="37"/>
  <c r="Y804" i="37"/>
  <c r="Y784" i="37"/>
  <c r="Y995" i="37"/>
  <c r="Y690" i="37"/>
  <c r="Y789" i="37"/>
  <c r="Y624" i="37"/>
  <c r="Y722" i="37"/>
  <c r="Y252" i="37"/>
  <c r="Y352" i="37"/>
  <c r="Y231" i="37"/>
  <c r="Y268" i="37"/>
  <c r="Y40" i="37"/>
  <c r="Y638" i="37"/>
  <c r="Y1088" i="37"/>
  <c r="Y1029" i="37"/>
  <c r="Y1075" i="37"/>
  <c r="Y727" i="37"/>
  <c r="Y773" i="37"/>
  <c r="Y649" i="37"/>
  <c r="Y757" i="37"/>
  <c r="Y323" i="37"/>
  <c r="Y426" i="37"/>
  <c r="Y794" i="37"/>
  <c r="Y186" i="37"/>
  <c r="Y263" i="37"/>
  <c r="Y165" i="37"/>
  <c r="Y29" i="37"/>
  <c r="Y287" i="37"/>
  <c r="Y1111" i="37"/>
  <c r="Y1167" i="37"/>
  <c r="Y1027" i="37"/>
  <c r="Y985" i="37"/>
  <c r="Y786" i="37"/>
  <c r="Y608" i="37"/>
  <c r="Y666" i="37"/>
  <c r="Y412" i="37"/>
  <c r="Y683" i="37"/>
  <c r="Y572" i="37"/>
  <c r="Y232" i="37"/>
  <c r="Y584" i="37"/>
  <c r="Y227" i="37"/>
  <c r="Y383" i="37"/>
  <c r="Y600" i="37"/>
  <c r="Y1083" i="37"/>
  <c r="Y1055" i="37"/>
  <c r="Y1058" i="37"/>
  <c r="Y1173" i="37"/>
  <c r="Y800" i="37"/>
  <c r="Y778" i="37"/>
  <c r="Y753" i="37"/>
  <c r="Y9" i="37"/>
  <c r="Y1114" i="37"/>
  <c r="Y1089" i="37"/>
  <c r="Y1042" i="37"/>
  <c r="Y616" i="37"/>
  <c r="Y715" i="37"/>
  <c r="Y603" i="37"/>
  <c r="Y552" i="37"/>
  <c r="Y568" i="37"/>
  <c r="Y588" i="37"/>
  <c r="Y164" i="37"/>
  <c r="Y273" i="37"/>
  <c r="Y175" i="37"/>
  <c r="Y28" i="37"/>
  <c r="Y314" i="37"/>
  <c r="Y1155" i="37"/>
  <c r="Y1010" i="37"/>
  <c r="Y1135" i="37"/>
  <c r="Y838" i="37"/>
  <c r="Y686" i="37"/>
  <c r="Y765" i="37"/>
  <c r="Y406" i="37"/>
  <c r="Y658" i="37"/>
  <c r="Y342" i="37"/>
  <c r="Y380" i="37"/>
  <c r="Y444" i="37"/>
  <c r="Y237" i="37"/>
  <c r="Y414" i="37"/>
  <c r="Y49" i="37"/>
  <c r="Y1143" i="37"/>
  <c r="Y1102" i="37"/>
  <c r="Y987" i="37"/>
  <c r="Y992" i="37"/>
  <c r="Y766" i="37"/>
  <c r="Y1061" i="37"/>
  <c r="Y728" i="37"/>
  <c r="Y677" i="37"/>
  <c r="Y281" i="37"/>
  <c r="Y340" i="37"/>
  <c r="Y256" i="37"/>
  <c r="Y937" i="37"/>
  <c r="Y219" i="37"/>
  <c r="Y272" i="37"/>
  <c r="Y365" i="37"/>
  <c r="Y38" i="37"/>
  <c r="Y967" i="37"/>
  <c r="Y1072" i="37"/>
  <c r="Y1099" i="37"/>
  <c r="Y747" i="37"/>
  <c r="Y704" i="37"/>
  <c r="Y598" i="37"/>
  <c r="Y343" i="37"/>
  <c r="Y439" i="37"/>
  <c r="Y290" i="37"/>
  <c r="Y190" i="37"/>
  <c r="Y440" i="37"/>
  <c r="Y153" i="37"/>
  <c r="Y391" i="37"/>
  <c r="Y1118" i="37"/>
  <c r="Y996" i="37"/>
  <c r="Y1013" i="37"/>
  <c r="Y977" i="37"/>
  <c r="Y1113" i="37"/>
  <c r="Y726" i="37"/>
  <c r="Y341" i="37"/>
  <c r="Y404" i="37"/>
  <c r="Y336" i="37"/>
  <c r="Y433" i="37"/>
  <c r="Y204" i="37"/>
  <c r="Y349" i="37"/>
  <c r="Y183" i="37"/>
  <c r="Y25" i="37"/>
  <c r="Y705" i="37"/>
  <c r="Y161" i="37"/>
  <c r="Y986" i="37"/>
  <c r="Y1065" i="37"/>
  <c r="Y1094" i="37"/>
  <c r="Y599" i="37"/>
  <c r="Y970" i="37"/>
  <c r="Y752" i="37"/>
  <c r="Y648" i="37"/>
  <c r="Y813" i="37"/>
  <c r="Y409" i="37"/>
  <c r="Y429" i="37"/>
  <c r="Y641" i="37"/>
  <c r="Y245" i="37"/>
  <c r="Y52" i="37"/>
  <c r="Y214" i="37"/>
  <c r="Y957" i="37"/>
  <c r="Y998" i="37"/>
  <c r="Y1178" i="37"/>
  <c r="Y965" i="37"/>
  <c r="Y938" i="37"/>
  <c r="Y780" i="37"/>
  <c r="Y1164" i="37"/>
  <c r="Y305" i="37"/>
  <c r="Y417" i="37"/>
  <c r="Y316" i="37"/>
  <c r="Y184" i="37"/>
  <c r="Y277" i="37"/>
  <c r="Y179" i="37"/>
  <c r="Y44" i="37"/>
  <c r="Y815" i="37"/>
  <c r="Y1132" i="37"/>
  <c r="Y953" i="37"/>
  <c r="Y968" i="37"/>
  <c r="Y740" i="37"/>
  <c r="Y644" i="37"/>
  <c r="Y739" i="37"/>
  <c r="Y1150" i="37"/>
  <c r="Y1022" i="37"/>
  <c r="Y999" i="37"/>
  <c r="Y952" i="37"/>
  <c r="Y642" i="37"/>
  <c r="Y737" i="37"/>
  <c r="Y333" i="37"/>
  <c r="Y735" i="37"/>
  <c r="Y312" i="37"/>
  <c r="Y244" i="37"/>
  <c r="Y377" i="37"/>
  <c r="Y255" i="37"/>
  <c r="Y280" i="37"/>
  <c r="Y30" i="37"/>
  <c r="Y385" i="37"/>
  <c r="Y950" i="37"/>
  <c r="Y822" i="37"/>
  <c r="Y1161" i="37"/>
  <c r="Y633" i="37"/>
  <c r="Y795" i="37"/>
  <c r="Y799" i="37"/>
  <c r="Y299" i="37"/>
  <c r="Y561" i="37"/>
  <c r="Y294" i="37"/>
  <c r="Y226" i="37"/>
  <c r="Y363" i="37"/>
  <c r="Y189" i="37"/>
  <c r="Y274" i="37"/>
  <c r="Y198" i="37"/>
  <c r="Y1033" i="37"/>
  <c r="Y1100" i="37"/>
  <c r="Y1131" i="37"/>
  <c r="Y1037" i="37"/>
  <c r="Y802" i="37"/>
  <c r="Y1152" i="37"/>
  <c r="Y791" i="37"/>
  <c r="Y547" i="37"/>
  <c r="Y445" i="37"/>
  <c r="Y292" i="37"/>
  <c r="Y208" i="37"/>
  <c r="Y269" i="37"/>
  <c r="Y171" i="37"/>
  <c r="Y43" i="37"/>
  <c r="Y33" i="37"/>
  <c r="Y257" i="37"/>
  <c r="Y1141" i="37"/>
  <c r="Y1069" i="37"/>
  <c r="Y1119" i="37"/>
  <c r="Y832" i="37"/>
  <c r="Y614" i="37"/>
  <c r="Y1047" i="37"/>
  <c r="Y742" i="37"/>
  <c r="Y295" i="37"/>
  <c r="Y645" i="37"/>
  <c r="Y364" i="37"/>
  <c r="Y787" i="37"/>
  <c r="Y249" i="37"/>
  <c r="Y591" i="37"/>
  <c r="Y1064" i="37"/>
  <c r="Y1067" i="37"/>
  <c r="Y982" i="37"/>
  <c r="Y1028" i="37"/>
  <c r="Y657" i="37"/>
  <c r="Y674" i="37"/>
  <c r="Y818" i="37"/>
  <c r="Y293" i="37"/>
  <c r="Y963" i="37"/>
  <c r="Y288" i="37"/>
  <c r="Y438" i="37"/>
  <c r="Y156" i="37"/>
  <c r="Y400" i="37"/>
  <c r="Y357" i="37"/>
  <c r="Y17" i="37"/>
  <c r="Y570" i="37"/>
  <c r="Y988" i="37"/>
  <c r="Y1137" i="37"/>
  <c r="Y975" i="37"/>
  <c r="Y826" i="37"/>
  <c r="Y710" i="37"/>
  <c r="Y691" i="37"/>
  <c r="Y617" i="37"/>
  <c r="Y573" i="37"/>
  <c r="Y607" i="37"/>
  <c r="Y302" i="37"/>
  <c r="Y218" i="37"/>
  <c r="Y395" i="37"/>
  <c r="Y197" i="37"/>
  <c r="Y48" i="37"/>
  <c r="Y209" i="37"/>
  <c r="Y1012" i="37"/>
  <c r="Y1112" i="37"/>
  <c r="Y1049" i="37"/>
  <c r="Y597" i="37"/>
  <c r="Y655" i="37"/>
  <c r="Y670" i="37"/>
  <c r="Y774" i="37"/>
  <c r="Y1145" i="37"/>
  <c r="Y424" i="37"/>
  <c r="Y350" i="37"/>
  <c r="Y393" i="37"/>
  <c r="Y259" i="37"/>
  <c r="Y386" i="37"/>
  <c r="Y319" i="37"/>
  <c r="Y442" i="37"/>
  <c r="Y981" i="37"/>
  <c r="Y1151" i="37"/>
  <c r="Y1070" i="37"/>
  <c r="Y618" i="37"/>
  <c r="Y944" i="37"/>
  <c r="Y632" i="37"/>
  <c r="Y956" i="37"/>
  <c r="Y1106" i="37"/>
  <c r="Y669" i="37"/>
  <c r="Y805" i="37"/>
  <c r="Y781" i="37"/>
  <c r="Y285" i="37"/>
  <c r="Y806" i="37"/>
  <c r="Y592" i="37"/>
  <c r="Y196" i="37"/>
  <c r="Y590" i="37"/>
  <c r="Y207" i="37"/>
  <c r="Y370" i="37"/>
  <c r="Y47" i="37"/>
  <c r="Y193" i="37"/>
  <c r="Y1074" i="37"/>
  <c r="Y1041" i="37"/>
  <c r="Y1004" i="37"/>
  <c r="Y751" i="37"/>
  <c r="Y1159" i="37"/>
  <c r="Y733" i="37"/>
  <c r="Y567" i="37"/>
  <c r="Y583" i="37"/>
  <c r="Y553" i="37"/>
  <c r="Y178" i="37"/>
  <c r="Y358" i="37"/>
  <c r="Y586" i="37"/>
  <c r="Y51" i="37"/>
  <c r="Y399" i="37"/>
  <c r="Y1181" i="37"/>
  <c r="Y1144" i="37"/>
  <c r="Y1056" i="37"/>
  <c r="Y834" i="37"/>
  <c r="Y661" i="37"/>
  <c r="Y798" i="37"/>
  <c r="Y824" i="37"/>
  <c r="Y313" i="37"/>
  <c r="Y441" i="37"/>
  <c r="Y746" i="37"/>
  <c r="Y160" i="37"/>
  <c r="Y251" i="37"/>
  <c r="Y373" i="37"/>
  <c r="Y21" i="37"/>
  <c r="Y34" i="37"/>
  <c r="Y1031" i="37"/>
  <c r="Y1121" i="37"/>
  <c r="Y1044" i="37"/>
  <c r="Y983" i="37"/>
  <c r="Y821" i="37"/>
  <c r="Y687" i="37"/>
  <c r="Y652" i="37"/>
  <c r="Y801" i="37"/>
  <c r="Y322" i="37"/>
  <c r="Y222" i="37"/>
  <c r="Y398" i="37"/>
  <c r="Y201" i="37"/>
  <c r="Y275" i="37"/>
  <c r="Y962" i="37"/>
  <c r="Y1177" i="37"/>
  <c r="Y1126" i="37"/>
  <c r="Y762" i="37"/>
  <c r="Y706" i="37"/>
  <c r="Y831" i="37"/>
  <c r="Y673" i="37"/>
  <c r="Y711" i="37"/>
  <c r="Y546" i="37"/>
  <c r="Y630" i="37"/>
  <c r="Y236" i="37"/>
  <c r="Y390" i="37"/>
  <c r="Y215" i="37"/>
  <c r="Y394" i="37"/>
  <c r="Y46" i="37"/>
  <c r="Y560" i="37"/>
  <c r="Y1050" i="37"/>
  <c r="Y1156" i="37"/>
  <c r="Y1011" i="37"/>
  <c r="Y699" i="37"/>
  <c r="Y629" i="37"/>
  <c r="Y976" i="37"/>
  <c r="Y688" i="37"/>
  <c r="Y307" i="37"/>
  <c r="Y574" i="37"/>
  <c r="Y609" i="37"/>
  <c r="Y170" i="37"/>
  <c r="Y392" i="37"/>
  <c r="Y353" i="37"/>
  <c r="Y415" i="37"/>
  <c r="Y1085" i="37"/>
  <c r="Y1130" i="37"/>
  <c r="Y1168" i="37"/>
  <c r="Y959" i="37"/>
  <c r="Y736" i="37"/>
  <c r="Y1092" i="37"/>
  <c r="Y634" i="37"/>
  <c r="Y337" i="37"/>
  <c r="Y602" i="37"/>
  <c r="Y407" i="37"/>
  <c r="Y216" i="37"/>
  <c r="Y374" i="37"/>
  <c r="Y211" i="37"/>
  <c r="Y362" i="37"/>
  <c r="Y582" i="37"/>
  <c r="Y1019" i="37"/>
  <c r="Y1017" i="37"/>
  <c r="Y1032" i="37"/>
  <c r="Y816" i="37"/>
  <c r="Y769" i="37"/>
  <c r="Y717" i="37"/>
  <c r="Y716" i="37"/>
  <c r="Y1128" i="37"/>
  <c r="Y1063" i="37"/>
  <c r="Y1016" i="37"/>
  <c r="Y723" i="37"/>
  <c r="Y1129" i="37"/>
  <c r="Y436" i="37"/>
  <c r="Y748" i="37"/>
  <c r="Y344" i="37"/>
  <c r="Y388" i="37"/>
  <c r="Y1040" i="37"/>
  <c r="Y808" i="37"/>
  <c r="Y159" i="37"/>
  <c r="Y26" i="37"/>
  <c r="Y594" i="37"/>
  <c r="Y1078" i="37"/>
  <c r="Y984" i="37"/>
  <c r="Y1053" i="37"/>
  <c r="Y811" i="37"/>
  <c r="Y663" i="37"/>
  <c r="Y698" i="37"/>
  <c r="Y331" i="37"/>
  <c r="Y578" i="37"/>
  <c r="Y326" i="37"/>
  <c r="Y258" i="37"/>
  <c r="Y369" i="37"/>
  <c r="Y221" i="37"/>
  <c r="Y264" i="37"/>
  <c r="Y298" i="37"/>
  <c r="Y1097" i="37"/>
  <c r="Y1038" i="37"/>
  <c r="Y1180" i="37"/>
  <c r="Y954" i="37"/>
  <c r="Y665" i="37"/>
  <c r="Y793" i="37"/>
  <c r="Y1054" i="37"/>
  <c r="Y654" i="37"/>
  <c r="Y643" i="37"/>
  <c r="Y324" i="37"/>
  <c r="Y240" i="37"/>
  <c r="Y425" i="37"/>
  <c r="Y203" i="37"/>
  <c r="Y348" i="37"/>
  <c r="Y375" i="37"/>
  <c r="Y1176" i="37"/>
  <c r="Y1174" i="37"/>
  <c r="Y1034" i="37"/>
  <c r="Y1035" i="37"/>
  <c r="Y682" i="37"/>
  <c r="Y676" i="37"/>
  <c r="Y820" i="37"/>
  <c r="Y327" i="37"/>
  <c r="Y639" i="37"/>
  <c r="Y731" i="37"/>
  <c r="Y174" i="37"/>
  <c r="Y356" i="37"/>
  <c r="Y35" i="37"/>
  <c r="Y1127" i="37"/>
  <c r="Y1172" i="37"/>
  <c r="Y1158" i="37"/>
  <c r="Y949" i="37"/>
  <c r="Y745" i="37"/>
  <c r="Y819" i="37"/>
  <c r="Y619" i="37"/>
  <c r="Y325" i="37"/>
  <c r="Y587" i="37"/>
  <c r="Y320" i="37"/>
  <c r="Y405" i="37"/>
  <c r="Y188" i="37"/>
  <c r="Y265" i="37"/>
  <c r="Y167" i="37"/>
  <c r="Y23" i="37"/>
  <c r="Y554" i="37"/>
  <c r="Y45" i="37"/>
  <c r="Y960" i="37"/>
  <c r="Y1039" i="37"/>
  <c r="Y1030" i="37"/>
  <c r="Y788" i="37"/>
  <c r="Y817" i="37"/>
  <c r="Y668" i="37"/>
  <c r="Y796" i="37"/>
  <c r="Y558" i="37"/>
  <c r="Y334" i="37"/>
  <c r="Y250" i="37"/>
  <c r="Y401" i="37"/>
  <c r="Y229" i="37"/>
  <c r="Y19" i="37"/>
  <c r="Y182" i="37"/>
  <c r="Y1134" i="37"/>
  <c r="Y836" i="37"/>
  <c r="Y1122" i="37"/>
  <c r="Y697" i="37"/>
  <c r="Y771" i="37"/>
  <c r="Y719" i="37"/>
  <c r="Y755" i="37"/>
  <c r="Y289" i="37"/>
  <c r="Y613" i="37"/>
  <c r="Y300" i="37"/>
  <c r="Y168" i="37"/>
  <c r="Y951" i="37"/>
  <c r="Y163" i="37"/>
  <c r="Y11" i="37"/>
  <c r="Y569" i="37"/>
  <c r="Y557" i="37"/>
  <c r="Y1109" i="37"/>
  <c r="Y829" i="37"/>
  <c r="Y1140" i="37"/>
  <c r="Y712" i="37"/>
  <c r="Y625" i="37"/>
  <c r="Y702" i="37"/>
  <c r="Y1107" i="37"/>
  <c r="Y1084" i="37"/>
  <c r="Y961" i="37"/>
  <c r="Y945" i="37"/>
  <c r="Y1009" i="37"/>
  <c r="Y700" i="37"/>
  <c r="Y317" i="37"/>
  <c r="Y563" i="37"/>
  <c r="Y296" i="37"/>
  <c r="Y228" i="37"/>
  <c r="Y1066" i="37"/>
  <c r="Y239" i="37"/>
  <c r="Y564" i="37"/>
  <c r="Y37" i="37"/>
  <c r="Y379" i="37"/>
  <c r="Y1148" i="37"/>
  <c r="Y1105" i="37"/>
  <c r="Y1133" i="37"/>
  <c r="Y1120" i="37"/>
  <c r="Y695" i="37"/>
  <c r="Y779" i="37"/>
  <c r="Y283" i="37"/>
  <c r="Y413" i="37"/>
  <c r="Y827" i="37"/>
  <c r="Y210" i="37"/>
  <c r="Y271" i="37"/>
  <c r="Y173" i="37"/>
  <c r="Y278" i="37"/>
  <c r="Y225" i="37"/>
  <c r="Y1007" i="37"/>
  <c r="Y1036" i="37"/>
  <c r="Y1110" i="37"/>
  <c r="Y973" i="37"/>
  <c r="Y749" i="37"/>
  <c r="Y1002" i="37"/>
  <c r="Y763" i="37"/>
  <c r="Y421" i="37"/>
  <c r="Y729" i="37"/>
  <c r="Y660" i="37"/>
  <c r="Y192" i="37"/>
  <c r="Y418" i="37"/>
  <c r="Y155" i="37"/>
  <c r="Y10" i="37"/>
  <c r="Y39" i="37"/>
  <c r="Y177" i="37"/>
  <c r="Y1095" i="37"/>
  <c r="Y1005" i="37"/>
  <c r="Y1149" i="37"/>
  <c r="Y764" i="37"/>
  <c r="Y758" i="37"/>
  <c r="Y833" i="37"/>
  <c r="Y692" i="37"/>
  <c r="Y835" i="37"/>
  <c r="Y548" i="37"/>
  <c r="Y254" i="37"/>
  <c r="Y416" i="37"/>
  <c r="Y233" i="37"/>
  <c r="Y282" i="37"/>
  <c r="Y1026" i="37"/>
  <c r="Y1003" i="37"/>
  <c r="Y1175" i="37"/>
  <c r="Y830" i="37"/>
  <c r="Y1166" i="37"/>
  <c r="Y651" i="37"/>
  <c r="Y768" i="37"/>
  <c r="Y432" i="37"/>
  <c r="Y744" i="37"/>
  <c r="Y803" i="37"/>
  <c r="Y359" i="37"/>
  <c r="Y656" i="37"/>
  <c r="Y247" i="37"/>
  <c r="Y378" i="37"/>
  <c r="Y54" i="37"/>
  <c r="Y330" i="37"/>
  <c r="Y1116" i="37"/>
  <c r="Y1093" i="37"/>
  <c r="Y1124" i="37"/>
  <c r="Y797" i="37"/>
  <c r="Y807" i="37"/>
  <c r="Y672" i="37"/>
  <c r="Y997" i="37"/>
  <c r="Y339" i="37"/>
  <c r="Y585" i="37"/>
  <c r="Y286" i="37"/>
  <c r="Y202" i="37"/>
  <c r="Y279" i="37"/>
  <c r="Y181" i="37"/>
  <c r="Y15" i="37"/>
  <c r="Y53" i="37"/>
  <c r="Y1169" i="37"/>
  <c r="Y948" i="37"/>
  <c r="Y1091" i="37"/>
  <c r="Y1023" i="37"/>
  <c r="Y828" i="37"/>
  <c r="Y627" i="37"/>
  <c r="Y741" i="37"/>
  <c r="Y571" i="37"/>
  <c r="Y770" i="37"/>
  <c r="Y707" i="37"/>
  <c r="Y248" i="37"/>
  <c r="Y1073" i="37"/>
  <c r="Y243" i="37"/>
  <c r="Y423" i="37"/>
  <c r="Y303" i="37"/>
  <c r="Y1162" i="37"/>
  <c r="Y1081" i="37"/>
  <c r="Y1096" i="37"/>
  <c r="Y1006" i="37"/>
  <c r="Y725" i="37"/>
  <c r="Y812" i="37"/>
  <c r="Y783" i="37"/>
  <c r="Y979" i="37"/>
  <c r="Y1160" i="37"/>
  <c r="Y1115" i="37"/>
  <c r="Y1080" i="37"/>
  <c r="Y635" i="37"/>
  <c r="Y743" i="37"/>
  <c r="Y714" i="37"/>
  <c r="Y696" i="37"/>
  <c r="Y679" i="37"/>
  <c r="Y555" i="37"/>
  <c r="Y180" i="37"/>
  <c r="Y371" i="37"/>
  <c r="Y191" i="37"/>
  <c r="Y355" i="37"/>
  <c r="Y22" i="37"/>
  <c r="Y397" i="37"/>
  <c r="Y1048" i="37"/>
  <c r="Y1015" i="37"/>
  <c r="Y940" i="37"/>
  <c r="Y721" i="37"/>
  <c r="Y713" i="37"/>
  <c r="Y611" i="37"/>
  <c r="Y419" i="37"/>
  <c r="Y435" i="37"/>
  <c r="Y579" i="37"/>
  <c r="Y162" i="37"/>
  <c r="Y253" i="37"/>
  <c r="Y381" i="37"/>
  <c r="Y18" i="37"/>
  <c r="Y402" i="37"/>
  <c r="Y1123" i="37"/>
  <c r="Y1051" i="37"/>
  <c r="Y1018" i="37"/>
  <c r="Y809" i="37"/>
  <c r="Y631" i="37"/>
  <c r="Y756" i="37"/>
  <c r="Y777" i="37"/>
  <c r="Y297" i="37"/>
  <c r="Y559" i="37"/>
  <c r="Y372" i="37"/>
  <c r="Y361" i="37"/>
  <c r="Y235" i="37"/>
  <c r="Y346" i="37"/>
  <c r="Y185" i="37"/>
  <c r="Y32" i="37"/>
  <c r="Y993" i="37"/>
  <c r="Y1098" i="37"/>
  <c r="Y980" i="37"/>
  <c r="Y775" i="37"/>
  <c r="Y754" i="37"/>
  <c r="Y621" i="37"/>
  <c r="Y545" i="37"/>
  <c r="Y720" i="37"/>
  <c r="Y306" i="37"/>
  <c r="Y206" i="37"/>
  <c r="Y345" i="37"/>
  <c r="Y169" i="37"/>
  <c r="Y241" i="37"/>
  <c r="Y1139" i="37"/>
  <c r="Y1060" i="37"/>
  <c r="Y1077" i="37"/>
  <c r="Y701" i="37"/>
  <c r="Y612" i="37"/>
  <c r="Y776" i="37"/>
  <c r="Y650" i="37"/>
  <c r="Y628" i="37"/>
  <c r="Y411" i="37"/>
  <c r="Y581" i="37"/>
  <c r="Y220" i="37"/>
  <c r="Y403" i="37"/>
  <c r="Y199" i="37"/>
  <c r="Y27" i="37"/>
  <c r="Y410" i="37"/>
  <c r="Y575" i="37"/>
  <c r="Y1024" i="37"/>
  <c r="Y1103" i="37"/>
  <c r="Y947" i="37"/>
  <c r="Y622" i="37"/>
  <c r="Y610" i="37"/>
  <c r="Y810" i="37"/>
  <c r="Y671" i="37"/>
  <c r="Y291" i="37"/>
  <c r="Y446" i="37"/>
  <c r="Y431" i="37"/>
  <c r="Y154" i="37"/>
  <c r="Y261" i="37"/>
  <c r="Y266" i="37"/>
  <c r="Y772" i="37"/>
  <c r="Y1021" i="37"/>
  <c r="Y1062" i="37"/>
  <c r="Y1142" i="37"/>
  <c r="Y823" i="37"/>
  <c r="Y1136" i="37"/>
  <c r="Y964" i="37"/>
  <c r="Y615" i="37"/>
  <c r="Y321" i="37"/>
  <c r="Y565" i="37"/>
  <c r="Y332" i="37"/>
  <c r="Y200" i="37"/>
  <c r="Y387" i="37"/>
  <c r="Y195" i="37"/>
  <c r="Y262" i="37"/>
  <c r="Y604" i="37"/>
  <c r="Y955" i="37"/>
  <c r="Y991" i="37"/>
  <c r="Y994" i="37"/>
  <c r="Y790" i="37"/>
  <c r="Y732" i="37"/>
  <c r="Y958" i="37"/>
  <c r="Y605" i="37"/>
  <c r="E30" i="1"/>
  <c r="L30" i="1"/>
  <c r="G30" i="1"/>
  <c r="P30" i="1"/>
  <c r="E33" i="1"/>
  <c r="M23" i="1"/>
  <c r="E17" i="1"/>
  <c r="C17" i="1" s="1"/>
  <c r="A29" i="9"/>
  <c r="C34" i="1"/>
  <c r="A35" i="9"/>
  <c r="E16" i="1"/>
  <c r="C16" i="1" s="1"/>
  <c r="A16" i="9"/>
  <c r="E9" i="1"/>
  <c r="A36" i="8"/>
  <c r="A29" i="8"/>
  <c r="S3" i="7"/>
  <c r="S3" i="9"/>
  <c r="S3" i="8"/>
  <c r="A4" i="11"/>
  <c r="A4" i="9"/>
  <c r="A4" i="8"/>
  <c r="I3" i="7"/>
  <c r="I3" i="8"/>
  <c r="I3" i="9"/>
  <c r="C4" i="8"/>
  <c r="C4" i="9"/>
  <c r="C4" i="11"/>
  <c r="Q30" i="1"/>
  <c r="D29" i="1"/>
  <c r="J30" i="1"/>
  <c r="D26" i="1"/>
  <c r="B31" i="13"/>
  <c r="AA26" i="1" s="1"/>
  <c r="AB12" i="1" s="1"/>
  <c r="AJ17" i="1" s="1"/>
  <c r="AO17" i="1" s="1"/>
  <c r="V32" i="11"/>
  <c r="S19" i="1" s="1"/>
  <c r="S23" i="1" s="1"/>
  <c r="S32" i="11"/>
  <c r="Q19" i="1" s="1"/>
  <c r="Q23" i="1" s="1"/>
  <c r="M32" i="11"/>
  <c r="L19" i="1" s="1"/>
  <c r="L23" i="1" s="1"/>
  <c r="G32" i="11"/>
  <c r="H19" i="1" s="1"/>
  <c r="H23" i="1" s="1"/>
  <c r="A21" i="11"/>
  <c r="D32" i="11"/>
  <c r="F19" i="1" s="1"/>
  <c r="B16" i="9"/>
  <c r="D17" i="1"/>
  <c r="B29" i="9"/>
  <c r="B29" i="8"/>
  <c r="B36" i="8"/>
  <c r="AA19" i="1" s="1"/>
  <c r="V23" i="8"/>
  <c r="B21" i="8"/>
  <c r="AA17" i="1" s="1"/>
  <c r="B13" i="8"/>
  <c r="AA16" i="1" s="1"/>
  <c r="L18" i="1"/>
  <c r="R18" i="1"/>
  <c r="P23" i="8"/>
  <c r="S23" i="8"/>
  <c r="O23" i="8"/>
  <c r="R23" i="8"/>
  <c r="M23" i="8"/>
  <c r="L23" i="8"/>
  <c r="I23" i="8"/>
  <c r="J23" i="8"/>
  <c r="F23" i="8"/>
  <c r="G23" i="8"/>
  <c r="C23" i="8"/>
  <c r="H12" i="1"/>
  <c r="H15" i="1" s="1"/>
  <c r="K15" i="1"/>
  <c r="N12" i="1"/>
  <c r="N15" i="1" s="1"/>
  <c r="Q18" i="1"/>
  <c r="H18" i="1"/>
  <c r="I3" i="11"/>
  <c r="A4" i="13"/>
  <c r="A4" i="12"/>
  <c r="A4" i="7"/>
  <c r="A4" i="14"/>
  <c r="I3" i="12"/>
  <c r="O18" i="1"/>
  <c r="I15" i="1"/>
  <c r="W32" i="1"/>
  <c r="Z12" i="1" s="1"/>
  <c r="AH17" i="1" s="1"/>
  <c r="D32" i="1"/>
  <c r="W16" i="1"/>
  <c r="N18" i="1"/>
  <c r="B35" i="9"/>
  <c r="I23" i="1"/>
  <c r="K30" i="1"/>
  <c r="J18" i="1"/>
  <c r="P32" i="11"/>
  <c r="N19" i="1" s="1"/>
  <c r="B16" i="14"/>
  <c r="M3" i="14" s="1"/>
  <c r="M12" i="1"/>
  <c r="M30" i="1"/>
  <c r="C4" i="12"/>
  <c r="C28" i="1"/>
  <c r="C27" i="1"/>
  <c r="A15" i="13"/>
  <c r="A18" i="12"/>
  <c r="K12" i="1"/>
  <c r="W27" i="1"/>
  <c r="D27" i="1"/>
  <c r="J12" i="1"/>
  <c r="J15" i="1" s="1"/>
  <c r="W26" i="1"/>
  <c r="A32" i="11"/>
  <c r="F30" i="1"/>
  <c r="J32" i="11"/>
  <c r="J19" i="1" s="1"/>
  <c r="J23" i="1" s="1"/>
  <c r="S12" i="1"/>
  <c r="S15" i="1" s="1"/>
  <c r="K18" i="1"/>
  <c r="B31" i="12"/>
  <c r="W29" i="1"/>
  <c r="O23" i="1"/>
  <c r="N30" i="1"/>
  <c r="D23" i="8"/>
  <c r="D13" i="1"/>
  <c r="W13" i="1"/>
  <c r="F9" i="1"/>
  <c r="D9" i="1" s="1"/>
  <c r="W10" i="1"/>
  <c r="B31" i="7"/>
  <c r="M3" i="7" s="1"/>
  <c r="L12" i="1"/>
  <c r="L15" i="1" s="1"/>
  <c r="C4" i="13"/>
  <c r="I3" i="13"/>
  <c r="D14" i="1"/>
  <c r="W14" i="1"/>
  <c r="A31" i="7"/>
  <c r="M15" i="1"/>
  <c r="W11" i="1"/>
  <c r="D11" i="1"/>
  <c r="E23" i="1"/>
  <c r="C20" i="1"/>
  <c r="G18" i="1"/>
  <c r="I30" i="1"/>
  <c r="G12" i="1"/>
  <c r="G15" i="1"/>
  <c r="S18" i="1"/>
  <c r="S3" i="14"/>
  <c r="S3" i="13"/>
  <c r="S3" i="12"/>
  <c r="S3" i="11"/>
  <c r="C26" i="1"/>
  <c r="C22" i="1"/>
  <c r="A16" i="14"/>
  <c r="W8" i="1"/>
  <c r="D8" i="1"/>
  <c r="D10" i="1"/>
  <c r="C29" i="1"/>
  <c r="R21" i="1"/>
  <c r="R23" i="1" s="1"/>
  <c r="A31" i="12"/>
  <c r="R15" i="1"/>
  <c r="R12" i="1"/>
  <c r="G23" i="1"/>
  <c r="C19" i="1"/>
  <c r="Q12" i="1"/>
  <c r="Q15" i="1" s="1"/>
  <c r="O15" i="1"/>
  <c r="O12" i="1"/>
  <c r="K23" i="1"/>
  <c r="D21" i="1"/>
  <c r="W34" i="1"/>
  <c r="Z10" i="1" s="1"/>
  <c r="AH12" i="1" s="1"/>
  <c r="AJ12" i="1" s="1"/>
  <c r="D34" i="1"/>
  <c r="W21" i="1"/>
  <c r="M18" i="1"/>
  <c r="H30" i="1"/>
  <c r="D28" i="1"/>
  <c r="W28" i="1"/>
  <c r="N22" i="1"/>
  <c r="W22" i="1" s="1"/>
  <c r="B15" i="13"/>
  <c r="A30" i="11"/>
  <c r="D20" i="1"/>
  <c r="W20" i="1"/>
  <c r="I12" i="1"/>
  <c r="C4" i="7"/>
  <c r="B18" i="12"/>
  <c r="E34" i="1"/>
  <c r="AL13" i="1"/>
  <c r="AN13" i="1"/>
  <c r="AM13" i="1"/>
  <c r="AO13" i="1"/>
  <c r="E12" i="1" l="1"/>
  <c r="C9" i="1"/>
  <c r="E18" i="1"/>
  <c r="AB845" i="38"/>
  <c r="AB873" i="38"/>
  <c r="AF873" i="38"/>
  <c r="AB891" i="38"/>
  <c r="AF891" i="38"/>
  <c r="AB892" i="38"/>
  <c r="AF892" i="38"/>
  <c r="AB858" i="38"/>
  <c r="AF858" i="38"/>
  <c r="AB860" i="38"/>
  <c r="AF860" i="38"/>
  <c r="AB862" i="38"/>
  <c r="AF862" i="38"/>
  <c r="AB883" i="38"/>
  <c r="AF883" i="38"/>
  <c r="AB872" i="38"/>
  <c r="AF872" i="38"/>
  <c r="AB853" i="38"/>
  <c r="AF853" i="38"/>
  <c r="AB881" i="38"/>
  <c r="AF881" i="38"/>
  <c r="AB863" i="38"/>
  <c r="AF863" i="38"/>
  <c r="AB885" i="38"/>
  <c r="AF885" i="38"/>
  <c r="AB866" i="38"/>
  <c r="AF866" i="38"/>
  <c r="AB877" i="38"/>
  <c r="AF877" i="38"/>
  <c r="AB871" i="38"/>
  <c r="AF871" i="38"/>
  <c r="AB855" i="38"/>
  <c r="AF855" i="38"/>
  <c r="AB874" i="38"/>
  <c r="AF874" i="38"/>
  <c r="AB869" i="38"/>
  <c r="AF869" i="38"/>
  <c r="AB856" i="38"/>
  <c r="AF856" i="38"/>
  <c r="AB802" i="38"/>
  <c r="AF802" i="38"/>
  <c r="AB879" i="38"/>
  <c r="AF879" i="38"/>
  <c r="AB867" i="38"/>
  <c r="AF867" i="38"/>
  <c r="AB859" i="38"/>
  <c r="AF859" i="38"/>
  <c r="AB875" i="38"/>
  <c r="AF875" i="38"/>
  <c r="AB864" i="38"/>
  <c r="AF864" i="38"/>
  <c r="AB882" i="38"/>
  <c r="AF882" i="38"/>
  <c r="AB870" i="38"/>
  <c r="AF870" i="38"/>
  <c r="AB865" i="38"/>
  <c r="AF865" i="38"/>
  <c r="AB887" i="38"/>
  <c r="AF887" i="38"/>
  <c r="AB861" i="38"/>
  <c r="AF861" i="38"/>
  <c r="AB890" i="38"/>
  <c r="AF890" i="38"/>
  <c r="AB893" i="38"/>
  <c r="AF893" i="38"/>
  <c r="AB852" i="38"/>
  <c r="AF852" i="38"/>
  <c r="AB868" i="38"/>
  <c r="AF868" i="38"/>
  <c r="AB886" i="38"/>
  <c r="AF886" i="38"/>
  <c r="AB888" i="38"/>
  <c r="AF888" i="38"/>
  <c r="AB851" i="38"/>
  <c r="AB808" i="38"/>
  <c r="AB798" i="38"/>
  <c r="AB803" i="38"/>
  <c r="AB285" i="38"/>
  <c r="AB408" i="38"/>
  <c r="AB807" i="38"/>
  <c r="AB801" i="38"/>
  <c r="AB799" i="38"/>
  <c r="AB849" i="38"/>
  <c r="AB848" i="38"/>
  <c r="AB850" i="38"/>
  <c r="AB847" i="38"/>
  <c r="AB846" i="38"/>
  <c r="AB14" i="38"/>
  <c r="AB674" i="38"/>
  <c r="AB21" i="38"/>
  <c r="AB661" i="38"/>
  <c r="AB271" i="38"/>
  <c r="AB171" i="38"/>
  <c r="AB390" i="38"/>
  <c r="AB16" i="38"/>
  <c r="AB2" i="38"/>
  <c r="AB164" i="38"/>
  <c r="AB159" i="38"/>
  <c r="AB396" i="38"/>
  <c r="AB391" i="38"/>
  <c r="AB169" i="38"/>
  <c r="AB23" i="38"/>
  <c r="AB660" i="38"/>
  <c r="AB394" i="38"/>
  <c r="AB517" i="38"/>
  <c r="AB398" i="38"/>
  <c r="AB520" i="38"/>
  <c r="AB665" i="38"/>
  <c r="AB283" i="38"/>
  <c r="AB4" i="38"/>
  <c r="AB795" i="38"/>
  <c r="AB400" i="38"/>
  <c r="AB402" i="38"/>
  <c r="AB162" i="38"/>
  <c r="AB526" i="38"/>
  <c r="AB664" i="38"/>
  <c r="AB792" i="38"/>
  <c r="AB668" i="38"/>
  <c r="AB662" i="38"/>
  <c r="AB528" i="38"/>
  <c r="AB519" i="38"/>
  <c r="AB3" i="38"/>
  <c r="AB794" i="38"/>
  <c r="AB10" i="38"/>
  <c r="AB797" i="38"/>
  <c r="AB277" i="38"/>
  <c r="AB273" i="38"/>
  <c r="AB166" i="38"/>
  <c r="AB22" i="38"/>
  <c r="AB170" i="38"/>
  <c r="AB163" i="38"/>
  <c r="AB659" i="38"/>
  <c r="AB9" i="38"/>
  <c r="AB512" i="38"/>
  <c r="AB523" i="38"/>
  <c r="AB15" i="38"/>
  <c r="AB282" i="38"/>
  <c r="AB673" i="38"/>
  <c r="AB168" i="38"/>
  <c r="AB670" i="38"/>
  <c r="AB269" i="38"/>
  <c r="AB404" i="38"/>
  <c r="AB7" i="38"/>
  <c r="AB161" i="38"/>
  <c r="AB8" i="38"/>
  <c r="AB17" i="38"/>
  <c r="AB525" i="38"/>
  <c r="AB399" i="38"/>
  <c r="AB6" i="38"/>
  <c r="AB516" i="38"/>
  <c r="AB514" i="38"/>
  <c r="AB158" i="38"/>
  <c r="AB18" i="38"/>
  <c r="AB532" i="38"/>
  <c r="AB669" i="38"/>
  <c r="AB667" i="38"/>
  <c r="AB406" i="38"/>
  <c r="AB19" i="38"/>
  <c r="AB281" i="38"/>
  <c r="AB677" i="38"/>
  <c r="AB279" i="38"/>
  <c r="AB529" i="38"/>
  <c r="AB401" i="38"/>
  <c r="AB531" i="38"/>
  <c r="AB793" i="38"/>
  <c r="AB524" i="38"/>
  <c r="AB530" i="38"/>
  <c r="AB393" i="38"/>
  <c r="AB515" i="38"/>
  <c r="AB403" i="38"/>
  <c r="AB12" i="38"/>
  <c r="AB663" i="38"/>
  <c r="AB11" i="38"/>
  <c r="AB275" i="38"/>
  <c r="AB157" i="38"/>
  <c r="AB521" i="38"/>
  <c r="AB527" i="38"/>
  <c r="AB392" i="38"/>
  <c r="AB167" i="38"/>
  <c r="AB270" i="38"/>
  <c r="AB13" i="38"/>
  <c r="AB5" i="38"/>
  <c r="AB280" i="38"/>
  <c r="AB156" i="38"/>
  <c r="AB405" i="38"/>
  <c r="AB395" i="38"/>
  <c r="AB796" i="38"/>
  <c r="AB522" i="38"/>
  <c r="AB165" i="38"/>
  <c r="AB666" i="38"/>
  <c r="AB675" i="38"/>
  <c r="AB513" i="38"/>
  <c r="AB272" i="38"/>
  <c r="AB676" i="38"/>
  <c r="AB518" i="38"/>
  <c r="AB274" i="38"/>
  <c r="AB284" i="38"/>
  <c r="AB160" i="38"/>
  <c r="AB671" i="38"/>
  <c r="AB20" i="38"/>
  <c r="AB268" i="38"/>
  <c r="AB278" i="38"/>
  <c r="AB397" i="38"/>
  <c r="AB672" i="38"/>
  <c r="AB276" i="38"/>
  <c r="M3" i="9"/>
  <c r="C18" i="1"/>
  <c r="AA18" i="1"/>
  <c r="AB8" i="1" s="1"/>
  <c r="AJ9" i="1" s="1"/>
  <c r="AM9" i="1" s="1"/>
  <c r="E15" i="1"/>
  <c r="E24" i="1" s="1"/>
  <c r="C21" i="1"/>
  <c r="C23" i="1" s="1"/>
  <c r="I24" i="1"/>
  <c r="A23" i="8"/>
  <c r="W30" i="1"/>
  <c r="Z13" i="1" s="1"/>
  <c r="AH18" i="1" s="1"/>
  <c r="AJ18" i="1" s="1"/>
  <c r="AO18" i="1" s="1"/>
  <c r="AA27" i="1"/>
  <c r="AB13" i="1" s="1"/>
  <c r="AJ19" i="1" s="1"/>
  <c r="AM19" i="1" s="1"/>
  <c r="AM17" i="1"/>
  <c r="AH16" i="1"/>
  <c r="AJ16" i="1" s="1"/>
  <c r="AN16" i="1" s="1"/>
  <c r="AN17" i="1"/>
  <c r="AL17" i="1"/>
  <c r="M3" i="13"/>
  <c r="M3" i="12"/>
  <c r="N23" i="1"/>
  <c r="N24" i="1" s="1"/>
  <c r="B32" i="11"/>
  <c r="M3" i="11" s="1"/>
  <c r="L24" i="1"/>
  <c r="AA20" i="1"/>
  <c r="AB9" i="1" s="1"/>
  <c r="AJ11" i="1" s="1"/>
  <c r="AO11" i="1" s="1"/>
  <c r="J24" i="1"/>
  <c r="H24" i="1"/>
  <c r="W17" i="1"/>
  <c r="F18" i="1"/>
  <c r="B23" i="8"/>
  <c r="M3" i="8" s="1"/>
  <c r="Q24" i="1"/>
  <c r="D16" i="1"/>
  <c r="W18" i="1" s="1"/>
  <c r="Z9" i="1" s="1"/>
  <c r="K24" i="1"/>
  <c r="O24" i="1"/>
  <c r="S24" i="1"/>
  <c r="W9" i="1"/>
  <c r="F12" i="1"/>
  <c r="W12" i="1" s="1"/>
  <c r="M24" i="1"/>
  <c r="C30" i="1"/>
  <c r="AO12" i="1"/>
  <c r="AL12" i="1"/>
  <c r="AM12" i="1"/>
  <c r="AN12" i="1"/>
  <c r="D22" i="1"/>
  <c r="G24" i="1"/>
  <c r="D30" i="1"/>
  <c r="F23" i="1"/>
  <c r="D19" i="1"/>
  <c r="W19" i="1"/>
  <c r="R24" i="1"/>
  <c r="C12" i="1" l="1"/>
  <c r="C15" i="1" s="1"/>
  <c r="C24" i="1" s="1"/>
  <c r="AO16" i="1"/>
  <c r="AN18" i="1"/>
  <c r="AM18" i="1"/>
  <c r="AL18" i="1"/>
  <c r="AO19" i="1"/>
  <c r="AN19" i="1"/>
  <c r="AL19" i="1"/>
  <c r="AM16" i="1"/>
  <c r="AL16" i="1"/>
  <c r="AL11" i="1"/>
  <c r="AN11" i="1"/>
  <c r="D18" i="1"/>
  <c r="AN9" i="1"/>
  <c r="AO9" i="1"/>
  <c r="AL9" i="1"/>
  <c r="F15" i="1"/>
  <c r="F24" i="1" s="1"/>
  <c r="D12" i="1"/>
  <c r="W15" i="1" s="1"/>
  <c r="Z8" i="1" s="1"/>
  <c r="AH8" i="1" s="1"/>
  <c r="AJ8" i="1" s="1"/>
  <c r="AH11" i="1"/>
  <c r="AM11" i="1" s="1"/>
  <c r="AH10" i="1"/>
  <c r="AJ10" i="1" s="1"/>
  <c r="W23" i="1"/>
  <c r="D23" i="1"/>
  <c r="D15" i="1" l="1"/>
  <c r="W24" i="1" s="1"/>
  <c r="Z11" i="1"/>
  <c r="AA23" i="1"/>
  <c r="AB11" i="1" s="1"/>
  <c r="AJ15" i="1" s="1"/>
  <c r="AO10" i="1"/>
  <c r="AM10" i="1"/>
  <c r="AL10" i="1"/>
  <c r="AN10" i="1"/>
  <c r="AM8" i="1"/>
  <c r="AL8" i="1"/>
  <c r="AN8" i="1"/>
  <c r="AO8" i="1"/>
  <c r="D24" i="1" l="1"/>
  <c r="AL15" i="1"/>
  <c r="AN15" i="1"/>
  <c r="AO15" i="1"/>
  <c r="AH15" i="1"/>
  <c r="AM15" i="1" s="1"/>
  <c r="AH14" i="1"/>
  <c r="AJ14" i="1" s="1"/>
  <c r="L3" i="1" l="1"/>
  <c r="P3" i="44" s="1"/>
  <c r="AN14" i="1"/>
  <c r="AL14" i="1"/>
  <c r="AM14" i="1"/>
  <c r="AO14" i="1"/>
  <c r="P3" i="13" l="1"/>
  <c r="P3" i="11"/>
  <c r="P3" i="7"/>
  <c r="P3" i="14"/>
  <c r="P3" i="12"/>
  <c r="P3" i="9"/>
  <c r="P3" i="8"/>
  <c r="B14" i="25"/>
  <c r="P3" i="42"/>
  <c r="AG205" i="38"/>
  <c r="AE210" i="38"/>
  <c r="AE257" i="38"/>
  <c r="AE374" i="38"/>
  <c r="AG254" i="38"/>
  <c r="AE40" i="38"/>
  <c r="AE274" i="38"/>
  <c r="AE774" i="38"/>
  <c r="AE614" i="38"/>
  <c r="AE209" i="38"/>
  <c r="AE301" i="38"/>
  <c r="AG117" i="38"/>
  <c r="AG378" i="38"/>
  <c r="AG320" i="38"/>
  <c r="AG577" i="38"/>
  <c r="AG952" i="38"/>
  <c r="AE17" i="38"/>
  <c r="AG798" i="38"/>
  <c r="AE557" i="38"/>
  <c r="AE599" i="38"/>
  <c r="AE262" i="38"/>
  <c r="AE230" i="38"/>
  <c r="AG143" i="38"/>
  <c r="AG965" i="38"/>
  <c r="AE59" i="38"/>
  <c r="AG667" i="38"/>
  <c r="AG927" i="38"/>
  <c r="AG417" i="38"/>
  <c r="AE154" i="38"/>
  <c r="AG820" i="38"/>
  <c r="AG265" i="38"/>
  <c r="AE549" i="38"/>
  <c r="AG504" i="38"/>
  <c r="AG359" i="38"/>
  <c r="AG197" i="38"/>
  <c r="AG608" i="38"/>
  <c r="AG57" i="38"/>
  <c r="AG831" i="38"/>
  <c r="AE382" i="38"/>
  <c r="AE735" i="38"/>
  <c r="AE305" i="38"/>
  <c r="AG929" i="38"/>
  <c r="AE67" i="38"/>
  <c r="AG511" i="38"/>
  <c r="AG561" i="38"/>
  <c r="AE284" i="38"/>
  <c r="AE310" i="38"/>
  <c r="AE624" i="38"/>
  <c r="AG17" i="38"/>
  <c r="AE264" i="38"/>
  <c r="AE634" i="38"/>
  <c r="AE100" i="38"/>
  <c r="AE118" i="38"/>
  <c r="AG431" i="38"/>
  <c r="AE553" i="38"/>
  <c r="AG83" i="38"/>
  <c r="AE559" i="38"/>
  <c r="AG720" i="38"/>
  <c r="AE676" i="38"/>
  <c r="AG734" i="38"/>
  <c r="AE781" i="38"/>
  <c r="AG698" i="38"/>
  <c r="AG804" i="38"/>
  <c r="AE780" i="38"/>
  <c r="AE832" i="38"/>
  <c r="AE63" i="38"/>
  <c r="AG962" i="38"/>
  <c r="AE77" i="38"/>
  <c r="AE263" i="38"/>
  <c r="AG687" i="38"/>
  <c r="AG323" i="38"/>
  <c r="AG424" i="38"/>
  <c r="AG949" i="38"/>
  <c r="AE608" i="38"/>
  <c r="AG448" i="38"/>
  <c r="AG121" i="38"/>
  <c r="AG771" i="38"/>
  <c r="AE545" i="38"/>
  <c r="AE108" i="38"/>
  <c r="AG8" i="38"/>
  <c r="AG299" i="38"/>
  <c r="AG119" i="38"/>
  <c r="AG353" i="38"/>
  <c r="AE365" i="38"/>
  <c r="AE122" i="38"/>
  <c r="AE60" i="38"/>
  <c r="AG325" i="38"/>
  <c r="AG289" i="38"/>
  <c r="AE184" i="38"/>
  <c r="AG111" i="38"/>
  <c r="AG369" i="38"/>
  <c r="AG244" i="38"/>
  <c r="AG505" i="38"/>
  <c r="AE91" i="38"/>
  <c r="AG262" i="38"/>
  <c r="AG420" i="38"/>
  <c r="AE716" i="38"/>
  <c r="AE260" i="38"/>
  <c r="AG85" i="38"/>
  <c r="AE286" i="38"/>
  <c r="AG777" i="38"/>
  <c r="AE279" i="38"/>
  <c r="AG290" i="38"/>
  <c r="AG637" i="38"/>
  <c r="AG348" i="38"/>
  <c r="AE218" i="38"/>
  <c r="AG437" i="38"/>
  <c r="AE801" i="38"/>
  <c r="AE12" i="38"/>
  <c r="AG604" i="38"/>
  <c r="AE846" i="38"/>
  <c r="AE685" i="38"/>
  <c r="AE183" i="38"/>
  <c r="AE48" i="38"/>
  <c r="AE170" i="38"/>
  <c r="AG765" i="38"/>
  <c r="AE823" i="38"/>
  <c r="AG588" i="38"/>
  <c r="AG605" i="38"/>
  <c r="AE851" i="38"/>
  <c r="AG120" i="38"/>
  <c r="AG662" i="38"/>
  <c r="AG950" i="38"/>
  <c r="AG881" i="38"/>
  <c r="AE665" i="38"/>
  <c r="AG814" i="38"/>
  <c r="AG237" i="38"/>
  <c r="AE834" i="38"/>
  <c r="AG377" i="38"/>
  <c r="AG907" i="38"/>
  <c r="AG45" i="38"/>
  <c r="AE238" i="38"/>
  <c r="AE239" i="38"/>
  <c r="AG859" i="38"/>
  <c r="AE242" i="38"/>
  <c r="AG803" i="38"/>
  <c r="AE31" i="38"/>
  <c r="AE296" i="38"/>
  <c r="AG344" i="38"/>
  <c r="AG714" i="38"/>
  <c r="AG618" i="38"/>
  <c r="AE145" i="38"/>
  <c r="AG33" i="38"/>
  <c r="AG142" i="38"/>
  <c r="AE47" i="38"/>
  <c r="AG315" i="38"/>
  <c r="AE628" i="38"/>
  <c r="AE188" i="38"/>
  <c r="AG423" i="38"/>
  <c r="AG671" i="38"/>
  <c r="AG13" i="38"/>
  <c r="AG699" i="38"/>
  <c r="AE311" i="38"/>
  <c r="AG754" i="38"/>
  <c r="AG161" i="38"/>
  <c r="AG537" i="38"/>
  <c r="AG930" i="38"/>
  <c r="AE740" i="38"/>
  <c r="AG523" i="38"/>
  <c r="AG171" i="38"/>
  <c r="AG193" i="38"/>
  <c r="AG135" i="38"/>
  <c r="AG182" i="38"/>
  <c r="AG468" i="38"/>
  <c r="AE275" i="38"/>
  <c r="AG141" i="38"/>
  <c r="AG93" i="38"/>
  <c r="AE4" i="38"/>
  <c r="AG904" i="38"/>
  <c r="AG772" i="38"/>
  <c r="AG277" i="38"/>
  <c r="AE226" i="38"/>
  <c r="AG59" i="38"/>
  <c r="AE848" i="38"/>
  <c r="AE371" i="38"/>
  <c r="AG817" i="38"/>
  <c r="AE162" i="38"/>
  <c r="AG217" i="38"/>
  <c r="AE843" i="38"/>
  <c r="AG764" i="38"/>
  <c r="AG611" i="38"/>
  <c r="AE775" i="38"/>
  <c r="AG34" i="38"/>
  <c r="AG601" i="38"/>
  <c r="AG763" i="38"/>
  <c r="AG753" i="38"/>
  <c r="AG602" i="38"/>
  <c r="AG405" i="38"/>
  <c r="AE578" i="38"/>
  <c r="AE882" i="38"/>
  <c r="AG909" i="38"/>
  <c r="AG752" i="38"/>
  <c r="AG843" i="38"/>
  <c r="AG286" i="38"/>
  <c r="AG629" i="38"/>
  <c r="AE630" i="38"/>
  <c r="AG349" i="38"/>
  <c r="AG259" i="38"/>
  <c r="AG383" i="38"/>
  <c r="AE243" i="38"/>
  <c r="AE858" i="38"/>
  <c r="AE112" i="38"/>
  <c r="AG326" i="38"/>
  <c r="AE329" i="38"/>
  <c r="AG594" i="38"/>
  <c r="AG660" i="38"/>
  <c r="AG21" i="38"/>
  <c r="AG313" i="38"/>
  <c r="AE814" i="38"/>
  <c r="AE93" i="38"/>
  <c r="AE626" i="38"/>
  <c r="AG138" i="38"/>
  <c r="AG251" i="38"/>
  <c r="AE783" i="38"/>
  <c r="AG648" i="38"/>
  <c r="AE54" i="38"/>
  <c r="AG640" i="38"/>
  <c r="AE120" i="38"/>
  <c r="AE743" i="38"/>
  <c r="AG774" i="38"/>
  <c r="AG824" i="38"/>
  <c r="AE379" i="38"/>
  <c r="AG168" i="38"/>
  <c r="AE53" i="38"/>
  <c r="AG399" i="38"/>
  <c r="AG407" i="38"/>
  <c r="AE561" i="38"/>
  <c r="AE160" i="38"/>
  <c r="AG439" i="38"/>
  <c r="AE585" i="38"/>
  <c r="AG592" i="38"/>
  <c r="AE363" i="38"/>
  <c r="AE45" i="38"/>
  <c r="AG176" i="38"/>
  <c r="AE520" i="38"/>
  <c r="AG150" i="38"/>
  <c r="AG413" i="38"/>
  <c r="AE593" i="38"/>
  <c r="AE651" i="38"/>
  <c r="AG524" i="38"/>
  <c r="AE142" i="38"/>
  <c r="AG493" i="38"/>
  <c r="AG339" i="38"/>
  <c r="AG899" i="38"/>
  <c r="AG696" i="38"/>
  <c r="AE79" i="38"/>
  <c r="AG928" i="38"/>
  <c r="AG964" i="38"/>
  <c r="AE280" i="38"/>
  <c r="AE82" i="38"/>
  <c r="AG379" i="38"/>
  <c r="AE842" i="38"/>
  <c r="AG503" i="38"/>
  <c r="AG959" i="38"/>
  <c r="AE5" i="38"/>
  <c r="AG690" i="38"/>
  <c r="AG65" i="38"/>
  <c r="AG708" i="38"/>
  <c r="AE325" i="38"/>
  <c r="AG266" i="38"/>
  <c r="AG963" i="38"/>
  <c r="AE633" i="38"/>
  <c r="AE584" i="38"/>
  <c r="AE705" i="38"/>
  <c r="AG645" i="38"/>
  <c r="AG487" i="38"/>
  <c r="AE6" i="38"/>
  <c r="AG76" i="38"/>
  <c r="AE248" i="38"/>
  <c r="AG680" i="38"/>
  <c r="AG178" i="38"/>
  <c r="AG368" i="38"/>
  <c r="AE874" i="38"/>
  <c r="AE357" i="38"/>
  <c r="AG884" i="38"/>
  <c r="AG715" i="38"/>
  <c r="AE87" i="38"/>
  <c r="AE708" i="38"/>
  <c r="AE786" i="38"/>
  <c r="AE543" i="38"/>
  <c r="AG851" i="38"/>
  <c r="AG235" i="38"/>
  <c r="AE192" i="38"/>
  <c r="AE886" i="38"/>
  <c r="AG915" i="38"/>
  <c r="AE551" i="38"/>
  <c r="AE616" i="38"/>
  <c r="AG806" i="38"/>
  <c r="AE362" i="38"/>
  <c r="AE50" i="38"/>
  <c r="AG709" i="38"/>
  <c r="AG302" i="38"/>
  <c r="AG64" i="38"/>
  <c r="AE74" i="38"/>
  <c r="AG475" i="38"/>
  <c r="AE548" i="38"/>
  <c r="AE764" i="38"/>
  <c r="AE789" i="38"/>
  <c r="AE389" i="38"/>
  <c r="AG484" i="38"/>
  <c r="AE96" i="38"/>
  <c r="AE105" i="38"/>
  <c r="AG446" i="38"/>
  <c r="AG243" i="38"/>
  <c r="AE271" i="38"/>
  <c r="AG643" i="38"/>
  <c r="AG316" i="38"/>
  <c r="AE594" i="38"/>
  <c r="AE364" i="38"/>
  <c r="AE527" i="38"/>
  <c r="AG580" i="38"/>
  <c r="AE746" i="38"/>
  <c r="AG427" i="38"/>
  <c r="AE89" i="38"/>
  <c r="AE61" i="38"/>
  <c r="AG650" i="38"/>
  <c r="AE9" i="38"/>
  <c r="AE36" i="38"/>
  <c r="AG973" i="38"/>
  <c r="AE333" i="38"/>
  <c r="AE381" i="38"/>
  <c r="AE645" i="38"/>
  <c r="AG792" i="38"/>
  <c r="AE259" i="38"/>
  <c r="AE297" i="38"/>
  <c r="AG807" i="38"/>
  <c r="AG30" i="38"/>
  <c r="AE620" i="38"/>
  <c r="AE322" i="38"/>
  <c r="AG184" i="38"/>
  <c r="AG107" i="38"/>
  <c r="AE205" i="38"/>
  <c r="AE231" i="38"/>
  <c r="AG41" i="38"/>
  <c r="AG677" i="38"/>
  <c r="AE124" i="38"/>
  <c r="AG663" i="38"/>
  <c r="AG502" i="38"/>
  <c r="AE707" i="38"/>
  <c r="AG933" i="38"/>
  <c r="AE621" i="38"/>
  <c r="AG395" i="38"/>
  <c r="AG270" i="38"/>
  <c r="AE881" i="38"/>
  <c r="AG154" i="38"/>
  <c r="AG385" i="38"/>
  <c r="AE570" i="38"/>
  <c r="AG126" i="38"/>
  <c r="AG56" i="38"/>
  <c r="AG633" i="38"/>
  <c r="AG808" i="38"/>
  <c r="AE663" i="38"/>
  <c r="AG589" i="38"/>
  <c r="AG94" i="38"/>
  <c r="AE227" i="38"/>
  <c r="AE794" i="38"/>
  <c r="AG261" i="38"/>
  <c r="AE356" i="38"/>
  <c r="AE758" i="38"/>
  <c r="AG917" i="38"/>
  <c r="AG269" i="38"/>
  <c r="AE884" i="38"/>
  <c r="AG434" i="38"/>
  <c r="AG810" i="38"/>
  <c r="AG497" i="38"/>
  <c r="AE302" i="38"/>
  <c r="AE700" i="38"/>
  <c r="AG51" i="38"/>
  <c r="AE26" i="38"/>
  <c r="AG559" i="38"/>
  <c r="AE765" i="38"/>
  <c r="AG130" i="38"/>
  <c r="AG342" i="38"/>
  <c r="AE28" i="38"/>
  <c r="AE582" i="38"/>
  <c r="AG225" i="38"/>
  <c r="AE319" i="38"/>
  <c r="AE681" i="38"/>
  <c r="AG971" i="38"/>
  <c r="AE579" i="38"/>
  <c r="AE204" i="38"/>
  <c r="AG354" i="38"/>
  <c r="AG556" i="38"/>
  <c r="AG86" i="38"/>
  <c r="AG725" i="38"/>
  <c r="AG276" i="38"/>
  <c r="AE688" i="38"/>
  <c r="AG788" i="38"/>
  <c r="AG211" i="38"/>
  <c r="AG572" i="38"/>
  <c r="AE15" i="38"/>
  <c r="AE704" i="38"/>
  <c r="AE693" i="38"/>
  <c r="AG248" i="38"/>
  <c r="AE888" i="38"/>
  <c r="AG576" i="38"/>
  <c r="AE637" i="38"/>
  <c r="AG357" i="38"/>
  <c r="AE761" i="38"/>
  <c r="AG634" i="38"/>
  <c r="AE641" i="38"/>
  <c r="AG627" i="38"/>
  <c r="AG416" i="38"/>
  <c r="AE647" i="38"/>
  <c r="AG447" i="38"/>
  <c r="AG69" i="38"/>
  <c r="AE187" i="38"/>
  <c r="AE826" i="38"/>
  <c r="AG406" i="38"/>
  <c r="AE253" i="38"/>
  <c r="AG398" i="38"/>
  <c r="AG486" i="38"/>
  <c r="AE159" i="38"/>
  <c r="AG573" i="38"/>
  <c r="AG947" i="38"/>
  <c r="AE214" i="38"/>
  <c r="AE822" i="38"/>
  <c r="AE568" i="38"/>
  <c r="AE588" i="38"/>
  <c r="AG516" i="38"/>
  <c r="AE38" i="38"/>
  <c r="AE149" i="38"/>
  <c r="AE128" i="38"/>
  <c r="AG789" i="38"/>
  <c r="AG913" i="38"/>
  <c r="AE217" i="38"/>
  <c r="AE114" i="38"/>
  <c r="AE839" i="38"/>
  <c r="AG149" i="38"/>
  <c r="AG586" i="38"/>
  <c r="AE174" i="38"/>
  <c r="AG170" i="38"/>
  <c r="AG442" i="38"/>
  <c r="AE270" i="38"/>
  <c r="AE16" i="38"/>
  <c r="AG920" i="38"/>
  <c r="AE567" i="38"/>
  <c r="AG443" i="38"/>
  <c r="AE819" i="38"/>
  <c r="AG450" i="38"/>
  <c r="AG462" i="38"/>
  <c r="AG106" i="38"/>
  <c r="AG779" i="38"/>
  <c r="AG268" i="38"/>
  <c r="AE661" i="38"/>
  <c r="AE135" i="38"/>
  <c r="AE247" i="38"/>
  <c r="AE34" i="38"/>
  <c r="AG944" i="38"/>
  <c r="AG967" i="38"/>
  <c r="AG213" i="38"/>
  <c r="AE744" i="38"/>
  <c r="AE668" i="38"/>
  <c r="AE348" i="38"/>
  <c r="AG115" i="38"/>
  <c r="AG410" i="38"/>
  <c r="AG911" i="38"/>
  <c r="AG309" i="38"/>
  <c r="AE126" i="38"/>
  <c r="AE680" i="38"/>
  <c r="AE46" i="38"/>
  <c r="AE622" i="38"/>
  <c r="AG821" i="38"/>
  <c r="AE736" i="38"/>
  <c r="AE101" i="38"/>
  <c r="AE133" i="38"/>
  <c r="AE285" i="38"/>
  <c r="AG744" i="38"/>
  <c r="AG322" i="38"/>
  <c r="AE290" i="38"/>
  <c r="AE890" i="38"/>
  <c r="AG670" i="38"/>
  <c r="AE164" i="38"/>
  <c r="AG675" i="38"/>
  <c r="AG226" i="38"/>
  <c r="AG934" i="38"/>
  <c r="AG702" i="38"/>
  <c r="AG855" i="38"/>
  <c r="AG355" i="38"/>
  <c r="AE748" i="38"/>
  <c r="AG531" i="38"/>
  <c r="AE682" i="38"/>
  <c r="AE650" i="38"/>
  <c r="AG619" i="38"/>
  <c r="AE216" i="38"/>
  <c r="AE76" i="38"/>
  <c r="AE655" i="38"/>
  <c r="AG951" i="38"/>
  <c r="AG101" i="38"/>
  <c r="AG542" i="38"/>
  <c r="AG110" i="38"/>
  <c r="AG713" i="38"/>
  <c r="AE639" i="38"/>
  <c r="AG938" i="38"/>
  <c r="AE750" i="38"/>
  <c r="AG336" i="38"/>
  <c r="AG847" i="38"/>
  <c r="AE56" i="38"/>
  <c r="AG802" i="38"/>
  <c r="AE111" i="38"/>
  <c r="AE640" i="38"/>
  <c r="AG784" i="38"/>
  <c r="AE627" i="38"/>
  <c r="AE860" i="38"/>
  <c r="AG404" i="38"/>
  <c r="AE350" i="38"/>
  <c r="AE80" i="38"/>
  <c r="AG905" i="38"/>
  <c r="AG718" i="38"/>
  <c r="AG441" i="38"/>
  <c r="AG257" i="38"/>
  <c r="AG87" i="38"/>
  <c r="AE224" i="38"/>
  <c r="AG401" i="38"/>
  <c r="AG860" i="38"/>
  <c r="AE521" i="38"/>
  <c r="AG295" i="38"/>
  <c r="AG813" i="38"/>
  <c r="AG53" i="38"/>
  <c r="AE562" i="38"/>
  <c r="AE83" i="38"/>
  <c r="AE354" i="38"/>
  <c r="AG274" i="38"/>
  <c r="AG318" i="38"/>
  <c r="AG132" i="38"/>
  <c r="AG591" i="38"/>
  <c r="AG862" i="38"/>
  <c r="AE652" i="38"/>
  <c r="AG748" i="38"/>
  <c r="AG227" i="38"/>
  <c r="AG35" i="38"/>
  <c r="AE278" i="38"/>
  <c r="AE870" i="38"/>
  <c r="AG600" i="38"/>
  <c r="AG749" i="38"/>
  <c r="AE583" i="38"/>
  <c r="AE98" i="38"/>
  <c r="AG546" i="38"/>
  <c r="AG188" i="38"/>
  <c r="AG470" i="38"/>
  <c r="AG673" i="38"/>
  <c r="AG735" i="38"/>
  <c r="AE592" i="38"/>
  <c r="AG606" i="38"/>
  <c r="AG607" i="38"/>
  <c r="AG706" i="38"/>
  <c r="AE328" i="38"/>
  <c r="AE580" i="38"/>
  <c r="AE600" i="38"/>
  <c r="AG418" i="38"/>
  <c r="AE163" i="38"/>
  <c r="AG961" i="38"/>
  <c r="AE796" i="38"/>
  <c r="AG256" i="38"/>
  <c r="AE199" i="38"/>
  <c r="AE862" i="38"/>
  <c r="AG444" i="38"/>
  <c r="AE719" i="38"/>
  <c r="AG373" i="38"/>
  <c r="AG36" i="38"/>
  <c r="AE203" i="38"/>
  <c r="AG220" i="38"/>
  <c r="AG165" i="38"/>
  <c r="AG569" i="38"/>
  <c r="AE853" i="38"/>
  <c r="AG584" i="38"/>
  <c r="AG614" i="38"/>
  <c r="AE27" i="38"/>
  <c r="AE343" i="38"/>
  <c r="AE57" i="38"/>
  <c r="AG247" i="38"/>
  <c r="AG360" i="38"/>
  <c r="AG222" i="38"/>
  <c r="AG131" i="38"/>
  <c r="AE757" i="38"/>
  <c r="AE252" i="38"/>
  <c r="AG173" i="38"/>
  <c r="AG745" i="38"/>
  <c r="AG739" i="38"/>
  <c r="AG203" i="38"/>
  <c r="AE39" i="38"/>
  <c r="AE534" i="38"/>
  <c r="AG741" i="38"/>
  <c r="AE692" i="38"/>
  <c r="AG522" i="38"/>
  <c r="AG298" i="38"/>
  <c r="AE531" i="38"/>
  <c r="AG578" i="38"/>
  <c r="AG761" i="38"/>
  <c r="AE762" i="38"/>
  <c r="AG896" i="38"/>
  <c r="AE237" i="38"/>
  <c r="AE11" i="38"/>
  <c r="AE42" i="38"/>
  <c r="AG863" i="38"/>
  <c r="AG6" i="38"/>
  <c r="AE790" i="38"/>
  <c r="AE347" i="38"/>
  <c r="AG375" i="38"/>
  <c r="AE536" i="38"/>
  <c r="AG215" i="38"/>
  <c r="AE610" i="38"/>
  <c r="AG943" i="38"/>
  <c r="AE342" i="38"/>
  <c r="AG728" i="38"/>
  <c r="AG683" i="38"/>
  <c r="AE147" i="38"/>
  <c r="AG457" i="38"/>
  <c r="AE299" i="38"/>
  <c r="AG689" i="38"/>
  <c r="AE90" i="38"/>
  <c r="AG333" i="38"/>
  <c r="AE727" i="38"/>
  <c r="AE295" i="38"/>
  <c r="AE701" i="38"/>
  <c r="AE817" i="38"/>
  <c r="AE245" i="38"/>
  <c r="AG137" i="38"/>
  <c r="AE524" i="38"/>
  <c r="AE223" i="38"/>
  <c r="AG867" i="38"/>
  <c r="AG14" i="38"/>
  <c r="AE250" i="38"/>
  <c r="AE157" i="38"/>
  <c r="AE235" i="38"/>
  <c r="AE838" i="38"/>
  <c r="AG327" i="38"/>
  <c r="AG755" i="38"/>
  <c r="AG371" i="38"/>
  <c r="AG834" i="38"/>
  <c r="AG293" i="38"/>
  <c r="AG620" i="38"/>
  <c r="AE813" i="38"/>
  <c r="AG726" i="38"/>
  <c r="AG331" i="38"/>
  <c r="AG892" i="38"/>
  <c r="AG719" i="38"/>
  <c r="AG769" i="38"/>
  <c r="AG454" i="38"/>
  <c r="AE879" i="38"/>
  <c r="AE699" i="38"/>
  <c r="AG567" i="38"/>
  <c r="AG526" i="38"/>
  <c r="AE799" i="38"/>
  <c r="AG529" i="38"/>
  <c r="AG535" i="38"/>
  <c r="AG464" i="38"/>
  <c r="AE24" i="38"/>
  <c r="AE110" i="38"/>
  <c r="AE144" i="38"/>
  <c r="AE646" i="38"/>
  <c r="AG67" i="38"/>
  <c r="AE352" i="38"/>
  <c r="AG88" i="38"/>
  <c r="AG669" i="38"/>
  <c r="AE587" i="38"/>
  <c r="AE737" i="38"/>
  <c r="AG81" i="38"/>
  <c r="AE788" i="38"/>
  <c r="AE68" i="38"/>
  <c r="AG857" i="38"/>
  <c r="AE544" i="38"/>
  <c r="AG945" i="38"/>
  <c r="AE787" i="38"/>
  <c r="AG711" i="38"/>
  <c r="AE720" i="38"/>
  <c r="AG367" i="38"/>
  <c r="AE281" i="38"/>
  <c r="AE717" i="38"/>
  <c r="AG414" i="38"/>
  <c r="AG879" i="38"/>
  <c r="AG910" i="38"/>
  <c r="AG422" i="38"/>
  <c r="AE747" i="38"/>
  <c r="AE845" i="38"/>
  <c r="AG534" i="38"/>
  <c r="AG284" i="38"/>
  <c r="AG940" i="38"/>
  <c r="AG939" i="38"/>
  <c r="AG756" i="38"/>
  <c r="AG665" i="38"/>
  <c r="AG389" i="38"/>
  <c r="AE873" i="38"/>
  <c r="AG340" i="38"/>
  <c r="AE258" i="38"/>
  <c r="AG301" i="38"/>
  <c r="AG139" i="38"/>
  <c r="AE220" i="38"/>
  <c r="AG210" i="38"/>
  <c r="AG112" i="38"/>
  <c r="AG635" i="38"/>
  <c r="AG453" i="38"/>
  <c r="AE617" i="38"/>
  <c r="AG942" i="38"/>
  <c r="AE383" i="38"/>
  <c r="AG419" i="38"/>
  <c r="AE150" i="38"/>
  <c r="AG476" i="38"/>
  <c r="AE546" i="38"/>
  <c r="AG332" i="38"/>
  <c r="AE770" i="38"/>
  <c r="AG661" i="38"/>
  <c r="AE368" i="38"/>
  <c r="AE800" i="38"/>
  <c r="AG438" i="38"/>
  <c r="AE889" i="38"/>
  <c r="AG27" i="38"/>
  <c r="AG652" i="38"/>
  <c r="AE613" i="38"/>
  <c r="AG700" i="38"/>
  <c r="AG969" i="38"/>
  <c r="AE660" i="38"/>
  <c r="AG795" i="38"/>
  <c r="AG343" i="38"/>
  <c r="AE116" i="38"/>
  <c r="AE254" i="38"/>
  <c r="AE756" i="38"/>
  <c r="AE759" i="38"/>
  <c r="AE222" i="38"/>
  <c r="AG827" i="38"/>
  <c r="AG10" i="38"/>
  <c r="AE129" i="38"/>
  <c r="AE88" i="38"/>
  <c r="AG575" i="38"/>
  <c r="AE173" i="38"/>
  <c r="AE575" i="38"/>
  <c r="AG391" i="38"/>
  <c r="AG218" i="38"/>
  <c r="AE863" i="38"/>
  <c r="AE878" i="38"/>
  <c r="AE824" i="38"/>
  <c r="AG60" i="38"/>
  <c r="AE537" i="38"/>
  <c r="AG384" i="38"/>
  <c r="AE827" i="38"/>
  <c r="AE172" i="38"/>
  <c r="AG387" i="38"/>
  <c r="AG801" i="38"/>
  <c r="AE33" i="38"/>
  <c r="AG679" i="38"/>
  <c r="AG647" i="38"/>
  <c r="AG16" i="38"/>
  <c r="AG799" i="38"/>
  <c r="AE654" i="38"/>
  <c r="AE375" i="38"/>
  <c r="AG621" i="38"/>
  <c r="AG632" i="38"/>
  <c r="AG311" i="38"/>
  <c r="AG970" i="38"/>
  <c r="AE197" i="38"/>
  <c r="AG296" i="38"/>
  <c r="AG494" i="38"/>
  <c r="AE828" i="38"/>
  <c r="AE695" i="38"/>
  <c r="AE84" i="38"/>
  <c r="AG482" i="38"/>
  <c r="AG736" i="38"/>
  <c r="AE151" i="38"/>
  <c r="AE158" i="38"/>
  <c r="AE713" i="38"/>
  <c r="AE14" i="38"/>
  <c r="AE41" i="38"/>
  <c r="AE75" i="38"/>
  <c r="AE877" i="38"/>
  <c r="AG358" i="38"/>
  <c r="AG889" i="38"/>
  <c r="AE782" i="38"/>
  <c r="AG310" i="38"/>
  <c r="AG98" i="38"/>
  <c r="AE777" i="38"/>
  <c r="AG396" i="38"/>
  <c r="AG364" i="38"/>
  <c r="AG304" i="38"/>
  <c r="AG114" i="38"/>
  <c r="AG570" i="38"/>
  <c r="AE334" i="38"/>
  <c r="AG521" i="38"/>
  <c r="AG38" i="38"/>
  <c r="AE689" i="38"/>
  <c r="AG352" i="38"/>
  <c r="AG587" i="38"/>
  <c r="AE73" i="38"/>
  <c r="AG185" i="38"/>
  <c r="AE728" i="38"/>
  <c r="AE830" i="38"/>
  <c r="AE802" i="38"/>
  <c r="AE864" i="38"/>
  <c r="AG402" i="38"/>
  <c r="AE251" i="38"/>
  <c r="AG596" i="38"/>
  <c r="AE167" i="38"/>
  <c r="AG681" i="38"/>
  <c r="AG842" i="38"/>
  <c r="AG723" i="38"/>
  <c r="AG554" i="38"/>
  <c r="AG80" i="38"/>
  <c r="AE821" i="38"/>
  <c r="AE803" i="38"/>
  <c r="AE694" i="38"/>
  <c r="AE49" i="38"/>
  <c r="AG598" i="38"/>
  <c r="AG207" i="38"/>
  <c r="AE792" i="38"/>
  <c r="AG854" i="38"/>
  <c r="AG421" i="38"/>
  <c r="AE346" i="38"/>
  <c r="AE767" i="38"/>
  <c r="AG530" i="38"/>
  <c r="AE730" i="38"/>
  <c r="AG466" i="38"/>
  <c r="AE795" i="38"/>
  <c r="AG477" i="38"/>
  <c r="AE127" i="38"/>
  <c r="AG865" i="38"/>
  <c r="AG935" i="38"/>
  <c r="AE591" i="38"/>
  <c r="AG897" i="38"/>
  <c r="AG361" i="38"/>
  <c r="AG18" i="38"/>
  <c r="AG291" i="38"/>
  <c r="AE212" i="38"/>
  <c r="AG481" i="38"/>
  <c r="AE146" i="38"/>
  <c r="AE805" i="38"/>
  <c r="AG461" i="38"/>
  <c r="AG666" i="38"/>
  <c r="AG869" i="38"/>
  <c r="AG885" i="38"/>
  <c r="AE776" i="38"/>
  <c r="AG686" i="38"/>
  <c r="AG279" i="38"/>
  <c r="AG191" i="38"/>
  <c r="AG624" i="38"/>
  <c r="AG800" i="38"/>
  <c r="AE833" i="38"/>
  <c r="AG198" i="38"/>
  <c r="AE292" i="38"/>
  <c r="AE883" i="38"/>
  <c r="AG162" i="38"/>
  <c r="AG465" i="38"/>
  <c r="AE201" i="38"/>
  <c r="AE291" i="38"/>
  <c r="AE316" i="38"/>
  <c r="AG263" i="38"/>
  <c r="AE125" i="38"/>
  <c r="AG190" i="38"/>
  <c r="AE358" i="38"/>
  <c r="AG250" i="38"/>
  <c r="AE19" i="38"/>
  <c r="AG626" i="38"/>
  <c r="AG103" i="38"/>
  <c r="AG811" i="38"/>
  <c r="AG514" i="38"/>
  <c r="AE711" i="38"/>
  <c r="AG750" i="38"/>
  <c r="AE755" i="38"/>
  <c r="AG3" i="38"/>
  <c r="AE338" i="38"/>
  <c r="AG786" i="38"/>
  <c r="AG812" i="38"/>
  <c r="AG906" i="38"/>
  <c r="AG625" i="38"/>
  <c r="AE136" i="38"/>
  <c r="AG264" i="38"/>
  <c r="AG712" i="38"/>
  <c r="AE623" i="38"/>
  <c r="AG89" i="38"/>
  <c r="AE373" i="38"/>
  <c r="AE349" i="38"/>
  <c r="AG160" i="38"/>
  <c r="AG479" i="38"/>
  <c r="AE836" i="38"/>
  <c r="AG664" i="38"/>
  <c r="AG208" i="38"/>
  <c r="AE576" i="38"/>
  <c r="AG630" i="38"/>
  <c r="AE307" i="38"/>
  <c r="AE577" i="38"/>
  <c r="AG133" i="38"/>
  <c r="AG704" i="38"/>
  <c r="AE255" i="38"/>
  <c r="AG467" i="38"/>
  <c r="AE380" i="38"/>
  <c r="AG581" i="38"/>
  <c r="AE213" i="38"/>
  <c r="AG228" i="38"/>
  <c r="AE581" i="38"/>
  <c r="AG108" i="38"/>
  <c r="AG676" i="38"/>
  <c r="AG436" i="38"/>
  <c r="AG181" i="38"/>
  <c r="AG574" i="38"/>
  <c r="AG308" i="38"/>
  <c r="AG177" i="38"/>
  <c r="AG742" i="38"/>
  <c r="AE876" i="38"/>
  <c r="AE62" i="38"/>
  <c r="AG900" i="38"/>
  <c r="AG828" i="38"/>
  <c r="AG836" i="38"/>
  <c r="AE811" i="38"/>
  <c r="AG975" i="38"/>
  <c r="AE236" i="38"/>
  <c r="AE119" i="38"/>
  <c r="AE190" i="38"/>
  <c r="AE221" i="38"/>
  <c r="AE659" i="38"/>
  <c r="AG628" i="38"/>
  <c r="AE3" i="38"/>
  <c r="AG622" i="38"/>
  <c r="AG870" i="38"/>
  <c r="AG528" i="38"/>
  <c r="AE518" i="38"/>
  <c r="AG231" i="38"/>
  <c r="AE710" i="38"/>
  <c r="AE95" i="38"/>
  <c r="AE55" i="38"/>
  <c r="AE541" i="38"/>
  <c r="AG507" i="38"/>
  <c r="AG564" i="38"/>
  <c r="AE638" i="38"/>
  <c r="AG61" i="38"/>
  <c r="AG300" i="38"/>
  <c r="AE378" i="38"/>
  <c r="AE560" i="38"/>
  <c r="AE191" i="38"/>
  <c r="AG520" i="38"/>
  <c r="AE176" i="38"/>
  <c r="AG678" i="38"/>
  <c r="AE556" i="38"/>
  <c r="AG96" i="38"/>
  <c r="AG337" i="38"/>
  <c r="AG157" i="38"/>
  <c r="AE741" i="38"/>
  <c r="AG517" i="38"/>
  <c r="AE745" i="38"/>
  <c r="AE276" i="38"/>
  <c r="AG781" i="38"/>
  <c r="AE318" i="38"/>
  <c r="AE766" i="38"/>
  <c r="AE574" i="38"/>
  <c r="AG273" i="38"/>
  <c r="AG125" i="38"/>
  <c r="AE636" i="38"/>
  <c r="AG362" i="38"/>
  <c r="AG848" i="38"/>
  <c r="AE268" i="38"/>
  <c r="AE664" i="38"/>
  <c r="AG880" i="38"/>
  <c r="AG201" i="38"/>
  <c r="AE233" i="38"/>
  <c r="AG768" i="38"/>
  <c r="AE778" i="38"/>
  <c r="AG52" i="38"/>
  <c r="AG84" i="38"/>
  <c r="AG224" i="38"/>
  <c r="AG159" i="38"/>
  <c r="AG603" i="38"/>
  <c r="AG785" i="38"/>
  <c r="AG288" i="38"/>
  <c r="AE540" i="38"/>
  <c r="AE339" i="38"/>
  <c r="AG533" i="38"/>
  <c r="AG649" i="38"/>
  <c r="AE573" i="38"/>
  <c r="AG144" i="38"/>
  <c r="AG118" i="38"/>
  <c r="AG541" i="38"/>
  <c r="AE605" i="38"/>
  <c r="AG272" i="38"/>
  <c r="AE714" i="38"/>
  <c r="AG794" i="38"/>
  <c r="AG822" i="38"/>
  <c r="AG797" i="38"/>
  <c r="AE267" i="38"/>
  <c r="AG155" i="38"/>
  <c r="AE327" i="38"/>
  <c r="AG571" i="38"/>
  <c r="AG908" i="38"/>
  <c r="AE269" i="38"/>
  <c r="AE793" i="38"/>
  <c r="AG62" i="38"/>
  <c r="AG590" i="38"/>
  <c r="AE166" i="38"/>
  <c r="AG39" i="38"/>
  <c r="AG872" i="38"/>
  <c r="AG167" i="38"/>
  <c r="AG491" i="38"/>
  <c r="AG488" i="38"/>
  <c r="AG886" i="38"/>
  <c r="AE30" i="38"/>
  <c r="AE335" i="38"/>
  <c r="AE844" i="38"/>
  <c r="AE65" i="38"/>
  <c r="AG642" i="38"/>
  <c r="AG151" i="38"/>
  <c r="AE370" i="38"/>
  <c r="AE528" i="38"/>
  <c r="AE522" i="38"/>
  <c r="AG312" i="38"/>
  <c r="AG370" i="38"/>
  <c r="AG186" i="38"/>
  <c r="AG617" i="38"/>
  <c r="AE754" i="38"/>
  <c r="AG557" i="38"/>
  <c r="AG540" i="38"/>
  <c r="AG452" i="38"/>
  <c r="AE306" i="38"/>
  <c r="AE865" i="38"/>
  <c r="AG380" i="38"/>
  <c r="AG691" i="38"/>
  <c r="AG24" i="38"/>
  <c r="AG174" i="38"/>
  <c r="AE752" i="38"/>
  <c r="AG888" i="38"/>
  <c r="AG912" i="38"/>
  <c r="AE566" i="38"/>
  <c r="AG403" i="38"/>
  <c r="AE519" i="38"/>
  <c r="AG246" i="38"/>
  <c r="AG483" i="38"/>
  <c r="AG4" i="38"/>
  <c r="AE538" i="38"/>
  <c r="AG716" i="38"/>
  <c r="AG140" i="38"/>
  <c r="AE141" i="38"/>
  <c r="AG28" i="38"/>
  <c r="AG510" i="38"/>
  <c r="AG579" i="38"/>
  <c r="AG458" i="38"/>
  <c r="AE35" i="38"/>
  <c r="AE22" i="38"/>
  <c r="AG549" i="38"/>
  <c r="AG793" i="38"/>
  <c r="AE656" i="38"/>
  <c r="AE739" i="38"/>
  <c r="AG721" i="38"/>
  <c r="AG292" i="38"/>
  <c r="AG321" i="38"/>
  <c r="AG968" i="38"/>
  <c r="AG555" i="38"/>
  <c r="AE377" i="38"/>
  <c r="AE273" i="38"/>
  <c r="AE171" i="38"/>
  <c r="AE742" i="38"/>
  <c r="AE312" i="38"/>
  <c r="AG844" i="38"/>
  <c r="AG498" i="38"/>
  <c r="AE361" i="38"/>
  <c r="AG583" i="38"/>
  <c r="AG356" i="38"/>
  <c r="AE109" i="38"/>
  <c r="AG408" i="38"/>
  <c r="AG926" i="38"/>
  <c r="AG116" i="38"/>
  <c r="AG242" i="38"/>
  <c r="AG445" i="38"/>
  <c r="AE211" i="38"/>
  <c r="AE590" i="38"/>
  <c r="AE169" i="38"/>
  <c r="AE722" i="38"/>
  <c r="AE723" i="38"/>
  <c r="AG780" i="38"/>
  <c r="AE132" i="38"/>
  <c r="AE868" i="38"/>
  <c r="AE644" i="38"/>
  <c r="AG409" i="38"/>
  <c r="AG732" i="38"/>
  <c r="AG767" i="38"/>
  <c r="AE8" i="38"/>
  <c r="AE804" i="38"/>
  <c r="AE530" i="38"/>
  <c r="AE512" i="38"/>
  <c r="AE779" i="38"/>
  <c r="AE569" i="38"/>
  <c r="AG527" i="38"/>
  <c r="AG334" i="38"/>
  <c r="AG893" i="38"/>
  <c r="AG455" i="38"/>
  <c r="AG79" i="38"/>
  <c r="AE517" i="38"/>
  <c r="AG746" i="38"/>
  <c r="AG485" i="38"/>
  <c r="AG613" i="38"/>
  <c r="AG878" i="38"/>
  <c r="AG15" i="38"/>
  <c r="AE769" i="38"/>
  <c r="AG495" i="38"/>
  <c r="AG729" i="38"/>
  <c r="AE733" i="38"/>
  <c r="AG456" i="38"/>
  <c r="AG202" i="38"/>
  <c r="AG163" i="38"/>
  <c r="AG740" i="38"/>
  <c r="AE265" i="38"/>
  <c r="AE326" i="38"/>
  <c r="AG281" i="38"/>
  <c r="AE240" i="38"/>
  <c r="AG127" i="38"/>
  <c r="AE107" i="38"/>
  <c r="AG545" i="38"/>
  <c r="AG307" i="38"/>
  <c r="AE360" i="38"/>
  <c r="AG350" i="38"/>
  <c r="AE658" i="38"/>
  <c r="AE835" i="38"/>
  <c r="AG692" i="38"/>
  <c r="AE117" i="38"/>
  <c r="AG730" i="38"/>
  <c r="AE331" i="38"/>
  <c r="AG826" i="38"/>
  <c r="AG631" i="38"/>
  <c r="AG175" i="38"/>
  <c r="AG172" i="38"/>
  <c r="AG397" i="38"/>
  <c r="AE168" i="38"/>
  <c r="AG837" i="38"/>
  <c r="AG815" i="38"/>
  <c r="AG610" i="38"/>
  <c r="AE161" i="38"/>
  <c r="AG838" i="38"/>
  <c r="AE332" i="38"/>
  <c r="AE679" i="38"/>
  <c r="AG783" i="38"/>
  <c r="AG931" i="38"/>
  <c r="AG240" i="38"/>
  <c r="AE598" i="38"/>
  <c r="AE875" i="38"/>
  <c r="AE807" i="38"/>
  <c r="AG338" i="38"/>
  <c r="AE763" i="38"/>
  <c r="AE514" i="38"/>
  <c r="AG37" i="38"/>
  <c r="AE629" i="38"/>
  <c r="AG212" i="38"/>
  <c r="AG136" i="38"/>
  <c r="AG11" i="38"/>
  <c r="AG5" i="38"/>
  <c r="AG253" i="38"/>
  <c r="AE256" i="38"/>
  <c r="AG684" i="38"/>
  <c r="AG330" i="38"/>
  <c r="AG791" i="38"/>
  <c r="AE351" i="38"/>
  <c r="AE872" i="38"/>
  <c r="AG58" i="38"/>
  <c r="AG538" i="38"/>
  <c r="AE861" i="38"/>
  <c r="AE523" i="38"/>
  <c r="AE241" i="38"/>
  <c r="AE516" i="38"/>
  <c r="AG727" i="38"/>
  <c r="AG845" i="38"/>
  <c r="AG548" i="38"/>
  <c r="AE313" i="38"/>
  <c r="AG874" i="38"/>
  <c r="AE43" i="38"/>
  <c r="AE85" i="38"/>
  <c r="AG508" i="38"/>
  <c r="AE565" i="38"/>
  <c r="AE94" i="38"/>
  <c r="AE572" i="38"/>
  <c r="AG480" i="38"/>
  <c r="AE104" i="38"/>
  <c r="AE602" i="38"/>
  <c r="AG760" i="38"/>
  <c r="AG48" i="38"/>
  <c r="AE153" i="38"/>
  <c r="AE139" i="38"/>
  <c r="AG158" i="38"/>
  <c r="AG916" i="38"/>
  <c r="AG644" i="38"/>
  <c r="AG759" i="38"/>
  <c r="AE869" i="38"/>
  <c r="AG616" i="38"/>
  <c r="AG877" i="38"/>
  <c r="AE282" i="38"/>
  <c r="AG473" i="38"/>
  <c r="AG747" i="38"/>
  <c r="AG707" i="38"/>
  <c r="AE367" i="38"/>
  <c r="AG722" i="38"/>
  <c r="AG672" i="38"/>
  <c r="AG128" i="38"/>
  <c r="AG489" i="38"/>
  <c r="AE353" i="38"/>
  <c r="AG74" i="38"/>
  <c r="AG976" i="38"/>
  <c r="AG317" i="38"/>
  <c r="AE293" i="38"/>
  <c r="AE134" i="38"/>
  <c r="AE596" i="38"/>
  <c r="AG937" i="38"/>
  <c r="AG646" i="38"/>
  <c r="AE586" i="38"/>
  <c r="AG960" i="38"/>
  <c r="AG846" i="38"/>
  <c r="AG241" i="38"/>
  <c r="AE23" i="38"/>
  <c r="AE283" i="38"/>
  <c r="AG496" i="38"/>
  <c r="AE643" i="38"/>
  <c r="AG835" i="38"/>
  <c r="AG32" i="38"/>
  <c r="AE232" i="38"/>
  <c r="AG866" i="38"/>
  <c r="AE798" i="38"/>
  <c r="AE632" i="38"/>
  <c r="AG651" i="38"/>
  <c r="AG95" i="38"/>
  <c r="AE760" i="38"/>
  <c r="AG539" i="38"/>
  <c r="AE189" i="38"/>
  <c r="AE855" i="38"/>
  <c r="AE631" i="38"/>
  <c r="AE749" i="38"/>
  <c r="AG887" i="38"/>
  <c r="AG239" i="38"/>
  <c r="AG386" i="38"/>
  <c r="AE857" i="38"/>
  <c r="AG287" i="38"/>
  <c r="AG148" i="38"/>
  <c r="AG668" i="38"/>
  <c r="AG525" i="38"/>
  <c r="AE321" i="38"/>
  <c r="AE552" i="38"/>
  <c r="AG543" i="38"/>
  <c r="AG124" i="38"/>
  <c r="AG941" i="38"/>
  <c r="AG55" i="38"/>
  <c r="AE672" i="38"/>
  <c r="AE138" i="38"/>
  <c r="AE52" i="38"/>
  <c r="AG285" i="38"/>
  <c r="AE671" i="38"/>
  <c r="AE880" i="38"/>
  <c r="AG656" i="38"/>
  <c r="AG703" i="38"/>
  <c r="AG738" i="38"/>
  <c r="AE649" i="38"/>
  <c r="AG430" i="38"/>
  <c r="AG214" i="38"/>
  <c r="AG381" i="38"/>
  <c r="AG585" i="38"/>
  <c r="AG501" i="38"/>
  <c r="AE558" i="38"/>
  <c r="AG776" i="38"/>
  <c r="AG345" i="38"/>
  <c r="AG275" i="38"/>
  <c r="AE69" i="38"/>
  <c r="AG432" i="38"/>
  <c r="AG639" i="38"/>
  <c r="AE810" i="38"/>
  <c r="AE653" i="38"/>
  <c r="AG46" i="38"/>
  <c r="AE294" i="38"/>
  <c r="AG825" i="38"/>
  <c r="AG258" i="38"/>
  <c r="AG560" i="38"/>
  <c r="AE372" i="38"/>
  <c r="AE675" i="38"/>
  <c r="AE571" i="38"/>
  <c r="AE597" i="38"/>
  <c r="AG565" i="38"/>
  <c r="AG657" i="38"/>
  <c r="AE867" i="38"/>
  <c r="AG544" i="38"/>
  <c r="AG335" i="38"/>
  <c r="AG382" i="38"/>
  <c r="AE13" i="38"/>
  <c r="AG751" i="38"/>
  <c r="AG582" i="38"/>
  <c r="AE542" i="38"/>
  <c r="AE244" i="38"/>
  <c r="AE601" i="38"/>
  <c r="AG169" i="38"/>
  <c r="AG724" i="38"/>
  <c r="AG73" i="38"/>
  <c r="AE837" i="38"/>
  <c r="AE611" i="38"/>
  <c r="AE185" i="38"/>
  <c r="AG536" i="38"/>
  <c r="AE388" i="38"/>
  <c r="AE603" i="38"/>
  <c r="AE386" i="38"/>
  <c r="AE193" i="38"/>
  <c r="AG946" i="38"/>
  <c r="AG319" i="38"/>
  <c r="AE219" i="38"/>
  <c r="AE724" i="38"/>
  <c r="AG216" i="38"/>
  <c r="AE854" i="38"/>
  <c r="AG152" i="38"/>
  <c r="AG830" i="38"/>
  <c r="AE885" i="38"/>
  <c r="AG29" i="38"/>
  <c r="AE808" i="38"/>
  <c r="AG638" i="38"/>
  <c r="AG50" i="38"/>
  <c r="AG20" i="38"/>
  <c r="AE177" i="38"/>
  <c r="AE609" i="38"/>
  <c r="AE32" i="38"/>
  <c r="AG492" i="38"/>
  <c r="AE697" i="38"/>
  <c r="AG77" i="38"/>
  <c r="AG853" i="38"/>
  <c r="AG68" i="38"/>
  <c r="AG513" i="38"/>
  <c r="AG463" i="38"/>
  <c r="AE703" i="38"/>
  <c r="AG236" i="38"/>
  <c r="AG7" i="38"/>
  <c r="AG717" i="38"/>
  <c r="AE121" i="38"/>
  <c r="AE816" i="38"/>
  <c r="AE344" i="38"/>
  <c r="AE288" i="38"/>
  <c r="AG179" i="38"/>
  <c r="AG97" i="38"/>
  <c r="AE208" i="38"/>
  <c r="AE200" i="38"/>
  <c r="AG99" i="38"/>
  <c r="AE21" i="38"/>
  <c r="AG376" i="38"/>
  <c r="AG856" i="38"/>
  <c r="AE148" i="38"/>
  <c r="AE246" i="38"/>
  <c r="AE698" i="38"/>
  <c r="AE563" i="38"/>
  <c r="AE721" i="38"/>
  <c r="AE841" i="38"/>
  <c r="AE384" i="38"/>
  <c r="AG25" i="38"/>
  <c r="AG659" i="38"/>
  <c r="AG956" i="38"/>
  <c r="AG636" i="38"/>
  <c r="AG901" i="38"/>
  <c r="AG238" i="38"/>
  <c r="AE165" i="38"/>
  <c r="AE309" i="38"/>
  <c r="AG400" i="38"/>
  <c r="AG42" i="38"/>
  <c r="AG705" i="38"/>
  <c r="AG260" i="38"/>
  <c r="AG512" i="38"/>
  <c r="AG294" i="38"/>
  <c r="AG183" i="38"/>
  <c r="AE513" i="38"/>
  <c r="AE272" i="38"/>
  <c r="AG562" i="38"/>
  <c r="AE18" i="38"/>
  <c r="AG864" i="38"/>
  <c r="AE525" i="38"/>
  <c r="AE225" i="38"/>
  <c r="AG925" i="38"/>
  <c r="AG341" i="38"/>
  <c r="AE178" i="38"/>
  <c r="AG832" i="38"/>
  <c r="AG895" i="38"/>
  <c r="AE726" i="38"/>
  <c r="AG105" i="38"/>
  <c r="AG78" i="38"/>
  <c r="AG923" i="38"/>
  <c r="AG129" i="38"/>
  <c r="AG471" i="38"/>
  <c r="AE175" i="38"/>
  <c r="AG428" i="38"/>
  <c r="AG166" i="38"/>
  <c r="AG100" i="38"/>
  <c r="AG914" i="38"/>
  <c r="AE732" i="38"/>
  <c r="AE25" i="38"/>
  <c r="AE198" i="38"/>
  <c r="AG623" i="38"/>
  <c r="AG819" i="38"/>
  <c r="AE182" i="38"/>
  <c r="AG697" i="38"/>
  <c r="AG599" i="38"/>
  <c r="AG71" i="38"/>
  <c r="AG90" i="38"/>
  <c r="AG924" i="38"/>
  <c r="AE2" i="38"/>
  <c r="AE820" i="38"/>
  <c r="AE709" i="38"/>
  <c r="AG194" i="38"/>
  <c r="AE825" i="38"/>
  <c r="AG233" i="38"/>
  <c r="AE323" i="38"/>
  <c r="AG710" i="38"/>
  <c r="AE181" i="38"/>
  <c r="AG460" i="38"/>
  <c r="AE277" i="38"/>
  <c r="AG271" i="38"/>
  <c r="AG180" i="38"/>
  <c r="AE751" i="38"/>
  <c r="AG566" i="38"/>
  <c r="AG972" i="38"/>
  <c r="AG882" i="38"/>
  <c r="AE539" i="38"/>
  <c r="AE550" i="38"/>
  <c r="AG19" i="38"/>
  <c r="AE849" i="38"/>
  <c r="AG563" i="38"/>
  <c r="AG674" i="38"/>
  <c r="AG883" i="38"/>
  <c r="AE773" i="38"/>
  <c r="AG954" i="38"/>
  <c r="AE376" i="38"/>
  <c r="AE186" i="38"/>
  <c r="AG532" i="38"/>
  <c r="AG469" i="38"/>
  <c r="AG805" i="38"/>
  <c r="AG449" i="38"/>
  <c r="AE856" i="38"/>
  <c r="AG658" i="38"/>
  <c r="AE113" i="38"/>
  <c r="AE618" i="38"/>
  <c r="AE249" i="38"/>
  <c r="AE595" i="38"/>
  <c r="AG655" i="38"/>
  <c r="AG695" i="38"/>
  <c r="AE180" i="38"/>
  <c r="AE387" i="38"/>
  <c r="AE666" i="38"/>
  <c r="AE840" i="38"/>
  <c r="AE320" i="38"/>
  <c r="AG615" i="38"/>
  <c r="AE287" i="38"/>
  <c r="AG509" i="38"/>
  <c r="AG809" i="38"/>
  <c r="AG388" i="38"/>
  <c r="AG221" i="38"/>
  <c r="AG936" i="38"/>
  <c r="AG762" i="38"/>
  <c r="AE678" i="38"/>
  <c r="AE324" i="38"/>
  <c r="AG790" i="38"/>
  <c r="AE818" i="38"/>
  <c r="AE196" i="38"/>
  <c r="AG955" i="38"/>
  <c r="AE64" i="38"/>
  <c r="AE729" i="38"/>
  <c r="AG351" i="38"/>
  <c r="AE115" i="38"/>
  <c r="AE589" i="38"/>
  <c r="AG701" i="38"/>
  <c r="AG682" i="38"/>
  <c r="AG641" i="38"/>
  <c r="AE612" i="38"/>
  <c r="AE859" i="38"/>
  <c r="AE29" i="38"/>
  <c r="AE831" i="38"/>
  <c r="AG206" i="38"/>
  <c r="AE336" i="38"/>
  <c r="AG199" i="38"/>
  <c r="AE635" i="38"/>
  <c r="AG922" i="38"/>
  <c r="AG412" i="38"/>
  <c r="AE289" i="38"/>
  <c r="AE847" i="38"/>
  <c r="AG346" i="38"/>
  <c r="AG283" i="38"/>
  <c r="AG22" i="38"/>
  <c r="AG451" i="38"/>
  <c r="AG459" i="38"/>
  <c r="AE687" i="38"/>
  <c r="AE202" i="38"/>
  <c r="AG47" i="38"/>
  <c r="AE771" i="38"/>
  <c r="AE123" i="38"/>
  <c r="AE706" i="38"/>
  <c r="AE606" i="38"/>
  <c r="AG366" i="38"/>
  <c r="AE648" i="38"/>
  <c r="AE809" i="38"/>
  <c r="AG932" i="38"/>
  <c r="AG818" i="38"/>
  <c r="AG948" i="38"/>
  <c r="AE866" i="38"/>
  <c r="AE535" i="38"/>
  <c r="AG82" i="38"/>
  <c r="AG918" i="38"/>
  <c r="AG737" i="38"/>
  <c r="AG519" i="38"/>
  <c r="AE669" i="38"/>
  <c r="AG890" i="38"/>
  <c r="AE70" i="38"/>
  <c r="AE892" i="38"/>
  <c r="AE130" i="38"/>
  <c r="AG861" i="38"/>
  <c r="AE850" i="38"/>
  <c r="AG9" i="38"/>
  <c r="AG146" i="38"/>
  <c r="AG440" i="38"/>
  <c r="AG23" i="38"/>
  <c r="AG164" i="38"/>
  <c r="AG328" i="38"/>
  <c r="AG593" i="38"/>
  <c r="AE891" i="38"/>
  <c r="AE887" i="38"/>
  <c r="AG204" i="38"/>
  <c r="AG393" i="38"/>
  <c r="AE691" i="38"/>
  <c r="AE812" i="38"/>
  <c r="AG773" i="38"/>
  <c r="AG109" i="38"/>
  <c r="AG873" i="38"/>
  <c r="AG147" i="38"/>
  <c r="AE369" i="38"/>
  <c r="AE871" i="38"/>
  <c r="AE815" i="38"/>
  <c r="AG75" i="38"/>
  <c r="AE140" i="38"/>
  <c r="AE385" i="38"/>
  <c r="AG223" i="38"/>
  <c r="AG868" i="38"/>
  <c r="AE337" i="38"/>
  <c r="AE797" i="38"/>
  <c r="AG958" i="38"/>
  <c r="AG255" i="38"/>
  <c r="AG547" i="38"/>
  <c r="AE667" i="38"/>
  <c r="AG518" i="38"/>
  <c r="AG841" i="38"/>
  <c r="AE81" i="38"/>
  <c r="AE37" i="38"/>
  <c r="AG245" i="38"/>
  <c r="AG894" i="38"/>
  <c r="AG839" i="38"/>
  <c r="AG297" i="38"/>
  <c r="AG209" i="38"/>
  <c r="AE784" i="38"/>
  <c r="AG156" i="38"/>
  <c r="AG102" i="38"/>
  <c r="AE341" i="38"/>
  <c r="AG778" i="38"/>
  <c r="AE78" i="38"/>
  <c r="AE359" i="38"/>
  <c r="AE51" i="38"/>
  <c r="AG91" i="38"/>
  <c r="AG347" i="38"/>
  <c r="AE58" i="38"/>
  <c r="AG731" i="38"/>
  <c r="AG363" i="38"/>
  <c r="AG840" i="38"/>
  <c r="AE674" i="38"/>
  <c r="AG72" i="38"/>
  <c r="AE298" i="38"/>
  <c r="AE314" i="38"/>
  <c r="AG92" i="38"/>
  <c r="AG758" i="38"/>
  <c r="AE99" i="38"/>
  <c r="AE673" i="38"/>
  <c r="AG919" i="38"/>
  <c r="AG43" i="38"/>
  <c r="AG267" i="38"/>
  <c r="AG654" i="38"/>
  <c r="AG249" i="38"/>
  <c r="AE554" i="38"/>
  <c r="AG693" i="38"/>
  <c r="AE731" i="38"/>
  <c r="AG775" i="38"/>
  <c r="AG324" i="38"/>
  <c r="AE155" i="38"/>
  <c r="AE619" i="38"/>
  <c r="AE228" i="38"/>
  <c r="AE529" i="38"/>
  <c r="AE690" i="38"/>
  <c r="AG113" i="38"/>
  <c r="AE86" i="38"/>
  <c r="AE195" i="38"/>
  <c r="AG306" i="38"/>
  <c r="AE102" i="38"/>
  <c r="AG875" i="38"/>
  <c r="AG219" i="38"/>
  <c r="AG26" i="38"/>
  <c r="AG229" i="38"/>
  <c r="AE662" i="38"/>
  <c r="AE547" i="38"/>
  <c r="AE615" i="38"/>
  <c r="AE106" i="38"/>
  <c r="AE308" i="38"/>
  <c r="AG305" i="38"/>
  <c r="AG688" i="38"/>
  <c r="AG415" i="38"/>
  <c r="AG196" i="38"/>
  <c r="AG898" i="38"/>
  <c r="AG858" i="38"/>
  <c r="AG329" i="38"/>
  <c r="AE194" i="38"/>
  <c r="AE317" i="38"/>
  <c r="AG195" i="38"/>
  <c r="AE103" i="38"/>
  <c r="AG314" i="38"/>
  <c r="AE10" i="38"/>
  <c r="AG230" i="38"/>
  <c r="AG200" i="38"/>
  <c r="AG876" i="38"/>
  <c r="AG490" i="38"/>
  <c r="AE7" i="38"/>
  <c r="AE92" i="38"/>
  <c r="AG392" i="38"/>
  <c r="AE156" i="38"/>
  <c r="AG902" i="38"/>
  <c r="AE179" i="38"/>
  <c r="AG426" i="38"/>
  <c r="AG390" i="38"/>
  <c r="AE72" i="38"/>
  <c r="AG435" i="38"/>
  <c r="AE515" i="38"/>
  <c r="AG70" i="38"/>
  <c r="AE604" i="38"/>
  <c r="AE266" i="38"/>
  <c r="AG472" i="38"/>
  <c r="AE893" i="38"/>
  <c r="AE684" i="38"/>
  <c r="AE330" i="38"/>
  <c r="AG694" i="38"/>
  <c r="AE143" i="38"/>
  <c r="AG365" i="38"/>
  <c r="AG685" i="38"/>
  <c r="AG782" i="38"/>
  <c r="AG303" i="38"/>
  <c r="AE206" i="38"/>
  <c r="AG252" i="38"/>
  <c r="AG733" i="38"/>
  <c r="AE207" i="38"/>
  <c r="AG551" i="38"/>
  <c r="AE526" i="38"/>
  <c r="AG433" i="38"/>
  <c r="AE303" i="38"/>
  <c r="AE44" i="38"/>
  <c r="AE670" i="38"/>
  <c r="AG871" i="38"/>
  <c r="AG957" i="38"/>
  <c r="AE718" i="38"/>
  <c r="AG12" i="38"/>
  <c r="AG54" i="38"/>
  <c r="AE340" i="38"/>
  <c r="AG568" i="38"/>
  <c r="AE215" i="38"/>
  <c r="AG374" i="38"/>
  <c r="AG425" i="38"/>
  <c r="AE686" i="38"/>
  <c r="AG515" i="38"/>
  <c r="AG280" i="38"/>
  <c r="AG903" i="38"/>
  <c r="AE642" i="38"/>
  <c r="AG833" i="38"/>
  <c r="AG553" i="38"/>
  <c r="AG966" i="38"/>
  <c r="AG234" i="38"/>
  <c r="AG40" i="38"/>
  <c r="AE234" i="38"/>
  <c r="AG49" i="38"/>
  <c r="AG44" i="38"/>
  <c r="AE829" i="38"/>
  <c r="AE131" i="38"/>
  <c r="AG850" i="38"/>
  <c r="AG770" i="38"/>
  <c r="AE532" i="38"/>
  <c r="AG757" i="38"/>
  <c r="AG849" i="38"/>
  <c r="AG550" i="38"/>
  <c r="AE564" i="38"/>
  <c r="AG595" i="38"/>
  <c r="AG478" i="38"/>
  <c r="AG787" i="38"/>
  <c r="AG796" i="38"/>
  <c r="AE625" i="38"/>
  <c r="AG104" i="38"/>
  <c r="AE97" i="38"/>
  <c r="AG558" i="38"/>
  <c r="AG134" i="38"/>
  <c r="AG499" i="38"/>
  <c r="AE852" i="38"/>
  <c r="AG766" i="38"/>
  <c r="AG145" i="38"/>
  <c r="AG66" i="38"/>
  <c r="AG232" i="38"/>
  <c r="AG153" i="38"/>
  <c r="AG829" i="38"/>
  <c r="AE785" i="38"/>
  <c r="AE712" i="38"/>
  <c r="AE725" i="38"/>
  <c r="AE315" i="38"/>
  <c r="AG192" i="38"/>
  <c r="AE345" i="38"/>
  <c r="AE738" i="38"/>
  <c r="AE533" i="38"/>
  <c r="AG2" i="38"/>
  <c r="AG429" i="38"/>
  <c r="AG612" i="38"/>
  <c r="AG31" i="38"/>
  <c r="AG278" i="38"/>
  <c r="AG506" i="38"/>
  <c r="AG187" i="38"/>
  <c r="AG823" i="38"/>
  <c r="AE261" i="38"/>
  <c r="AE152" i="38"/>
  <c r="AE71" i="38"/>
  <c r="AG743" i="38"/>
  <c r="AG394" i="38"/>
  <c r="AG653" i="38"/>
  <c r="AG63" i="38"/>
  <c r="AG609" i="38"/>
  <c r="AG411" i="38"/>
  <c r="AE229" i="38"/>
  <c r="AG474" i="38"/>
  <c r="AG189" i="38"/>
  <c r="AE607" i="38"/>
  <c r="AE20" i="38"/>
  <c r="AE66" i="38"/>
  <c r="AE683" i="38"/>
  <c r="AG816" i="38"/>
  <c r="AE304" i="38"/>
  <c r="AE355" i="38"/>
  <c r="AE768" i="38"/>
  <c r="AG123" i="38"/>
  <c r="AG852" i="38"/>
  <c r="AG500" i="38"/>
  <c r="AE702" i="38"/>
  <c r="AG891" i="38"/>
  <c r="AE137" i="38"/>
  <c r="AG282" i="38"/>
  <c r="AG372" i="38"/>
  <c r="AE657" i="38"/>
  <c r="AG921" i="38"/>
  <c r="AG953" i="38"/>
  <c r="AG974" i="38"/>
  <c r="AG597" i="38"/>
  <c r="AE300" i="38"/>
  <c r="AE555" i="38"/>
  <c r="AG552" i="38"/>
  <c r="AE366" i="38"/>
  <c r="AG122" i="38"/>
  <c r="AK122" i="38" l="1"/>
  <c r="AF122" i="38" s="1"/>
  <c r="AK552" i="38"/>
  <c r="AF552" i="38" s="1"/>
  <c r="AK597" i="38"/>
  <c r="AF597" i="38" s="1"/>
  <c r="AK372" i="38"/>
  <c r="AF372" i="38" s="1"/>
  <c r="AK500" i="38"/>
  <c r="AF500" i="38" s="1"/>
  <c r="AK123" i="38"/>
  <c r="AF123" i="38" s="1"/>
  <c r="AK816" i="38"/>
  <c r="AF816" i="38" s="1"/>
  <c r="AK189" i="38"/>
  <c r="AF189" i="38" s="1"/>
  <c r="AK474" i="38"/>
  <c r="AF474" i="38" s="1"/>
  <c r="AK411" i="38"/>
  <c r="AF411" i="38" s="1"/>
  <c r="AK609" i="38"/>
  <c r="AF609" i="38" s="1"/>
  <c r="AK63" i="38"/>
  <c r="AF63" i="38" s="1"/>
  <c r="AK653" i="38"/>
  <c r="AF653" i="38" s="1"/>
  <c r="AK743" i="38"/>
  <c r="AF743" i="38" s="1"/>
  <c r="AK823" i="38"/>
  <c r="AF823" i="38" s="1"/>
  <c r="AK187" i="38"/>
  <c r="AF187" i="38" s="1"/>
  <c r="AK506" i="38"/>
  <c r="AF506" i="38" s="1"/>
  <c r="AK31" i="38"/>
  <c r="AF31" i="38" s="1"/>
  <c r="AK612" i="38"/>
  <c r="AF612" i="38" s="1"/>
  <c r="AK429" i="38"/>
  <c r="AF429" i="38" s="1"/>
  <c r="Z23" i="38"/>
  <c r="Z165" i="38"/>
  <c r="Z97" i="38"/>
  <c r="Z252" i="38"/>
  <c r="Z82" i="38"/>
  <c r="Z48" i="38"/>
  <c r="Z55" i="38"/>
  <c r="Z91" i="38"/>
  <c r="Z5" i="38"/>
  <c r="Z198" i="38"/>
  <c r="Z210" i="38"/>
  <c r="Z168" i="38"/>
  <c r="Z60" i="38"/>
  <c r="Z36" i="38"/>
  <c r="Z157" i="38"/>
  <c r="Z134" i="38"/>
  <c r="Z265" i="38"/>
  <c r="Z112" i="38"/>
  <c r="Z27" i="38"/>
  <c r="Z131" i="38"/>
  <c r="Z170" i="38"/>
  <c r="Z154" i="38"/>
  <c r="Z62" i="38"/>
  <c r="Z203" i="38"/>
  <c r="Z20" i="38"/>
  <c r="Z31" i="38"/>
  <c r="Z37" i="38"/>
  <c r="Z223" i="38"/>
  <c r="Z22" i="38"/>
  <c r="Z263" i="38"/>
  <c r="Z181" i="38"/>
  <c r="Z73" i="38"/>
  <c r="Z247" i="38"/>
  <c r="Z178" i="38"/>
  <c r="Z3" i="38"/>
  <c r="Z236" i="38"/>
  <c r="Z80" i="38"/>
  <c r="Z219" i="38"/>
  <c r="Z220" i="38"/>
  <c r="Z44" i="38"/>
  <c r="Z67" i="38"/>
  <c r="Z209" i="38"/>
  <c r="Z264" i="38"/>
  <c r="Z191" i="38"/>
  <c r="Z211" i="38"/>
  <c r="Z130" i="38"/>
  <c r="Z163" i="38"/>
  <c r="Z65" i="38"/>
  <c r="Z111" i="38"/>
  <c r="Z87" i="38"/>
  <c r="Z128" i="38"/>
  <c r="Z256" i="38"/>
  <c r="Z102" i="38"/>
  <c r="Z228" i="38"/>
  <c r="Z147" i="38"/>
  <c r="Z116" i="38"/>
  <c r="Z144" i="38"/>
  <c r="Z42" i="38"/>
  <c r="Z143" i="38"/>
  <c r="Z216" i="38"/>
  <c r="Z250" i="38"/>
  <c r="Z233" i="38"/>
  <c r="Z249" i="38"/>
  <c r="Z190" i="38"/>
  <c r="Z231" i="38"/>
  <c r="Z155" i="38"/>
  <c r="Z179" i="38"/>
  <c r="Z69" i="38"/>
  <c r="Z123" i="38"/>
  <c r="Z39" i="38"/>
  <c r="Z267" i="38"/>
  <c r="Z11" i="38"/>
  <c r="Z248" i="38"/>
  <c r="Z135" i="38"/>
  <c r="Z232" i="38"/>
  <c r="Z177" i="38"/>
  <c r="Z78" i="38"/>
  <c r="Z38" i="38"/>
  <c r="Z77" i="38"/>
  <c r="Z150" i="38"/>
  <c r="Z120" i="38"/>
  <c r="Z70" i="38"/>
  <c r="Z187" i="38"/>
  <c r="Z115" i="38"/>
  <c r="Z226" i="38"/>
  <c r="Z108" i="38"/>
  <c r="Z200" i="38"/>
  <c r="Z110" i="38"/>
  <c r="Z56" i="38"/>
  <c r="Z162" i="38"/>
  <c r="Z71" i="38"/>
  <c r="Z127" i="38"/>
  <c r="Z151" i="38"/>
  <c r="Z202" i="38"/>
  <c r="Z49" i="38"/>
  <c r="Z207" i="38"/>
  <c r="Z224" i="38"/>
  <c r="Z63" i="38"/>
  <c r="Z4" i="38"/>
  <c r="Z66" i="38"/>
  <c r="Z139" i="38"/>
  <c r="Z61" i="38"/>
  <c r="Z251" i="38"/>
  <c r="Z89" i="38"/>
  <c r="Z125" i="38"/>
  <c r="Z122" i="38"/>
  <c r="Z84" i="38"/>
  <c r="Z86" i="38"/>
  <c r="Z174" i="38"/>
  <c r="Z95" i="38"/>
  <c r="Z221" i="38"/>
  <c r="Z41" i="38"/>
  <c r="Z105" i="38"/>
  <c r="Z53" i="38"/>
  <c r="Z129" i="38"/>
  <c r="Z253" i="38"/>
  <c r="Z99" i="38"/>
  <c r="Z257" i="38"/>
  <c r="Z107" i="38"/>
  <c r="Z186" i="38"/>
  <c r="Z172" i="38"/>
  <c r="Z140" i="38"/>
  <c r="Z260" i="38"/>
  <c r="Z83" i="38"/>
  <c r="Z16" i="38"/>
  <c r="Z94" i="38"/>
  <c r="Z212" i="38"/>
  <c r="Z240" i="38"/>
  <c r="Z222" i="38"/>
  <c r="Z21" i="38"/>
  <c r="Z52" i="38"/>
  <c r="Z117" i="38"/>
  <c r="Z243" i="38"/>
  <c r="Z142" i="38"/>
  <c r="Z192" i="38"/>
  <c r="Z206" i="38"/>
  <c r="Z237" i="38"/>
  <c r="Z101" i="38"/>
  <c r="Z24" i="38"/>
  <c r="Z185" i="38"/>
  <c r="Z161" i="38"/>
  <c r="Z132" i="38"/>
  <c r="Z9" i="38"/>
  <c r="Z96" i="38"/>
  <c r="Z261" i="38"/>
  <c r="Z28" i="38"/>
  <c r="Z245" i="38"/>
  <c r="Z40" i="38"/>
  <c r="Z59" i="38"/>
  <c r="Z85" i="38"/>
  <c r="Z241" i="38"/>
  <c r="Z145" i="38"/>
  <c r="Z136" i="38"/>
  <c r="Z138" i="38"/>
  <c r="Z189" i="38"/>
  <c r="Z238" i="38"/>
  <c r="Z29" i="38"/>
  <c r="Z182" i="38"/>
  <c r="Z146" i="38"/>
  <c r="Z218" i="38"/>
  <c r="Z137" i="38"/>
  <c r="Z17" i="38"/>
  <c r="Z74" i="38"/>
  <c r="Z47" i="38"/>
  <c r="Z153" i="38"/>
  <c r="Z13" i="38"/>
  <c r="Z6" i="38"/>
  <c r="Z149" i="38"/>
  <c r="Z176" i="38"/>
  <c r="Z152" i="38"/>
  <c r="Z156" i="38"/>
  <c r="Z100" i="38"/>
  <c r="Z14" i="38"/>
  <c r="Z141" i="38"/>
  <c r="Z68" i="38"/>
  <c r="Z184" i="38"/>
  <c r="Z183" i="38"/>
  <c r="Z254" i="38"/>
  <c r="Z213" i="38"/>
  <c r="Z10" i="38"/>
  <c r="Z133" i="38"/>
  <c r="Z266" i="38"/>
  <c r="Z113" i="38"/>
  <c r="Z244" i="38"/>
  <c r="Z7" i="38"/>
  <c r="Z109" i="38"/>
  <c r="Z58" i="38"/>
  <c r="Z171" i="38"/>
  <c r="Z93" i="38"/>
  <c r="Z225" i="38"/>
  <c r="Z195" i="38"/>
  <c r="Z230" i="38"/>
  <c r="Z175" i="38"/>
  <c r="Z32" i="38"/>
  <c r="Z33" i="38"/>
  <c r="Z193" i="38"/>
  <c r="Z239" i="38"/>
  <c r="Z197" i="38"/>
  <c r="Z15" i="38"/>
  <c r="Z26" i="38"/>
  <c r="Z227" i="38"/>
  <c r="Z90" i="38"/>
  <c r="Z19" i="38"/>
  <c r="Z194" i="38"/>
  <c r="Z76" i="38"/>
  <c r="Z242" i="38"/>
  <c r="Z234" i="38"/>
  <c r="Z255" i="38"/>
  <c r="Z201" i="38"/>
  <c r="Z215" i="38"/>
  <c r="Z35" i="38"/>
  <c r="Z217" i="38"/>
  <c r="Z8" i="38"/>
  <c r="Z119" i="38"/>
  <c r="Z43" i="38"/>
  <c r="Z54" i="38"/>
  <c r="Z214" i="38"/>
  <c r="Z34" i="38"/>
  <c r="Z199" i="38"/>
  <c r="Z2" i="38"/>
  <c r="Z50" i="38"/>
  <c r="Z88" i="38"/>
  <c r="Z92" i="38"/>
  <c r="Z98" i="38"/>
  <c r="Z208" i="38"/>
  <c r="Z169" i="38"/>
  <c r="Z51" i="38"/>
  <c r="Z148" i="38"/>
  <c r="Z114" i="38"/>
  <c r="Z166" i="38"/>
  <c r="Z180" i="38"/>
  <c r="Z25" i="38"/>
  <c r="Z104" i="38"/>
  <c r="Z79" i="38"/>
  <c r="Z103" i="38"/>
  <c r="Z164" i="38"/>
  <c r="Z167" i="38"/>
  <c r="Z188" i="38"/>
  <c r="Z45" i="38"/>
  <c r="Z121" i="38"/>
  <c r="Z173" i="38"/>
  <c r="Z72" i="38"/>
  <c r="Z159" i="38"/>
  <c r="Z158" i="38"/>
  <c r="Z124" i="38"/>
  <c r="Z126" i="38"/>
  <c r="Z30" i="38"/>
  <c r="Z81" i="38"/>
  <c r="Z75" i="38"/>
  <c r="Z18" i="38"/>
  <c r="Z246" i="38"/>
  <c r="Z262" i="38"/>
  <c r="Z118" i="38"/>
  <c r="Z235" i="38"/>
  <c r="Z196" i="38"/>
  <c r="Z205" i="38"/>
  <c r="Z229" i="38"/>
  <c r="Z64" i="38"/>
  <c r="Z12" i="38"/>
  <c r="Z106" i="38"/>
  <c r="Z204" i="38"/>
  <c r="Z258" i="38"/>
  <c r="Z57" i="38"/>
  <c r="Z160" i="38"/>
  <c r="Z46" i="38"/>
  <c r="Z259" i="38"/>
  <c r="AK192" i="38"/>
  <c r="AF192" i="38" s="1"/>
  <c r="AK829" i="38"/>
  <c r="AF829" i="38" s="1"/>
  <c r="AK153" i="38"/>
  <c r="AF153" i="38" s="1"/>
  <c r="AK232" i="38"/>
  <c r="AF232" i="38" s="1"/>
  <c r="AK66" i="38"/>
  <c r="AF66" i="38" s="1"/>
  <c r="AK145" i="38"/>
  <c r="AF145" i="38" s="1"/>
  <c r="AK766" i="38"/>
  <c r="AF766" i="38" s="1"/>
  <c r="AK499" i="38"/>
  <c r="AF499" i="38" s="1"/>
  <c r="AK134" i="38"/>
  <c r="AF134" i="38" s="1"/>
  <c r="AK558" i="38"/>
  <c r="AF558" i="38" s="1"/>
  <c r="AK104" i="38"/>
  <c r="AF104" i="38" s="1"/>
  <c r="AK787" i="38"/>
  <c r="AF787" i="38" s="1"/>
  <c r="AK478" i="38"/>
  <c r="AF478" i="38" s="1"/>
  <c r="AK595" i="38"/>
  <c r="AF595" i="38" s="1"/>
  <c r="AK550" i="38"/>
  <c r="AF550" i="38" s="1"/>
  <c r="AK757" i="38"/>
  <c r="AF757" i="38" s="1"/>
  <c r="AK770" i="38"/>
  <c r="AF770" i="38" s="1"/>
  <c r="AK44" i="38"/>
  <c r="AF44" i="38" s="1"/>
  <c r="AK49" i="38"/>
  <c r="AF49" i="38" s="1"/>
  <c r="AK40" i="38"/>
  <c r="AF40" i="38" s="1"/>
  <c r="AK234" i="38"/>
  <c r="AF234" i="38" s="1"/>
  <c r="AK553" i="38"/>
  <c r="AF553" i="38" s="1"/>
  <c r="AK833" i="38"/>
  <c r="AF833" i="38" s="1"/>
  <c r="AK425" i="38"/>
  <c r="AF425" i="38" s="1"/>
  <c r="AK374" i="38"/>
  <c r="AF374" i="38" s="1"/>
  <c r="AK568" i="38"/>
  <c r="AF568" i="38" s="1"/>
  <c r="AK54" i="38"/>
  <c r="AF54" i="38" s="1"/>
  <c r="AK433" i="38"/>
  <c r="AF433" i="38" s="1"/>
  <c r="AK551" i="38"/>
  <c r="AF551" i="38" s="1"/>
  <c r="AK733" i="38"/>
  <c r="AF733" i="38" s="1"/>
  <c r="AK252" i="38"/>
  <c r="AF252" i="38" s="1"/>
  <c r="AK303" i="38"/>
  <c r="AF303" i="38" s="1"/>
  <c r="AK782" i="38"/>
  <c r="AF782" i="38" s="1"/>
  <c r="AK685" i="38"/>
  <c r="AF685" i="38" s="1"/>
  <c r="AK365" i="38"/>
  <c r="AF365" i="38" s="1"/>
  <c r="AK694" i="38"/>
  <c r="AF694" i="38" s="1"/>
  <c r="AK472" i="38"/>
  <c r="AF472" i="38" s="1"/>
  <c r="AK70" i="38"/>
  <c r="AF70" i="38" s="1"/>
  <c r="AK435" i="38"/>
  <c r="AF435" i="38" s="1"/>
  <c r="AK426" i="38"/>
  <c r="AF426" i="38" s="1"/>
  <c r="AK490" i="38"/>
  <c r="AF490" i="38" s="1"/>
  <c r="AK200" i="38"/>
  <c r="AF200" i="38" s="1"/>
  <c r="AK230" i="38"/>
  <c r="AF230" i="38" s="1"/>
  <c r="AK314" i="38"/>
  <c r="AF314" i="38" s="1"/>
  <c r="AK195" i="38"/>
  <c r="AF195" i="38" s="1"/>
  <c r="AK329" i="38"/>
  <c r="AF329" i="38" s="1"/>
  <c r="AK196" i="38"/>
  <c r="AF196" i="38" s="1"/>
  <c r="AK415" i="38"/>
  <c r="AF415" i="38" s="1"/>
  <c r="AK688" i="38"/>
  <c r="AF688" i="38" s="1"/>
  <c r="AK305" i="38"/>
  <c r="AF305" i="38" s="1"/>
  <c r="AK229" i="38"/>
  <c r="AF229" i="38" s="1"/>
  <c r="AK26" i="38"/>
  <c r="AF26" i="38" s="1"/>
  <c r="AK219" i="38"/>
  <c r="AF219" i="38" s="1"/>
  <c r="AK306" i="38"/>
  <c r="AF306" i="38" s="1"/>
  <c r="AK113" i="38"/>
  <c r="AF113" i="38" s="1"/>
  <c r="AK324" i="38"/>
  <c r="AF324" i="38" s="1"/>
  <c r="AK775" i="38"/>
  <c r="AF775" i="38" s="1"/>
  <c r="AK693" i="38"/>
  <c r="AF693" i="38" s="1"/>
  <c r="AK249" i="38"/>
  <c r="AF249" i="38" s="1"/>
  <c r="AK654" i="38"/>
  <c r="AF654" i="38" s="1"/>
  <c r="AK267" i="38"/>
  <c r="AF267" i="38" s="1"/>
  <c r="AK43" i="38"/>
  <c r="AF43" i="38" s="1"/>
  <c r="AK758" i="38"/>
  <c r="AF758" i="38" s="1"/>
  <c r="AK92" i="38"/>
  <c r="AF92" i="38" s="1"/>
  <c r="AK72" i="38"/>
  <c r="AF72" i="38" s="1"/>
  <c r="AK840" i="38"/>
  <c r="AF840" i="38" s="1"/>
  <c r="AK363" i="38"/>
  <c r="AF363" i="38" s="1"/>
  <c r="AK731" i="38"/>
  <c r="AF731" i="38" s="1"/>
  <c r="AK347" i="38"/>
  <c r="AF347" i="38" s="1"/>
  <c r="AK91" i="38"/>
  <c r="AF91" i="38" s="1"/>
  <c r="AK778" i="38"/>
  <c r="AF778" i="38" s="1"/>
  <c r="AK102" i="38"/>
  <c r="AF102" i="38" s="1"/>
  <c r="AK209" i="38"/>
  <c r="AF209" i="38" s="1"/>
  <c r="AK297" i="38"/>
  <c r="AF297" i="38" s="1"/>
  <c r="AK839" i="38"/>
  <c r="AF839" i="38" s="1"/>
  <c r="Z974" i="38"/>
  <c r="Z907" i="38"/>
  <c r="Z961" i="38"/>
  <c r="Z899" i="38"/>
  <c r="Z919" i="38"/>
  <c r="Z906" i="38"/>
  <c r="Z965" i="38"/>
  <c r="Z963" i="38"/>
  <c r="Z932" i="38"/>
  <c r="Z895" i="38"/>
  <c r="Z956" i="38"/>
  <c r="Z909" i="38"/>
  <c r="Z957" i="38"/>
  <c r="Z958" i="38"/>
  <c r="Z954" i="38"/>
  <c r="Z941" i="38"/>
  <c r="Z929" i="38"/>
  <c r="Z912" i="38"/>
  <c r="Z922" i="38"/>
  <c r="Z949" i="38"/>
  <c r="Z913" i="38"/>
  <c r="Z896" i="38"/>
  <c r="Z968" i="38"/>
  <c r="Z943" i="38"/>
  <c r="Z931" i="38"/>
  <c r="Z903" i="38"/>
  <c r="Z944" i="38"/>
  <c r="Z916" i="38"/>
  <c r="Z924" i="38"/>
  <c r="Z904" i="38"/>
  <c r="Z926" i="38"/>
  <c r="Z937" i="38"/>
  <c r="Z976" i="38"/>
  <c r="Z967" i="38"/>
  <c r="Z971" i="38"/>
  <c r="Z960" i="38"/>
  <c r="Z955" i="38"/>
  <c r="Z952" i="38"/>
  <c r="Z894" i="38"/>
  <c r="Z905" i="38"/>
  <c r="Z948" i="38"/>
  <c r="Z918" i="38"/>
  <c r="Z935" i="38"/>
  <c r="Z928" i="38"/>
  <c r="Z938" i="38"/>
  <c r="Z925" i="38"/>
  <c r="Z959" i="38"/>
  <c r="Z936" i="38"/>
  <c r="Z927" i="38"/>
  <c r="Z923" i="38"/>
  <c r="Z975" i="38"/>
  <c r="Z920" i="38"/>
  <c r="Z940" i="38"/>
  <c r="Z953" i="38"/>
  <c r="Z950" i="38"/>
  <c r="Z900" i="38"/>
  <c r="Z910" i="38"/>
  <c r="Z973" i="38"/>
  <c r="Z951" i="38"/>
  <c r="Z917" i="38"/>
  <c r="Z933" i="38"/>
  <c r="Z947" i="38"/>
  <c r="Z946" i="38"/>
  <c r="Z942" i="38"/>
  <c r="Z962" i="38"/>
  <c r="Z934" i="38"/>
  <c r="Z911" i="38"/>
  <c r="Z964" i="38"/>
  <c r="Z969" i="38"/>
  <c r="Z921" i="38"/>
  <c r="Z915" i="38"/>
  <c r="Z908" i="38"/>
  <c r="Z898" i="38"/>
  <c r="Z930" i="38"/>
  <c r="Z897" i="38"/>
  <c r="Z970" i="38"/>
  <c r="Z939" i="38"/>
  <c r="Z945" i="38"/>
  <c r="Z902" i="38"/>
  <c r="Z966" i="38"/>
  <c r="Z972" i="38"/>
  <c r="Z914" i="38"/>
  <c r="Z901" i="38"/>
  <c r="AK245" i="38"/>
  <c r="AF245" i="38" s="1"/>
  <c r="AK841" i="38"/>
  <c r="AF841" i="38" s="1"/>
  <c r="AK547" i="38"/>
  <c r="AF547" i="38" s="1"/>
  <c r="AK255" i="38"/>
  <c r="AF255" i="38" s="1"/>
  <c r="AK223" i="38"/>
  <c r="AF223" i="38" s="1"/>
  <c r="AK75" i="38"/>
  <c r="AF75" i="38" s="1"/>
  <c r="AK147" i="38"/>
  <c r="AF147" i="38" s="1"/>
  <c r="AK109" i="38"/>
  <c r="AF109" i="38" s="1"/>
  <c r="AK773" i="38"/>
  <c r="AF773" i="38" s="1"/>
  <c r="AK204" i="38"/>
  <c r="AF204" i="38" s="1"/>
  <c r="AK593" i="38"/>
  <c r="AF593" i="38" s="1"/>
  <c r="AK328" i="38"/>
  <c r="AF328" i="38" s="1"/>
  <c r="AK440" i="38"/>
  <c r="AF440" i="38" s="1"/>
  <c r="AK146" i="38"/>
  <c r="AF146" i="38" s="1"/>
  <c r="AK737" i="38"/>
  <c r="AF737" i="38" s="1"/>
  <c r="AK82" i="38"/>
  <c r="AF82" i="38" s="1"/>
  <c r="AK818" i="38"/>
  <c r="AF818" i="38" s="1"/>
  <c r="AK366" i="38"/>
  <c r="AF366" i="38" s="1"/>
  <c r="AK47" i="38"/>
  <c r="AF47" i="38" s="1"/>
  <c r="AK459" i="38"/>
  <c r="AF459" i="38" s="1"/>
  <c r="AK451" i="38"/>
  <c r="AF451" i="38" s="1"/>
  <c r="AK346" i="38"/>
  <c r="AF346" i="38" s="1"/>
  <c r="AK412" i="38"/>
  <c r="AF412" i="38" s="1"/>
  <c r="AK199" i="38"/>
  <c r="AF199" i="38" s="1"/>
  <c r="AK206" i="38"/>
  <c r="AF206" i="38" s="1"/>
  <c r="AK641" i="38"/>
  <c r="AF641" i="38" s="1"/>
  <c r="AK682" i="38"/>
  <c r="AF682" i="38" s="1"/>
  <c r="AK701" i="38"/>
  <c r="AF701" i="38" s="1"/>
  <c r="AK351" i="38"/>
  <c r="AF351" i="38" s="1"/>
  <c r="AK790" i="38"/>
  <c r="AF790" i="38" s="1"/>
  <c r="AK762" i="38"/>
  <c r="AF762" i="38" s="1"/>
  <c r="AK221" i="38"/>
  <c r="AF221" i="38" s="1"/>
  <c r="AK388" i="38"/>
  <c r="AF388" i="38" s="1"/>
  <c r="AK809" i="38"/>
  <c r="AF809" i="38" s="1"/>
  <c r="AK509" i="38"/>
  <c r="AF509" i="38" s="1"/>
  <c r="AK615" i="38"/>
  <c r="AF615" i="38" s="1"/>
  <c r="AK695" i="38"/>
  <c r="AF695" i="38" s="1"/>
  <c r="AK655" i="38"/>
  <c r="AF655" i="38" s="1"/>
  <c r="AK658" i="38"/>
  <c r="AF658" i="38" s="1"/>
  <c r="AK449" i="38"/>
  <c r="AF449" i="38" s="1"/>
  <c r="AK469" i="38"/>
  <c r="AF469" i="38" s="1"/>
  <c r="AK563" i="38"/>
  <c r="AF563" i="38" s="1"/>
  <c r="AK566" i="38"/>
  <c r="AF566" i="38" s="1"/>
  <c r="AK180" i="38"/>
  <c r="AF180" i="38" s="1"/>
  <c r="AK460" i="38"/>
  <c r="AF460" i="38" s="1"/>
  <c r="AK710" i="38"/>
  <c r="AF710" i="38" s="1"/>
  <c r="AK233" i="38"/>
  <c r="AF233" i="38" s="1"/>
  <c r="AK194" i="38"/>
  <c r="AF194" i="38" s="1"/>
  <c r="AP102" i="38"/>
  <c r="AP933" i="38"/>
  <c r="AP255" i="38"/>
  <c r="AP211" i="38"/>
  <c r="AP385" i="38"/>
  <c r="AP453" i="38"/>
  <c r="AP155" i="38"/>
  <c r="AP147" i="38"/>
  <c r="AP310" i="38"/>
  <c r="AP611" i="38"/>
  <c r="AP245" i="38"/>
  <c r="AP952" i="38"/>
  <c r="AP689" i="38"/>
  <c r="AP36" i="38"/>
  <c r="AP781" i="38"/>
  <c r="AP481" i="38"/>
  <c r="AP630" i="38"/>
  <c r="AP105" i="38"/>
  <c r="AP433" i="38"/>
  <c r="AP486" i="38"/>
  <c r="AP859" i="38"/>
  <c r="AP806" i="38"/>
  <c r="AP877" i="38"/>
  <c r="AP759" i="38"/>
  <c r="AP763" i="38"/>
  <c r="AP761" i="38"/>
  <c r="AP256" i="38"/>
  <c r="AP292" i="38"/>
  <c r="AP737" i="38"/>
  <c r="AP513" i="38"/>
  <c r="AP526" i="38"/>
  <c r="AP266" i="38"/>
  <c r="AP931" i="38"/>
  <c r="AP949" i="38"/>
  <c r="AP476" i="38"/>
  <c r="AP71" i="38"/>
  <c r="AP410" i="38"/>
  <c r="AP682" i="38"/>
  <c r="AP524" i="38"/>
  <c r="AP893" i="38"/>
  <c r="AP854" i="38"/>
  <c r="AP866" i="38"/>
  <c r="AP372" i="38"/>
  <c r="AP24" i="38"/>
  <c r="AP862" i="38"/>
  <c r="AP351" i="38"/>
  <c r="AP754" i="38"/>
  <c r="AP824" i="38"/>
  <c r="AP464" i="38"/>
  <c r="AP585" i="38"/>
  <c r="AP963" i="38"/>
  <c r="AP121" i="38"/>
  <c r="AP519" i="38"/>
  <c r="AP252" i="38"/>
  <c r="AP156" i="38"/>
  <c r="AP496" i="38"/>
  <c r="AP828" i="38"/>
  <c r="AP921" i="38"/>
  <c r="AP161" i="38"/>
  <c r="AP554" i="38"/>
  <c r="AP546" i="38"/>
  <c r="AP592" i="38"/>
  <c r="AP343" i="38"/>
  <c r="AP488" i="38"/>
  <c r="AP379" i="38"/>
  <c r="AP186" i="38"/>
  <c r="AP691" i="38"/>
  <c r="AP166" i="38"/>
  <c r="AP582" i="38"/>
  <c r="AP913" i="38"/>
  <c r="AP836" i="38"/>
  <c r="AP617" i="38"/>
  <c r="AP973" i="38"/>
  <c r="AP532" i="38"/>
  <c r="AP875" i="38"/>
  <c r="AP886" i="38"/>
  <c r="AP308" i="38"/>
  <c r="AP699" i="38"/>
  <c r="AP714" i="38"/>
  <c r="AP325" i="38"/>
  <c r="AP846" i="38"/>
  <c r="AP459" i="38"/>
  <c r="AP301" i="38"/>
  <c r="AP355" i="38"/>
  <c r="AP732" i="38"/>
  <c r="AP894" i="38"/>
  <c r="AP6" i="38"/>
  <c r="AP98" i="38"/>
  <c r="AP698" i="38"/>
  <c r="AP384" i="38"/>
  <c r="AP497" i="38"/>
  <c r="AP749" i="38"/>
  <c r="AP461" i="38"/>
  <c r="AP299" i="38"/>
  <c r="AP422" i="38"/>
  <c r="AP733" i="38"/>
  <c r="AP517" i="38"/>
  <c r="AP584" i="38"/>
  <c r="AP832" i="38"/>
  <c r="AP576" i="38"/>
  <c r="AP923" i="38"/>
  <c r="AP688" i="38"/>
  <c r="AP341" i="38"/>
  <c r="AP904" i="38"/>
  <c r="AP180" i="38"/>
  <c r="AP581" i="38"/>
  <c r="AP100" i="38"/>
  <c r="AP673" i="38"/>
  <c r="AP674" i="38"/>
  <c r="AP188" i="38"/>
  <c r="AP808" i="38"/>
  <c r="AP712" i="38"/>
  <c r="AP561" i="38"/>
  <c r="AP957" i="38"/>
  <c r="AP801" i="38"/>
  <c r="AP890" i="38"/>
  <c r="AP198" i="38"/>
  <c r="AP786" i="38"/>
  <c r="AP69" i="38"/>
  <c r="AP171" i="38"/>
  <c r="AP835" i="38"/>
  <c r="AP107" i="38"/>
  <c r="AP271" i="38"/>
  <c r="AP954" i="38"/>
  <c r="AP434" i="38"/>
  <c r="AP625" i="38"/>
  <c r="AP232" i="38"/>
  <c r="AP346" i="38"/>
  <c r="AP409" i="38"/>
  <c r="AP701" i="38"/>
  <c r="AP50" i="38"/>
  <c r="AP882" i="38"/>
  <c r="AP437" i="38"/>
  <c r="AP850" i="38"/>
  <c r="AP95" i="38"/>
  <c r="AP456" i="38"/>
  <c r="AP643" i="38"/>
  <c r="AP233" i="38"/>
  <c r="AP68" i="38"/>
  <c r="AP908" i="38"/>
  <c r="AP202" i="38"/>
  <c r="AP113" i="38"/>
  <c r="AP972" i="38"/>
  <c r="AP927" i="38"/>
  <c r="AP408" i="38"/>
  <c r="AP560" i="38"/>
  <c r="AP388" i="38"/>
  <c r="AP172" i="38"/>
  <c r="AP146" i="38"/>
  <c r="AP849" i="38"/>
  <c r="AP138" i="38"/>
  <c r="AP912" i="38"/>
  <c r="AP618" i="38"/>
  <c r="AP770" i="38"/>
  <c r="AP148" i="38"/>
  <c r="AP547" i="38"/>
  <c r="AP896" i="38"/>
  <c r="AP475" i="38"/>
  <c r="AP311" i="38"/>
  <c r="AP860" i="38"/>
  <c r="AP288" i="38"/>
  <c r="AP290" i="38"/>
  <c r="AP803" i="38"/>
  <c r="AP719" i="38"/>
  <c r="AP72" i="38"/>
  <c r="AP158" i="38"/>
  <c r="AP899" i="38"/>
  <c r="AP415" i="38"/>
  <c r="AP918" i="38"/>
  <c r="AP34" i="38"/>
  <c r="AP694" i="38"/>
  <c r="AP880" i="38"/>
  <c r="AP841" i="38"/>
  <c r="AP160" i="38"/>
  <c r="AP539" i="38"/>
  <c r="AP401" i="38"/>
  <c r="AP137" i="38"/>
  <c r="AP473" i="38"/>
  <c r="AP204" i="38"/>
  <c r="AP855" i="38"/>
  <c r="AP922" i="38"/>
  <c r="AP782" i="38"/>
  <c r="AP182" i="38"/>
  <c r="AP375" i="38"/>
  <c r="AP366" i="38"/>
  <c r="AP816" i="38"/>
  <c r="AP170" i="38"/>
  <c r="AP773" i="38"/>
  <c r="AP820" i="38"/>
  <c r="AP636" i="38"/>
  <c r="AP13" i="38"/>
  <c r="AP61" i="38"/>
  <c r="AP706" i="38"/>
  <c r="AP570" i="38"/>
  <c r="AP785" i="38"/>
  <c r="AP225" i="38"/>
  <c r="AP76" i="38"/>
  <c r="AP485" i="38"/>
  <c r="AP653" i="38"/>
  <c r="AP122" i="38"/>
  <c r="AP843" i="38"/>
  <c r="AP135" i="38"/>
  <c r="AP730" i="38"/>
  <c r="AP553" i="38"/>
  <c r="AP378" i="38"/>
  <c r="AP349" i="38"/>
  <c r="AP623" i="38"/>
  <c r="AP8" i="38"/>
  <c r="AP932" i="38"/>
  <c r="AP254" i="38"/>
  <c r="AP535" i="38"/>
  <c r="AP967" i="38"/>
  <c r="AP221" i="38"/>
  <c r="AP133" i="38"/>
  <c r="AP622" i="38"/>
  <c r="AP411" i="38"/>
  <c r="AP231" i="38"/>
  <c r="AP217" i="38"/>
  <c r="AP640" i="38"/>
  <c r="AP569" i="38"/>
  <c r="AP297" i="38"/>
  <c r="AP136" i="38"/>
  <c r="AP947" i="38"/>
  <c r="AP128" i="38"/>
  <c r="AP18" i="38"/>
  <c r="AP323" i="38"/>
  <c r="AP834" i="38"/>
  <c r="AP512" i="38"/>
  <c r="AP338" i="38"/>
  <c r="AP454" i="38"/>
  <c r="AP970" i="38"/>
  <c r="AP218" i="38"/>
  <c r="AP664" i="38"/>
  <c r="AP376" i="38"/>
  <c r="AP727" i="38"/>
  <c r="AP901" i="38"/>
  <c r="AP132" i="38"/>
  <c r="AP11" i="38"/>
  <c r="AP663" i="38"/>
  <c r="AP216" i="38"/>
  <c r="AP386" i="38"/>
  <c r="AP498" i="38"/>
  <c r="AP268" i="38"/>
  <c r="AP253" i="38"/>
  <c r="AP80" i="38"/>
  <c r="AP396" i="38"/>
  <c r="AP78" i="38"/>
  <c r="AP206" i="38"/>
  <c r="AP157" i="38"/>
  <c r="AP508" i="38"/>
  <c r="AP239" i="38"/>
  <c r="AP332" i="38"/>
  <c r="AP395" i="38"/>
  <c r="AP140" i="38"/>
  <c r="AP74" i="38"/>
  <c r="AP734" i="38"/>
  <c r="AP604" i="38"/>
  <c r="AP826" i="38"/>
  <c r="AP185" i="38"/>
  <c r="AP602" i="38"/>
  <c r="AP64" i="38"/>
  <c r="AP110" i="38"/>
  <c r="AP32" i="38"/>
  <c r="AP175" i="38"/>
  <c r="AP285" i="38"/>
  <c r="AP595" i="38"/>
  <c r="AP787" i="38"/>
  <c r="AP867" i="38"/>
  <c r="AP265" i="38"/>
  <c r="AP258" i="38"/>
  <c r="AP900" i="38"/>
  <c r="AP795" i="38"/>
  <c r="AP599" i="38"/>
  <c r="AP96" i="38"/>
  <c r="AP914" i="38"/>
  <c r="AP638" i="38"/>
  <c r="AP550" i="38"/>
  <c r="AP620" i="38"/>
  <c r="AP883" i="38"/>
  <c r="AP556" i="38"/>
  <c r="AP692" i="38"/>
  <c r="AP917" i="38"/>
  <c r="AP567" i="38"/>
  <c r="AP823" i="38"/>
  <c r="AP339" i="38"/>
  <c r="AP462" i="38"/>
  <c r="AP705" i="38"/>
  <c r="AP469" i="38"/>
  <c r="AP248" i="38"/>
  <c r="AP200" i="38"/>
  <c r="AP697" i="38"/>
  <c r="AP829" i="38"/>
  <c r="AP130" i="38"/>
  <c r="AP579" i="38"/>
  <c r="AP344" i="38"/>
  <c r="AP509" i="38"/>
  <c r="AP28" i="38"/>
  <c r="AP141" i="38"/>
  <c r="AP502" i="38"/>
  <c r="AP177" i="38"/>
  <c r="AP57" i="38"/>
  <c r="AP740" i="38"/>
  <c r="AP670" i="38"/>
  <c r="AP603" i="38"/>
  <c r="AP151" i="38"/>
  <c r="AP575" i="38"/>
  <c r="AP586" i="38"/>
  <c r="AP577" i="38"/>
  <c r="AP43" i="38"/>
  <c r="AP810" i="38"/>
  <c r="AP321" i="38"/>
  <c r="AP614" i="38"/>
  <c r="AP40" i="38"/>
  <c r="AP951" i="38"/>
  <c r="AP634" i="38"/>
  <c r="AP236" i="38"/>
  <c r="AP240" i="38"/>
  <c r="AP487" i="38"/>
  <c r="AP915" i="38"/>
  <c r="AP336" i="38"/>
  <c r="AP686" i="38"/>
  <c r="AP320" i="38"/>
  <c r="AP406" i="38"/>
  <c r="AP83" i="38"/>
  <c r="AP392" i="38"/>
  <c r="AP974" i="38"/>
  <c r="AP287" i="38"/>
  <c r="AP542" i="38"/>
  <c r="AP632" i="38"/>
  <c r="AP246" i="38"/>
  <c r="AP684" i="38"/>
  <c r="AP293" i="38"/>
  <c r="AP103" i="38"/>
  <c r="AP504" i="38"/>
  <c r="AP2" i="38"/>
  <c r="AP438" i="38"/>
  <c r="AP86" i="38"/>
  <c r="AP358" i="38"/>
  <c r="AP362" i="38"/>
  <c r="AP404" i="38"/>
  <c r="AP309" i="38"/>
  <c r="AP174" i="38"/>
  <c r="AP700" i="38"/>
  <c r="AP805" i="38"/>
  <c r="AP669" i="38"/>
  <c r="AP93" i="38"/>
  <c r="AP457" i="38"/>
  <c r="AP690" i="38"/>
  <c r="AP704" i="38"/>
  <c r="AP77" i="38"/>
  <c r="AP418" i="38"/>
  <c r="AP390" i="38"/>
  <c r="AP667" i="38"/>
  <c r="AP417" i="38"/>
  <c r="AP90" i="38"/>
  <c r="AP646" i="38"/>
  <c r="AP191" i="38"/>
  <c r="AP540" i="38"/>
  <c r="AP46" i="38"/>
  <c r="AP330" i="38"/>
  <c r="AP257" i="38"/>
  <c r="AP483" i="38"/>
  <c r="AP558" i="38"/>
  <c r="AP195" i="38"/>
  <c r="AP869" i="38"/>
  <c r="AP205" i="38"/>
  <c r="AP942" i="38"/>
  <c r="AP283" i="38"/>
  <c r="AP898" i="38"/>
  <c r="AP450" i="38"/>
  <c r="AP660" i="38"/>
  <c r="AP212" i="38"/>
  <c r="AP152" i="38"/>
  <c r="AP436" i="38"/>
  <c r="AP374" i="38"/>
  <c r="AP3" i="38"/>
  <c r="AP948" i="38"/>
  <c r="AP267" i="38"/>
  <c r="AP760" i="38"/>
  <c r="AP326" i="38"/>
  <c r="AP856" i="38"/>
  <c r="AP38" i="38"/>
  <c r="AP707" i="38"/>
  <c r="AP879" i="38"/>
  <c r="AP52" i="38"/>
  <c r="AP797" i="38"/>
  <c r="AP234" i="38"/>
  <c r="AP817" i="38"/>
  <c r="AP715" i="38"/>
  <c r="AP275" i="38"/>
  <c r="AP109" i="38"/>
  <c r="AP574" i="38"/>
  <c r="AP725" i="38"/>
  <c r="AP67" i="38"/>
  <c r="AP89" i="38"/>
  <c r="AP844" i="38"/>
  <c r="AP658" i="38"/>
  <c r="AP775" i="38"/>
  <c r="AP286" i="38"/>
  <c r="AP106" i="38"/>
  <c r="AP479" i="38"/>
  <c r="AP381" i="38"/>
  <c r="AP60" i="38"/>
  <c r="AP419" i="38"/>
  <c r="AP685" i="38"/>
  <c r="AP153" i="38"/>
  <c r="AP440" i="38"/>
  <c r="AP66" i="38"/>
  <c r="AP751" i="38"/>
  <c r="AP920" i="38"/>
  <c r="AP534" i="38"/>
  <c r="AP552" i="38"/>
  <c r="AP377" i="38"/>
  <c r="AP929" i="38"/>
  <c r="AP956" i="38"/>
  <c r="AP81" i="38"/>
  <c r="AP772" i="38"/>
  <c r="AP403" i="38"/>
  <c r="AP127" i="38"/>
  <c r="AP491" i="38"/>
  <c r="AP207" i="38"/>
  <c r="AP468" i="38"/>
  <c r="AP163" i="38"/>
  <c r="AP393" i="38"/>
  <c r="AP870" i="38"/>
  <c r="AP249" i="38"/>
  <c r="AP696" i="38"/>
  <c r="AP85" i="38"/>
  <c r="AP307" i="38"/>
  <c r="AP291" i="38"/>
  <c r="AP446" i="38"/>
  <c r="AP356" i="38"/>
  <c r="AP360" i="38"/>
  <c r="AP203" i="38"/>
  <c r="AP544" i="38"/>
  <c r="AP780" i="38"/>
  <c r="AP530" i="38"/>
  <c r="AP578" i="38"/>
  <c r="AP924" i="38"/>
  <c r="AP950" i="38"/>
  <c r="AP31" i="38"/>
  <c r="AP277" i="38"/>
  <c r="AP445" i="38"/>
  <c r="AP430" i="38"/>
  <c r="AP416" i="38"/>
  <c r="AP591" i="38"/>
  <c r="AP722" i="38"/>
  <c r="AP247" i="38"/>
  <c r="AP104" i="38"/>
  <c r="AP44" i="38"/>
  <c r="AP63" i="38"/>
  <c r="AP274" i="38"/>
  <c r="AP676" i="38"/>
  <c r="AP838" i="38"/>
  <c r="AP662" i="38"/>
  <c r="AP975" i="38"/>
  <c r="AP92" i="38"/>
  <c r="AP549" i="38"/>
  <c r="AP262" i="38"/>
  <c r="AP79" i="38"/>
  <c r="AP825" i="38"/>
  <c r="AP863" i="38"/>
  <c r="AP845" i="38"/>
  <c r="AP359" i="38"/>
  <c r="AP871" i="38"/>
  <c r="AP565" i="38"/>
  <c r="AP322" i="38"/>
  <c r="AP223" i="38"/>
  <c r="AP443" i="38"/>
  <c r="AP190" i="38"/>
  <c r="AP29" i="38"/>
  <c r="AP790" i="38"/>
  <c r="AP892" i="38"/>
  <c r="AP601" i="38"/>
  <c r="AP619" i="38"/>
  <c r="AP677" i="38"/>
  <c r="AP911" i="38"/>
  <c r="AP613" i="38"/>
  <c r="AP964" i="38"/>
  <c r="AP833" i="38"/>
  <c r="AP718" i="38"/>
  <c r="AP536" i="38"/>
  <c r="AP269" i="38"/>
  <c r="AP659" i="38"/>
  <c r="AP647" i="38"/>
  <c r="AP347" i="38"/>
  <c r="AP515" i="38"/>
  <c r="AP91" i="38"/>
  <c r="AP421" i="38"/>
  <c r="AP115" i="38"/>
  <c r="AP821" i="38"/>
  <c r="AP635" i="38"/>
  <c r="AP830" i="38"/>
  <c r="AP12" i="38"/>
  <c r="AP159" i="38"/>
  <c r="AP545" i="38"/>
  <c r="AP777" i="38"/>
  <c r="AP965" i="38"/>
  <c r="AP827" i="38"/>
  <c r="AP729" i="38"/>
  <c r="AP312" i="38"/>
  <c r="AP230" i="38"/>
  <c r="AP478" i="38"/>
  <c r="AP796" i="38"/>
  <c r="AP675" i="38"/>
  <c r="AP919" i="38"/>
  <c r="AP651" i="38"/>
  <c r="AP962" i="38"/>
  <c r="AP176" i="38"/>
  <c r="AP852" i="38"/>
  <c r="AP609" i="38"/>
  <c r="AP134" i="38"/>
  <c r="AP511" i="38"/>
  <c r="AP270" i="38"/>
  <c r="AP235" i="38"/>
  <c r="AP144" i="38"/>
  <c r="AP695" i="38"/>
  <c r="AP853" i="38"/>
  <c r="AP514" i="38"/>
  <c r="AP720" i="38"/>
  <c r="AP335" i="38"/>
  <c r="AP244" i="38"/>
  <c r="AP429" i="38"/>
  <c r="AP907" i="38"/>
  <c r="AP748" i="38"/>
  <c r="AP887" i="38"/>
  <c r="AP888" i="38"/>
  <c r="AP149" i="38"/>
  <c r="AP373" i="38"/>
  <c r="AP798" i="38"/>
  <c r="AP671" i="38"/>
  <c r="AP665" i="38"/>
  <c r="AP716" i="38"/>
  <c r="AP594" i="38"/>
  <c r="AP589" i="38"/>
  <c r="AP621" i="38"/>
  <c r="AP499" i="38"/>
  <c r="AP758" i="38"/>
  <c r="AP702" i="38"/>
  <c r="AP59" i="38"/>
  <c r="AP776" i="38"/>
  <c r="AP961" i="38"/>
  <c r="AP563" i="38"/>
  <c r="AP398" i="38"/>
  <c r="AP23" i="38"/>
  <c r="AP631" i="38"/>
  <c r="AP891" i="38"/>
  <c r="AP302" i="38"/>
  <c r="AP679" i="38"/>
  <c r="AP329" i="38"/>
  <c r="AP112" i="38"/>
  <c r="AP314" i="38"/>
  <c r="AP58" i="38"/>
  <c r="AP721" i="38"/>
  <c r="AP472" i="38"/>
  <c r="AP897" i="38"/>
  <c r="AP219" i="38"/>
  <c r="AP839" i="38"/>
  <c r="AP10" i="38"/>
  <c r="AP228" i="38"/>
  <c r="AP518" i="38"/>
  <c r="AP124" i="38"/>
  <c r="AP439" i="38"/>
  <c r="AP357" i="38"/>
  <c r="AP960" i="38"/>
  <c r="AP587" i="38"/>
  <c r="AP655" i="38"/>
  <c r="AP427" i="38"/>
  <c r="AP769" i="38"/>
  <c r="AP26" i="38"/>
  <c r="AP399" i="38"/>
  <c r="AP612" i="38"/>
  <c r="AP251" i="38"/>
  <c r="AP65" i="38"/>
  <c r="AP528" i="38"/>
  <c r="AP506" i="38"/>
  <c r="AP522" i="38"/>
  <c r="AP15" i="38"/>
  <c r="AP848" i="38"/>
  <c r="AP668" i="38"/>
  <c r="AP872" i="38"/>
  <c r="AP263" i="38"/>
  <c r="AP162" i="38"/>
  <c r="AP30" i="38"/>
  <c r="AP742" i="38"/>
  <c r="AP783" i="38"/>
  <c r="AP53" i="38"/>
  <c r="AP903" i="38"/>
  <c r="AP490" i="38"/>
  <c r="AP648" i="38"/>
  <c r="AP726" i="38"/>
  <c r="AP432" i="38"/>
  <c r="AP168" i="38"/>
  <c r="AP510" i="38"/>
  <c r="AP474" i="38"/>
  <c r="AP441" i="38"/>
  <c r="AP48" i="38"/>
  <c r="AP331" i="38"/>
  <c r="AP516" i="38"/>
  <c r="AP35" i="38"/>
  <c r="AP672" i="38"/>
  <c r="AP818" i="38"/>
  <c r="AP423" i="38"/>
  <c r="AP771" i="38"/>
  <c r="AP435" i="38"/>
  <c r="AP889" i="38"/>
  <c r="AP959" i="38"/>
  <c r="AP183" i="38"/>
  <c r="AP616" i="38"/>
  <c r="AP337" i="38"/>
  <c r="AP139" i="38"/>
  <c r="AP448" i="38"/>
  <c r="AP566" i="38"/>
  <c r="AP354" i="38"/>
  <c r="AP169" i="38"/>
  <c r="AP116" i="38"/>
  <c r="AP75" i="38"/>
  <c r="AP241" i="38"/>
  <c r="AP925" i="38"/>
  <c r="AP300" i="38"/>
  <c r="AP442" i="38"/>
  <c r="AP610" i="38"/>
  <c r="AP953" i="38"/>
  <c r="AP327" i="38"/>
  <c r="AP637" i="38"/>
  <c r="AP538" i="38"/>
  <c r="AP598" i="38"/>
  <c r="AP809" i="38"/>
  <c r="AP958" i="38"/>
  <c r="AP298" i="38"/>
  <c r="AP227" i="38"/>
  <c r="AP739" i="38"/>
  <c r="AP420" i="38"/>
  <c r="AP108" i="38"/>
  <c r="AP114" i="38"/>
  <c r="AP361" i="38"/>
  <c r="AP17" i="38"/>
  <c r="AP788" i="38"/>
  <c r="AP815" i="38"/>
  <c r="AP731" i="38"/>
  <c r="AP642" i="38"/>
  <c r="AP20" i="38"/>
  <c r="AP334" i="38"/>
  <c r="AP710" i="38"/>
  <c r="AP793" i="38"/>
  <c r="AP533" i="38"/>
  <c r="AP391" i="38"/>
  <c r="AP193" i="38"/>
  <c r="AP744" i="38"/>
  <c r="AP328" i="38"/>
  <c r="AP523" i="38"/>
  <c r="AP242" i="38"/>
  <c r="AP14" i="38"/>
  <c r="AP39" i="38"/>
  <c r="AP324" i="38"/>
  <c r="AP260" i="38"/>
  <c r="AP164" i="38"/>
  <c r="AP703" i="38"/>
  <c r="AP209" i="38"/>
  <c r="AP226" i="38"/>
  <c r="AP306" i="38"/>
  <c r="AP123" i="38"/>
  <c r="AP196" i="38"/>
  <c r="AP400" i="38"/>
  <c r="AP774" i="38"/>
  <c r="AP187" i="38"/>
  <c r="AP507" i="38"/>
  <c r="AP131" i="38"/>
  <c r="AP762" i="38"/>
  <c r="AP755" i="38"/>
  <c r="AP383" i="38"/>
  <c r="AP573" i="38"/>
  <c r="AP389" i="38"/>
  <c r="AP741" i="38"/>
  <c r="AP189" i="38"/>
  <c r="AP937" i="38"/>
  <c r="AP21" i="38"/>
  <c r="AP284" i="38"/>
  <c r="AP831" i="38"/>
  <c r="AP477" i="38"/>
  <c r="AP657" i="38"/>
  <c r="AP97" i="38"/>
  <c r="AP296" i="38"/>
  <c r="AP282" i="38"/>
  <c r="AP197" i="38"/>
  <c r="AP590" i="38"/>
  <c r="AP463" i="38"/>
  <c r="AP88" i="38"/>
  <c r="AP19" i="38"/>
  <c r="AP101" i="38"/>
  <c r="AP353" i="38"/>
  <c r="AP681" i="38"/>
  <c r="AP766" i="38"/>
  <c r="AP955" i="38"/>
  <c r="AP70" i="38"/>
  <c r="AP279" i="38"/>
  <c r="AP936" i="38"/>
  <c r="AP944" i="38"/>
  <c r="AP305" i="38"/>
  <c r="AP264" i="38"/>
  <c r="AP243" i="38"/>
  <c r="AP367" i="38"/>
  <c r="AP94" i="38"/>
  <c r="AP745" i="38"/>
  <c r="AP129" i="38"/>
  <c r="AP606" i="38"/>
  <c r="AP489" i="38"/>
  <c r="AP45" i="38"/>
  <c r="AP593" i="38"/>
  <c r="AP971" i="38"/>
  <c r="AP4" i="38"/>
  <c r="AP858" i="38"/>
  <c r="AP184" i="38"/>
  <c r="AP868" i="38"/>
  <c r="AP934" i="38"/>
  <c r="AP717" i="38"/>
  <c r="AP600" i="38"/>
  <c r="AP735" i="38"/>
  <c r="AP864" i="38"/>
  <c r="AP49" i="38"/>
  <c r="AP118" i="38"/>
  <c r="AP753" i="38"/>
  <c r="AP501" i="38"/>
  <c r="AP935" i="38"/>
  <c r="AP280" i="38"/>
  <c r="AP966" i="38"/>
  <c r="AP73" i="38"/>
  <c r="AP946" i="38"/>
  <c r="AP397" i="38"/>
  <c r="AP752" i="38"/>
  <c r="AP680" i="38"/>
  <c r="AP368" i="38"/>
  <c r="AP201" i="38"/>
  <c r="AP708" i="38"/>
  <c r="AP627" i="38"/>
  <c r="AP426" i="38"/>
  <c r="AP764" i="38"/>
  <c r="AP765" i="38"/>
  <c r="AP111" i="38"/>
  <c r="AP885" i="38"/>
  <c r="AP687" i="38"/>
  <c r="AP370" i="38"/>
  <c r="AP791" i="38"/>
  <c r="AP500" i="38"/>
  <c r="AP220" i="38"/>
  <c r="AP629" i="38"/>
  <c r="AP597" i="38"/>
  <c r="AP605" i="38"/>
  <c r="AP938" i="38"/>
  <c r="AP482" i="38"/>
  <c r="AP449" i="38"/>
  <c r="AP711" i="38"/>
  <c r="AP42" i="38"/>
  <c r="AP724" i="38"/>
  <c r="AP861" i="38"/>
  <c r="AP125" i="38"/>
  <c r="AP54" i="38"/>
  <c r="AP238" i="38"/>
  <c r="AP768" i="38"/>
  <c r="AP289" i="38"/>
  <c r="AP916" i="38"/>
  <c r="AP537" i="38"/>
  <c r="AP87" i="38"/>
  <c r="AP812" i="38"/>
  <c r="AP33" i="38"/>
  <c r="AP857" i="38"/>
  <c r="AP822" i="38"/>
  <c r="AP628" i="38"/>
  <c r="AP294" i="38"/>
  <c r="AP666" i="38"/>
  <c r="AP548" i="38"/>
  <c r="AP906" i="38"/>
  <c r="AP650" i="38"/>
  <c r="AP458" i="38"/>
  <c r="AP37" i="38"/>
  <c r="AP652" i="38"/>
  <c r="AP51" i="38"/>
  <c r="AP747" i="38"/>
  <c r="AP633" i="38"/>
  <c r="AP278" i="38"/>
  <c r="AP82" i="38"/>
  <c r="AP348" i="38"/>
  <c r="AP194" i="38"/>
  <c r="AP926" i="38"/>
  <c r="AP425" i="38"/>
  <c r="AP272" i="38"/>
  <c r="AP55" i="38"/>
  <c r="AP25" i="38"/>
  <c r="AP99" i="38"/>
  <c r="AP452" i="38"/>
  <c r="AP683" i="38"/>
  <c r="AP352" i="38"/>
  <c r="AP559" i="38"/>
  <c r="AP531" i="38"/>
  <c r="AP222" i="38"/>
  <c r="AP460" i="38"/>
  <c r="AP208" i="38"/>
  <c r="AP340" i="38"/>
  <c r="AP179" i="38"/>
  <c r="AP626" i="38"/>
  <c r="AP802" i="38"/>
  <c r="AP723" i="38"/>
  <c r="AP778" i="38"/>
  <c r="AP564" i="38"/>
  <c r="AP447" i="38"/>
  <c r="AP837" i="38"/>
  <c r="AP365" i="38"/>
  <c r="AP165" i="38"/>
  <c r="AP678" i="38"/>
  <c r="AP319" i="38"/>
  <c r="AP143" i="38"/>
  <c r="AP27" i="38"/>
  <c r="AP5" i="38"/>
  <c r="AP181" i="38"/>
  <c r="AP444" i="38"/>
  <c r="AP799" i="38"/>
  <c r="AP313" i="38"/>
  <c r="AP126" i="38"/>
  <c r="AP480" i="38"/>
  <c r="AP580" i="38"/>
  <c r="AP756" i="38"/>
  <c r="AP145" i="38"/>
  <c r="AP757" i="38"/>
  <c r="AP317" i="38"/>
  <c r="AP493" i="38"/>
  <c r="AP750" i="38"/>
  <c r="AP940" i="38"/>
  <c r="AP363" i="38"/>
  <c r="AP350" i="38"/>
  <c r="AP876" i="38"/>
  <c r="AP503" i="38"/>
  <c r="AP371" i="38"/>
  <c r="AP840" i="38"/>
  <c r="AP22" i="38"/>
  <c r="AP364" i="38"/>
  <c r="AP237" i="38"/>
  <c r="AP259" i="38"/>
  <c r="AP789" i="38"/>
  <c r="AP529" i="38"/>
  <c r="AP494" i="38"/>
  <c r="AP451" i="38"/>
  <c r="AP645" i="38"/>
  <c r="AP431" i="38"/>
  <c r="AP303" i="38"/>
  <c r="AP968" i="38"/>
  <c r="AP484" i="38"/>
  <c r="AP661" i="38"/>
  <c r="AP902" i="38"/>
  <c r="AP738" i="38"/>
  <c r="AP571" i="38"/>
  <c r="AP173" i="38"/>
  <c r="AP465" i="38"/>
  <c r="AP649" i="38"/>
  <c r="AP41" i="38"/>
  <c r="AP471" i="38"/>
  <c r="AP62" i="38"/>
  <c r="AP847" i="38"/>
  <c r="AP641" i="38"/>
  <c r="AP229" i="38"/>
  <c r="AP543" i="38"/>
  <c r="AP779" i="38"/>
  <c r="AP199" i="38"/>
  <c r="AP746" i="38"/>
  <c r="AP874" i="38"/>
  <c r="AP654" i="38"/>
  <c r="AP607" i="38"/>
  <c r="AP273" i="38"/>
  <c r="AP492" i="38"/>
  <c r="AP895" i="38"/>
  <c r="AP814" i="38"/>
  <c r="AP792" i="38"/>
  <c r="AP807" i="38"/>
  <c r="AP639" i="38"/>
  <c r="AP928" i="38"/>
  <c r="AP943" i="38"/>
  <c r="AP56" i="38"/>
  <c r="AP505" i="38"/>
  <c r="AP557" i="38"/>
  <c r="AP804" i="38"/>
  <c r="AP315" i="38"/>
  <c r="AP873" i="38"/>
  <c r="AP881" i="38"/>
  <c r="AP713" i="38"/>
  <c r="AP466" i="38"/>
  <c r="AP909" i="38"/>
  <c r="AP588" i="38"/>
  <c r="AP728" i="38"/>
  <c r="AP656" i="38"/>
  <c r="AP709" i="38"/>
  <c r="AP562" i="38"/>
  <c r="AP555" i="38"/>
  <c r="AP583" i="38"/>
  <c r="AP568" i="38"/>
  <c r="AP884" i="38"/>
  <c r="AP7" i="38"/>
  <c r="AP333" i="38"/>
  <c r="AP851" i="38"/>
  <c r="AP930" i="38"/>
  <c r="AP150" i="38"/>
  <c r="AP767" i="38"/>
  <c r="AP304" i="38"/>
  <c r="AP905" i="38"/>
  <c r="AP154" i="38"/>
  <c r="AP527" i="38"/>
  <c r="AP167" i="38"/>
  <c r="AP572" i="38"/>
  <c r="AP407" i="38"/>
  <c r="AP521" i="38"/>
  <c r="AP910" i="38"/>
  <c r="AP615" i="38"/>
  <c r="AP878" i="38"/>
  <c r="AP976" i="38"/>
  <c r="AP495" i="38"/>
  <c r="AP794" i="38"/>
  <c r="AP9" i="38"/>
  <c r="AP743" i="38"/>
  <c r="AP412" i="38"/>
  <c r="AP428" i="38"/>
  <c r="AP224" i="38"/>
  <c r="AP525" i="38"/>
  <c r="AP467" i="38"/>
  <c r="AP693" i="38"/>
  <c r="AP142" i="38"/>
  <c r="AP969" i="38"/>
  <c r="AP316" i="38"/>
  <c r="AP369" i="38"/>
  <c r="AP192" i="38"/>
  <c r="AP865" i="38"/>
  <c r="AP387" i="38"/>
  <c r="AP382" i="38"/>
  <c r="AP405" i="38"/>
  <c r="AP455" i="38"/>
  <c r="AP261" i="38"/>
  <c r="AP119" i="38"/>
  <c r="AP345" i="38"/>
  <c r="AP541" i="38"/>
  <c r="AP84" i="38"/>
  <c r="AP318" i="38"/>
  <c r="AP214" i="38"/>
  <c r="AP380" i="38"/>
  <c r="AP16" i="38"/>
  <c r="AP276" i="38"/>
  <c r="AP945" i="38"/>
  <c r="AP120" i="38"/>
  <c r="AP250" i="38"/>
  <c r="AP596" i="38"/>
  <c r="AP819" i="38"/>
  <c r="AP813" i="38"/>
  <c r="AP941" i="38"/>
  <c r="AP117" i="38"/>
  <c r="AP295" i="38"/>
  <c r="AP736" i="38"/>
  <c r="AP424" i="38"/>
  <c r="AP215" i="38"/>
  <c r="AP178" i="38"/>
  <c r="AP394" i="38"/>
  <c r="AP213" i="38"/>
  <c r="AP47" i="38"/>
  <c r="AP402" i="38"/>
  <c r="AP470" i="38"/>
  <c r="AP624" i="38"/>
  <c r="AP784" i="38"/>
  <c r="AP520" i="38"/>
  <c r="AP342" i="38"/>
  <c r="AP939" i="38"/>
  <c r="AP644" i="38"/>
  <c r="AP608" i="38"/>
  <c r="AP811" i="38"/>
  <c r="AP413" i="38"/>
  <c r="AP842" i="38"/>
  <c r="AP800" i="38"/>
  <c r="AP551" i="38"/>
  <c r="AP210" i="38"/>
  <c r="AP414" i="38"/>
  <c r="AP281" i="38"/>
  <c r="AK90" i="38"/>
  <c r="AF90" i="38" s="1"/>
  <c r="AK71" i="38"/>
  <c r="AF71" i="38" s="1"/>
  <c r="AK599" i="38"/>
  <c r="AF599" i="38" s="1"/>
  <c r="AK697" i="38"/>
  <c r="AF697" i="38" s="1"/>
  <c r="AK819" i="38"/>
  <c r="AF819" i="38" s="1"/>
  <c r="AK623" i="38"/>
  <c r="AF623" i="38" s="1"/>
  <c r="AK100" i="38"/>
  <c r="AF100" i="38" s="1"/>
  <c r="AK428" i="38"/>
  <c r="AF428" i="38" s="1"/>
  <c r="AK471" i="38"/>
  <c r="AF471" i="38" s="1"/>
  <c r="AK129" i="38"/>
  <c r="AF129" i="38" s="1"/>
  <c r="AK78" i="38"/>
  <c r="AF78" i="38" s="1"/>
  <c r="AK105" i="38"/>
  <c r="AF105" i="38" s="1"/>
  <c r="AK832" i="38"/>
  <c r="AF832" i="38" s="1"/>
  <c r="AK341" i="38"/>
  <c r="AF341" i="38" s="1"/>
  <c r="AK562" i="38"/>
  <c r="AF562" i="38" s="1"/>
  <c r="AK183" i="38"/>
  <c r="AF183" i="38" s="1"/>
  <c r="AK294" i="38"/>
  <c r="AF294" i="38" s="1"/>
  <c r="Z673" i="38"/>
  <c r="Z781" i="38"/>
  <c r="Z546" i="38"/>
  <c r="Z533" i="38"/>
  <c r="Z816" i="38"/>
  <c r="Z542" i="38"/>
  <c r="Z644" i="38"/>
  <c r="Z732" i="38"/>
  <c r="Z735" i="38"/>
  <c r="Z551" i="38"/>
  <c r="Z536" i="38"/>
  <c r="Z569" i="38"/>
  <c r="Z717" i="38"/>
  <c r="Z622" i="38"/>
  <c r="Z592" i="38"/>
  <c r="Z714" i="38"/>
  <c r="Z529" i="38"/>
  <c r="Z602" i="38"/>
  <c r="Z748" i="38"/>
  <c r="Z703" i="38"/>
  <c r="Z634" i="38"/>
  <c r="Z828" i="38"/>
  <c r="Z577" i="38"/>
  <c r="Z836" i="38"/>
  <c r="Z651" i="38"/>
  <c r="Z595" i="38"/>
  <c r="Z757" i="38"/>
  <c r="Z621" i="38"/>
  <c r="Z731" i="38"/>
  <c r="Z773" i="38"/>
  <c r="Z819" i="38"/>
  <c r="Z835" i="38"/>
  <c r="Z713" i="38"/>
  <c r="Z679" i="38"/>
  <c r="Z718" i="38"/>
  <c r="Z695" i="38"/>
  <c r="Z667" i="38"/>
  <c r="Z831" i="38"/>
  <c r="Z690" i="38"/>
  <c r="Z771" i="38"/>
  <c r="Z657" i="38"/>
  <c r="Z825" i="38"/>
  <c r="Z685" i="38"/>
  <c r="Z544" i="38"/>
  <c r="Z738" i="38"/>
  <c r="Z513" i="38"/>
  <c r="Z783" i="38"/>
  <c r="Z589" i="38"/>
  <c r="Z751" i="38"/>
  <c r="Z626" i="38"/>
  <c r="Z822" i="38"/>
  <c r="Z726" i="38"/>
  <c r="Z591" i="38"/>
  <c r="Z581" i="38"/>
  <c r="Z572" i="38"/>
  <c r="Z534" i="38"/>
  <c r="Z815" i="38"/>
  <c r="Z596" i="38"/>
  <c r="Z830" i="38"/>
  <c r="Z680" i="38"/>
  <c r="Z693" i="38"/>
  <c r="Z788" i="38"/>
  <c r="Z672" i="38"/>
  <c r="Z520" i="38"/>
  <c r="Z608" i="38"/>
  <c r="Z620" i="38"/>
  <c r="Z842" i="38"/>
  <c r="Z722" i="38"/>
  <c r="Z797" i="38"/>
  <c r="Z663" i="38"/>
  <c r="Z794" i="38"/>
  <c r="Z769" i="38"/>
  <c r="Z528" i="38"/>
  <c r="Z633" i="38"/>
  <c r="Z666" i="38"/>
  <c r="Z809" i="38"/>
  <c r="Z753" i="38"/>
  <c r="Z813" i="38"/>
  <c r="Z588" i="38"/>
  <c r="Z565" i="38"/>
  <c r="Z612" i="38"/>
  <c r="Z811" i="38"/>
  <c r="Z593" i="38"/>
  <c r="Z678" i="38"/>
  <c r="Z660" i="38"/>
  <c r="Z560" i="38"/>
  <c r="Z810" i="38"/>
  <c r="Z814" i="38"/>
  <c r="Z561" i="38"/>
  <c r="Z532" i="38"/>
  <c r="Z767" i="38"/>
  <c r="Z580" i="38"/>
  <c r="Z531" i="38"/>
  <c r="Z686" i="38"/>
  <c r="Z527" i="38"/>
  <c r="Z638" i="38"/>
  <c r="Z523" i="38"/>
  <c r="Z706" i="38"/>
  <c r="Z839" i="38"/>
  <c r="Z512" i="38"/>
  <c r="Z579" i="38"/>
  <c r="Z554" i="38"/>
  <c r="Z818" i="38"/>
  <c r="Z775" i="38"/>
  <c r="Z661" i="38"/>
  <c r="Z545" i="38"/>
  <c r="Z614" i="38"/>
  <c r="Z600" i="38"/>
  <c r="Z824" i="38"/>
  <c r="Z702" i="38"/>
  <c r="Z517" i="38"/>
  <c r="Z568" i="38"/>
  <c r="Z566" i="38"/>
  <c r="Z653" i="38"/>
  <c r="Z733" i="38"/>
  <c r="Z745" i="38"/>
  <c r="Z841" i="38"/>
  <c r="Z567" i="38"/>
  <c r="Z573" i="38"/>
  <c r="Z557" i="38"/>
  <c r="Z777" i="38"/>
  <c r="Z709" i="38"/>
  <c r="Z599" i="38"/>
  <c r="Z720" i="38"/>
  <c r="Z768" i="38"/>
  <c r="Z515" i="38"/>
  <c r="Z585" i="38"/>
  <c r="Z610" i="38"/>
  <c r="Z549" i="38"/>
  <c r="Z576" i="38"/>
  <c r="Z648" i="38"/>
  <c r="Z526" i="38"/>
  <c r="Z729" i="38"/>
  <c r="Z796" i="38"/>
  <c r="Z696" i="38"/>
  <c r="Z762" i="38"/>
  <c r="Z578" i="38"/>
  <c r="Z628" i="38"/>
  <c r="Z514" i="38"/>
  <c r="Z539" i="38"/>
  <c r="Z606" i="38"/>
  <c r="Z699" i="38"/>
  <c r="Z647" i="38"/>
  <c r="Z632" i="38"/>
  <c r="Z556" i="38"/>
  <c r="Z725" i="38"/>
  <c r="Z681" i="38"/>
  <c r="Z708" i="38"/>
  <c r="Z683" i="38"/>
  <c r="Z570" i="38"/>
  <c r="Z742" i="38"/>
  <c r="Z691" i="38"/>
  <c r="Z705" i="38"/>
  <c r="Z820" i="38"/>
  <c r="Z584" i="38"/>
  <c r="Z658" i="38"/>
  <c r="Z543" i="38"/>
  <c r="Z765" i="38"/>
  <c r="Z786" i="38"/>
  <c r="Z684" i="38"/>
  <c r="Z564" i="38"/>
  <c r="Z715" i="38"/>
  <c r="Z743" i="38"/>
  <c r="Z778" i="38"/>
  <c r="Z688" i="38"/>
  <c r="Z611" i="38"/>
  <c r="Z682" i="38"/>
  <c r="Z590" i="38"/>
  <c r="Z613" i="38"/>
  <c r="Z700" i="38"/>
  <c r="Z618" i="38"/>
  <c r="Z721" i="38"/>
  <c r="Z537" i="38"/>
  <c r="Z712" i="38"/>
  <c r="Z541" i="38"/>
  <c r="Z838" i="38"/>
  <c r="Z649" i="38"/>
  <c r="Z641" i="38"/>
  <c r="Z736" i="38"/>
  <c r="Z766" i="38"/>
  <c r="Z623" i="38"/>
  <c r="Z704" i="38"/>
  <c r="Z538" i="38"/>
  <c r="Z594" i="38"/>
  <c r="Z635" i="38"/>
  <c r="Z740" i="38"/>
  <c r="Z555" i="38"/>
  <c r="Z789" i="38"/>
  <c r="Z755" i="38"/>
  <c r="Z670" i="38"/>
  <c r="Z707" i="38"/>
  <c r="Z758" i="38"/>
  <c r="Z525" i="38"/>
  <c r="Z749" i="38"/>
  <c r="Z843" i="38"/>
  <c r="Z760" i="38"/>
  <c r="Z694" i="38"/>
  <c r="Z724" i="38"/>
  <c r="Z754" i="38"/>
  <c r="Z719" i="38"/>
  <c r="Z619" i="38"/>
  <c r="Z780" i="38"/>
  <c r="Z730" i="38"/>
  <c r="Z763" i="38"/>
  <c r="Z524" i="38"/>
  <c r="Z785" i="38"/>
  <c r="Z646" i="38"/>
  <c r="Z746" i="38"/>
  <c r="Z784" i="38"/>
  <c r="Z829" i="38"/>
  <c r="Z770" i="38"/>
  <c r="Z833" i="38"/>
  <c r="Z605" i="38"/>
  <c r="Z687" i="38"/>
  <c r="Z756" i="38"/>
  <c r="Z548" i="38"/>
  <c r="Z640" i="38"/>
  <c r="Z587" i="38"/>
  <c r="Z675" i="38"/>
  <c r="Z774" i="38"/>
  <c r="Z616" i="38"/>
  <c r="Z583" i="38"/>
  <c r="Z624" i="38"/>
  <c r="Z582" i="38"/>
  <c r="Z671" i="38"/>
  <c r="Z627" i="38"/>
  <c r="Z586" i="38"/>
  <c r="Z727" i="38"/>
  <c r="Z827" i="38"/>
  <c r="Z615" i="38"/>
  <c r="Z741" i="38"/>
  <c r="Z793" i="38"/>
  <c r="Z761" i="38"/>
  <c r="Z821" i="38"/>
  <c r="Z639" i="38"/>
  <c r="Z598" i="38"/>
  <c r="Z601" i="38"/>
  <c r="Z734" i="38"/>
  <c r="Z697" i="38"/>
  <c r="Z665" i="38"/>
  <c r="Z630" i="38"/>
  <c r="Z656" i="38"/>
  <c r="Z604" i="38"/>
  <c r="Z752" i="38"/>
  <c r="Z669" i="38"/>
  <c r="Z790" i="38"/>
  <c r="Z535" i="38"/>
  <c r="Z574" i="38"/>
  <c r="Z840" i="38"/>
  <c r="Z631" i="38"/>
  <c r="Z676" i="38"/>
  <c r="Z711" i="38"/>
  <c r="Z795" i="38"/>
  <c r="Z625" i="38"/>
  <c r="Z654" i="38"/>
  <c r="Z629" i="38"/>
  <c r="Z750" i="38"/>
  <c r="Z823" i="38"/>
  <c r="Z787" i="38"/>
  <c r="Z689" i="38"/>
  <c r="Z764" i="38"/>
  <c r="Z607" i="38"/>
  <c r="Z817" i="38"/>
  <c r="Z643" i="38"/>
  <c r="Z844" i="38"/>
  <c r="Z642" i="38"/>
  <c r="Z609" i="38"/>
  <c r="Z837" i="38"/>
  <c r="Z547" i="38"/>
  <c r="Z772" i="38"/>
  <c r="Z575" i="38"/>
  <c r="Z792" i="38"/>
  <c r="Z776" i="38"/>
  <c r="Z723" i="38"/>
  <c r="Z728" i="38"/>
  <c r="Z522" i="38"/>
  <c r="Z737" i="38"/>
  <c r="Z563" i="38"/>
  <c r="Z710" i="38"/>
  <c r="Z826" i="38"/>
  <c r="Z521" i="38"/>
  <c r="Z747" i="38"/>
  <c r="Z550" i="38"/>
  <c r="Z662" i="38"/>
  <c r="Z597" i="38"/>
  <c r="Z636" i="38"/>
  <c r="Z559" i="38"/>
  <c r="Z650" i="38"/>
  <c r="Z701" i="38"/>
  <c r="Z553" i="38"/>
  <c r="Z645" i="38"/>
  <c r="Z562" i="38"/>
  <c r="Z716" i="38"/>
  <c r="Z603" i="38"/>
  <c r="Z739" i="38"/>
  <c r="Z558" i="38"/>
  <c r="Z832" i="38"/>
  <c r="Z668" i="38"/>
  <c r="Z571" i="38"/>
  <c r="Z791" i="38"/>
  <c r="Z552" i="38"/>
  <c r="Z779" i="38"/>
  <c r="Z782" i="38"/>
  <c r="Z698" i="38"/>
  <c r="Z659" i="38"/>
  <c r="Z655" i="38"/>
  <c r="Z519" i="38"/>
  <c r="Z834" i="38"/>
  <c r="Z759" i="38"/>
  <c r="Z617" i="38"/>
  <c r="Z518" i="38"/>
  <c r="Z540" i="38"/>
  <c r="Z692" i="38"/>
  <c r="Z516" i="38"/>
  <c r="Z744" i="38"/>
  <c r="Z677" i="38"/>
  <c r="Z652" i="38"/>
  <c r="Z530" i="38"/>
  <c r="Z812" i="38"/>
  <c r="Z637" i="38"/>
  <c r="Z674" i="38"/>
  <c r="Z664" i="38"/>
  <c r="AK260" i="38"/>
  <c r="AF260" i="38" s="1"/>
  <c r="AK705" i="38"/>
  <c r="AF705" i="38" s="1"/>
  <c r="AK42" i="38"/>
  <c r="AF42" i="38" s="1"/>
  <c r="AK238" i="38"/>
  <c r="AF238" i="38" s="1"/>
  <c r="AK636" i="38"/>
  <c r="AF636" i="38" s="1"/>
  <c r="AK25" i="38"/>
  <c r="AF25" i="38" s="1"/>
  <c r="AK376" i="38"/>
  <c r="AF376" i="38" s="1"/>
  <c r="AK99" i="38"/>
  <c r="AF99" i="38" s="1"/>
  <c r="AK97" i="38"/>
  <c r="AF97" i="38" s="1"/>
  <c r="AK179" i="38"/>
  <c r="AF179" i="38" s="1"/>
  <c r="AK717" i="38"/>
  <c r="AF717" i="38" s="1"/>
  <c r="AK236" i="38"/>
  <c r="AF236" i="38" s="1"/>
  <c r="AK463" i="38"/>
  <c r="AF463" i="38" s="1"/>
  <c r="AK68" i="38"/>
  <c r="AF68" i="38" s="1"/>
  <c r="AK77" i="38"/>
  <c r="AF77" i="38" s="1"/>
  <c r="AK492" i="38"/>
  <c r="AF492" i="38" s="1"/>
  <c r="AK50" i="38"/>
  <c r="AF50" i="38" s="1"/>
  <c r="AK638" i="38"/>
  <c r="AF638" i="38" s="1"/>
  <c r="AK29" i="38"/>
  <c r="AF29" i="38" s="1"/>
  <c r="AK830" i="38"/>
  <c r="AF830" i="38" s="1"/>
  <c r="AK152" i="38"/>
  <c r="AF152" i="38" s="1"/>
  <c r="AK216" i="38"/>
  <c r="AF216" i="38" s="1"/>
  <c r="AK319" i="38"/>
  <c r="AF319" i="38" s="1"/>
  <c r="AK536" i="38"/>
  <c r="AF536" i="38" s="1"/>
  <c r="AK73" i="38"/>
  <c r="AF73" i="38" s="1"/>
  <c r="AK724" i="38"/>
  <c r="AF724" i="38" s="1"/>
  <c r="AK582" i="38"/>
  <c r="AF582" i="38" s="1"/>
  <c r="AK751" i="38"/>
  <c r="AF751" i="38" s="1"/>
  <c r="AK382" i="38"/>
  <c r="AF382" i="38" s="1"/>
  <c r="AK335" i="38"/>
  <c r="AF335" i="38" s="1"/>
  <c r="AK544" i="38"/>
  <c r="AF544" i="38" s="1"/>
  <c r="AK657" i="38"/>
  <c r="AF657" i="38" s="1"/>
  <c r="AK565" i="38"/>
  <c r="AF565" i="38" s="1"/>
  <c r="AK560" i="38"/>
  <c r="AF560" i="38" s="1"/>
  <c r="AK258" i="38"/>
  <c r="AF258" i="38" s="1"/>
  <c r="AK825" i="38"/>
  <c r="AF825" i="38" s="1"/>
  <c r="AK46" i="38"/>
  <c r="AF46" i="38" s="1"/>
  <c r="AK639" i="38"/>
  <c r="AF639" i="38" s="1"/>
  <c r="AK432" i="38"/>
  <c r="AF432" i="38" s="1"/>
  <c r="AK345" i="38"/>
  <c r="AF345" i="38" s="1"/>
  <c r="AK776" i="38"/>
  <c r="AF776" i="38" s="1"/>
  <c r="AK501" i="38"/>
  <c r="AF501" i="38" s="1"/>
  <c r="AK585" i="38"/>
  <c r="AF585" i="38" s="1"/>
  <c r="AK381" i="38"/>
  <c r="AF381" i="38" s="1"/>
  <c r="AK214" i="38"/>
  <c r="AF214" i="38" s="1"/>
  <c r="AK430" i="38"/>
  <c r="AF430" i="38" s="1"/>
  <c r="AK738" i="38"/>
  <c r="AF738" i="38" s="1"/>
  <c r="AK703" i="38"/>
  <c r="AF703" i="38" s="1"/>
  <c r="AK656" i="38"/>
  <c r="AF656" i="38" s="1"/>
  <c r="Z287" i="38"/>
  <c r="Z407" i="38"/>
  <c r="Z408" i="38"/>
  <c r="Z286" i="38"/>
  <c r="Z409" i="38"/>
  <c r="Z285" i="38"/>
  <c r="AK55" i="38"/>
  <c r="AF55" i="38" s="1"/>
  <c r="AK124" i="38"/>
  <c r="AF124" i="38" s="1"/>
  <c r="AK543" i="38"/>
  <c r="AF543" i="38" s="1"/>
  <c r="AK148" i="38"/>
  <c r="AF148" i="38" s="1"/>
  <c r="AK386" i="38"/>
  <c r="AF386" i="38" s="1"/>
  <c r="AK239" i="38"/>
  <c r="AF239" i="38" s="1"/>
  <c r="AK539" i="38"/>
  <c r="AF539" i="38" s="1"/>
  <c r="AK95" i="38"/>
  <c r="AF95" i="38" s="1"/>
  <c r="AK651" i="38"/>
  <c r="AF651" i="38" s="1"/>
  <c r="AK32" i="38"/>
  <c r="AF32" i="38" s="1"/>
  <c r="AK835" i="38"/>
  <c r="AF835" i="38" s="1"/>
  <c r="AK496" i="38"/>
  <c r="AF496" i="38" s="1"/>
  <c r="AK241" i="38"/>
  <c r="AF241" i="38" s="1"/>
  <c r="AK646" i="38"/>
  <c r="AF646" i="38" s="1"/>
  <c r="AK317" i="38"/>
  <c r="AF317" i="38" s="1"/>
  <c r="AK74" i="38"/>
  <c r="AF74" i="38" s="1"/>
  <c r="AK489" i="38"/>
  <c r="AF489" i="38" s="1"/>
  <c r="AK128" i="38"/>
  <c r="AF128" i="38" s="1"/>
  <c r="AK722" i="38"/>
  <c r="AF722" i="38" s="1"/>
  <c r="AK707" i="38"/>
  <c r="AF707" i="38" s="1"/>
  <c r="AK747" i="38"/>
  <c r="AF747" i="38" s="1"/>
  <c r="AK473" i="38"/>
  <c r="AF473" i="38" s="1"/>
  <c r="AK616" i="38"/>
  <c r="AF616" i="38" s="1"/>
  <c r="AK759" i="38"/>
  <c r="AF759" i="38" s="1"/>
  <c r="AK644" i="38"/>
  <c r="AF644" i="38" s="1"/>
  <c r="AK48" i="38"/>
  <c r="AF48" i="38" s="1"/>
  <c r="AK760" i="38"/>
  <c r="AF760" i="38" s="1"/>
  <c r="AK480" i="38"/>
  <c r="AF480" i="38" s="1"/>
  <c r="AK508" i="38"/>
  <c r="AF508" i="38" s="1"/>
  <c r="AK548" i="38"/>
  <c r="AF548" i="38" s="1"/>
  <c r="Z852" i="38"/>
  <c r="Z881" i="38"/>
  <c r="Z867" i="38"/>
  <c r="Z860" i="38"/>
  <c r="Z887" i="38"/>
  <c r="Z853" i="38"/>
  <c r="Z874" i="38"/>
  <c r="Z846" i="38"/>
  <c r="Z866" i="38"/>
  <c r="Z888" i="38"/>
  <c r="Z873" i="38"/>
  <c r="Z880" i="38"/>
  <c r="Z845" i="38"/>
  <c r="Z859" i="38"/>
  <c r="AK727" i="38"/>
  <c r="AF727" i="38" s="1"/>
  <c r="AK538" i="38"/>
  <c r="AF538" i="38" s="1"/>
  <c r="AK58" i="38"/>
  <c r="AF58" i="38" s="1"/>
  <c r="AK791" i="38"/>
  <c r="AF791" i="38" s="1"/>
  <c r="AK330" i="38"/>
  <c r="AF330" i="38" s="1"/>
  <c r="AK684" i="38"/>
  <c r="AF684" i="38" s="1"/>
  <c r="AK253" i="38"/>
  <c r="AF253" i="38" s="1"/>
  <c r="AK136" i="38"/>
  <c r="AF136" i="38" s="1"/>
  <c r="AK212" i="38"/>
  <c r="AF212" i="38" s="1"/>
  <c r="AK37" i="38"/>
  <c r="AF37" i="38" s="1"/>
  <c r="AK338" i="38"/>
  <c r="AF338" i="38" s="1"/>
  <c r="AK240" i="38"/>
  <c r="AF240" i="38" s="1"/>
  <c r="AK783" i="38"/>
  <c r="AF783" i="38" s="1"/>
  <c r="AK838" i="38"/>
  <c r="AF838" i="38" s="1"/>
  <c r="AK610" i="38"/>
  <c r="AF610" i="38" s="1"/>
  <c r="AK815" i="38"/>
  <c r="AF815" i="38" s="1"/>
  <c r="AK837" i="38"/>
  <c r="AF837" i="38" s="1"/>
  <c r="AK172" i="38"/>
  <c r="AF172" i="38" s="1"/>
  <c r="AK175" i="38"/>
  <c r="AF175" i="38" s="1"/>
  <c r="AK631" i="38"/>
  <c r="AF631" i="38" s="1"/>
  <c r="AK826" i="38"/>
  <c r="AF826" i="38" s="1"/>
  <c r="AK730" i="38"/>
  <c r="AF730" i="38" s="1"/>
  <c r="AK692" i="38"/>
  <c r="AF692" i="38" s="1"/>
  <c r="AK350" i="38"/>
  <c r="AF350" i="38" s="1"/>
  <c r="AK307" i="38"/>
  <c r="AF307" i="38" s="1"/>
  <c r="AK545" i="38"/>
  <c r="AF545" i="38" s="1"/>
  <c r="AK127" i="38"/>
  <c r="AF127" i="38" s="1"/>
  <c r="AK740" i="38"/>
  <c r="AF740" i="38" s="1"/>
  <c r="AK202" i="38"/>
  <c r="AF202" i="38" s="1"/>
  <c r="AK456" i="38"/>
  <c r="AF456" i="38" s="1"/>
  <c r="AK729" i="38"/>
  <c r="AF729" i="38" s="1"/>
  <c r="AK495" i="38"/>
  <c r="AF495" i="38" s="1"/>
  <c r="AK613" i="38"/>
  <c r="AF613" i="38" s="1"/>
  <c r="AK485" i="38"/>
  <c r="AF485" i="38" s="1"/>
  <c r="AK746" i="38"/>
  <c r="AF746" i="38" s="1"/>
  <c r="AK79" i="38"/>
  <c r="AF79" i="38" s="1"/>
  <c r="AK455" i="38"/>
  <c r="AF455" i="38" s="1"/>
  <c r="AK334" i="38"/>
  <c r="AF334" i="38" s="1"/>
  <c r="AK767" i="38"/>
  <c r="AF767" i="38" s="1"/>
  <c r="AK732" i="38"/>
  <c r="AF732" i="38" s="1"/>
  <c r="AK780" i="38"/>
  <c r="AF780" i="38" s="1"/>
  <c r="AK445" i="38"/>
  <c r="AF445" i="38" s="1"/>
  <c r="AK242" i="38"/>
  <c r="AF242" i="38" s="1"/>
  <c r="AK116" i="38"/>
  <c r="AF116" i="38" s="1"/>
  <c r="AK356" i="38"/>
  <c r="AF356" i="38" s="1"/>
  <c r="AK583" i="38"/>
  <c r="AF583" i="38" s="1"/>
  <c r="AK498" i="38"/>
  <c r="AF498" i="38" s="1"/>
  <c r="AK844" i="38"/>
  <c r="AF844" i="38" s="1"/>
  <c r="AK555" i="38"/>
  <c r="AF555" i="38" s="1"/>
  <c r="AK321" i="38"/>
  <c r="AF321" i="38" s="1"/>
  <c r="AK292" i="38"/>
  <c r="AF292" i="38" s="1"/>
  <c r="AK721" i="38"/>
  <c r="AF721" i="38" s="1"/>
  <c r="AK549" i="38"/>
  <c r="AF549" i="38" s="1"/>
  <c r="AK458" i="38"/>
  <c r="AF458" i="38" s="1"/>
  <c r="AK579" i="38"/>
  <c r="AF579" i="38" s="1"/>
  <c r="AK510" i="38"/>
  <c r="AF510" i="38" s="1"/>
  <c r="AK28" i="38"/>
  <c r="AF28" i="38" s="1"/>
  <c r="AK140" i="38"/>
  <c r="AF140" i="38" s="1"/>
  <c r="AK716" i="38"/>
  <c r="AF716" i="38" s="1"/>
  <c r="AK483" i="38"/>
  <c r="AF483" i="38" s="1"/>
  <c r="AK246" i="38"/>
  <c r="AF246" i="38" s="1"/>
  <c r="AK174" i="38"/>
  <c r="AF174" i="38" s="1"/>
  <c r="AK24" i="38"/>
  <c r="AF24" i="38" s="1"/>
  <c r="AK691" i="38"/>
  <c r="AF691" i="38" s="1"/>
  <c r="AK380" i="38"/>
  <c r="AF380" i="38" s="1"/>
  <c r="AK452" i="38"/>
  <c r="AF452" i="38" s="1"/>
  <c r="AK540" i="38"/>
  <c r="AF540" i="38" s="1"/>
  <c r="AK557" i="38"/>
  <c r="AF557" i="38" s="1"/>
  <c r="AK617" i="38"/>
  <c r="AF617" i="38" s="1"/>
  <c r="AK186" i="38"/>
  <c r="AF186" i="38" s="1"/>
  <c r="AK370" i="38"/>
  <c r="AF370" i="38" s="1"/>
  <c r="AK312" i="38"/>
  <c r="AF312" i="38" s="1"/>
  <c r="AK151" i="38"/>
  <c r="AF151" i="38" s="1"/>
  <c r="AK642" i="38"/>
  <c r="AF642" i="38" s="1"/>
  <c r="AK488" i="38"/>
  <c r="AF488" i="38" s="1"/>
  <c r="AK491" i="38"/>
  <c r="AF491" i="38" s="1"/>
  <c r="AK39" i="38"/>
  <c r="AF39" i="38" s="1"/>
  <c r="AK590" i="38"/>
  <c r="AF590" i="38" s="1"/>
  <c r="AK62" i="38"/>
  <c r="AF62" i="38" s="1"/>
  <c r="AK571" i="38"/>
  <c r="AF571" i="38" s="1"/>
  <c r="AK155" i="38"/>
  <c r="AF155" i="38" s="1"/>
  <c r="AK822" i="38"/>
  <c r="AF822" i="38" s="1"/>
  <c r="AK541" i="38"/>
  <c r="AF541" i="38" s="1"/>
  <c r="AK118" i="38"/>
  <c r="AF118" i="38" s="1"/>
  <c r="AK144" i="38"/>
  <c r="AF144" i="38" s="1"/>
  <c r="AK649" i="38"/>
  <c r="AF649" i="38" s="1"/>
  <c r="AK533" i="38"/>
  <c r="AF533" i="38" s="1"/>
  <c r="AK288" i="38"/>
  <c r="AF288" i="38" s="1"/>
  <c r="AK785" i="38"/>
  <c r="AF785" i="38" s="1"/>
  <c r="AK603" i="38"/>
  <c r="AF603" i="38" s="1"/>
  <c r="AK224" i="38"/>
  <c r="AF224" i="38" s="1"/>
  <c r="AK84" i="38"/>
  <c r="AF84" i="38" s="1"/>
  <c r="AK52" i="38"/>
  <c r="AF52" i="38" s="1"/>
  <c r="AK768" i="38"/>
  <c r="AF768" i="38" s="1"/>
  <c r="AK201" i="38"/>
  <c r="AF201" i="38" s="1"/>
  <c r="AK362" i="38"/>
  <c r="AF362" i="38" s="1"/>
  <c r="AK125" i="38"/>
  <c r="AF125" i="38" s="1"/>
  <c r="AK781" i="38"/>
  <c r="AF781" i="38" s="1"/>
  <c r="AK337" i="38"/>
  <c r="AF337" i="38" s="1"/>
  <c r="AK96" i="38"/>
  <c r="AF96" i="38" s="1"/>
  <c r="AK678" i="38"/>
  <c r="AF678" i="38" s="1"/>
  <c r="AK300" i="38"/>
  <c r="AF300" i="38" s="1"/>
  <c r="AK61" i="38"/>
  <c r="AF61" i="38" s="1"/>
  <c r="AK564" i="38"/>
  <c r="AF564" i="38" s="1"/>
  <c r="AK507" i="38"/>
  <c r="AF507" i="38" s="1"/>
  <c r="AK231" i="38"/>
  <c r="AF231" i="38" s="1"/>
  <c r="AK622" i="38"/>
  <c r="AF622" i="38" s="1"/>
  <c r="AK628" i="38"/>
  <c r="AF628" i="38" s="1"/>
  <c r="AK836" i="38"/>
  <c r="AF836" i="38" s="1"/>
  <c r="AK828" i="38"/>
  <c r="AF828" i="38" s="1"/>
  <c r="AK742" i="38"/>
  <c r="AF742" i="38" s="1"/>
  <c r="AK177" i="38"/>
  <c r="AF177" i="38" s="1"/>
  <c r="AK308" i="38"/>
  <c r="AF308" i="38" s="1"/>
  <c r="AK574" i="38"/>
  <c r="AF574" i="38" s="1"/>
  <c r="AK181" i="38"/>
  <c r="AF181" i="38" s="1"/>
  <c r="AK436" i="38"/>
  <c r="AF436" i="38" s="1"/>
  <c r="AK108" i="38"/>
  <c r="AF108" i="38" s="1"/>
  <c r="AK228" i="38"/>
  <c r="AF228" i="38" s="1"/>
  <c r="AK581" i="38"/>
  <c r="AF581" i="38" s="1"/>
  <c r="AK467" i="38"/>
  <c r="AF467" i="38" s="1"/>
  <c r="AK704" i="38"/>
  <c r="AF704" i="38" s="1"/>
  <c r="AK133" i="38"/>
  <c r="AF133" i="38" s="1"/>
  <c r="AK630" i="38"/>
  <c r="AF630" i="38" s="1"/>
  <c r="AK208" i="38"/>
  <c r="AF208" i="38" s="1"/>
  <c r="AK479" i="38"/>
  <c r="AF479" i="38" s="1"/>
  <c r="AK89" i="38"/>
  <c r="AF89" i="38" s="1"/>
  <c r="AK712" i="38"/>
  <c r="AF712" i="38" s="1"/>
  <c r="AK264" i="38"/>
  <c r="AF264" i="38" s="1"/>
  <c r="AK625" i="38"/>
  <c r="AF625" i="38" s="1"/>
  <c r="AK812" i="38"/>
  <c r="AF812" i="38" s="1"/>
  <c r="AK786" i="38"/>
  <c r="AF786" i="38" s="1"/>
  <c r="AK750" i="38"/>
  <c r="AF750" i="38" s="1"/>
  <c r="AK811" i="38"/>
  <c r="AF811" i="38" s="1"/>
  <c r="AK103" i="38"/>
  <c r="AF103" i="38" s="1"/>
  <c r="AK626" i="38"/>
  <c r="AF626" i="38" s="1"/>
  <c r="AK250" i="38"/>
  <c r="AF250" i="38" s="1"/>
  <c r="AK190" i="38"/>
  <c r="AF190" i="38" s="1"/>
  <c r="AK263" i="38"/>
  <c r="AF263" i="38" s="1"/>
  <c r="AK465" i="38"/>
  <c r="AF465" i="38" s="1"/>
  <c r="AK198" i="38"/>
  <c r="AF198" i="38" s="1"/>
  <c r="AK624" i="38"/>
  <c r="AF624" i="38" s="1"/>
  <c r="AK191" i="38"/>
  <c r="AF191" i="38" s="1"/>
  <c r="AK686" i="38"/>
  <c r="AF686" i="38" s="1"/>
  <c r="AK461" i="38"/>
  <c r="AF461" i="38" s="1"/>
  <c r="AK481" i="38"/>
  <c r="AF481" i="38" s="1"/>
  <c r="AK291" i="38"/>
  <c r="AF291" i="38" s="1"/>
  <c r="AK361" i="38"/>
  <c r="AF361" i="38" s="1"/>
  <c r="AK477" i="38"/>
  <c r="AF477" i="38" s="1"/>
  <c r="AK466" i="38"/>
  <c r="AF466" i="38" s="1"/>
  <c r="AK421" i="38"/>
  <c r="AF421" i="38" s="1"/>
  <c r="AK207" i="38"/>
  <c r="AF207" i="38" s="1"/>
  <c r="AK598" i="38"/>
  <c r="AF598" i="38" s="1"/>
  <c r="AK80" i="38"/>
  <c r="AF80" i="38" s="1"/>
  <c r="AK554" i="38"/>
  <c r="AF554" i="38" s="1"/>
  <c r="AK723" i="38"/>
  <c r="AF723" i="38" s="1"/>
  <c r="AK842" i="38"/>
  <c r="AF842" i="38" s="1"/>
  <c r="AK681" i="38"/>
  <c r="AF681" i="38" s="1"/>
  <c r="AK596" i="38"/>
  <c r="AF596" i="38" s="1"/>
  <c r="AK185" i="38"/>
  <c r="AF185" i="38" s="1"/>
  <c r="AK587" i="38"/>
  <c r="AF587" i="38" s="1"/>
  <c r="AK352" i="38"/>
  <c r="AF352" i="38" s="1"/>
  <c r="AK38" i="38"/>
  <c r="AF38" i="38" s="1"/>
  <c r="AK570" i="38"/>
  <c r="AF570" i="38" s="1"/>
  <c r="AK114" i="38"/>
  <c r="AF114" i="38" s="1"/>
  <c r="AK304" i="38"/>
  <c r="AF304" i="38" s="1"/>
  <c r="AK364" i="38"/>
  <c r="AF364" i="38" s="1"/>
  <c r="AK98" i="38"/>
  <c r="AF98" i="38" s="1"/>
  <c r="AK310" i="38"/>
  <c r="AF310" i="38" s="1"/>
  <c r="AK358" i="38"/>
  <c r="AF358" i="38" s="1"/>
  <c r="AK736" i="38"/>
  <c r="AF736" i="38" s="1"/>
  <c r="AK482" i="38"/>
  <c r="AF482" i="38" s="1"/>
  <c r="AK494" i="38"/>
  <c r="AF494" i="38" s="1"/>
  <c r="AK296" i="38"/>
  <c r="AF296" i="38" s="1"/>
  <c r="AK311" i="38"/>
  <c r="AF311" i="38" s="1"/>
  <c r="AK632" i="38"/>
  <c r="AF632" i="38" s="1"/>
  <c r="AK621" i="38"/>
  <c r="AF621" i="38" s="1"/>
  <c r="AK647" i="38"/>
  <c r="AF647" i="38" s="1"/>
  <c r="AK679" i="38"/>
  <c r="AF679" i="38" s="1"/>
  <c r="AK387" i="38"/>
  <c r="AF387" i="38" s="1"/>
  <c r="AK384" i="38"/>
  <c r="AF384" i="38" s="1"/>
  <c r="AK60" i="38"/>
  <c r="AF60" i="38" s="1"/>
  <c r="AK218" i="38"/>
  <c r="AF218" i="38" s="1"/>
  <c r="AK575" i="38"/>
  <c r="AF575" i="38" s="1"/>
  <c r="AK827" i="38"/>
  <c r="AF827" i="38" s="1"/>
  <c r="AK343" i="38"/>
  <c r="AF343" i="38" s="1"/>
  <c r="AK700" i="38"/>
  <c r="AF700" i="38" s="1"/>
  <c r="AK652" i="38"/>
  <c r="AF652" i="38" s="1"/>
  <c r="AK27" i="38"/>
  <c r="AF27" i="38" s="1"/>
  <c r="AK438" i="38"/>
  <c r="AF438" i="38" s="1"/>
  <c r="AK332" i="38"/>
  <c r="AF332" i="38" s="1"/>
  <c r="AK476" i="38"/>
  <c r="AF476" i="38" s="1"/>
  <c r="AK419" i="38"/>
  <c r="AF419" i="38" s="1"/>
  <c r="AK453" i="38"/>
  <c r="AF453" i="38" s="1"/>
  <c r="AK635" i="38"/>
  <c r="AF635" i="38" s="1"/>
  <c r="AK112" i="38"/>
  <c r="AF112" i="38" s="1"/>
  <c r="AK210" i="38"/>
  <c r="AF210" i="38" s="1"/>
  <c r="AK139" i="38"/>
  <c r="AF139" i="38" s="1"/>
  <c r="AK301" i="38"/>
  <c r="AF301" i="38" s="1"/>
  <c r="AK340" i="38"/>
  <c r="AF340" i="38" s="1"/>
  <c r="AK389" i="38"/>
  <c r="AF389" i="38" s="1"/>
  <c r="AK756" i="38"/>
  <c r="AF756" i="38" s="1"/>
  <c r="AK534" i="38"/>
  <c r="AF534" i="38" s="1"/>
  <c r="AK422" i="38"/>
  <c r="AF422" i="38" s="1"/>
  <c r="AK414" i="38"/>
  <c r="AF414" i="38" s="1"/>
  <c r="AK367" i="38"/>
  <c r="AF367" i="38" s="1"/>
  <c r="AK711" i="38"/>
  <c r="AF711" i="38" s="1"/>
  <c r="AK81" i="38"/>
  <c r="AF81" i="38" s="1"/>
  <c r="AK88" i="38"/>
  <c r="AF88" i="38" s="1"/>
  <c r="AK67" i="38"/>
  <c r="AF67" i="38" s="1"/>
  <c r="AK464" i="38"/>
  <c r="AF464" i="38" s="1"/>
  <c r="AK535" i="38"/>
  <c r="AF535" i="38" s="1"/>
  <c r="AK567" i="38"/>
  <c r="AF567" i="38" s="1"/>
  <c r="AK454" i="38"/>
  <c r="AF454" i="38" s="1"/>
  <c r="AK769" i="38"/>
  <c r="AF769" i="38" s="1"/>
  <c r="AK719" i="38"/>
  <c r="AF719" i="38" s="1"/>
  <c r="AK331" i="38"/>
  <c r="AF331" i="38" s="1"/>
  <c r="AK726" i="38"/>
  <c r="AF726" i="38" s="1"/>
  <c r="AK620" i="38"/>
  <c r="AF620" i="38" s="1"/>
  <c r="AK293" i="38"/>
  <c r="AF293" i="38" s="1"/>
  <c r="AK834" i="38"/>
  <c r="AF834" i="38" s="1"/>
  <c r="AK371" i="38"/>
  <c r="AF371" i="38" s="1"/>
  <c r="AK755" i="38"/>
  <c r="AF755" i="38" s="1"/>
  <c r="AK327" i="38"/>
  <c r="AF327" i="38" s="1"/>
  <c r="AK137" i="38"/>
  <c r="AF137" i="38" s="1"/>
  <c r="AK333" i="38"/>
  <c r="AF333" i="38" s="1"/>
  <c r="AK689" i="38"/>
  <c r="AF689" i="38" s="1"/>
  <c r="AK457" i="38"/>
  <c r="AF457" i="38" s="1"/>
  <c r="AK683" i="38"/>
  <c r="AF683" i="38" s="1"/>
  <c r="AK728" i="38"/>
  <c r="AF728" i="38" s="1"/>
  <c r="AK215" i="38"/>
  <c r="AF215" i="38" s="1"/>
  <c r="AK375" i="38"/>
  <c r="AF375" i="38" s="1"/>
  <c r="AK761" i="38"/>
  <c r="AF761" i="38" s="1"/>
  <c r="AK578" i="38"/>
  <c r="AF578" i="38" s="1"/>
  <c r="AK298" i="38"/>
  <c r="AF298" i="38" s="1"/>
  <c r="AK741" i="38"/>
  <c r="AF741" i="38" s="1"/>
  <c r="AK203" i="38"/>
  <c r="AF203" i="38" s="1"/>
  <c r="AK739" i="38"/>
  <c r="AF739" i="38" s="1"/>
  <c r="AK745" i="38"/>
  <c r="AF745" i="38" s="1"/>
  <c r="AK173" i="38"/>
  <c r="AF173" i="38" s="1"/>
  <c r="AK131" i="38"/>
  <c r="AF131" i="38" s="1"/>
  <c r="AK222" i="38"/>
  <c r="AF222" i="38" s="1"/>
  <c r="AK360" i="38"/>
  <c r="AF360" i="38" s="1"/>
  <c r="AK247" i="38"/>
  <c r="AF247" i="38" s="1"/>
  <c r="AK614" i="38"/>
  <c r="AF614" i="38" s="1"/>
  <c r="AK584" i="38"/>
  <c r="AF584" i="38" s="1"/>
  <c r="AK569" i="38"/>
  <c r="AF569" i="38" s="1"/>
  <c r="AK220" i="38"/>
  <c r="AF220" i="38" s="1"/>
  <c r="AK36" i="38"/>
  <c r="AF36" i="38" s="1"/>
  <c r="AK373" i="38"/>
  <c r="AF373" i="38" s="1"/>
  <c r="AK444" i="38"/>
  <c r="AF444" i="38" s="1"/>
  <c r="AK256" i="38"/>
  <c r="AF256" i="38" s="1"/>
  <c r="AK418" i="38"/>
  <c r="AF418" i="38" s="1"/>
  <c r="AK706" i="38"/>
  <c r="AF706" i="38" s="1"/>
  <c r="AK607" i="38"/>
  <c r="AF607" i="38" s="1"/>
  <c r="AK606" i="38"/>
  <c r="AF606" i="38" s="1"/>
  <c r="AK735" i="38"/>
  <c r="AF735" i="38" s="1"/>
  <c r="AK470" i="38"/>
  <c r="AF470" i="38" s="1"/>
  <c r="AK188" i="38"/>
  <c r="AF188" i="38" s="1"/>
  <c r="AK546" i="38"/>
  <c r="AF546" i="38" s="1"/>
  <c r="AK749" i="38"/>
  <c r="AF749" i="38" s="1"/>
  <c r="AK600" i="38"/>
  <c r="AF600" i="38" s="1"/>
  <c r="AK35" i="38"/>
  <c r="AF35" i="38" s="1"/>
  <c r="AK227" i="38"/>
  <c r="AF227" i="38" s="1"/>
  <c r="AK748" i="38"/>
  <c r="AF748" i="38" s="1"/>
  <c r="AK591" i="38"/>
  <c r="AF591" i="38" s="1"/>
  <c r="AK132" i="38"/>
  <c r="AF132" i="38" s="1"/>
  <c r="AK318" i="38"/>
  <c r="AF318" i="38" s="1"/>
  <c r="AK53" i="38"/>
  <c r="AF53" i="38" s="1"/>
  <c r="AK813" i="38"/>
  <c r="AF813" i="38" s="1"/>
  <c r="AK295" i="38"/>
  <c r="AF295" i="38" s="1"/>
  <c r="AK87" i="38"/>
  <c r="AF87" i="38" s="1"/>
  <c r="AK257" i="38"/>
  <c r="AF257" i="38" s="1"/>
  <c r="AK441" i="38"/>
  <c r="AF441" i="38" s="1"/>
  <c r="AK718" i="38"/>
  <c r="AF718" i="38" s="1"/>
  <c r="AK784" i="38"/>
  <c r="AF784" i="38" s="1"/>
  <c r="Z861" i="38"/>
  <c r="Z855" i="38"/>
  <c r="Z882" i="38"/>
  <c r="Z885" i="38"/>
  <c r="Z889" i="38"/>
  <c r="Z868" i="38"/>
  <c r="Z850" i="38"/>
  <c r="Z848" i="38"/>
  <c r="Z878" i="38"/>
  <c r="Z890" i="38"/>
  <c r="Z862" i="38"/>
  <c r="Z891" i="38"/>
  <c r="Z854" i="38"/>
  <c r="Z864" i="38"/>
  <c r="Z849" i="38"/>
  <c r="Z877" i="38"/>
  <c r="Z847" i="38"/>
  <c r="Z863" i="38"/>
  <c r="Z869" i="38"/>
  <c r="Z884" i="38"/>
  <c r="Z871" i="38"/>
  <c r="Z883" i="38"/>
  <c r="Z892" i="38"/>
  <c r="Z876" i="38"/>
  <c r="Z856" i="38"/>
  <c r="Z857" i="38"/>
  <c r="Z875" i="38"/>
  <c r="Z870" i="38"/>
  <c r="AK336" i="38"/>
  <c r="AF336" i="38" s="1"/>
  <c r="AK713" i="38"/>
  <c r="AF713" i="38" s="1"/>
  <c r="AK110" i="38"/>
  <c r="AF110" i="38" s="1"/>
  <c r="AK542" i="38"/>
  <c r="AF542" i="38" s="1"/>
  <c r="AK101" i="38"/>
  <c r="AF101" i="38" s="1"/>
  <c r="AK619" i="38"/>
  <c r="AF619" i="38" s="1"/>
  <c r="AK355" i="38"/>
  <c r="AF355" i="38" s="1"/>
  <c r="AK702" i="38"/>
  <c r="AF702" i="38" s="1"/>
  <c r="AK226" i="38"/>
  <c r="AF226" i="38" s="1"/>
  <c r="AK322" i="38"/>
  <c r="AF322" i="38" s="1"/>
  <c r="AK744" i="38"/>
  <c r="AF744" i="38" s="1"/>
  <c r="AK821" i="38"/>
  <c r="AF821" i="38" s="1"/>
  <c r="AK309" i="38"/>
  <c r="AF309" i="38" s="1"/>
  <c r="AK410" i="38"/>
  <c r="AF410" i="38" s="1"/>
  <c r="AK115" i="38"/>
  <c r="AF115" i="38" s="1"/>
  <c r="AK213" i="38"/>
  <c r="AF213" i="38" s="1"/>
  <c r="Z493" i="38"/>
  <c r="Z510" i="38"/>
  <c r="Z472" i="38"/>
  <c r="Z434" i="38"/>
  <c r="Z320" i="38"/>
  <c r="Z329" i="38"/>
  <c r="Z302" i="38"/>
  <c r="Z449" i="38"/>
  <c r="Z284" i="38"/>
  <c r="Z421" i="38"/>
  <c r="Z399" i="38"/>
  <c r="Z288" i="38"/>
  <c r="Z507" i="38"/>
  <c r="Z358" i="38"/>
  <c r="Z414" i="38"/>
  <c r="Z294" i="38"/>
  <c r="Z438" i="38"/>
  <c r="Z297" i="38"/>
  <c r="Z276" i="38"/>
  <c r="Z435" i="38"/>
  <c r="Z491" i="38"/>
  <c r="Z331" i="38"/>
  <c r="Z362" i="38"/>
  <c r="Z380" i="38"/>
  <c r="Z392" i="38"/>
  <c r="Z281" i="38"/>
  <c r="Z417" i="38"/>
  <c r="Z376" i="38"/>
  <c r="Z436" i="38"/>
  <c r="Z354" i="38"/>
  <c r="Z416" i="38"/>
  <c r="Z466" i="38"/>
  <c r="Z458" i="38"/>
  <c r="Z481" i="38"/>
  <c r="Z476" i="38"/>
  <c r="Z459" i="38"/>
  <c r="Z410" i="38"/>
  <c r="Z445" i="38"/>
  <c r="Z509" i="38"/>
  <c r="Z432" i="38"/>
  <c r="Z385" i="38"/>
  <c r="Z398" i="38"/>
  <c r="Z384" i="38"/>
  <c r="Z448" i="38"/>
  <c r="Z460" i="38"/>
  <c r="Z367" i="38"/>
  <c r="Z381" i="38"/>
  <c r="Z295" i="38"/>
  <c r="Z494" i="38"/>
  <c r="Z365" i="38"/>
  <c r="Z464" i="38"/>
  <c r="Z339" i="38"/>
  <c r="Z315" i="38"/>
  <c r="Z316" i="38"/>
  <c r="Z389" i="38"/>
  <c r="Z443" i="38"/>
  <c r="Z304" i="38"/>
  <c r="Z387" i="38"/>
  <c r="Z495" i="38"/>
  <c r="Z430" i="38"/>
  <c r="Z279" i="38"/>
  <c r="Z312" i="38"/>
  <c r="Z453" i="38"/>
  <c r="Z343" i="38"/>
  <c r="Z307" i="38"/>
  <c r="Z337" i="38"/>
  <c r="Z275" i="38"/>
  <c r="Z323" i="38"/>
  <c r="Z490" i="38"/>
  <c r="Z356" i="38"/>
  <c r="Z351" i="38"/>
  <c r="Z390" i="38"/>
  <c r="Z503" i="38"/>
  <c r="Z413" i="38"/>
  <c r="Z457" i="38"/>
  <c r="Z461" i="38"/>
  <c r="Z437" i="38"/>
  <c r="Z338" i="38"/>
  <c r="Z487" i="38"/>
  <c r="Z268" i="38"/>
  <c r="Z319" i="38"/>
  <c r="Z335" i="38"/>
  <c r="Z333" i="38"/>
  <c r="Z422" i="38"/>
  <c r="Z473" i="38"/>
  <c r="Z371" i="38"/>
  <c r="Z395" i="38"/>
  <c r="Z499" i="38"/>
  <c r="Z366" i="38"/>
  <c r="Z483" i="38"/>
  <c r="Z446" i="38"/>
  <c r="Z489" i="38"/>
  <c r="Z301" i="38"/>
  <c r="Z427" i="38"/>
  <c r="Z332" i="38"/>
  <c r="Z475" i="38"/>
  <c r="Z391" i="38"/>
  <c r="Z403" i="38"/>
  <c r="Z486" i="38"/>
  <c r="Z292" i="38"/>
  <c r="Z492" i="38"/>
  <c r="Z306" i="38"/>
  <c r="Z425" i="38"/>
  <c r="Z350" i="38"/>
  <c r="Z415" i="38"/>
  <c r="Z330" i="38"/>
  <c r="Z428" i="38"/>
  <c r="Z370" i="38"/>
  <c r="Z383" i="38"/>
  <c r="Z269" i="38"/>
  <c r="Z305" i="38"/>
  <c r="Z327" i="38"/>
  <c r="Z424" i="38"/>
  <c r="Z479" i="38"/>
  <c r="Z447" i="38"/>
  <c r="Z369" i="38"/>
  <c r="Z440" i="38"/>
  <c r="Z442" i="38"/>
  <c r="Z400" i="38"/>
  <c r="Z433" i="38"/>
  <c r="Z374" i="38"/>
  <c r="Z500" i="38"/>
  <c r="Z375" i="38"/>
  <c r="Z308" i="38"/>
  <c r="Z278" i="38"/>
  <c r="Z340" i="38"/>
  <c r="Z311" i="38"/>
  <c r="Z474" i="38"/>
  <c r="Z270" i="38"/>
  <c r="Z313" i="38"/>
  <c r="Z462" i="38"/>
  <c r="Z396" i="38"/>
  <c r="Z441" i="38"/>
  <c r="Z272" i="38"/>
  <c r="Z418" i="38"/>
  <c r="Z379" i="38"/>
  <c r="Z274" i="38"/>
  <c r="Z431" i="38"/>
  <c r="Z273" i="38"/>
  <c r="Z373" i="38"/>
  <c r="Z423" i="38"/>
  <c r="Z439" i="38"/>
  <c r="Z342" i="38"/>
  <c r="Z377" i="38"/>
  <c r="Z277" i="38"/>
  <c r="Z325" i="38"/>
  <c r="Z326" i="38"/>
  <c r="Z293" i="38"/>
  <c r="Z357" i="38"/>
  <c r="Z352" i="38"/>
  <c r="Z388" i="38"/>
  <c r="Z318" i="38"/>
  <c r="Z463" i="38"/>
  <c r="Z324" i="38"/>
  <c r="Z355" i="38"/>
  <c r="Z347" i="38"/>
  <c r="Z317" i="38"/>
  <c r="Z300" i="38"/>
  <c r="Z404" i="38"/>
  <c r="Z363" i="38"/>
  <c r="Z359" i="38"/>
  <c r="Z378" i="38"/>
  <c r="Z271" i="38"/>
  <c r="Z508" i="38"/>
  <c r="Z290" i="38"/>
  <c r="Z488" i="38"/>
  <c r="Z382" i="38"/>
  <c r="Z291" i="38"/>
  <c r="Z469" i="38"/>
  <c r="Z450" i="38"/>
  <c r="Z511" i="38"/>
  <c r="Z348" i="38"/>
  <c r="Z419" i="38"/>
  <c r="Z328" i="38"/>
  <c r="Z298" i="38"/>
  <c r="Z393" i="38"/>
  <c r="Z497" i="38"/>
  <c r="Z501" i="38"/>
  <c r="Z303" i="38"/>
  <c r="Z502" i="38"/>
  <c r="Z482" i="38"/>
  <c r="Z484" i="38"/>
  <c r="Z470" i="38"/>
  <c r="Z309" i="38"/>
  <c r="Z498" i="38"/>
  <c r="Z334" i="38"/>
  <c r="Z341" i="38"/>
  <c r="Z444" i="38"/>
  <c r="Z485" i="38"/>
  <c r="Z465" i="38"/>
  <c r="Z480" i="38"/>
  <c r="Z420" i="38"/>
  <c r="Z386" i="38"/>
  <c r="Z496" i="38"/>
  <c r="Z454" i="38"/>
  <c r="Z506" i="38"/>
  <c r="Z467" i="38"/>
  <c r="Z412" i="38"/>
  <c r="Z504" i="38"/>
  <c r="Z321" i="38"/>
  <c r="Z456" i="38"/>
  <c r="Z401" i="38"/>
  <c r="Z282" i="38"/>
  <c r="Z406" i="38"/>
  <c r="Z314" i="38"/>
  <c r="Z411" i="38"/>
  <c r="Z471" i="38"/>
  <c r="Z426" i="38"/>
  <c r="Z349" i="38"/>
  <c r="Z505" i="38"/>
  <c r="Z429" i="38"/>
  <c r="Z451" i="38"/>
  <c r="Z322" i="38"/>
  <c r="Z344" i="38"/>
  <c r="Z468" i="38"/>
  <c r="Z368" i="38"/>
  <c r="Z478" i="38"/>
  <c r="Z296" i="38"/>
  <c r="Z397" i="38"/>
  <c r="Z364" i="38"/>
  <c r="Z452" i="38"/>
  <c r="Z360" i="38"/>
  <c r="Z280" i="38"/>
  <c r="Z299" i="38"/>
  <c r="Z346" i="38"/>
  <c r="Z345" i="38"/>
  <c r="Z283" i="38"/>
  <c r="Z289" i="38"/>
  <c r="Z372" i="38"/>
  <c r="Z455" i="38"/>
  <c r="Z405" i="38"/>
  <c r="Z402" i="38"/>
  <c r="Z353" i="38"/>
  <c r="Z477" i="38"/>
  <c r="Z336" i="38"/>
  <c r="Z361" i="38"/>
  <c r="Z394" i="38"/>
  <c r="Z310" i="38"/>
  <c r="AK779" i="38"/>
  <c r="AF779" i="38" s="1"/>
  <c r="AK106" i="38"/>
  <c r="AF106" i="38" s="1"/>
  <c r="AK462" i="38"/>
  <c r="AF462" i="38" s="1"/>
  <c r="AK450" i="38"/>
  <c r="AF450" i="38" s="1"/>
  <c r="AK443" i="38"/>
  <c r="AF443" i="38" s="1"/>
  <c r="AK442" i="38"/>
  <c r="AF442" i="38" s="1"/>
  <c r="AK586" i="38"/>
  <c r="AF586" i="38" s="1"/>
  <c r="AK149" i="38"/>
  <c r="AF149" i="38" s="1"/>
  <c r="AK789" i="38"/>
  <c r="AF789" i="38" s="1"/>
  <c r="AK573" i="38"/>
  <c r="AF573" i="38" s="1"/>
  <c r="AK486" i="38"/>
  <c r="AF486" i="38" s="1"/>
  <c r="AK69" i="38"/>
  <c r="AF69" i="38" s="1"/>
  <c r="AK447" i="38"/>
  <c r="AF447" i="38" s="1"/>
  <c r="AK416" i="38"/>
  <c r="AF416" i="38" s="1"/>
  <c r="AK627" i="38"/>
  <c r="AF627" i="38" s="1"/>
  <c r="AK634" i="38"/>
  <c r="AF634" i="38" s="1"/>
  <c r="AK357" i="38"/>
  <c r="AF357" i="38" s="1"/>
  <c r="AK576" i="38"/>
  <c r="AF576" i="38" s="1"/>
  <c r="AK248" i="38"/>
  <c r="AF248" i="38" s="1"/>
  <c r="AK572" i="38"/>
  <c r="AF572" i="38" s="1"/>
  <c r="AK211" i="38"/>
  <c r="AF211" i="38" s="1"/>
  <c r="AK788" i="38"/>
  <c r="AF788" i="38" s="1"/>
  <c r="AK725" i="38"/>
  <c r="AF725" i="38" s="1"/>
  <c r="AK86" i="38"/>
  <c r="AF86" i="38" s="1"/>
  <c r="AK556" i="38"/>
  <c r="AF556" i="38" s="1"/>
  <c r="AK354" i="38"/>
  <c r="AF354" i="38" s="1"/>
  <c r="AK225" i="38"/>
  <c r="AF225" i="38" s="1"/>
  <c r="AK342" i="38"/>
  <c r="AF342" i="38" s="1"/>
  <c r="AK130" i="38"/>
  <c r="AF130" i="38" s="1"/>
  <c r="AK559" i="38"/>
  <c r="AF559" i="38" s="1"/>
  <c r="AK51" i="38"/>
  <c r="AF51" i="38" s="1"/>
  <c r="AK497" i="38"/>
  <c r="AF497" i="38" s="1"/>
  <c r="AK810" i="38"/>
  <c r="AF810" i="38" s="1"/>
  <c r="AK434" i="38"/>
  <c r="AF434" i="38" s="1"/>
  <c r="AK261" i="38"/>
  <c r="AF261" i="38" s="1"/>
  <c r="AK94" i="38"/>
  <c r="AF94" i="38" s="1"/>
  <c r="AK589" i="38"/>
  <c r="AF589" i="38" s="1"/>
  <c r="AK633" i="38"/>
  <c r="AF633" i="38" s="1"/>
  <c r="AK56" i="38"/>
  <c r="AF56" i="38" s="1"/>
  <c r="AK126" i="38"/>
  <c r="AF126" i="38" s="1"/>
  <c r="AK385" i="38"/>
  <c r="AF385" i="38" s="1"/>
  <c r="AK154" i="38"/>
  <c r="AF154" i="38" s="1"/>
  <c r="AK502" i="38"/>
  <c r="AF502" i="38" s="1"/>
  <c r="AK41" i="38"/>
  <c r="AF41" i="38" s="1"/>
  <c r="AK107" i="38"/>
  <c r="AF107" i="38" s="1"/>
  <c r="AK184" i="38"/>
  <c r="AF184" i="38" s="1"/>
  <c r="AK30" i="38"/>
  <c r="AF30" i="38" s="1"/>
  <c r="AK650" i="38"/>
  <c r="AF650" i="38" s="1"/>
  <c r="AK427" i="38"/>
  <c r="AF427" i="38" s="1"/>
  <c r="AK580" i="38"/>
  <c r="AF580" i="38" s="1"/>
  <c r="AK316" i="38"/>
  <c r="AF316" i="38" s="1"/>
  <c r="AK643" i="38"/>
  <c r="AF643" i="38" s="1"/>
  <c r="AK243" i="38"/>
  <c r="AF243" i="38" s="1"/>
  <c r="AK446" i="38"/>
  <c r="AF446" i="38" s="1"/>
  <c r="AK484" i="38"/>
  <c r="AF484" i="38" s="1"/>
  <c r="AK475" i="38"/>
  <c r="AF475" i="38" s="1"/>
  <c r="AK64" i="38"/>
  <c r="AF64" i="38" s="1"/>
  <c r="AK302" i="38"/>
  <c r="AF302" i="38" s="1"/>
  <c r="AK709" i="38"/>
  <c r="AF709" i="38" s="1"/>
  <c r="AK235" i="38"/>
  <c r="AF235" i="38" s="1"/>
  <c r="Z879" i="38"/>
  <c r="Z858" i="38"/>
  <c r="Z872" i="38"/>
  <c r="Z886" i="38"/>
  <c r="Z893" i="38"/>
  <c r="Z851" i="38"/>
  <c r="Z865" i="38"/>
  <c r="AK715" i="38"/>
  <c r="AF715" i="38" s="1"/>
  <c r="AK368" i="38"/>
  <c r="AF368" i="38" s="1"/>
  <c r="AK178" i="38"/>
  <c r="AF178" i="38" s="1"/>
  <c r="AK680" i="38"/>
  <c r="AF680" i="38" s="1"/>
  <c r="AK76" i="38"/>
  <c r="AF76" i="38" s="1"/>
  <c r="AK487" i="38"/>
  <c r="AF487" i="38" s="1"/>
  <c r="AK645" i="38"/>
  <c r="AF645" i="38" s="1"/>
  <c r="AK266" i="38"/>
  <c r="AF266" i="38" s="1"/>
  <c r="AK708" i="38"/>
  <c r="AF708" i="38" s="1"/>
  <c r="AK65" i="38"/>
  <c r="AF65" i="38" s="1"/>
  <c r="AK690" i="38"/>
  <c r="AF690" i="38" s="1"/>
  <c r="AK503" i="38"/>
  <c r="AF503" i="38" s="1"/>
  <c r="AK379" i="38"/>
  <c r="AF379" i="38" s="1"/>
  <c r="AK696" i="38"/>
  <c r="AF696" i="38" s="1"/>
  <c r="AK339" i="38"/>
  <c r="AF339" i="38" s="1"/>
  <c r="AK493" i="38"/>
  <c r="AF493" i="38" s="1"/>
  <c r="AK413" i="38"/>
  <c r="AF413" i="38" s="1"/>
  <c r="AK150" i="38"/>
  <c r="AF150" i="38" s="1"/>
  <c r="AK176" i="38"/>
  <c r="AF176" i="38" s="1"/>
  <c r="AK592" i="38"/>
  <c r="AF592" i="38" s="1"/>
  <c r="AK439" i="38"/>
  <c r="AF439" i="38" s="1"/>
  <c r="AK824" i="38"/>
  <c r="AF824" i="38" s="1"/>
  <c r="AK774" i="38"/>
  <c r="AF774" i="38" s="1"/>
  <c r="AK640" i="38"/>
  <c r="AF640" i="38" s="1"/>
  <c r="AK648" i="38"/>
  <c r="AF648" i="38" s="1"/>
  <c r="AK251" i="38"/>
  <c r="AF251" i="38" s="1"/>
  <c r="AK138" i="38"/>
  <c r="AF138" i="38" s="1"/>
  <c r="AK313" i="38"/>
  <c r="AF313" i="38" s="1"/>
  <c r="AK594" i="38"/>
  <c r="AF594" i="38" s="1"/>
  <c r="AK326" i="38"/>
  <c r="AF326" i="38" s="1"/>
  <c r="AK383" i="38"/>
  <c r="AF383" i="38" s="1"/>
  <c r="AK259" i="38"/>
  <c r="AF259" i="38" s="1"/>
  <c r="AK349" i="38"/>
  <c r="AF349" i="38" s="1"/>
  <c r="AK629" i="38"/>
  <c r="AF629" i="38" s="1"/>
  <c r="AK843" i="38"/>
  <c r="AF843" i="38" s="1"/>
  <c r="AK752" i="38"/>
  <c r="AF752" i="38" s="1"/>
  <c r="AK602" i="38"/>
  <c r="AF602" i="38" s="1"/>
  <c r="AK753" i="38"/>
  <c r="AF753" i="38" s="1"/>
  <c r="AK763" i="38"/>
  <c r="AF763" i="38" s="1"/>
  <c r="AK601" i="38"/>
  <c r="AF601" i="38" s="1"/>
  <c r="AK34" i="38"/>
  <c r="AF34" i="38" s="1"/>
  <c r="AK611" i="38"/>
  <c r="AF611" i="38" s="1"/>
  <c r="AK764" i="38"/>
  <c r="AF764" i="38" s="1"/>
  <c r="AK217" i="38"/>
  <c r="AF217" i="38" s="1"/>
  <c r="AK817" i="38"/>
  <c r="AF817" i="38" s="1"/>
  <c r="AK59" i="38"/>
  <c r="AF59" i="38" s="1"/>
  <c r="AK772" i="38"/>
  <c r="AF772" i="38" s="1"/>
  <c r="AK93" i="38"/>
  <c r="AF93" i="38" s="1"/>
  <c r="AK141" i="38"/>
  <c r="AF141" i="38" s="1"/>
  <c r="AK468" i="38"/>
  <c r="AF468" i="38" s="1"/>
  <c r="AK182" i="38"/>
  <c r="AF182" i="38" s="1"/>
  <c r="AK135" i="38"/>
  <c r="AF135" i="38" s="1"/>
  <c r="AK193" i="38"/>
  <c r="AF193" i="38" s="1"/>
  <c r="AK537" i="38"/>
  <c r="AF537" i="38" s="1"/>
  <c r="AK754" i="38"/>
  <c r="AF754" i="38" s="1"/>
  <c r="AK699" i="38"/>
  <c r="AF699" i="38" s="1"/>
  <c r="AK423" i="38"/>
  <c r="AF423" i="38" s="1"/>
  <c r="AK315" i="38"/>
  <c r="AF315" i="38" s="1"/>
  <c r="AK142" i="38"/>
  <c r="AF142" i="38" s="1"/>
  <c r="AK33" i="38"/>
  <c r="AF33" i="38" s="1"/>
  <c r="AK618" i="38"/>
  <c r="AF618" i="38" s="1"/>
  <c r="AK714" i="38"/>
  <c r="AF714" i="38" s="1"/>
  <c r="AK344" i="38"/>
  <c r="AF344" i="38" s="1"/>
  <c r="AK45" i="38"/>
  <c r="AF45" i="38" s="1"/>
  <c r="AK377" i="38"/>
  <c r="AF377" i="38" s="1"/>
  <c r="AK237" i="38"/>
  <c r="AF237" i="38" s="1"/>
  <c r="AK814" i="38"/>
  <c r="AF814" i="38" s="1"/>
  <c r="AK120" i="38"/>
  <c r="AF120" i="38" s="1"/>
  <c r="AK605" i="38"/>
  <c r="AF605" i="38" s="1"/>
  <c r="AK588" i="38"/>
  <c r="AF588" i="38" s="1"/>
  <c r="AK765" i="38"/>
  <c r="AF765" i="38" s="1"/>
  <c r="AK604" i="38"/>
  <c r="AF604" i="38" s="1"/>
  <c r="AK437" i="38"/>
  <c r="AF437" i="38" s="1"/>
  <c r="AK348" i="38"/>
  <c r="AF348" i="38" s="1"/>
  <c r="AK637" i="38"/>
  <c r="AF637" i="38" s="1"/>
  <c r="AK290" i="38"/>
  <c r="AF290" i="38" s="1"/>
  <c r="AK777" i="38"/>
  <c r="AF777" i="38" s="1"/>
  <c r="AK85" i="38"/>
  <c r="AF85" i="38" s="1"/>
  <c r="AK420" i="38"/>
  <c r="AF420" i="38" s="1"/>
  <c r="AK262" i="38"/>
  <c r="AF262" i="38" s="1"/>
  <c r="AK505" i="38"/>
  <c r="AF505" i="38" s="1"/>
  <c r="AK244" i="38"/>
  <c r="AF244" i="38" s="1"/>
  <c r="AK369" i="38"/>
  <c r="AF369" i="38" s="1"/>
  <c r="AK111" i="38"/>
  <c r="AF111" i="38" s="1"/>
  <c r="AK289" i="38"/>
  <c r="AF289" i="38" s="1"/>
  <c r="AK325" i="38"/>
  <c r="AF325" i="38" s="1"/>
  <c r="AK353" i="38"/>
  <c r="AF353" i="38" s="1"/>
  <c r="AK119" i="38"/>
  <c r="AF119" i="38" s="1"/>
  <c r="AK299" i="38"/>
  <c r="AF299" i="38" s="1"/>
  <c r="AK771" i="38"/>
  <c r="AF771" i="38" s="1"/>
  <c r="AK121" i="38"/>
  <c r="AF121" i="38" s="1"/>
  <c r="AK448" i="38"/>
  <c r="AF448" i="38" s="1"/>
  <c r="AK424" i="38"/>
  <c r="AF424" i="38" s="1"/>
  <c r="AK323" i="38"/>
  <c r="AF323" i="38" s="1"/>
  <c r="AK687" i="38"/>
  <c r="AF687" i="38" s="1"/>
  <c r="AK698" i="38"/>
  <c r="AF698" i="38" s="1"/>
  <c r="AK734" i="38"/>
  <c r="AF734" i="38" s="1"/>
  <c r="AK720" i="38"/>
  <c r="AF720" i="38" s="1"/>
  <c r="AK83" i="38"/>
  <c r="AF83" i="38" s="1"/>
  <c r="AK431" i="38"/>
  <c r="AF431" i="38" s="1"/>
  <c r="AK561" i="38"/>
  <c r="AF561" i="38" s="1"/>
  <c r="AK511" i="38"/>
  <c r="AF511" i="38" s="1"/>
  <c r="AK831" i="38"/>
  <c r="AF831" i="38" s="1"/>
  <c r="AK57" i="38"/>
  <c r="AF57" i="38" s="1"/>
  <c r="AK608" i="38"/>
  <c r="AF608" i="38" s="1"/>
  <c r="AK197" i="38"/>
  <c r="AF197" i="38" s="1"/>
  <c r="AK359" i="38"/>
  <c r="AF359" i="38" s="1"/>
  <c r="AK504" i="38"/>
  <c r="AF504" i="38" s="1"/>
  <c r="AK265" i="38"/>
  <c r="AF265" i="38" s="1"/>
  <c r="AK820" i="38"/>
  <c r="AF820" i="38" s="1"/>
  <c r="AK417" i="38"/>
  <c r="AF417" i="38" s="1"/>
  <c r="AK143" i="38"/>
  <c r="AF143" i="38" s="1"/>
  <c r="Z798" i="38"/>
  <c r="Z800" i="38"/>
  <c r="Z806" i="38"/>
  <c r="Z801" i="38"/>
  <c r="Z802" i="38"/>
  <c r="Z808" i="38"/>
  <c r="Z799" i="38"/>
  <c r="Z803" i="38"/>
  <c r="Z804" i="38"/>
  <c r="Z805" i="38"/>
  <c r="Z807" i="38"/>
  <c r="AK577" i="38"/>
  <c r="AF577" i="38" s="1"/>
  <c r="AK320" i="38"/>
  <c r="AF320" i="38" s="1"/>
  <c r="AK378" i="38"/>
  <c r="AF378" i="38" s="1"/>
  <c r="AK117" i="38"/>
  <c r="AF117" i="38" s="1"/>
  <c r="AK254" i="38"/>
  <c r="AF254" i="38" s="1"/>
  <c r="AK205" i="38"/>
  <c r="AF205"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kitao.mjsoftec.co.jp</author>
  </authors>
  <commentList>
    <comment ref="AP13" authorId="0" shapeId="0" xr:uid="{0856713D-2129-41D2-8551-6EFB5A4B5028}">
      <text>
        <r>
          <rPr>
            <b/>
            <sz val="9"/>
            <color indexed="81"/>
            <rFont val="MS P ゴシック"/>
            <family val="3"/>
            <charset val="128"/>
          </rPr>
          <t>左津</t>
        </r>
      </text>
    </comment>
    <comment ref="AP14" authorId="0" shapeId="0" xr:uid="{4405A8F9-E58A-4291-873A-9B3FF1EB2B26}">
      <text>
        <r>
          <rPr>
            <b/>
            <sz val="9"/>
            <color indexed="81"/>
            <rFont val="MS P ゴシック"/>
            <family val="3"/>
            <charset val="128"/>
          </rPr>
          <t>よろい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kitao.mjsoftec.co.jp</author>
  </authors>
  <commentList>
    <comment ref="B1" authorId="0" shapeId="0" xr:uid="{499FEB9E-1EF3-4C5D-A994-C7BFFC741CFF}">
      <text>
        <r>
          <rPr>
            <sz val="9"/>
            <color indexed="81"/>
            <rFont val="游ゴシック"/>
            <family val="3"/>
            <charset val="128"/>
          </rPr>
          <t>セルB2は申込書の営業所を参照
セルB3以降はB2を参照</t>
        </r>
      </text>
    </comment>
    <comment ref="H1" authorId="0" shapeId="0" xr:uid="{3FFB133B-C466-46A4-8220-EFEBABC701EF}">
      <text>
        <r>
          <rPr>
            <sz val="9"/>
            <color indexed="81"/>
            <rFont val="游ゴシック"/>
            <family val="3"/>
            <charset val="128"/>
          </rPr>
          <t>・島根２の場合はサイズにより原価率が異なるため、新聞種類+サイズの編集となる。（緑反転）
・他紙でも日本海新聞と同じ専売所の場合は原価率を日本海新聞と同一とする。（赤反転）</t>
        </r>
      </text>
    </comment>
    <comment ref="R1" authorId="0" shapeId="0" xr:uid="{8BF430B0-1198-4506-AAAF-2D21BCBFAD48}">
      <text>
        <r>
          <rPr>
            <sz val="9"/>
            <color indexed="81"/>
            <rFont val="游ゴシック"/>
            <family val="3"/>
            <charset val="128"/>
          </rPr>
          <t>受注先に支店等が有れば、0(本店) 1(XX支店)のように使用可能</t>
        </r>
      </text>
    </comment>
    <comment ref="S1" authorId="0" shapeId="0" xr:uid="{ADCAAB0B-A90D-4393-BB26-11C22FA600CB}">
      <text>
        <r>
          <rPr>
            <sz val="9"/>
            <color indexed="81"/>
            <rFont val="游ゴシック"/>
            <family val="3"/>
            <charset val="128"/>
          </rPr>
          <t>濃いグレー反転は任意項目</t>
        </r>
      </text>
    </comment>
    <comment ref="AK1" authorId="0" shapeId="0" xr:uid="{71171334-532D-42B9-97AF-91A4E3FEFC46}">
      <text>
        <r>
          <rPr>
            <sz val="9"/>
            <color indexed="81"/>
            <rFont val="游ゴシック"/>
            <family val="3"/>
            <charset val="128"/>
          </rPr>
          <t>代理店(◎)付加判定方法（代理店扱いとして原価率を下げるための判定）
１．申込書シートの社内入力欄（代理店）が空白の場合、付かない。
２．申込書シートの社内入力欄（代理店）が◎の場合、以下の判定を行う。
　　・日本海新聞(セルD列)は◎
　　・日本海新聞(セルD列)と同じ販売店コードは◎
　　・島根の日本海新聞(セルD列)も◎
　　・兵庫の日本海新聞(セルD列)は付かない
　　・岡山の日本海新聞(セルD列)は付かない。
　　・本部、中部、西部のそれぞれ管轄地域以外は折込依頼票を
　　　出力しないため判定の対処を不要とする
　　・大阪の日本海新聞(セルD列)は付かない。</t>
        </r>
      </text>
    </comment>
    <comment ref="AR1" authorId="0" shapeId="0" xr:uid="{C12930BD-458C-470C-A180-23A51C66ECDF}">
      <text>
        <r>
          <rPr>
            <sz val="9"/>
            <color indexed="81"/>
            <rFont val="MS P ゴシック"/>
            <family val="3"/>
            <charset val="128"/>
          </rPr>
          <t xml:space="preserve">新聞名と内訳部数は折込依頼表で使用する
</t>
        </r>
      </text>
    </comment>
    <comment ref="A977" authorId="0" shapeId="0" xr:uid="{EFE2966B-0EC8-42C9-AEA7-33A99ABA2834}">
      <text>
        <r>
          <rPr>
            <sz val="9"/>
            <color indexed="81"/>
            <rFont val="MS P ゴシック"/>
            <family val="3"/>
            <charset val="128"/>
          </rPr>
          <t>外部連携アプリの受注データのキー項目のため数値必須</t>
        </r>
      </text>
    </comment>
    <comment ref="AE977" authorId="0" shapeId="0" xr:uid="{8D5871BC-85E1-4C98-9CAC-9405B1BA8037}">
      <text>
        <r>
          <rPr>
            <sz val="9"/>
            <color indexed="81"/>
            <rFont val="MS P ゴシック"/>
            <family val="3"/>
            <charset val="128"/>
          </rPr>
          <t>検索クエリーの条件に使用するため数値必須</t>
        </r>
      </text>
    </comment>
    <comment ref="AG977" authorId="0" shapeId="0" xr:uid="{06F09529-FD45-44CB-8463-D3817E2A2A39}">
      <text>
        <r>
          <rPr>
            <sz val="9"/>
            <color indexed="81"/>
            <rFont val="MS P ゴシック"/>
            <family val="3"/>
            <charset val="128"/>
          </rPr>
          <t>検索クエリーの条件に使用するため数値必須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kitao.mjsoftec.co.jp</author>
  </authors>
  <commentList>
    <comment ref="C1" authorId="0" shapeId="0" xr:uid="{BFDE6D93-137F-4C6B-8011-EB5BB85458EC}">
      <text>
        <r>
          <rPr>
            <b/>
            <sz val="9"/>
            <color indexed="81"/>
            <rFont val="MS P ゴシック"/>
            <family val="3"/>
            <charset val="128"/>
          </rPr>
          <t xml:space="preserve">日本海新聞を扱う販売店は1、以外は0を設定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kitao.mjsoftec.co.jp</author>
  </authors>
  <commentList>
    <comment ref="R2" authorId="0" shapeId="0" xr:uid="{9F7BDA85-2D44-4BEC-8685-311DB7F652ED}">
      <text>
        <r>
          <rPr>
            <sz val="9"/>
            <color indexed="81"/>
            <rFont val="MS P ゴシック"/>
            <family val="3"/>
            <charset val="128"/>
          </rPr>
          <t>追加時はこの行の左に挿入してください。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kitao.mjsoftec.co.jp</author>
  </authors>
  <commentList>
    <comment ref="I2" authorId="0" shapeId="0" xr:uid="{DEA3CFB8-1C2A-4626-AAF9-3C1A6B491694}">
      <text>
        <r>
          <rPr>
            <sz val="9"/>
            <color indexed="81"/>
            <rFont val="MS P ゴシック"/>
            <family val="3"/>
            <charset val="128"/>
          </rPr>
          <t>追加時はこの行の左に挿入してください。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<sst xmlns="http://schemas.openxmlformats.org/spreadsheetml/2006/main" count="15721" uniqueCount="1689">
  <si>
    <t>折　込　部　数　明　細　書</t>
    <rPh sb="0" eb="1">
      <t>オリ</t>
    </rPh>
    <rPh sb="2" eb="3">
      <t>コミ</t>
    </rPh>
    <rPh sb="4" eb="5">
      <t>ブ</t>
    </rPh>
    <rPh sb="6" eb="7">
      <t>カズ</t>
    </rPh>
    <rPh sb="8" eb="9">
      <t>メイ</t>
    </rPh>
    <rPh sb="10" eb="11">
      <t>ホソ</t>
    </rPh>
    <rPh sb="12" eb="13">
      <t>ショ</t>
    </rPh>
    <phoneticPr fontId="15"/>
  </si>
  <si>
    <t>広告主名</t>
    <rPh sb="0" eb="3">
      <t>コウコクヌシ</t>
    </rPh>
    <rPh sb="3" eb="4">
      <t>メイ</t>
    </rPh>
    <phoneticPr fontId="15"/>
  </si>
  <si>
    <t>請求先名</t>
    <rPh sb="0" eb="2">
      <t>セイキュウ</t>
    </rPh>
    <rPh sb="2" eb="3">
      <t>サキ</t>
    </rPh>
    <rPh sb="3" eb="4">
      <t>ナ</t>
    </rPh>
    <phoneticPr fontId="15"/>
  </si>
  <si>
    <t>折込部数</t>
    <rPh sb="0" eb="2">
      <t>オリコミ</t>
    </rPh>
    <rPh sb="2" eb="4">
      <t>ブスウ</t>
    </rPh>
    <phoneticPr fontId="15"/>
  </si>
  <si>
    <t>折込日</t>
    <rPh sb="0" eb="2">
      <t>オリコミ</t>
    </rPh>
    <rPh sb="2" eb="3">
      <t>ビ</t>
    </rPh>
    <phoneticPr fontId="15"/>
  </si>
  <si>
    <t>市郡別</t>
    <rPh sb="0" eb="1">
      <t>シ</t>
    </rPh>
    <rPh sb="1" eb="2">
      <t>グン</t>
    </rPh>
    <rPh sb="2" eb="3">
      <t>ベツ</t>
    </rPh>
    <phoneticPr fontId="15"/>
  </si>
  <si>
    <t>日本海</t>
    <rPh sb="0" eb="2">
      <t>ニホン</t>
    </rPh>
    <rPh sb="2" eb="3">
      <t>カイ</t>
    </rPh>
    <phoneticPr fontId="15"/>
  </si>
  <si>
    <t>朝　　日</t>
    <rPh sb="0" eb="1">
      <t>アサ</t>
    </rPh>
    <rPh sb="3" eb="4">
      <t>ヒ</t>
    </rPh>
    <phoneticPr fontId="15"/>
  </si>
  <si>
    <t>読　　売</t>
    <rPh sb="0" eb="1">
      <t>ドク</t>
    </rPh>
    <rPh sb="3" eb="4">
      <t>バイ</t>
    </rPh>
    <phoneticPr fontId="15"/>
  </si>
  <si>
    <t>毎　　日</t>
    <rPh sb="0" eb="1">
      <t>マイ</t>
    </rPh>
    <rPh sb="3" eb="4">
      <t>ヒ</t>
    </rPh>
    <phoneticPr fontId="15"/>
  </si>
  <si>
    <t>山陰中央</t>
    <rPh sb="0" eb="2">
      <t>サンイン</t>
    </rPh>
    <rPh sb="2" eb="4">
      <t>チュウオウ</t>
    </rPh>
    <phoneticPr fontId="15"/>
  </si>
  <si>
    <t>日　　経</t>
    <rPh sb="0" eb="1">
      <t>ヒ</t>
    </rPh>
    <rPh sb="3" eb="4">
      <t>キョウ</t>
    </rPh>
    <phoneticPr fontId="15"/>
  </si>
  <si>
    <t>定数合計</t>
    <rPh sb="0" eb="2">
      <t>テイスウ</t>
    </rPh>
    <rPh sb="2" eb="4">
      <t>ゴウケイ</t>
    </rPh>
    <phoneticPr fontId="15"/>
  </si>
  <si>
    <t>配布数合計</t>
    <rPh sb="0" eb="2">
      <t>ハイフ</t>
    </rPh>
    <rPh sb="2" eb="3">
      <t>スウ</t>
    </rPh>
    <rPh sb="3" eb="5">
      <t>ゴウケイ</t>
    </rPh>
    <phoneticPr fontId="15"/>
  </si>
  <si>
    <t>定　数</t>
    <rPh sb="0" eb="1">
      <t>サダム</t>
    </rPh>
    <rPh sb="2" eb="3">
      <t>カズ</t>
    </rPh>
    <phoneticPr fontId="15"/>
  </si>
  <si>
    <t>配布部数</t>
    <rPh sb="0" eb="2">
      <t>ハイフ</t>
    </rPh>
    <rPh sb="2" eb="4">
      <t>ブスウ</t>
    </rPh>
    <phoneticPr fontId="15"/>
  </si>
  <si>
    <t>八頭郡</t>
    <rPh sb="0" eb="3">
      <t>ヤズグン</t>
    </rPh>
    <phoneticPr fontId="15"/>
  </si>
  <si>
    <t>岩美郡</t>
    <rPh sb="0" eb="3">
      <t>イワミグン</t>
    </rPh>
    <phoneticPr fontId="15"/>
  </si>
  <si>
    <t>東部合計</t>
    <rPh sb="0" eb="2">
      <t>トウブ</t>
    </rPh>
    <rPh sb="2" eb="4">
      <t>ゴウケイ</t>
    </rPh>
    <phoneticPr fontId="15"/>
  </si>
  <si>
    <t>倉吉市</t>
    <rPh sb="0" eb="3">
      <t>クラヨシシ</t>
    </rPh>
    <phoneticPr fontId="15"/>
  </si>
  <si>
    <t>東伯郡</t>
    <rPh sb="0" eb="3">
      <t>トウハクグン</t>
    </rPh>
    <phoneticPr fontId="15"/>
  </si>
  <si>
    <t>中部合計</t>
    <rPh sb="0" eb="2">
      <t>チュウブ</t>
    </rPh>
    <rPh sb="2" eb="4">
      <t>ゴウケイ</t>
    </rPh>
    <phoneticPr fontId="15"/>
  </si>
  <si>
    <t>米子市</t>
    <rPh sb="0" eb="3">
      <t>ヨナゴシ</t>
    </rPh>
    <phoneticPr fontId="15"/>
  </si>
  <si>
    <t>西伯郡</t>
    <rPh sb="0" eb="3">
      <t>サイハクグン</t>
    </rPh>
    <phoneticPr fontId="15"/>
  </si>
  <si>
    <t>日野郡</t>
    <rPh sb="0" eb="2">
      <t>ヒノ</t>
    </rPh>
    <rPh sb="2" eb="3">
      <t>グン</t>
    </rPh>
    <phoneticPr fontId="15"/>
  </si>
  <si>
    <t>境港市</t>
    <rPh sb="0" eb="3">
      <t>サカイミナトシ</t>
    </rPh>
    <phoneticPr fontId="15"/>
  </si>
  <si>
    <t>西部合計</t>
    <rPh sb="0" eb="2">
      <t>セイブ</t>
    </rPh>
    <rPh sb="2" eb="4">
      <t>ゴウケイ</t>
    </rPh>
    <phoneticPr fontId="15"/>
  </si>
  <si>
    <t>鳥取県合計</t>
    <rPh sb="0" eb="3">
      <t>トットリケン</t>
    </rPh>
    <rPh sb="3" eb="5">
      <t>ゴウケイ</t>
    </rPh>
    <phoneticPr fontId="15"/>
  </si>
  <si>
    <t>①-市郡別部数</t>
    <rPh sb="2" eb="3">
      <t>シ</t>
    </rPh>
    <rPh sb="3" eb="4">
      <t>グン</t>
    </rPh>
    <rPh sb="4" eb="5">
      <t>ベツ</t>
    </rPh>
    <rPh sb="5" eb="7">
      <t>ブスウ</t>
    </rPh>
    <phoneticPr fontId="15"/>
  </si>
  <si>
    <t>旧鳥取市</t>
    <rPh sb="0" eb="1">
      <t>キュウ</t>
    </rPh>
    <rPh sb="1" eb="4">
      <t>トットリシ</t>
    </rPh>
    <phoneticPr fontId="15"/>
  </si>
  <si>
    <t>新鳥取市</t>
    <rPh sb="0" eb="1">
      <t>シン</t>
    </rPh>
    <rPh sb="1" eb="4">
      <t>トットリシ</t>
    </rPh>
    <phoneticPr fontId="15"/>
  </si>
  <si>
    <t>旧気高郡</t>
    <rPh sb="0" eb="1">
      <t>キュウ</t>
    </rPh>
    <rPh sb="1" eb="4">
      <t>ケタカグン</t>
    </rPh>
    <phoneticPr fontId="15"/>
  </si>
  <si>
    <t>旧岩美郡（福部）</t>
    <rPh sb="0" eb="1">
      <t>キュウ</t>
    </rPh>
    <rPh sb="1" eb="3">
      <t>イワミ</t>
    </rPh>
    <rPh sb="3" eb="4">
      <t>グン</t>
    </rPh>
    <rPh sb="5" eb="7">
      <t>フクベ</t>
    </rPh>
    <phoneticPr fontId="15"/>
  </si>
  <si>
    <t>旧八頭郡</t>
    <rPh sb="0" eb="1">
      <t>キュウ</t>
    </rPh>
    <rPh sb="1" eb="4">
      <t>ヤズグン</t>
    </rPh>
    <phoneticPr fontId="15"/>
  </si>
  <si>
    <t>鳥取市合計</t>
    <rPh sb="0" eb="3">
      <t>トットリシ</t>
    </rPh>
    <rPh sb="3" eb="5">
      <t>ゴウケイ</t>
    </rPh>
    <phoneticPr fontId="15"/>
  </si>
  <si>
    <t>香美町</t>
    <rPh sb="0" eb="1">
      <t>カオ</t>
    </rPh>
    <rPh sb="1" eb="2">
      <t>ビ</t>
    </rPh>
    <rPh sb="2" eb="3">
      <t>チョウ</t>
    </rPh>
    <phoneticPr fontId="15"/>
  </si>
  <si>
    <t>美方</t>
    <rPh sb="0" eb="2">
      <t>ミカタ</t>
    </rPh>
    <phoneticPr fontId="15"/>
  </si>
  <si>
    <t>村岡</t>
    <rPh sb="0" eb="2">
      <t>ムラオカ</t>
    </rPh>
    <phoneticPr fontId="15"/>
  </si>
  <si>
    <t>香住</t>
    <rPh sb="0" eb="2">
      <t>カスミ</t>
    </rPh>
    <phoneticPr fontId="15"/>
  </si>
  <si>
    <t>兵庫県合計</t>
    <rPh sb="0" eb="3">
      <t>ヒョウゴケン</t>
    </rPh>
    <rPh sb="3" eb="5">
      <t>ゴウケイ</t>
    </rPh>
    <phoneticPr fontId="15"/>
  </si>
  <si>
    <t>浜坂温泉町</t>
    <rPh sb="0" eb="2">
      <t>ハマサカ</t>
    </rPh>
    <rPh sb="2" eb="4">
      <t>オンセン</t>
    </rPh>
    <rPh sb="4" eb="5">
      <t>マチ</t>
    </rPh>
    <phoneticPr fontId="15"/>
  </si>
  <si>
    <t>島根</t>
    <rPh sb="0" eb="2">
      <t>シマネ</t>
    </rPh>
    <phoneticPr fontId="15"/>
  </si>
  <si>
    <t>岡山</t>
    <rPh sb="0" eb="2">
      <t>オカヤマ</t>
    </rPh>
    <phoneticPr fontId="15"/>
  </si>
  <si>
    <t>神戸</t>
    <rPh sb="0" eb="2">
      <t>コウベ</t>
    </rPh>
    <phoneticPr fontId="15"/>
  </si>
  <si>
    <t>合　　配</t>
    <rPh sb="0" eb="1">
      <t>ゴウ</t>
    </rPh>
    <rPh sb="3" eb="4">
      <t>クバ</t>
    </rPh>
    <phoneticPr fontId="15"/>
  </si>
  <si>
    <t>②-鳥取市（旧鳥取市）</t>
    <rPh sb="2" eb="5">
      <t>トットリシ</t>
    </rPh>
    <rPh sb="6" eb="7">
      <t>キュウ</t>
    </rPh>
    <rPh sb="7" eb="10">
      <t>トットリシ</t>
    </rPh>
    <phoneticPr fontId="15"/>
  </si>
  <si>
    <t>東部地区</t>
    <rPh sb="0" eb="2">
      <t>トウブ</t>
    </rPh>
    <rPh sb="2" eb="4">
      <t>チク</t>
    </rPh>
    <phoneticPr fontId="15"/>
  </si>
  <si>
    <t>市　郡　別</t>
    <rPh sb="0" eb="1">
      <t>シ</t>
    </rPh>
    <rPh sb="2" eb="3">
      <t>グン</t>
    </rPh>
    <rPh sb="4" eb="5">
      <t>ベツ</t>
    </rPh>
    <phoneticPr fontId="15"/>
  </si>
  <si>
    <t>区　　　域</t>
    <rPh sb="0" eb="1">
      <t>ク</t>
    </rPh>
    <rPh sb="4" eb="5">
      <t>イキ</t>
    </rPh>
    <phoneticPr fontId="15"/>
  </si>
  <si>
    <t>中央</t>
    <rPh sb="0" eb="2">
      <t>チュウオウ</t>
    </rPh>
    <phoneticPr fontId="15"/>
  </si>
  <si>
    <t>西</t>
    <rPh sb="0" eb="1">
      <t>ニシ</t>
    </rPh>
    <phoneticPr fontId="15"/>
  </si>
  <si>
    <t>久松</t>
    <rPh sb="0" eb="2">
      <t>キュウショウ</t>
    </rPh>
    <phoneticPr fontId="15"/>
  </si>
  <si>
    <t>城南</t>
    <rPh sb="0" eb="2">
      <t>ジョウナン</t>
    </rPh>
    <phoneticPr fontId="15"/>
  </si>
  <si>
    <t>明徳</t>
    <rPh sb="0" eb="2">
      <t>メイトク</t>
    </rPh>
    <phoneticPr fontId="15"/>
  </si>
  <si>
    <t>北</t>
    <rPh sb="0" eb="1">
      <t>キタ</t>
    </rPh>
    <phoneticPr fontId="15"/>
  </si>
  <si>
    <t>城北</t>
    <rPh sb="0" eb="2">
      <t>ジョウホク</t>
    </rPh>
    <phoneticPr fontId="15"/>
  </si>
  <si>
    <t>城西</t>
    <rPh sb="0" eb="2">
      <t>ジョウサイ</t>
    </rPh>
    <phoneticPr fontId="15"/>
  </si>
  <si>
    <t>東</t>
    <rPh sb="0" eb="1">
      <t>ヒガシ</t>
    </rPh>
    <phoneticPr fontId="15"/>
  </si>
  <si>
    <t>南</t>
    <rPh sb="0" eb="1">
      <t>ミナミ</t>
    </rPh>
    <phoneticPr fontId="15"/>
  </si>
  <si>
    <t>美保</t>
    <rPh sb="0" eb="2">
      <t>ミホ</t>
    </rPh>
    <phoneticPr fontId="15"/>
  </si>
  <si>
    <t>城東</t>
    <rPh sb="0" eb="2">
      <t>ジョウトウ</t>
    </rPh>
    <phoneticPr fontId="15"/>
  </si>
  <si>
    <t>津ノ井</t>
    <rPh sb="0" eb="1">
      <t>ツ</t>
    </rPh>
    <rPh sb="2" eb="3">
      <t>イ</t>
    </rPh>
    <phoneticPr fontId="15"/>
  </si>
  <si>
    <t>賀露</t>
    <rPh sb="0" eb="2">
      <t>カロ</t>
    </rPh>
    <phoneticPr fontId="15"/>
  </si>
  <si>
    <t>湖山西</t>
    <rPh sb="0" eb="2">
      <t>コヤマ</t>
    </rPh>
    <rPh sb="2" eb="3">
      <t>ニシ</t>
    </rPh>
    <phoneticPr fontId="15"/>
  </si>
  <si>
    <t>湖山東</t>
    <rPh sb="0" eb="2">
      <t>コヤマ</t>
    </rPh>
    <rPh sb="2" eb="3">
      <t>ヒガシ</t>
    </rPh>
    <phoneticPr fontId="15"/>
  </si>
  <si>
    <t>末恒</t>
    <rPh sb="0" eb="2">
      <t>スエツネ</t>
    </rPh>
    <phoneticPr fontId="15"/>
  </si>
  <si>
    <t>湖南</t>
    <rPh sb="0" eb="2">
      <t>コナン</t>
    </rPh>
    <phoneticPr fontId="15"/>
  </si>
  <si>
    <t>高草</t>
    <rPh sb="0" eb="2">
      <t>タカクサ</t>
    </rPh>
    <phoneticPr fontId="15"/>
  </si>
  <si>
    <t>美和</t>
    <rPh sb="0" eb="2">
      <t>ミワ</t>
    </rPh>
    <phoneticPr fontId="15"/>
  </si>
  <si>
    <t>国府</t>
    <rPh sb="0" eb="2">
      <t>コクフ</t>
    </rPh>
    <phoneticPr fontId="15"/>
  </si>
  <si>
    <t>③-八頭郡・鳥取市（旧八頭郡・旧岩美郡・旧気高郡）</t>
    <rPh sb="2" eb="5">
      <t>ヤズグン</t>
    </rPh>
    <rPh sb="6" eb="9">
      <t>トットリシ</t>
    </rPh>
    <rPh sb="10" eb="11">
      <t>キュウ</t>
    </rPh>
    <rPh sb="11" eb="14">
      <t>ヤズグン</t>
    </rPh>
    <rPh sb="15" eb="16">
      <t>キュウ</t>
    </rPh>
    <rPh sb="16" eb="19">
      <t>イワミグン</t>
    </rPh>
    <rPh sb="20" eb="21">
      <t>キュウ</t>
    </rPh>
    <rPh sb="21" eb="24">
      <t>ケタカグン</t>
    </rPh>
    <phoneticPr fontId="15"/>
  </si>
  <si>
    <t>郡家</t>
    <rPh sb="0" eb="2">
      <t>コオゲ</t>
    </rPh>
    <phoneticPr fontId="15"/>
  </si>
  <si>
    <t>船岡</t>
    <rPh sb="0" eb="2">
      <t>フナオカ</t>
    </rPh>
    <phoneticPr fontId="15"/>
  </si>
  <si>
    <t>丹比</t>
    <rPh sb="0" eb="2">
      <t>タンピ</t>
    </rPh>
    <phoneticPr fontId="15"/>
  </si>
  <si>
    <t>若桜</t>
    <rPh sb="0" eb="2">
      <t>ワカサ</t>
    </rPh>
    <phoneticPr fontId="15"/>
  </si>
  <si>
    <t>八頭郡若桜町</t>
    <rPh sb="0" eb="3">
      <t>ヤズグン</t>
    </rPh>
    <rPh sb="3" eb="6">
      <t>ワカサチョウ</t>
    </rPh>
    <phoneticPr fontId="15"/>
  </si>
  <si>
    <t>河原</t>
    <rPh sb="0" eb="2">
      <t>カワハラ</t>
    </rPh>
    <phoneticPr fontId="15"/>
  </si>
  <si>
    <t>八上</t>
    <rPh sb="0" eb="2">
      <t>ヤカミ</t>
    </rPh>
    <phoneticPr fontId="15"/>
  </si>
  <si>
    <t>用瀬</t>
    <rPh sb="0" eb="2">
      <t>モチガセ</t>
    </rPh>
    <phoneticPr fontId="15"/>
  </si>
  <si>
    <t>佐治</t>
    <rPh sb="0" eb="2">
      <t>サジ</t>
    </rPh>
    <phoneticPr fontId="15"/>
  </si>
  <si>
    <t>八頭郡智頭町</t>
    <rPh sb="0" eb="3">
      <t>ヤズグン</t>
    </rPh>
    <rPh sb="3" eb="6">
      <t>チズチョウ</t>
    </rPh>
    <phoneticPr fontId="15"/>
  </si>
  <si>
    <t>福部</t>
    <rPh sb="0" eb="2">
      <t>フクベ</t>
    </rPh>
    <phoneticPr fontId="15"/>
  </si>
  <si>
    <t>岩美北</t>
    <rPh sb="0" eb="2">
      <t>イワミ</t>
    </rPh>
    <rPh sb="2" eb="3">
      <t>キタ</t>
    </rPh>
    <phoneticPr fontId="15"/>
  </si>
  <si>
    <t>岩美南</t>
    <rPh sb="0" eb="2">
      <t>イワミ</t>
    </rPh>
    <rPh sb="2" eb="3">
      <t>ミナミ</t>
    </rPh>
    <phoneticPr fontId="15"/>
  </si>
  <si>
    <t>宝木</t>
    <rPh sb="0" eb="2">
      <t>ホウギ</t>
    </rPh>
    <phoneticPr fontId="15"/>
  </si>
  <si>
    <t>浜村</t>
    <rPh sb="0" eb="2">
      <t>ハマムラ</t>
    </rPh>
    <phoneticPr fontId="15"/>
  </si>
  <si>
    <t>鹿野</t>
    <rPh sb="0" eb="2">
      <t>シカノ</t>
    </rPh>
    <phoneticPr fontId="15"/>
  </si>
  <si>
    <t>青谷</t>
    <rPh sb="0" eb="2">
      <t>アオヤ</t>
    </rPh>
    <phoneticPr fontId="15"/>
  </si>
  <si>
    <t>④ｰ倉吉市・東伯郡・岡山県</t>
    <rPh sb="2" eb="5">
      <t>クラヨシシ</t>
    </rPh>
    <rPh sb="6" eb="9">
      <t>トウハクグン</t>
    </rPh>
    <rPh sb="10" eb="13">
      <t>オカヤマケン</t>
    </rPh>
    <phoneticPr fontId="15"/>
  </si>
  <si>
    <t>中部地区</t>
    <rPh sb="0" eb="2">
      <t>チュウブ</t>
    </rPh>
    <rPh sb="2" eb="4">
      <t>チク</t>
    </rPh>
    <phoneticPr fontId="15"/>
  </si>
  <si>
    <t>東伯郡三朝町</t>
    <rPh sb="0" eb="3">
      <t>トウハクグン</t>
    </rPh>
    <rPh sb="3" eb="6">
      <t>ミササチョウ</t>
    </rPh>
    <phoneticPr fontId="15"/>
  </si>
  <si>
    <t>東伯郡湯梨浜町</t>
    <rPh sb="0" eb="3">
      <t>トウハクグン</t>
    </rPh>
    <rPh sb="3" eb="4">
      <t>ユ</t>
    </rPh>
    <rPh sb="4" eb="5">
      <t>リ</t>
    </rPh>
    <rPh sb="5" eb="6">
      <t>ハマ</t>
    </rPh>
    <rPh sb="6" eb="7">
      <t>チョウ</t>
    </rPh>
    <phoneticPr fontId="15"/>
  </si>
  <si>
    <t>（旧東郷町・泊村・羽合町）</t>
    <rPh sb="1" eb="2">
      <t>キュウ</t>
    </rPh>
    <rPh sb="2" eb="4">
      <t>トウゴウ</t>
    </rPh>
    <rPh sb="4" eb="5">
      <t>マチ</t>
    </rPh>
    <rPh sb="6" eb="7">
      <t>トマリ</t>
    </rPh>
    <rPh sb="7" eb="8">
      <t>ソン</t>
    </rPh>
    <rPh sb="9" eb="12">
      <t>ハワイチョウ</t>
    </rPh>
    <phoneticPr fontId="15"/>
  </si>
  <si>
    <t>東伯郡琴浦町</t>
    <rPh sb="0" eb="3">
      <t>トウハクグン</t>
    </rPh>
    <rPh sb="3" eb="6">
      <t>コトウラチョウ</t>
    </rPh>
    <phoneticPr fontId="15"/>
  </si>
  <si>
    <t>岡山県</t>
    <rPh sb="0" eb="3">
      <t>オカヤマケン</t>
    </rPh>
    <phoneticPr fontId="15"/>
  </si>
  <si>
    <t>上斉原</t>
    <rPh sb="0" eb="1">
      <t>カミ</t>
    </rPh>
    <rPh sb="1" eb="2">
      <t>サイ</t>
    </rPh>
    <rPh sb="2" eb="3">
      <t>ハラ</t>
    </rPh>
    <phoneticPr fontId="15"/>
  </si>
  <si>
    <t>※倉吉市灘手地区は大栄販売店の取り扱いとなります。</t>
    <rPh sb="1" eb="4">
      <t>クラヨシシ</t>
    </rPh>
    <rPh sb="4" eb="5">
      <t>ナダ</t>
    </rPh>
    <rPh sb="5" eb="6">
      <t>テ</t>
    </rPh>
    <rPh sb="6" eb="8">
      <t>チク</t>
    </rPh>
    <rPh sb="9" eb="11">
      <t>ダイエイ</t>
    </rPh>
    <rPh sb="11" eb="13">
      <t>ハンバイ</t>
    </rPh>
    <rPh sb="13" eb="14">
      <t>テン</t>
    </rPh>
    <rPh sb="15" eb="16">
      <t>ト</t>
    </rPh>
    <rPh sb="17" eb="18">
      <t>アツカ</t>
    </rPh>
    <phoneticPr fontId="15"/>
  </si>
  <si>
    <t>⑤-米子市</t>
    <rPh sb="2" eb="5">
      <t>ヨナゴシ</t>
    </rPh>
    <phoneticPr fontId="15"/>
  </si>
  <si>
    <t>西部地区</t>
    <rPh sb="0" eb="2">
      <t>セイブ</t>
    </rPh>
    <rPh sb="2" eb="4">
      <t>チク</t>
    </rPh>
    <phoneticPr fontId="15"/>
  </si>
  <si>
    <t>河崎</t>
    <rPh sb="0" eb="2">
      <t>カワサキ</t>
    </rPh>
    <phoneticPr fontId="15"/>
  </si>
  <si>
    <t>錦海</t>
    <rPh sb="0" eb="1">
      <t>ニシキ</t>
    </rPh>
    <rPh sb="1" eb="2">
      <t>ウミ</t>
    </rPh>
    <phoneticPr fontId="15"/>
  </si>
  <si>
    <t>旗ケ崎</t>
    <rPh sb="0" eb="1">
      <t>ハタ</t>
    </rPh>
    <rPh sb="2" eb="3">
      <t>サキ</t>
    </rPh>
    <phoneticPr fontId="15"/>
  </si>
  <si>
    <t>皆生</t>
    <rPh sb="0" eb="2">
      <t>カイケ</t>
    </rPh>
    <phoneticPr fontId="15"/>
  </si>
  <si>
    <t>福原</t>
    <rPh sb="0" eb="2">
      <t>フクハラ</t>
    </rPh>
    <phoneticPr fontId="15"/>
  </si>
  <si>
    <t>両三柳</t>
    <rPh sb="0" eb="1">
      <t>リョウ</t>
    </rPh>
    <rPh sb="1" eb="2">
      <t>サン</t>
    </rPh>
    <rPh sb="2" eb="3">
      <t>ヤナギ</t>
    </rPh>
    <phoneticPr fontId="15"/>
  </si>
  <si>
    <t>米子市旧市内</t>
    <rPh sb="0" eb="2">
      <t>ヨナゴ</t>
    </rPh>
    <rPh sb="2" eb="3">
      <t>シ</t>
    </rPh>
    <rPh sb="3" eb="4">
      <t>キュウ</t>
    </rPh>
    <rPh sb="4" eb="6">
      <t>シナイ</t>
    </rPh>
    <phoneticPr fontId="15"/>
  </si>
  <si>
    <t>米子市新市内</t>
    <rPh sb="0" eb="3">
      <t>ヨナゴシ</t>
    </rPh>
    <rPh sb="3" eb="4">
      <t>シン</t>
    </rPh>
    <rPh sb="4" eb="6">
      <t>シナイ</t>
    </rPh>
    <phoneticPr fontId="15"/>
  </si>
  <si>
    <t>（弓浜半島）</t>
    <rPh sb="1" eb="2">
      <t>ユミ</t>
    </rPh>
    <rPh sb="2" eb="3">
      <t>ハマ</t>
    </rPh>
    <rPh sb="3" eb="5">
      <t>ハントウ</t>
    </rPh>
    <phoneticPr fontId="15"/>
  </si>
  <si>
    <t>彦名</t>
    <rPh sb="0" eb="1">
      <t>ヒコ</t>
    </rPh>
    <rPh sb="1" eb="2">
      <t>ナ</t>
    </rPh>
    <phoneticPr fontId="15"/>
  </si>
  <si>
    <t>弓ケ浜</t>
    <rPh sb="0" eb="1">
      <t>ユミ</t>
    </rPh>
    <rPh sb="2" eb="3">
      <t>ハマ</t>
    </rPh>
    <phoneticPr fontId="15"/>
  </si>
  <si>
    <t>崎津</t>
    <rPh sb="0" eb="1">
      <t>サキ</t>
    </rPh>
    <rPh sb="1" eb="2">
      <t>ツ</t>
    </rPh>
    <phoneticPr fontId="15"/>
  </si>
  <si>
    <t>和田</t>
    <rPh sb="0" eb="2">
      <t>ワダ</t>
    </rPh>
    <phoneticPr fontId="15"/>
  </si>
  <si>
    <t>大篠津</t>
    <rPh sb="0" eb="1">
      <t>オオ</t>
    </rPh>
    <rPh sb="1" eb="3">
      <t>シノツ</t>
    </rPh>
    <phoneticPr fontId="15"/>
  </si>
  <si>
    <t>米子市・日吉津村</t>
    <rPh sb="0" eb="3">
      <t>ヨナゴシ</t>
    </rPh>
    <rPh sb="4" eb="8">
      <t>ヒエヅソン</t>
    </rPh>
    <phoneticPr fontId="15"/>
  </si>
  <si>
    <t>春日</t>
    <rPh sb="0" eb="2">
      <t>カスガ</t>
    </rPh>
    <phoneticPr fontId="15"/>
  </si>
  <si>
    <t>淀江</t>
    <rPh sb="0" eb="2">
      <t>ヨドエ</t>
    </rPh>
    <phoneticPr fontId="15"/>
  </si>
  <si>
    <t>中部</t>
    <rPh sb="0" eb="2">
      <t>チュウブ</t>
    </rPh>
    <phoneticPr fontId="15"/>
  </si>
  <si>
    <t>⑥ｰ西伯郡・日野郡</t>
    <rPh sb="2" eb="5">
      <t>サイハクグン</t>
    </rPh>
    <rPh sb="6" eb="8">
      <t>ヒノ</t>
    </rPh>
    <rPh sb="8" eb="9">
      <t>グン</t>
    </rPh>
    <phoneticPr fontId="15"/>
  </si>
  <si>
    <t>西伯郡大山町</t>
    <rPh sb="0" eb="3">
      <t>サイハクグン</t>
    </rPh>
    <rPh sb="3" eb="5">
      <t>ダイセン</t>
    </rPh>
    <rPh sb="5" eb="6">
      <t>チョウ</t>
    </rPh>
    <phoneticPr fontId="15"/>
  </si>
  <si>
    <t>西伯郡南部町</t>
    <rPh sb="0" eb="3">
      <t>サイハクグン</t>
    </rPh>
    <rPh sb="3" eb="6">
      <t>ナンブチョウ</t>
    </rPh>
    <phoneticPr fontId="15"/>
  </si>
  <si>
    <t>西伯郡伯耆町</t>
    <rPh sb="0" eb="3">
      <t>サイハクグン</t>
    </rPh>
    <rPh sb="3" eb="4">
      <t>ハク</t>
    </rPh>
    <rPh sb="5" eb="6">
      <t>マチ</t>
    </rPh>
    <phoneticPr fontId="15"/>
  </si>
  <si>
    <t>日野郡江府町</t>
    <rPh sb="0" eb="2">
      <t>ヒノ</t>
    </rPh>
    <rPh sb="2" eb="3">
      <t>グン</t>
    </rPh>
    <rPh sb="3" eb="6">
      <t>コウフチョウ</t>
    </rPh>
    <phoneticPr fontId="15"/>
  </si>
  <si>
    <t>日野郡日野町</t>
    <rPh sb="0" eb="2">
      <t>ヒノ</t>
    </rPh>
    <rPh sb="2" eb="3">
      <t>グン</t>
    </rPh>
    <rPh sb="3" eb="6">
      <t>ヒノチョウ</t>
    </rPh>
    <phoneticPr fontId="15"/>
  </si>
  <si>
    <t>日野郡日南町</t>
    <rPh sb="0" eb="2">
      <t>ヒノ</t>
    </rPh>
    <rPh sb="2" eb="3">
      <t>グン</t>
    </rPh>
    <rPh sb="3" eb="6">
      <t>ニチナンチョウ</t>
    </rPh>
    <phoneticPr fontId="15"/>
  </si>
  <si>
    <t>江尾</t>
    <rPh sb="0" eb="1">
      <t>エ</t>
    </rPh>
    <rPh sb="1" eb="2">
      <t>オ</t>
    </rPh>
    <phoneticPr fontId="15"/>
  </si>
  <si>
    <t>根雨</t>
    <rPh sb="0" eb="2">
      <t>ネウ</t>
    </rPh>
    <phoneticPr fontId="15"/>
  </si>
  <si>
    <t>黒坂</t>
    <rPh sb="0" eb="2">
      <t>クロサカ</t>
    </rPh>
    <phoneticPr fontId="15"/>
  </si>
  <si>
    <t>生山</t>
    <rPh sb="0" eb="1">
      <t>ショウ</t>
    </rPh>
    <rPh sb="1" eb="2">
      <t>ザン</t>
    </rPh>
    <phoneticPr fontId="15"/>
  </si>
  <si>
    <t>矢戸</t>
    <rPh sb="0" eb="1">
      <t>ヤ</t>
    </rPh>
    <rPh sb="1" eb="2">
      <t>ト</t>
    </rPh>
    <phoneticPr fontId="15"/>
  </si>
  <si>
    <t>阿毘縁</t>
    <rPh sb="0" eb="1">
      <t>ア</t>
    </rPh>
    <rPh sb="1" eb="2">
      <t>ビ</t>
    </rPh>
    <rPh sb="2" eb="3">
      <t>エン</t>
    </rPh>
    <phoneticPr fontId="15"/>
  </si>
  <si>
    <t>石見</t>
    <rPh sb="0" eb="1">
      <t>イシ</t>
    </rPh>
    <rPh sb="1" eb="2">
      <t>ミ</t>
    </rPh>
    <phoneticPr fontId="15"/>
  </si>
  <si>
    <t>⑦-境港・島根県</t>
    <rPh sb="2" eb="4">
      <t>サカイミナト</t>
    </rPh>
    <rPh sb="5" eb="7">
      <t>シマネ</t>
    </rPh>
    <rPh sb="7" eb="8">
      <t>ケン</t>
    </rPh>
    <phoneticPr fontId="15"/>
  </si>
  <si>
    <t>境港</t>
    <rPh sb="0" eb="2">
      <t>サカイミナト</t>
    </rPh>
    <phoneticPr fontId="15"/>
  </si>
  <si>
    <t>島根県</t>
    <rPh sb="0" eb="3">
      <t>シマネケン</t>
    </rPh>
    <phoneticPr fontId="15"/>
  </si>
  <si>
    <t>安来中央</t>
    <rPh sb="0" eb="2">
      <t>ヤスギ</t>
    </rPh>
    <rPh sb="2" eb="4">
      <t>チュウオウ</t>
    </rPh>
    <phoneticPr fontId="15"/>
  </si>
  <si>
    <t>広瀬</t>
    <rPh sb="0" eb="2">
      <t>ヒロセ</t>
    </rPh>
    <phoneticPr fontId="15"/>
  </si>
  <si>
    <t>美保関</t>
    <rPh sb="0" eb="3">
      <t>ミホノセキ</t>
    </rPh>
    <phoneticPr fontId="15"/>
  </si>
  <si>
    <t>松江中央</t>
    <rPh sb="0" eb="2">
      <t>マツエ</t>
    </rPh>
    <rPh sb="2" eb="4">
      <t>チュウオウ</t>
    </rPh>
    <phoneticPr fontId="15"/>
  </si>
  <si>
    <t>荒島</t>
    <rPh sb="0" eb="2">
      <t>アラシマ</t>
    </rPh>
    <phoneticPr fontId="15"/>
  </si>
  <si>
    <t>揖屋</t>
    <rPh sb="0" eb="2">
      <t>イヤ</t>
    </rPh>
    <phoneticPr fontId="15"/>
  </si>
  <si>
    <t>⑧-兵庫県美方郡</t>
    <rPh sb="2" eb="5">
      <t>ヒョウゴケン</t>
    </rPh>
    <rPh sb="5" eb="8">
      <t>ミカタグン</t>
    </rPh>
    <phoneticPr fontId="15"/>
  </si>
  <si>
    <t>北兵庫</t>
    <rPh sb="0" eb="1">
      <t>キタ</t>
    </rPh>
    <rPh sb="1" eb="3">
      <t>ヒョウゴ</t>
    </rPh>
    <phoneticPr fontId="15"/>
  </si>
  <si>
    <t>浜坂</t>
    <rPh sb="0" eb="2">
      <t>ハマサカ</t>
    </rPh>
    <phoneticPr fontId="15"/>
  </si>
  <si>
    <t>湯村</t>
    <rPh sb="0" eb="2">
      <t>ユムラ</t>
    </rPh>
    <phoneticPr fontId="15"/>
  </si>
  <si>
    <t>美方郡香美町</t>
    <rPh sb="0" eb="2">
      <t>ミカタ</t>
    </rPh>
    <rPh sb="2" eb="3">
      <t>グン</t>
    </rPh>
    <rPh sb="3" eb="4">
      <t>カオ</t>
    </rPh>
    <rPh sb="4" eb="5">
      <t>ビ</t>
    </rPh>
    <rPh sb="5" eb="6">
      <t>チョウ</t>
    </rPh>
    <phoneticPr fontId="15"/>
  </si>
  <si>
    <t>サイズ</t>
    <phoneticPr fontId="15"/>
  </si>
  <si>
    <t>旧市内計</t>
    <rPh sb="0" eb="3">
      <t>キュウシナイ</t>
    </rPh>
    <rPh sb="3" eb="4">
      <t>ケイ</t>
    </rPh>
    <phoneticPr fontId="15"/>
  </si>
  <si>
    <t>新市内計</t>
    <rPh sb="0" eb="1">
      <t>シン</t>
    </rPh>
    <rPh sb="1" eb="3">
      <t>シナイ</t>
    </rPh>
    <rPh sb="3" eb="4">
      <t>ケイ</t>
    </rPh>
    <phoneticPr fontId="15"/>
  </si>
  <si>
    <t>（旧市内配布数合計）</t>
    <rPh sb="1" eb="2">
      <t>キュウ</t>
    </rPh>
    <rPh sb="2" eb="4">
      <t>シナイ</t>
    </rPh>
    <rPh sb="4" eb="6">
      <t>ハイフ</t>
    </rPh>
    <rPh sb="6" eb="7">
      <t>カズ</t>
    </rPh>
    <rPh sb="7" eb="9">
      <t>ゴウケイ</t>
    </rPh>
    <phoneticPr fontId="15"/>
  </si>
  <si>
    <t>（新市内配布数合計）</t>
    <rPh sb="1" eb="4">
      <t>シンシナイ</t>
    </rPh>
    <rPh sb="4" eb="6">
      <t>ハイフ</t>
    </rPh>
    <rPh sb="6" eb="7">
      <t>スウ</t>
    </rPh>
    <rPh sb="7" eb="9">
      <t>ゴウケイ</t>
    </rPh>
    <phoneticPr fontId="15"/>
  </si>
  <si>
    <t>八頭郡八頭町</t>
    <rPh sb="0" eb="3">
      <t>ヤズグン</t>
    </rPh>
    <rPh sb="3" eb="5">
      <t>ハチトウ</t>
    </rPh>
    <rPh sb="5" eb="6">
      <t>マチ</t>
    </rPh>
    <phoneticPr fontId="15"/>
  </si>
  <si>
    <t>(旧北条町・大栄町）</t>
    <rPh sb="1" eb="2">
      <t>キュウ</t>
    </rPh>
    <rPh sb="2" eb="4">
      <t>ホウジョウ</t>
    </rPh>
    <rPh sb="4" eb="5">
      <t>チョウ</t>
    </rPh>
    <rPh sb="6" eb="7">
      <t>ダイ</t>
    </rPh>
    <rPh sb="7" eb="8">
      <t>エイ</t>
    </rPh>
    <rPh sb="8" eb="9">
      <t>チョウ</t>
    </rPh>
    <phoneticPr fontId="15"/>
  </si>
  <si>
    <t>美方郡新温泉町</t>
    <rPh sb="0" eb="2">
      <t>ミカタ</t>
    </rPh>
    <rPh sb="2" eb="3">
      <t>グン</t>
    </rPh>
    <rPh sb="3" eb="4">
      <t>シン</t>
    </rPh>
    <rPh sb="4" eb="7">
      <t>オンセンチョウ</t>
    </rPh>
    <phoneticPr fontId="15"/>
  </si>
  <si>
    <t>営業時間及び申し込みと搬入日時　</t>
    <rPh sb="0" eb="2">
      <t>エイギョウ</t>
    </rPh>
    <rPh sb="2" eb="4">
      <t>ジカン</t>
    </rPh>
    <rPh sb="4" eb="5">
      <t>オヨ</t>
    </rPh>
    <rPh sb="6" eb="7">
      <t>モウ</t>
    </rPh>
    <rPh sb="8" eb="9">
      <t>コ</t>
    </rPh>
    <rPh sb="11" eb="13">
      <t>ハンニュウ</t>
    </rPh>
    <rPh sb="13" eb="15">
      <t>ニチジ</t>
    </rPh>
    <phoneticPr fontId="15"/>
  </si>
  <si>
    <t>■営業時間</t>
    <rPh sb="1" eb="3">
      <t>エイギョウ</t>
    </rPh>
    <rPh sb="3" eb="5">
      <t>ジカン</t>
    </rPh>
    <phoneticPr fontId="15"/>
  </si>
  <si>
    <t>（鳥取本部）午前９時より午後５時４０分までです。</t>
    <rPh sb="1" eb="3">
      <t>トットリ</t>
    </rPh>
    <rPh sb="3" eb="5">
      <t>ホンブ</t>
    </rPh>
    <rPh sb="6" eb="8">
      <t>ゴゼン</t>
    </rPh>
    <rPh sb="9" eb="10">
      <t>ジ</t>
    </rPh>
    <rPh sb="12" eb="14">
      <t>ゴゴ</t>
    </rPh>
    <rPh sb="15" eb="16">
      <t>ジ</t>
    </rPh>
    <rPh sb="18" eb="19">
      <t>フン</t>
    </rPh>
    <phoneticPr fontId="15"/>
  </si>
  <si>
    <t>鳥取県</t>
    <rPh sb="0" eb="3">
      <t>トットリケン</t>
    </rPh>
    <phoneticPr fontId="15"/>
  </si>
  <si>
    <t>（倉吉・米子支部）午前９時より午後６時までです。</t>
    <rPh sb="1" eb="3">
      <t>クラヨシ</t>
    </rPh>
    <rPh sb="4" eb="6">
      <t>ヨナゴ</t>
    </rPh>
    <rPh sb="6" eb="8">
      <t>シブ</t>
    </rPh>
    <rPh sb="9" eb="11">
      <t>ゴゼン</t>
    </rPh>
    <rPh sb="12" eb="13">
      <t>ジ</t>
    </rPh>
    <rPh sb="15" eb="17">
      <t>ゴゴ</t>
    </rPh>
    <rPh sb="18" eb="19">
      <t>ジ</t>
    </rPh>
    <phoneticPr fontId="15"/>
  </si>
  <si>
    <t>浜坂・温泉</t>
    <rPh sb="0" eb="2">
      <t>ハマサカ</t>
    </rPh>
    <rPh sb="3" eb="5">
      <t>オンセン</t>
    </rPh>
    <phoneticPr fontId="15"/>
  </si>
  <si>
    <t>日曜・祝日は休みです。</t>
    <rPh sb="0" eb="2">
      <t>ニチヨウ</t>
    </rPh>
    <rPh sb="3" eb="5">
      <t>シュクジツ</t>
    </rPh>
    <rPh sb="6" eb="7">
      <t>ヤス</t>
    </rPh>
    <phoneticPr fontId="15"/>
  </si>
  <si>
    <t>■折込広告の申し込みと搬入日時</t>
    <rPh sb="1" eb="3">
      <t>オリコミ</t>
    </rPh>
    <rPh sb="3" eb="5">
      <t>コウコク</t>
    </rPh>
    <rPh sb="6" eb="7">
      <t>モウ</t>
    </rPh>
    <rPh sb="8" eb="9">
      <t>コ</t>
    </rPh>
    <rPh sb="11" eb="13">
      <t>ハンニュウ</t>
    </rPh>
    <rPh sb="13" eb="15">
      <t>ニチジ</t>
    </rPh>
    <phoneticPr fontId="15"/>
  </si>
  <si>
    <t>鳥取県、及び兵庫県北部、島根県の新聞販売店へ配送し、ご指定日に正確に配布するため、申し込みと搬入日時を下記のように定めています。搬入日時に遅れますと、ご指定の日に折込できない場合がありますので、搬入日時をお守り下さいますようお願い致します。</t>
    <rPh sb="0" eb="3">
      <t>トットリケン</t>
    </rPh>
    <rPh sb="4" eb="5">
      <t>オヨ</t>
    </rPh>
    <rPh sb="6" eb="8">
      <t>ヒョウゴ</t>
    </rPh>
    <rPh sb="8" eb="11">
      <t>ケンホクブ</t>
    </rPh>
    <rPh sb="12" eb="15">
      <t>シマネケン</t>
    </rPh>
    <rPh sb="16" eb="18">
      <t>シンブン</t>
    </rPh>
    <rPh sb="18" eb="21">
      <t>ハンバイテン</t>
    </rPh>
    <rPh sb="22" eb="24">
      <t>ハイソウ</t>
    </rPh>
    <rPh sb="27" eb="29">
      <t>シテイ</t>
    </rPh>
    <rPh sb="29" eb="30">
      <t>ビ</t>
    </rPh>
    <rPh sb="31" eb="33">
      <t>セイカク</t>
    </rPh>
    <rPh sb="113" eb="114">
      <t>ネガイ</t>
    </rPh>
    <rPh sb="115" eb="116">
      <t>タ</t>
    </rPh>
    <phoneticPr fontId="15"/>
  </si>
  <si>
    <t>折込地区</t>
    <rPh sb="0" eb="2">
      <t>オリコミ</t>
    </rPh>
    <rPh sb="2" eb="4">
      <t>チク</t>
    </rPh>
    <phoneticPr fontId="15"/>
  </si>
  <si>
    <t>折込日時</t>
    <rPh sb="0" eb="2">
      <t>オリコミ</t>
    </rPh>
    <rPh sb="2" eb="4">
      <t>ニチジ</t>
    </rPh>
    <phoneticPr fontId="15"/>
  </si>
  <si>
    <t>搬
入
先
/
鳥
取
・
倉
吉</t>
    <rPh sb="0" eb="1">
      <t>ハン</t>
    </rPh>
    <rPh sb="2" eb="3">
      <t>イリ</t>
    </rPh>
    <rPh sb="4" eb="5">
      <t>サキ</t>
    </rPh>
    <rPh sb="8" eb="9">
      <t>トリ</t>
    </rPh>
    <rPh sb="10" eb="11">
      <t>トリ</t>
    </rPh>
    <rPh sb="14" eb="15">
      <t>クラ</t>
    </rPh>
    <rPh sb="16" eb="17">
      <t>キチ</t>
    </rPh>
    <phoneticPr fontId="15"/>
  </si>
  <si>
    <t>鳥取県東部、兵庫県北部</t>
    <rPh sb="0" eb="3">
      <t>トットリケン</t>
    </rPh>
    <rPh sb="3" eb="5">
      <t>トウブ</t>
    </rPh>
    <rPh sb="6" eb="8">
      <t>ヒョウゴ</t>
    </rPh>
    <rPh sb="8" eb="11">
      <t>ケンホクブ</t>
    </rPh>
    <phoneticPr fontId="15"/>
  </si>
  <si>
    <t>折込日の２日前まで</t>
    <rPh sb="0" eb="2">
      <t>オリコミ</t>
    </rPh>
    <rPh sb="2" eb="3">
      <t>ビ</t>
    </rPh>
    <rPh sb="5" eb="7">
      <t>ニチマエ</t>
    </rPh>
    <phoneticPr fontId="15"/>
  </si>
  <si>
    <t>鳥取県中部・西部</t>
    <rPh sb="0" eb="3">
      <t>トットリケン</t>
    </rPh>
    <rPh sb="3" eb="5">
      <t>チュウブ</t>
    </rPh>
    <rPh sb="6" eb="8">
      <t>セイブ</t>
    </rPh>
    <phoneticPr fontId="15"/>
  </si>
  <si>
    <t>折込日の３日前まで</t>
    <rPh sb="0" eb="2">
      <t>オリコミ</t>
    </rPh>
    <rPh sb="2" eb="3">
      <t>ビ</t>
    </rPh>
    <rPh sb="5" eb="7">
      <t>ニチマエ</t>
    </rPh>
    <phoneticPr fontId="15"/>
  </si>
  <si>
    <t>島根県東部</t>
    <rPh sb="0" eb="3">
      <t>シマネケン</t>
    </rPh>
    <rPh sb="3" eb="5">
      <t>トウブ</t>
    </rPh>
    <phoneticPr fontId="15"/>
  </si>
  <si>
    <t>折込日の４日前まで</t>
    <rPh sb="0" eb="2">
      <t>オリコミ</t>
    </rPh>
    <rPh sb="2" eb="3">
      <t>ビ</t>
    </rPh>
    <rPh sb="5" eb="7">
      <t>ニチマエ</t>
    </rPh>
    <phoneticPr fontId="15"/>
  </si>
  <si>
    <t>搬
入
先
/
米
子</t>
    <rPh sb="0" eb="1">
      <t>ハン</t>
    </rPh>
    <rPh sb="2" eb="3">
      <t>イリ</t>
    </rPh>
    <rPh sb="4" eb="5">
      <t>サキ</t>
    </rPh>
    <rPh sb="8" eb="9">
      <t>ベイ</t>
    </rPh>
    <rPh sb="10" eb="11">
      <t>コ</t>
    </rPh>
    <phoneticPr fontId="15"/>
  </si>
  <si>
    <t>鳥取県西部</t>
    <rPh sb="0" eb="5">
      <t>トットリケンセイブ</t>
    </rPh>
    <phoneticPr fontId="15"/>
  </si>
  <si>
    <t>鳥取県東部・中部</t>
    <rPh sb="0" eb="3">
      <t>トットリケン</t>
    </rPh>
    <rPh sb="3" eb="5">
      <t>トウブ</t>
    </rPh>
    <rPh sb="6" eb="8">
      <t>チュウブ</t>
    </rPh>
    <phoneticPr fontId="15"/>
  </si>
  <si>
    <t>折込日の3日前まで</t>
    <rPh sb="0" eb="2">
      <t>オリコミ</t>
    </rPh>
    <rPh sb="2" eb="3">
      <t>ビ</t>
    </rPh>
    <rPh sb="5" eb="7">
      <t>ニチマエ</t>
    </rPh>
    <phoneticPr fontId="15"/>
  </si>
  <si>
    <t>島根県西部・隠岐</t>
    <rPh sb="0" eb="3">
      <t>シマネケン</t>
    </rPh>
    <rPh sb="3" eb="5">
      <t>セイブ</t>
    </rPh>
    <rPh sb="6" eb="8">
      <t>オキ</t>
    </rPh>
    <phoneticPr fontId="15"/>
  </si>
  <si>
    <t>休日がある場合はそれぞれ１日早くなります。
年末、年始、４･５月の連休、お盆時の折込は締切日時が変更になります。
申し込み時にご確認下さい。</t>
    <rPh sb="0" eb="2">
      <t>キュウジツ</t>
    </rPh>
    <rPh sb="5" eb="7">
      <t>バアイ</t>
    </rPh>
    <rPh sb="13" eb="14">
      <t>ニチ</t>
    </rPh>
    <rPh sb="14" eb="15">
      <t>ハヤ</t>
    </rPh>
    <phoneticPr fontId="15"/>
  </si>
  <si>
    <t>本表以外の地区についても取り次ぎを行っております。</t>
    <rPh sb="0" eb="1">
      <t>ホン</t>
    </rPh>
    <rPh sb="1" eb="2">
      <t>ヒョウ</t>
    </rPh>
    <rPh sb="2" eb="4">
      <t>イガイ</t>
    </rPh>
    <rPh sb="5" eb="7">
      <t>チク</t>
    </rPh>
    <rPh sb="12" eb="13">
      <t>ト</t>
    </rPh>
    <rPh sb="14" eb="15">
      <t>ツ</t>
    </rPh>
    <rPh sb="17" eb="18">
      <t>オコナ</t>
    </rPh>
    <phoneticPr fontId="15"/>
  </si>
  <si>
    <t>御用の際はご相談下さい。</t>
    <rPh sb="0" eb="2">
      <t>ゴヨウ</t>
    </rPh>
    <rPh sb="3" eb="4">
      <t>サイ</t>
    </rPh>
    <rPh sb="6" eb="8">
      <t>ソウダン</t>
    </rPh>
    <rPh sb="8" eb="9">
      <t>クダ</t>
    </rPh>
    <phoneticPr fontId="15"/>
  </si>
  <si>
    <t>部数表を公開しております。ご利用下さい。</t>
    <rPh sb="0" eb="2">
      <t>ブスウ</t>
    </rPh>
    <rPh sb="2" eb="3">
      <t>ヒョウ</t>
    </rPh>
    <rPh sb="4" eb="6">
      <t>コウカイ</t>
    </rPh>
    <rPh sb="14" eb="16">
      <t>リヨウ</t>
    </rPh>
    <rPh sb="16" eb="17">
      <t>クダ</t>
    </rPh>
    <phoneticPr fontId="15"/>
  </si>
  <si>
    <t>http://www.nnn.co.jp/nihonkai/kanren.html#orikomi</t>
  </si>
  <si>
    <t xml:space="preserve">※
</t>
    <phoneticPr fontId="15"/>
  </si>
  <si>
    <t>※</t>
    <phoneticPr fontId="15"/>
  </si>
  <si>
    <t>東伯郡北栄町</t>
    <rPh sb="0" eb="3">
      <t>トウハクグン</t>
    </rPh>
    <rPh sb="3" eb="6">
      <t>ホクエイマチ</t>
    </rPh>
    <phoneticPr fontId="15"/>
  </si>
  <si>
    <t>新聞折込広告取扱基準</t>
    <rPh sb="0" eb="2">
      <t>シンブン</t>
    </rPh>
    <rPh sb="2" eb="4">
      <t>オリコミ</t>
    </rPh>
    <rPh sb="4" eb="6">
      <t>コウコク</t>
    </rPh>
    <rPh sb="6" eb="8">
      <t>トリアツカイ</t>
    </rPh>
    <rPh sb="8" eb="10">
      <t>キジュン</t>
    </rPh>
    <phoneticPr fontId="15"/>
  </si>
  <si>
    <t>　日本新聞協会に加盟する新聞社とその販売店は折り込み広告の社会的影響を考慮して「新聞折込広告の取扱基準を設けております。当社では、下記のような折込広告は取り扱いできませんのでご注意下さい。</t>
    <rPh sb="1" eb="3">
      <t>ニホン</t>
    </rPh>
    <rPh sb="3" eb="5">
      <t>シンブン</t>
    </rPh>
    <rPh sb="5" eb="7">
      <t>キョウカイ</t>
    </rPh>
    <rPh sb="8" eb="10">
      <t>カメイ</t>
    </rPh>
    <rPh sb="12" eb="14">
      <t>シンブン</t>
    </rPh>
    <rPh sb="14" eb="15">
      <t>シャ</t>
    </rPh>
    <rPh sb="18" eb="20">
      <t>ハンバイ</t>
    </rPh>
    <rPh sb="20" eb="21">
      <t>テン</t>
    </rPh>
    <rPh sb="22" eb="23">
      <t>オ</t>
    </rPh>
    <rPh sb="24" eb="25">
      <t>コ</t>
    </rPh>
    <rPh sb="26" eb="28">
      <t>コウコク</t>
    </rPh>
    <rPh sb="29" eb="32">
      <t>シャカイテキ</t>
    </rPh>
    <rPh sb="32" eb="34">
      <t>エイキョウ</t>
    </rPh>
    <rPh sb="35" eb="37">
      <t>コウリョ</t>
    </rPh>
    <rPh sb="40" eb="42">
      <t>シンブン</t>
    </rPh>
    <rPh sb="42" eb="44">
      <t>オリコミ</t>
    </rPh>
    <rPh sb="44" eb="46">
      <t>コウコク</t>
    </rPh>
    <rPh sb="47" eb="49">
      <t>トリアツカイ</t>
    </rPh>
    <rPh sb="49" eb="51">
      <t>キジュン</t>
    </rPh>
    <rPh sb="52" eb="53">
      <t>モウ</t>
    </rPh>
    <rPh sb="60" eb="62">
      <t>トウシャ</t>
    </rPh>
    <rPh sb="65" eb="67">
      <t>カキ</t>
    </rPh>
    <rPh sb="71" eb="73">
      <t>オリコミ</t>
    </rPh>
    <rPh sb="73" eb="75">
      <t>コウコク</t>
    </rPh>
    <rPh sb="76" eb="77">
      <t>ト</t>
    </rPh>
    <rPh sb="78" eb="79">
      <t>アツカ</t>
    </rPh>
    <rPh sb="88" eb="90">
      <t>チュウイ</t>
    </rPh>
    <rPh sb="90" eb="91">
      <t>クダ</t>
    </rPh>
    <phoneticPr fontId="15"/>
  </si>
  <si>
    <t>①</t>
    <phoneticPr fontId="15"/>
  </si>
  <si>
    <t>国際条約・日本国内における各法規、条例に違反する広告。</t>
    <rPh sb="0" eb="2">
      <t>コクサイ</t>
    </rPh>
    <rPh sb="2" eb="4">
      <t>ジョウヤク</t>
    </rPh>
    <rPh sb="5" eb="7">
      <t>ニホン</t>
    </rPh>
    <rPh sb="7" eb="9">
      <t>コクナイ</t>
    </rPh>
    <rPh sb="13" eb="14">
      <t>カク</t>
    </rPh>
    <rPh sb="14" eb="16">
      <t>ホウキ</t>
    </rPh>
    <rPh sb="17" eb="19">
      <t>ジョウレイ</t>
    </rPh>
    <rPh sb="20" eb="22">
      <t>イハン</t>
    </rPh>
    <rPh sb="24" eb="26">
      <t>コウコク</t>
    </rPh>
    <phoneticPr fontId="15"/>
  </si>
  <si>
    <t>②</t>
    <phoneticPr fontId="15"/>
  </si>
  <si>
    <r>
      <t>広告の内容がはっきりしないもの。</t>
    </r>
    <r>
      <rPr>
        <sz val="11"/>
        <rFont val="ＭＳ Ｐゴシック"/>
        <family val="3"/>
        <charset val="128"/>
      </rPr>
      <t>および、広告主の所在地、事業所名、または責任者の記載がないもの。（特に会場を借用して、催事・出張販売等を行う場合は、主催者の住所氏名の記載が必須条件です。）</t>
    </r>
    <rPh sb="0" eb="2">
      <t>コウコク</t>
    </rPh>
    <rPh sb="3" eb="5">
      <t>ナイヨウ</t>
    </rPh>
    <rPh sb="20" eb="23">
      <t>コウコクヌシ</t>
    </rPh>
    <rPh sb="24" eb="27">
      <t>ショザイチ</t>
    </rPh>
    <rPh sb="28" eb="31">
      <t>ジギョウショ</t>
    </rPh>
    <rPh sb="31" eb="32">
      <t>メイ</t>
    </rPh>
    <rPh sb="36" eb="39">
      <t>セキニンシャ</t>
    </rPh>
    <rPh sb="40" eb="42">
      <t>キサイ</t>
    </rPh>
    <rPh sb="49" eb="50">
      <t>トク</t>
    </rPh>
    <rPh sb="51" eb="53">
      <t>カイジョウ</t>
    </rPh>
    <rPh sb="54" eb="56">
      <t>シャクヨウ</t>
    </rPh>
    <rPh sb="59" eb="61">
      <t>サイジ</t>
    </rPh>
    <rPh sb="62" eb="64">
      <t>シュッチョウ</t>
    </rPh>
    <rPh sb="64" eb="66">
      <t>ハンバイ</t>
    </rPh>
    <rPh sb="66" eb="67">
      <t>トウ</t>
    </rPh>
    <rPh sb="68" eb="69">
      <t>オコナ</t>
    </rPh>
    <rPh sb="70" eb="72">
      <t>バアイ</t>
    </rPh>
    <rPh sb="74" eb="77">
      <t>シュサイシャ</t>
    </rPh>
    <rPh sb="78" eb="80">
      <t>ジュウショ</t>
    </rPh>
    <rPh sb="80" eb="82">
      <t>シメイ</t>
    </rPh>
    <rPh sb="83" eb="85">
      <t>キサイ</t>
    </rPh>
    <rPh sb="86" eb="88">
      <t>ヒッス</t>
    </rPh>
    <rPh sb="88" eb="90">
      <t>ジョウケン</t>
    </rPh>
    <phoneticPr fontId="15"/>
  </si>
  <si>
    <t>③</t>
    <phoneticPr fontId="15"/>
  </si>
  <si>
    <r>
      <t>虚偽誇大な表現を用いたもの</t>
    </r>
    <r>
      <rPr>
        <sz val="11"/>
        <rFont val="ＭＳ Ｐゴシック"/>
        <family val="3"/>
        <charset val="128"/>
      </rPr>
      <t>（品質、性能、価格、使用方法、その他をいう。）景表法（不当景品付販売・不当表示の禁止）、商標法、不正競争防止法（コピー商品等の販売宣伝の禁止）に違反するもの。（虚偽誇大な表現により読者に不利益を与えるもの等）</t>
    </r>
    <rPh sb="0" eb="2">
      <t>キョギ</t>
    </rPh>
    <rPh sb="2" eb="4">
      <t>コダイ</t>
    </rPh>
    <rPh sb="5" eb="7">
      <t>ヒョウゲン</t>
    </rPh>
    <rPh sb="8" eb="9">
      <t>モチ</t>
    </rPh>
    <rPh sb="14" eb="16">
      <t>ヒンシツ</t>
    </rPh>
    <rPh sb="17" eb="19">
      <t>セイノウ</t>
    </rPh>
    <rPh sb="20" eb="22">
      <t>カカク</t>
    </rPh>
    <rPh sb="23" eb="25">
      <t>シヨウ</t>
    </rPh>
    <rPh sb="25" eb="27">
      <t>ホウホウ</t>
    </rPh>
    <rPh sb="30" eb="31">
      <t>タ</t>
    </rPh>
    <rPh sb="36" eb="39">
      <t>ケイヒョウホウ</t>
    </rPh>
    <rPh sb="40" eb="42">
      <t>フトウ</t>
    </rPh>
    <rPh sb="42" eb="44">
      <t>ケイヒン</t>
    </rPh>
    <rPh sb="44" eb="45">
      <t>ツキ</t>
    </rPh>
    <rPh sb="45" eb="47">
      <t>ハンバイ</t>
    </rPh>
    <rPh sb="48" eb="50">
      <t>フトウ</t>
    </rPh>
    <rPh sb="50" eb="52">
      <t>ヒョウジ</t>
    </rPh>
    <rPh sb="53" eb="55">
      <t>キンシ</t>
    </rPh>
    <rPh sb="57" eb="60">
      <t>ショウヒョウホウ</t>
    </rPh>
    <rPh sb="61" eb="63">
      <t>フセイ</t>
    </rPh>
    <rPh sb="63" eb="65">
      <t>キョウソウ</t>
    </rPh>
    <rPh sb="65" eb="67">
      <t>ボウシ</t>
    </rPh>
    <rPh sb="67" eb="68">
      <t>ホウ</t>
    </rPh>
    <rPh sb="72" eb="75">
      <t>ショウヒントウ</t>
    </rPh>
    <rPh sb="76" eb="78">
      <t>ハンバイ</t>
    </rPh>
    <rPh sb="78" eb="80">
      <t>センデン</t>
    </rPh>
    <rPh sb="81" eb="83">
      <t>キンシ</t>
    </rPh>
    <rPh sb="85" eb="87">
      <t>イハン</t>
    </rPh>
    <rPh sb="93" eb="95">
      <t>キョギ</t>
    </rPh>
    <rPh sb="95" eb="97">
      <t>コダイ</t>
    </rPh>
    <rPh sb="98" eb="100">
      <t>ヒョウゲン</t>
    </rPh>
    <rPh sb="103" eb="105">
      <t>ドクシャ</t>
    </rPh>
    <rPh sb="106" eb="109">
      <t>フリエキ</t>
    </rPh>
    <rPh sb="110" eb="111">
      <t>アタ</t>
    </rPh>
    <rPh sb="115" eb="116">
      <t>トウ</t>
    </rPh>
    <phoneticPr fontId="15"/>
  </si>
  <si>
    <t>④</t>
    <phoneticPr fontId="15"/>
  </si>
  <si>
    <r>
      <t>広告主の一方的主張、もしくは主観的意図、表現がみられ、結果的に他者をひぼう、名誉、信用を傷つけるおそれがある表現のもの。</t>
    </r>
    <r>
      <rPr>
        <sz val="11"/>
        <rFont val="ＭＳ Ｐゴシック"/>
        <family val="3"/>
        <charset val="128"/>
      </rPr>
      <t>（中傷ひぼう広告等）</t>
    </r>
    <rPh sb="0" eb="3">
      <t>コウコクヌシ</t>
    </rPh>
    <rPh sb="4" eb="7">
      <t>イッポウテキ</t>
    </rPh>
    <rPh sb="7" eb="9">
      <t>シュチョウ</t>
    </rPh>
    <rPh sb="14" eb="17">
      <t>シュカンテキ</t>
    </rPh>
    <rPh sb="17" eb="19">
      <t>イト</t>
    </rPh>
    <rPh sb="20" eb="22">
      <t>ヒョウゲン</t>
    </rPh>
    <rPh sb="27" eb="30">
      <t>ケッカテキ</t>
    </rPh>
    <rPh sb="31" eb="33">
      <t>タシャ</t>
    </rPh>
    <rPh sb="38" eb="40">
      <t>メイヨ</t>
    </rPh>
    <rPh sb="41" eb="43">
      <t>シンヨウ</t>
    </rPh>
    <rPh sb="44" eb="45">
      <t>キズ</t>
    </rPh>
    <rPh sb="54" eb="56">
      <t>ヒョウゲン</t>
    </rPh>
    <rPh sb="61" eb="63">
      <t>チュウショウ</t>
    </rPh>
    <rPh sb="66" eb="69">
      <t>コウコクトウ</t>
    </rPh>
    <phoneticPr fontId="15"/>
  </si>
  <si>
    <t>⑤</t>
    <phoneticPr fontId="15"/>
  </si>
  <si>
    <t>⑥</t>
    <phoneticPr fontId="15"/>
  </si>
  <si>
    <t>⑦</t>
    <phoneticPr fontId="15"/>
  </si>
  <si>
    <t>⑧</t>
    <phoneticPr fontId="15"/>
  </si>
  <si>
    <r>
      <t>不動産広告</t>
    </r>
    <r>
      <rPr>
        <sz val="11"/>
        <rFont val="ＭＳ Ｐゴシック"/>
        <family val="3"/>
        <charset val="128"/>
      </rPr>
      <t>　販売物件の地目、建築の可否、建ぺい率、所在地、交通、詳細な案内図、設備、価格、販売条件、民法上責任を負う売主名、宅地建物取引業の登録番号などが明確に記載されていないもの。</t>
    </r>
    <rPh sb="0" eb="3">
      <t>フドウサン</t>
    </rPh>
    <rPh sb="3" eb="5">
      <t>コウコク</t>
    </rPh>
    <rPh sb="6" eb="8">
      <t>ハンバイ</t>
    </rPh>
    <rPh sb="8" eb="10">
      <t>ブッケン</t>
    </rPh>
    <rPh sb="11" eb="13">
      <t>チモク</t>
    </rPh>
    <rPh sb="14" eb="16">
      <t>ケンチク</t>
    </rPh>
    <rPh sb="17" eb="19">
      <t>カヒ</t>
    </rPh>
    <rPh sb="20" eb="21">
      <t>ケン</t>
    </rPh>
    <rPh sb="23" eb="24">
      <t>リツ</t>
    </rPh>
    <rPh sb="25" eb="28">
      <t>ショザイチ</t>
    </rPh>
    <rPh sb="29" eb="31">
      <t>コウツウ</t>
    </rPh>
    <rPh sb="32" eb="34">
      <t>ショウサイ</t>
    </rPh>
    <rPh sb="35" eb="38">
      <t>アンナイズ</t>
    </rPh>
    <rPh sb="39" eb="41">
      <t>セツビ</t>
    </rPh>
    <rPh sb="42" eb="44">
      <t>カカク</t>
    </rPh>
    <rPh sb="45" eb="47">
      <t>ハンバイ</t>
    </rPh>
    <rPh sb="47" eb="49">
      <t>ジョウケン</t>
    </rPh>
    <rPh sb="50" eb="52">
      <t>ミンポウ</t>
    </rPh>
    <rPh sb="52" eb="53">
      <t>ジョウ</t>
    </rPh>
    <rPh sb="53" eb="55">
      <t>セキニン</t>
    </rPh>
    <rPh sb="56" eb="57">
      <t>オ</t>
    </rPh>
    <rPh sb="58" eb="60">
      <t>ウリヌシ</t>
    </rPh>
    <rPh sb="60" eb="61">
      <t>メイ</t>
    </rPh>
    <rPh sb="62" eb="64">
      <t>タクチ</t>
    </rPh>
    <rPh sb="64" eb="66">
      <t>タテモノ</t>
    </rPh>
    <rPh sb="66" eb="69">
      <t>トリヒキギョウ</t>
    </rPh>
    <rPh sb="70" eb="72">
      <t>トウロク</t>
    </rPh>
    <rPh sb="72" eb="74">
      <t>バンゴウ</t>
    </rPh>
    <rPh sb="77" eb="79">
      <t>メイカク</t>
    </rPh>
    <rPh sb="80" eb="82">
      <t>キサイ</t>
    </rPh>
    <phoneticPr fontId="15"/>
  </si>
  <si>
    <t>⑨</t>
    <phoneticPr fontId="15"/>
  </si>
  <si>
    <r>
      <t>政治的な広告</t>
    </r>
    <r>
      <rPr>
        <sz val="11"/>
        <rFont val="ＭＳ Ｐゴシック"/>
        <family val="3"/>
        <charset val="128"/>
      </rPr>
      <t>　極端な主義主張を述べたもの。立候補が予測されている人物の名称を記載するなど、選挙の事前運動と推量されるもの。（係争中の問題について一方的な主張を述べたもの等）</t>
    </r>
    <rPh sb="0" eb="3">
      <t>セイジテキ</t>
    </rPh>
    <rPh sb="4" eb="6">
      <t>コウコク</t>
    </rPh>
    <rPh sb="7" eb="9">
      <t>キョクタン</t>
    </rPh>
    <rPh sb="10" eb="12">
      <t>シュギ</t>
    </rPh>
    <rPh sb="12" eb="14">
      <t>シュチョウ</t>
    </rPh>
    <rPh sb="15" eb="16">
      <t>ノ</t>
    </rPh>
    <rPh sb="21" eb="24">
      <t>リッコウホ</t>
    </rPh>
    <rPh sb="25" eb="27">
      <t>ヨソク</t>
    </rPh>
    <rPh sb="32" eb="34">
      <t>ジンブツ</t>
    </rPh>
    <rPh sb="35" eb="37">
      <t>メイショウ</t>
    </rPh>
    <rPh sb="38" eb="40">
      <t>キサイ</t>
    </rPh>
    <rPh sb="45" eb="47">
      <t>センキョ</t>
    </rPh>
    <rPh sb="48" eb="50">
      <t>ジゼン</t>
    </rPh>
    <rPh sb="50" eb="52">
      <t>ウンドウ</t>
    </rPh>
    <rPh sb="53" eb="55">
      <t>スイリョウ</t>
    </rPh>
    <rPh sb="62" eb="65">
      <t>ケイソウチュウ</t>
    </rPh>
    <rPh sb="66" eb="68">
      <t>モンダイ</t>
    </rPh>
    <rPh sb="72" eb="75">
      <t>イッポウテキ</t>
    </rPh>
    <rPh sb="76" eb="78">
      <t>シュチョウ</t>
    </rPh>
    <rPh sb="79" eb="80">
      <t>ノ</t>
    </rPh>
    <rPh sb="84" eb="85">
      <t>トウ</t>
    </rPh>
    <phoneticPr fontId="15"/>
  </si>
  <si>
    <t>⑩</t>
    <phoneticPr fontId="15"/>
  </si>
  <si>
    <t>発行本社の新聞と混同、誤認されると思われるもの。（新聞形態のもの）および折込広告に、他者の社名、題字、記事、催事などが掲載、引用されているもの。</t>
    <rPh sb="0" eb="2">
      <t>ハッコウ</t>
    </rPh>
    <rPh sb="2" eb="4">
      <t>ホンシャ</t>
    </rPh>
    <rPh sb="5" eb="7">
      <t>シンブン</t>
    </rPh>
    <rPh sb="8" eb="10">
      <t>コンドウ</t>
    </rPh>
    <rPh sb="11" eb="13">
      <t>ゴニン</t>
    </rPh>
    <rPh sb="17" eb="18">
      <t>オモ</t>
    </rPh>
    <rPh sb="25" eb="27">
      <t>シンブン</t>
    </rPh>
    <rPh sb="27" eb="29">
      <t>ケイタイ</t>
    </rPh>
    <rPh sb="36" eb="38">
      <t>オリコミ</t>
    </rPh>
    <rPh sb="38" eb="40">
      <t>コウコク</t>
    </rPh>
    <rPh sb="42" eb="44">
      <t>タシャ</t>
    </rPh>
    <rPh sb="45" eb="47">
      <t>シャメイ</t>
    </rPh>
    <rPh sb="48" eb="50">
      <t>ダイジ</t>
    </rPh>
    <rPh sb="51" eb="53">
      <t>キジ</t>
    </rPh>
    <rPh sb="54" eb="56">
      <t>サイジ</t>
    </rPh>
    <rPh sb="59" eb="61">
      <t>ケイサイ</t>
    </rPh>
    <rPh sb="62" eb="64">
      <t>インヨウ</t>
    </rPh>
    <phoneticPr fontId="15"/>
  </si>
  <si>
    <t>⑪</t>
    <phoneticPr fontId="15"/>
  </si>
  <si>
    <t>前記景表法などのほか、薬事法、医療法など、法律や条令に触れると思われるもの。（医薬品等を否定する内容や迷信に類する非科学的な内容のもの等）</t>
    <rPh sb="0" eb="2">
      <t>ゼンキ</t>
    </rPh>
    <rPh sb="2" eb="5">
      <t>ケイヒョウホウ</t>
    </rPh>
    <rPh sb="11" eb="14">
      <t>ヤクジホウ</t>
    </rPh>
    <rPh sb="15" eb="18">
      <t>イリョウホウ</t>
    </rPh>
    <rPh sb="21" eb="23">
      <t>ホウリツ</t>
    </rPh>
    <rPh sb="24" eb="26">
      <t>ジョウレイ</t>
    </rPh>
    <rPh sb="27" eb="28">
      <t>フ</t>
    </rPh>
    <rPh sb="31" eb="32">
      <t>オモ</t>
    </rPh>
    <rPh sb="39" eb="43">
      <t>イヤクヒントウ</t>
    </rPh>
    <rPh sb="44" eb="46">
      <t>ヒテイ</t>
    </rPh>
    <rPh sb="48" eb="50">
      <t>ナイヨウ</t>
    </rPh>
    <rPh sb="51" eb="53">
      <t>メイシン</t>
    </rPh>
    <rPh sb="54" eb="55">
      <t>ルイ</t>
    </rPh>
    <rPh sb="57" eb="61">
      <t>ヒカガクテキ</t>
    </rPh>
    <rPh sb="62" eb="64">
      <t>ナイヨウ</t>
    </rPh>
    <rPh sb="67" eb="68">
      <t>トウ</t>
    </rPh>
    <phoneticPr fontId="15"/>
  </si>
  <si>
    <t>⑫</t>
    <phoneticPr fontId="15"/>
  </si>
  <si>
    <t>⑬</t>
    <phoneticPr fontId="15"/>
  </si>
  <si>
    <t>そのほか、新聞社がそれぞれ定めた広告記載基準に照らして、新聞折込が不適当と認められるもの。</t>
    <rPh sb="5" eb="7">
      <t>シンブン</t>
    </rPh>
    <rPh sb="7" eb="8">
      <t>シャ</t>
    </rPh>
    <rPh sb="13" eb="14">
      <t>サダ</t>
    </rPh>
    <rPh sb="16" eb="18">
      <t>コウコク</t>
    </rPh>
    <rPh sb="18" eb="20">
      <t>キサイ</t>
    </rPh>
    <rPh sb="20" eb="22">
      <t>キジュン</t>
    </rPh>
    <rPh sb="23" eb="24">
      <t>テ</t>
    </rPh>
    <rPh sb="28" eb="30">
      <t>シンブン</t>
    </rPh>
    <rPh sb="30" eb="32">
      <t>オリコミ</t>
    </rPh>
    <rPh sb="33" eb="36">
      <t>フテキトウ</t>
    </rPh>
    <rPh sb="37" eb="38">
      <t>ミト</t>
    </rPh>
    <phoneticPr fontId="15"/>
  </si>
  <si>
    <t>⑭</t>
    <phoneticPr fontId="15"/>
  </si>
  <si>
    <t>求人広告、代理店広告等の広告</t>
    <rPh sb="0" eb="2">
      <t>キュウジン</t>
    </rPh>
    <rPh sb="2" eb="4">
      <t>コウコク</t>
    </rPh>
    <rPh sb="5" eb="8">
      <t>ダイリテン</t>
    </rPh>
    <rPh sb="8" eb="11">
      <t>コウコクトウ</t>
    </rPh>
    <rPh sb="12" eb="14">
      <t>コウコク</t>
    </rPh>
    <phoneticPr fontId="15"/>
  </si>
  <si>
    <t>「労働基準法」「職業安定法」「男女子用機会均等法」「雇用対策法」等による労働関連法規の表示事項が守られていないもの。</t>
    <rPh sb="1" eb="3">
      <t>ロウドウ</t>
    </rPh>
    <rPh sb="3" eb="6">
      <t>キジュンホウ</t>
    </rPh>
    <rPh sb="8" eb="10">
      <t>ショクギョウ</t>
    </rPh>
    <rPh sb="10" eb="12">
      <t>アンテイ</t>
    </rPh>
    <rPh sb="12" eb="13">
      <t>ホウ</t>
    </rPh>
    <rPh sb="15" eb="17">
      <t>ダンジョ</t>
    </rPh>
    <rPh sb="17" eb="19">
      <t>コヨウ</t>
    </rPh>
    <rPh sb="19" eb="21">
      <t>キカイ</t>
    </rPh>
    <rPh sb="21" eb="24">
      <t>キントウホウ</t>
    </rPh>
    <rPh sb="26" eb="28">
      <t>コヨウ</t>
    </rPh>
    <rPh sb="28" eb="30">
      <t>タイサク</t>
    </rPh>
    <rPh sb="30" eb="31">
      <t>ホウ</t>
    </rPh>
    <rPh sb="32" eb="33">
      <t>トウ</t>
    </rPh>
    <rPh sb="36" eb="38">
      <t>ロウドウ</t>
    </rPh>
    <rPh sb="38" eb="40">
      <t>カンレン</t>
    </rPh>
    <rPh sb="40" eb="42">
      <t>ホウキ</t>
    </rPh>
    <rPh sb="43" eb="45">
      <t>ヒョウジ</t>
    </rPh>
    <rPh sb="45" eb="47">
      <t>ジコウ</t>
    </rPh>
    <rPh sb="48" eb="49">
      <t>マモ</t>
    </rPh>
    <phoneticPr fontId="15"/>
  </si>
  <si>
    <t>(1)</t>
    <phoneticPr fontId="15"/>
  </si>
  <si>
    <t>内職、副業、住宅ワークなどの広告は鳥取県・島根県のいずれかに営業所がない企業は原則として取扱できません。</t>
    <rPh sb="0" eb="2">
      <t>ナイショク</t>
    </rPh>
    <rPh sb="3" eb="5">
      <t>フクギョウ</t>
    </rPh>
    <rPh sb="6" eb="8">
      <t>ジュウタク</t>
    </rPh>
    <rPh sb="14" eb="16">
      <t>コウコク</t>
    </rPh>
    <rPh sb="17" eb="20">
      <t>トットリケン</t>
    </rPh>
    <rPh sb="21" eb="24">
      <t>シマネケン</t>
    </rPh>
    <rPh sb="30" eb="32">
      <t>エイギョウ</t>
    </rPh>
    <rPh sb="32" eb="33">
      <t>ショ</t>
    </rPh>
    <rPh sb="36" eb="38">
      <t>キギョウ</t>
    </rPh>
    <rPh sb="39" eb="41">
      <t>ゲンソク</t>
    </rPh>
    <rPh sb="44" eb="46">
      <t>トリアツカイ</t>
    </rPh>
    <phoneticPr fontId="15"/>
  </si>
  <si>
    <t>代理店募集については、会社概要・契約書の内容等の資料一式を提出して頂く場合があります。</t>
    <rPh sb="0" eb="3">
      <t>ダイリテン</t>
    </rPh>
    <rPh sb="3" eb="5">
      <t>ボシュウ</t>
    </rPh>
    <rPh sb="11" eb="13">
      <t>カイシャ</t>
    </rPh>
    <rPh sb="13" eb="15">
      <t>ガイヨウ</t>
    </rPh>
    <rPh sb="16" eb="19">
      <t>ケイヤクショ</t>
    </rPh>
    <rPh sb="20" eb="23">
      <t>ナイヨウトウ</t>
    </rPh>
    <rPh sb="24" eb="26">
      <t>シリョウ</t>
    </rPh>
    <rPh sb="26" eb="28">
      <t>イッシキ</t>
    </rPh>
    <rPh sb="29" eb="31">
      <t>テイシュツ</t>
    </rPh>
    <rPh sb="33" eb="34">
      <t>イタダ</t>
    </rPh>
    <rPh sb="35" eb="37">
      <t>バアイ</t>
    </rPh>
    <phoneticPr fontId="15"/>
  </si>
  <si>
    <t>(3)</t>
    <phoneticPr fontId="15"/>
  </si>
  <si>
    <t>新聞販売店の営業活動に支障をきたし、不利益になると判断されるもの。</t>
    <rPh sb="0" eb="2">
      <t>シンブン</t>
    </rPh>
    <rPh sb="2" eb="4">
      <t>ハンバイ</t>
    </rPh>
    <rPh sb="4" eb="5">
      <t>テン</t>
    </rPh>
    <rPh sb="6" eb="8">
      <t>エイギョウ</t>
    </rPh>
    <rPh sb="8" eb="10">
      <t>カツドウ</t>
    </rPh>
    <rPh sb="11" eb="13">
      <t>シショウ</t>
    </rPh>
    <rPh sb="18" eb="21">
      <t>フリエキ</t>
    </rPh>
    <rPh sb="25" eb="27">
      <t>ハンダン</t>
    </rPh>
    <phoneticPr fontId="15"/>
  </si>
  <si>
    <t>■</t>
    <phoneticPr fontId="15"/>
  </si>
  <si>
    <t>折込広告取り扱いについての注意事項</t>
    <rPh sb="0" eb="2">
      <t>オリコミ</t>
    </rPh>
    <rPh sb="2" eb="4">
      <t>コウコク</t>
    </rPh>
    <rPh sb="4" eb="5">
      <t>ト</t>
    </rPh>
    <rPh sb="6" eb="7">
      <t>アツカ</t>
    </rPh>
    <rPh sb="13" eb="15">
      <t>チュウイ</t>
    </rPh>
    <rPh sb="15" eb="17">
      <t>ジコウ</t>
    </rPh>
    <phoneticPr fontId="15"/>
  </si>
  <si>
    <t>(2)</t>
    <phoneticPr fontId="15"/>
  </si>
  <si>
    <r>
      <t>抽せん券、福引券・懸賞応募券・金権などを刷り込んだもの。</t>
    </r>
    <r>
      <rPr>
        <sz val="11"/>
        <rFont val="ＭＳ Ｐゴシック"/>
        <family val="3"/>
        <charset val="128"/>
      </rPr>
      <t>（公正競争規約「新聞業における景品類の提供に関する事項の制限」）および射幸心を煽ることになりかねない内容で、結果として読者に不利益をもたらすと思えるもの。</t>
    </r>
    <rPh sb="5" eb="7">
      <t>フクビキ</t>
    </rPh>
    <rPh sb="7" eb="8">
      <t>ケン</t>
    </rPh>
    <rPh sb="9" eb="11">
      <t>ケンショウ</t>
    </rPh>
    <rPh sb="11" eb="13">
      <t>オウボ</t>
    </rPh>
    <rPh sb="13" eb="14">
      <t>ケン</t>
    </rPh>
    <rPh sb="15" eb="17">
      <t>キンケン</t>
    </rPh>
    <rPh sb="20" eb="21">
      <t>ス</t>
    </rPh>
    <rPh sb="22" eb="23">
      <t>コ</t>
    </rPh>
    <rPh sb="29" eb="31">
      <t>コウセイ</t>
    </rPh>
    <rPh sb="31" eb="33">
      <t>キョウソウ</t>
    </rPh>
    <rPh sb="33" eb="35">
      <t>キヤク</t>
    </rPh>
    <rPh sb="36" eb="38">
      <t>シンブン</t>
    </rPh>
    <rPh sb="38" eb="39">
      <t>ギョウ</t>
    </rPh>
    <rPh sb="43" eb="45">
      <t>ケイヒン</t>
    </rPh>
    <rPh sb="45" eb="46">
      <t>ルイ</t>
    </rPh>
    <rPh sb="47" eb="49">
      <t>テイキョウ</t>
    </rPh>
    <rPh sb="50" eb="51">
      <t>カン</t>
    </rPh>
    <rPh sb="53" eb="55">
      <t>ジコウ</t>
    </rPh>
    <rPh sb="56" eb="58">
      <t>セイゲン</t>
    </rPh>
    <rPh sb="63" eb="66">
      <t>シャコウシン</t>
    </rPh>
    <rPh sb="67" eb="68">
      <t>アオ</t>
    </rPh>
    <rPh sb="78" eb="80">
      <t>ナイヨウ</t>
    </rPh>
    <rPh sb="82" eb="84">
      <t>ケッカ</t>
    </rPh>
    <rPh sb="87" eb="89">
      <t>ドクシャ</t>
    </rPh>
    <rPh sb="90" eb="93">
      <t>フリエキ</t>
    </rPh>
    <rPh sb="99" eb="100">
      <t>オモ</t>
    </rPh>
    <phoneticPr fontId="15"/>
  </si>
  <si>
    <r>
      <t>金融関係の広告</t>
    </r>
    <r>
      <rPr>
        <sz val="11"/>
        <rFont val="ＭＳ Ｐゴシック"/>
        <family val="3"/>
        <charset val="128"/>
      </rPr>
      <t>　貸金業規正法で定められている必要事項が表示されていないもの。（商号、名称、氏名、登録番号、住所、利率等）</t>
    </r>
    <rPh sb="0" eb="2">
      <t>キンユウ</t>
    </rPh>
    <rPh sb="2" eb="4">
      <t>カンケイ</t>
    </rPh>
    <rPh sb="5" eb="7">
      <t>コウコク</t>
    </rPh>
    <rPh sb="8" eb="10">
      <t>カシキン</t>
    </rPh>
    <rPh sb="10" eb="11">
      <t>ギョウ</t>
    </rPh>
    <rPh sb="11" eb="14">
      <t>キセイホウ</t>
    </rPh>
    <rPh sb="15" eb="16">
      <t>サダ</t>
    </rPh>
    <rPh sb="22" eb="24">
      <t>ヒツヨウ</t>
    </rPh>
    <rPh sb="24" eb="26">
      <t>ジコウ</t>
    </rPh>
    <rPh sb="27" eb="29">
      <t>ヒョウジ</t>
    </rPh>
    <rPh sb="39" eb="41">
      <t>ショウゴウ</t>
    </rPh>
    <rPh sb="42" eb="44">
      <t>メイショウ</t>
    </rPh>
    <rPh sb="45" eb="47">
      <t>シメイ</t>
    </rPh>
    <rPh sb="48" eb="50">
      <t>トウロク</t>
    </rPh>
    <rPh sb="50" eb="52">
      <t>バンゴウ</t>
    </rPh>
    <rPh sb="53" eb="55">
      <t>ジュウショ</t>
    </rPh>
    <rPh sb="56" eb="59">
      <t>リリツトウ</t>
    </rPh>
    <phoneticPr fontId="15"/>
  </si>
  <si>
    <t>上記に限らず、判断がむずかしいものは、新聞発行本社、関係諸機関の指導・協議によって決めさせていただきます。なお、ご不明な点がございましたら当社へご相談下さい。</t>
    <rPh sb="0" eb="2">
      <t>ジョウキ</t>
    </rPh>
    <rPh sb="3" eb="4">
      <t>カギ</t>
    </rPh>
    <rPh sb="7" eb="9">
      <t>ハンダン</t>
    </rPh>
    <rPh sb="19" eb="21">
      <t>シンブン</t>
    </rPh>
    <rPh sb="21" eb="23">
      <t>ハッコウ</t>
    </rPh>
    <rPh sb="23" eb="25">
      <t>ホンシャ</t>
    </rPh>
    <rPh sb="26" eb="28">
      <t>カンケイ</t>
    </rPh>
    <rPh sb="28" eb="29">
      <t>ショ</t>
    </rPh>
    <rPh sb="29" eb="31">
      <t>キカン</t>
    </rPh>
    <rPh sb="32" eb="34">
      <t>シドウ</t>
    </rPh>
    <rPh sb="35" eb="37">
      <t>キョウギ</t>
    </rPh>
    <rPh sb="41" eb="42">
      <t>キ</t>
    </rPh>
    <rPh sb="57" eb="59">
      <t>フメイ</t>
    </rPh>
    <rPh sb="60" eb="61">
      <t>テン</t>
    </rPh>
    <rPh sb="69" eb="71">
      <t>トウシャ</t>
    </rPh>
    <rPh sb="73" eb="75">
      <t>ソウダン</t>
    </rPh>
    <rPh sb="75" eb="76">
      <t>クダ</t>
    </rPh>
    <phoneticPr fontId="15"/>
  </si>
  <si>
    <t>日本海折込センター　倉吉支部</t>
    <rPh sb="0" eb="2">
      <t>ニホン</t>
    </rPh>
    <rPh sb="2" eb="3">
      <t>カイ</t>
    </rPh>
    <rPh sb="3" eb="5">
      <t>オリコミ</t>
    </rPh>
    <rPh sb="10" eb="12">
      <t>クラヨシ</t>
    </rPh>
    <rPh sb="12" eb="14">
      <t>シブ</t>
    </rPh>
    <phoneticPr fontId="15"/>
  </si>
  <si>
    <t>日本海折込センター　本部</t>
    <rPh sb="0" eb="2">
      <t>ニホン</t>
    </rPh>
    <rPh sb="2" eb="3">
      <t>カイ</t>
    </rPh>
    <rPh sb="3" eb="5">
      <t>オリコミ</t>
    </rPh>
    <rPh sb="10" eb="12">
      <t>ホンブ</t>
    </rPh>
    <phoneticPr fontId="15"/>
  </si>
  <si>
    <t>日本海折込センター　米子支部</t>
    <rPh sb="0" eb="2">
      <t>ニホン</t>
    </rPh>
    <rPh sb="2" eb="3">
      <t>カイ</t>
    </rPh>
    <rPh sb="3" eb="5">
      <t>オリコミ</t>
    </rPh>
    <rPh sb="10" eb="12">
      <t>ヨナゴ</t>
    </rPh>
    <rPh sb="12" eb="14">
      <t>シブ</t>
    </rPh>
    <phoneticPr fontId="15"/>
  </si>
  <si>
    <t>〒683-0853　鳥取県米子市両三柳3060</t>
    <rPh sb="10" eb="13">
      <t>トットリケン</t>
    </rPh>
    <rPh sb="13" eb="16">
      <t>ヨナゴシ</t>
    </rPh>
    <rPh sb="16" eb="19">
      <t>リョウミツヤナギ</t>
    </rPh>
    <phoneticPr fontId="15"/>
  </si>
  <si>
    <t>〒680-0932　鳥取県鳥取市五反田町12-3</t>
    <rPh sb="10" eb="13">
      <t>トットリケン</t>
    </rPh>
    <rPh sb="13" eb="16">
      <t>トットリシ</t>
    </rPh>
    <rPh sb="16" eb="20">
      <t>ゴタンダチョウ</t>
    </rPh>
    <phoneticPr fontId="15"/>
  </si>
  <si>
    <t>（旧東伯町・赤碕町）</t>
    <rPh sb="1" eb="2">
      <t>キュウ</t>
    </rPh>
    <rPh sb="2" eb="5">
      <t>トウハクチョウ</t>
    </rPh>
    <rPh sb="6" eb="9">
      <t>アカサキチョウ</t>
    </rPh>
    <phoneticPr fontId="15"/>
  </si>
  <si>
    <t>産経</t>
    <rPh sb="0" eb="2">
      <t>サンケイ</t>
    </rPh>
    <phoneticPr fontId="15"/>
  </si>
  <si>
    <t>蒜山
合配</t>
    <rPh sb="0" eb="2">
      <t>ヒルゼン</t>
    </rPh>
    <rPh sb="3" eb="4">
      <t>ゴウ</t>
    </rPh>
    <rPh sb="4" eb="5">
      <t>ハイ</t>
    </rPh>
    <phoneticPr fontId="15"/>
  </si>
  <si>
    <t>射添</t>
    <rPh sb="0" eb="1">
      <t>イ</t>
    </rPh>
    <rPh sb="1" eb="2">
      <t>ソ</t>
    </rPh>
    <phoneticPr fontId="15"/>
  </si>
  <si>
    <t>福岡</t>
    <rPh sb="0" eb="2">
      <t>フクオカ</t>
    </rPh>
    <phoneticPr fontId="15"/>
  </si>
  <si>
    <t>店　　名</t>
    <rPh sb="0" eb="1">
      <t>ミセ</t>
    </rPh>
    <rPh sb="3" eb="4">
      <t>メイ</t>
    </rPh>
    <phoneticPr fontId="15"/>
  </si>
  <si>
    <t>（旧八頭郡）</t>
  </si>
  <si>
    <t>（旧気高郡）</t>
    <rPh sb="2" eb="4">
      <t>ケタカ</t>
    </rPh>
    <phoneticPr fontId="15"/>
  </si>
  <si>
    <t>新鳥取市(旧岩美郡）</t>
    <rPh sb="0" eb="1">
      <t>シン</t>
    </rPh>
    <rPh sb="1" eb="4">
      <t>トットリシ</t>
    </rPh>
    <rPh sb="5" eb="6">
      <t>キュウ</t>
    </rPh>
    <rPh sb="6" eb="9">
      <t>イワミグン</t>
    </rPh>
    <phoneticPr fontId="15"/>
  </si>
  <si>
    <t>合配</t>
    <rPh sb="0" eb="1">
      <t>ゴウ</t>
    </rPh>
    <rPh sb="1" eb="2">
      <t>ハイ</t>
    </rPh>
    <phoneticPr fontId="15"/>
  </si>
  <si>
    <t>蒜山東</t>
    <rPh sb="0" eb="2">
      <t>ヒルゼン</t>
    </rPh>
    <rPh sb="2" eb="3">
      <t>ヒガシ</t>
    </rPh>
    <phoneticPr fontId="15"/>
  </si>
  <si>
    <t>神戸合配</t>
    <rPh sb="0" eb="2">
      <t>コウベ</t>
    </rPh>
    <rPh sb="2" eb="3">
      <t>ア</t>
    </rPh>
    <rPh sb="3" eb="4">
      <t>クバル</t>
    </rPh>
    <phoneticPr fontId="15"/>
  </si>
  <si>
    <t>智頭</t>
    <rPh sb="0" eb="2">
      <t>チズ</t>
    </rPh>
    <phoneticPr fontId="15"/>
  </si>
  <si>
    <r>
      <t xml:space="preserve">扇情的な言葉や、写真、イラスト等を使用したもので、青少年に有害とみられるもの。
</t>
    </r>
    <r>
      <rPr>
        <sz val="11"/>
        <rFont val="ＭＳ Ｐゴシック"/>
        <family val="3"/>
        <charset val="128"/>
      </rPr>
      <t xml:space="preserve">（風俗営業関係や、各府県の青少年保護育成条例にふれるおそれのあるもの等）
</t>
    </r>
    <rPh sb="41" eb="43">
      <t>フウゾク</t>
    </rPh>
    <rPh sb="43" eb="45">
      <t>エイギョウ</t>
    </rPh>
    <rPh sb="45" eb="47">
      <t>カンケイ</t>
    </rPh>
    <rPh sb="49" eb="50">
      <t>カク</t>
    </rPh>
    <rPh sb="50" eb="52">
      <t>フケン</t>
    </rPh>
    <rPh sb="53" eb="56">
      <t>セイショウネン</t>
    </rPh>
    <rPh sb="56" eb="58">
      <t>ホゴ</t>
    </rPh>
    <rPh sb="58" eb="60">
      <t>イクセイ</t>
    </rPh>
    <rPh sb="60" eb="62">
      <t>ジョウレイ</t>
    </rPh>
    <rPh sb="74" eb="75">
      <t>トウ</t>
    </rPh>
    <phoneticPr fontId="15"/>
  </si>
  <si>
    <t>広告タイトル</t>
    <rPh sb="0" eb="2">
      <t>コウコク</t>
    </rPh>
    <phoneticPr fontId="15"/>
  </si>
  <si>
    <t>折込総数</t>
    <rPh sb="0" eb="2">
      <t>オリコミ</t>
    </rPh>
    <rPh sb="2" eb="4">
      <t>ソウスウ</t>
    </rPh>
    <phoneticPr fontId="15"/>
  </si>
  <si>
    <t>枚</t>
    <rPh sb="0" eb="1">
      <t>マイ</t>
    </rPh>
    <phoneticPr fontId="15"/>
  </si>
  <si>
    <t>住所</t>
    <rPh sb="0" eb="2">
      <t>ジュウショ</t>
    </rPh>
    <phoneticPr fontId="15"/>
  </si>
  <si>
    <t>●鳥取県は月曜日の折込は取り扱っておりません。</t>
    <rPh sb="1" eb="4">
      <t>トットリケン</t>
    </rPh>
    <rPh sb="5" eb="8">
      <t>ゲツヨウビ</t>
    </rPh>
    <rPh sb="9" eb="11">
      <t>オリコミ</t>
    </rPh>
    <rPh sb="12" eb="13">
      <t>ト</t>
    </rPh>
    <rPh sb="14" eb="15">
      <t>アツカ</t>
    </rPh>
    <phoneticPr fontId="15"/>
  </si>
  <si>
    <t>●折込の組み込みに際しては、販売所に対して細心の注意をはらうよう指導し　ておりますが、偶然のモレ・ダブり等ご容赦下さい。</t>
    <rPh sb="1" eb="3">
      <t>オリコミ</t>
    </rPh>
    <rPh sb="4" eb="5">
      <t>ク</t>
    </rPh>
    <rPh sb="6" eb="7">
      <t>コ</t>
    </rPh>
    <rPh sb="9" eb="10">
      <t>サイ</t>
    </rPh>
    <rPh sb="14" eb="16">
      <t>ハンバイ</t>
    </rPh>
    <rPh sb="16" eb="17">
      <t>ショ</t>
    </rPh>
    <rPh sb="18" eb="19">
      <t>タイ</t>
    </rPh>
    <rPh sb="21" eb="23">
      <t>サイシン</t>
    </rPh>
    <rPh sb="24" eb="26">
      <t>チュウイ</t>
    </rPh>
    <rPh sb="32" eb="34">
      <t>シドウ</t>
    </rPh>
    <rPh sb="43" eb="45">
      <t>グウゼン</t>
    </rPh>
    <rPh sb="52" eb="53">
      <t>トウ</t>
    </rPh>
    <rPh sb="54" eb="56">
      <t>ヨウシャ</t>
    </rPh>
    <rPh sb="56" eb="57">
      <t>クダ</t>
    </rPh>
    <phoneticPr fontId="15"/>
  </si>
  <si>
    <t>●パンフレット・小冊子に類するもの・ビニール袋入・封筒チラシなどの特殊チラシは、料金が異なりますのでお問い合わせください。</t>
    <rPh sb="8" eb="11">
      <t>ショウサッシ</t>
    </rPh>
    <rPh sb="12" eb="13">
      <t>ルイ</t>
    </rPh>
    <rPh sb="22" eb="23">
      <t>フクロ</t>
    </rPh>
    <rPh sb="23" eb="24">
      <t>イ</t>
    </rPh>
    <rPh sb="25" eb="27">
      <t>フウトウ</t>
    </rPh>
    <rPh sb="33" eb="35">
      <t>トクシュ</t>
    </rPh>
    <rPh sb="40" eb="42">
      <t>リョウキン</t>
    </rPh>
    <rPh sb="43" eb="44">
      <t>コト</t>
    </rPh>
    <rPh sb="51" eb="52">
      <t>ト</t>
    </rPh>
    <rPh sb="53" eb="54">
      <t>ア</t>
    </rPh>
    <phoneticPr fontId="15"/>
  </si>
  <si>
    <t>搬入先</t>
    <rPh sb="0" eb="2">
      <t>ハンニュウ</t>
    </rPh>
    <rPh sb="2" eb="3">
      <t>サキ</t>
    </rPh>
    <phoneticPr fontId="15"/>
  </si>
  <si>
    <t>TEL（0857）32-3555　FAX（0857）32-1222</t>
    <phoneticPr fontId="15"/>
  </si>
  <si>
    <r>
      <rPr>
        <b/>
        <sz val="14"/>
        <rFont val="ＭＳ Ｐゴシック"/>
        <family val="3"/>
        <charset val="128"/>
      </rPr>
      <t xml:space="preserve">鳥取本部 </t>
    </r>
    <r>
      <rPr>
        <sz val="14"/>
        <rFont val="ＭＳ Ｐゴシック"/>
        <family val="3"/>
        <charset val="128"/>
      </rPr>
      <t xml:space="preserve">  </t>
    </r>
    <r>
      <rPr>
        <sz val="14"/>
        <rFont val="ＭＳ Ｐ明朝"/>
        <family val="1"/>
        <charset val="128"/>
      </rPr>
      <t xml:space="preserve"> 鳥取市五反田町12-3</t>
    </r>
    <rPh sb="0" eb="2">
      <t>トットリ</t>
    </rPh>
    <rPh sb="2" eb="4">
      <t>ホンブ</t>
    </rPh>
    <rPh sb="8" eb="10">
      <t>トットリ</t>
    </rPh>
    <rPh sb="10" eb="11">
      <t>シ</t>
    </rPh>
    <rPh sb="11" eb="15">
      <t>ゴタンダチョウ</t>
    </rPh>
    <phoneticPr fontId="15"/>
  </si>
  <si>
    <t>TEL（0858）26-8341　FAX（0858）26-8323</t>
    <phoneticPr fontId="15"/>
  </si>
  <si>
    <r>
      <rPr>
        <b/>
        <sz val="14"/>
        <rFont val="ＭＳ Ｐゴシック"/>
        <family val="3"/>
        <charset val="128"/>
      </rPr>
      <t>米子支部</t>
    </r>
    <r>
      <rPr>
        <sz val="14"/>
        <rFont val="ＭＳ Ｐゴシック"/>
        <family val="3"/>
        <charset val="128"/>
      </rPr>
      <t xml:space="preserve">  米子市両三柳3060</t>
    </r>
    <rPh sb="0" eb="2">
      <t>ヨナゴ</t>
    </rPh>
    <rPh sb="2" eb="4">
      <t>シブ</t>
    </rPh>
    <rPh sb="6" eb="8">
      <t>ヨナゴ</t>
    </rPh>
    <rPh sb="8" eb="9">
      <t>シ</t>
    </rPh>
    <rPh sb="9" eb="10">
      <t>リョウ</t>
    </rPh>
    <rPh sb="10" eb="11">
      <t>３</t>
    </rPh>
    <rPh sb="11" eb="12">
      <t>ヤナギ</t>
    </rPh>
    <phoneticPr fontId="15"/>
  </si>
  <si>
    <t>TEL（0859）34-2312　FAX（0859）34-8839</t>
    <phoneticPr fontId="15"/>
  </si>
  <si>
    <t>日本海折込センター</t>
    <rPh sb="0" eb="2">
      <t>ニホン</t>
    </rPh>
    <rPh sb="2" eb="3">
      <t>カイ</t>
    </rPh>
    <rPh sb="3" eb="5">
      <t>オリコミ</t>
    </rPh>
    <phoneticPr fontId="15"/>
  </si>
  <si>
    <t>ＴＥＬ</t>
    <phoneticPr fontId="15"/>
  </si>
  <si>
    <t>ＦＡＸ</t>
    <phoneticPr fontId="15"/>
  </si>
  <si>
    <t>●天災、災害等の事故や、新聞製作の遅れなどの場合、やむを得ず折込日の変更をさせていただく事や折込不能となることがありますのでご了承願います。</t>
    <rPh sb="1" eb="3">
      <t>テンサイ</t>
    </rPh>
    <rPh sb="4" eb="7">
      <t>サイガイトウ</t>
    </rPh>
    <rPh sb="8" eb="10">
      <t>ジコ</t>
    </rPh>
    <rPh sb="12" eb="14">
      <t>シンブン</t>
    </rPh>
    <rPh sb="14" eb="16">
      <t>セイサク</t>
    </rPh>
    <rPh sb="17" eb="18">
      <t>オク</t>
    </rPh>
    <rPh sb="22" eb="24">
      <t>バアイ</t>
    </rPh>
    <rPh sb="28" eb="29">
      <t>エ</t>
    </rPh>
    <rPh sb="30" eb="32">
      <t>オリコミ</t>
    </rPh>
    <rPh sb="32" eb="33">
      <t>ビ</t>
    </rPh>
    <rPh sb="34" eb="36">
      <t>ヘンコウ</t>
    </rPh>
    <rPh sb="44" eb="45">
      <t>コト</t>
    </rPh>
    <rPh sb="46" eb="48">
      <t>オリコミ</t>
    </rPh>
    <rPh sb="48" eb="50">
      <t>フノウ</t>
    </rPh>
    <rPh sb="63" eb="65">
      <t>リョウショウ</t>
    </rPh>
    <rPh sb="65" eb="66">
      <t>ネガ</t>
    </rPh>
    <phoneticPr fontId="15"/>
  </si>
  <si>
    <t>●折込広告搬入後の中止及び変更は、業務が混乱し、間違いがおきやすくなりますのでお断りさせていただきます。</t>
    <rPh sb="1" eb="3">
      <t>オリコミ</t>
    </rPh>
    <rPh sb="3" eb="5">
      <t>コウコク</t>
    </rPh>
    <rPh sb="5" eb="7">
      <t>ハンニュウ</t>
    </rPh>
    <rPh sb="7" eb="8">
      <t>ゴ</t>
    </rPh>
    <rPh sb="9" eb="11">
      <t>チュウシ</t>
    </rPh>
    <rPh sb="11" eb="12">
      <t>オヨ</t>
    </rPh>
    <rPh sb="13" eb="15">
      <t>ヘンコウ</t>
    </rPh>
    <rPh sb="17" eb="19">
      <t>ギョウム</t>
    </rPh>
    <rPh sb="20" eb="22">
      <t>コンラン</t>
    </rPh>
    <rPh sb="24" eb="26">
      <t>マチガ</t>
    </rPh>
    <rPh sb="40" eb="41">
      <t>コトワ</t>
    </rPh>
    <phoneticPr fontId="15"/>
  </si>
  <si>
    <t>●各種、券や折込広告チラシが商品等にかわるものや、各種団体発行のものについては、印刷する前に必ず当社で内容をご確認ください。</t>
    <rPh sb="1" eb="3">
      <t>カクシュ</t>
    </rPh>
    <rPh sb="4" eb="5">
      <t>ケン</t>
    </rPh>
    <rPh sb="6" eb="8">
      <t>オリコミ</t>
    </rPh>
    <rPh sb="8" eb="10">
      <t>コウコク</t>
    </rPh>
    <rPh sb="14" eb="17">
      <t>ショウヒントウ</t>
    </rPh>
    <rPh sb="25" eb="27">
      <t>カクシュ</t>
    </rPh>
    <rPh sb="27" eb="29">
      <t>ダンタイ</t>
    </rPh>
    <rPh sb="29" eb="31">
      <t>ハッコウ</t>
    </rPh>
    <rPh sb="40" eb="42">
      <t>インサツ</t>
    </rPh>
    <rPh sb="44" eb="45">
      <t>マエ</t>
    </rPh>
    <rPh sb="46" eb="47">
      <t>カナラ</t>
    </rPh>
    <rPh sb="48" eb="50">
      <t>トウシャ</t>
    </rPh>
    <rPh sb="51" eb="53">
      <t>ナイヨウ</t>
    </rPh>
    <rPh sb="55" eb="57">
      <t>カクニン</t>
    </rPh>
    <phoneticPr fontId="15"/>
  </si>
  <si>
    <t>●政党・意見広告・連合広告の取り扱いについては、事前に広告原稿の提示をお願いします。</t>
    <rPh sb="1" eb="3">
      <t>セイトウ</t>
    </rPh>
    <rPh sb="4" eb="6">
      <t>イケン</t>
    </rPh>
    <rPh sb="6" eb="8">
      <t>コウコク</t>
    </rPh>
    <rPh sb="9" eb="11">
      <t>レンゴウ</t>
    </rPh>
    <rPh sb="11" eb="13">
      <t>コウコク</t>
    </rPh>
    <rPh sb="14" eb="15">
      <t>ト</t>
    </rPh>
    <rPh sb="16" eb="17">
      <t>アツカ</t>
    </rPh>
    <rPh sb="24" eb="26">
      <t>ジゼン</t>
    </rPh>
    <rPh sb="27" eb="29">
      <t>コウコク</t>
    </rPh>
    <rPh sb="29" eb="31">
      <t>ゲンコウ</t>
    </rPh>
    <rPh sb="32" eb="34">
      <t>テイジ</t>
    </rPh>
    <rPh sb="36" eb="37">
      <t>ネガ</t>
    </rPh>
    <phoneticPr fontId="15"/>
  </si>
  <si>
    <t>●販売店内の区域指定は、原則お断りさせていただきます。やむをえず指定をされる場合は、ご希望通り折込が入らない場合もありますのでご了承ください。</t>
    <rPh sb="1" eb="3">
      <t>ハンバイ</t>
    </rPh>
    <rPh sb="3" eb="5">
      <t>テンナイ</t>
    </rPh>
    <rPh sb="6" eb="8">
      <t>クイキ</t>
    </rPh>
    <rPh sb="8" eb="10">
      <t>シテイ</t>
    </rPh>
    <rPh sb="12" eb="14">
      <t>ゲンソク</t>
    </rPh>
    <rPh sb="15" eb="16">
      <t>コトワ</t>
    </rPh>
    <rPh sb="32" eb="34">
      <t>シテイ</t>
    </rPh>
    <rPh sb="38" eb="40">
      <t>バアイ</t>
    </rPh>
    <rPh sb="43" eb="45">
      <t>キボウ</t>
    </rPh>
    <rPh sb="45" eb="46">
      <t>ドオ</t>
    </rPh>
    <rPh sb="47" eb="49">
      <t>オリコミ</t>
    </rPh>
    <rPh sb="50" eb="51">
      <t>ハイ</t>
    </rPh>
    <rPh sb="54" eb="56">
      <t>バアイ</t>
    </rPh>
    <rPh sb="64" eb="66">
      <t>リョウショウ</t>
    </rPh>
    <phoneticPr fontId="15"/>
  </si>
  <si>
    <t>　　備     考</t>
    <rPh sb="2" eb="3">
      <t>ソナエ</t>
    </rPh>
    <rPh sb="8" eb="9">
      <t>コウ</t>
    </rPh>
    <phoneticPr fontId="15"/>
  </si>
  <si>
    <t>請求先名</t>
    <rPh sb="0" eb="2">
      <t>セイキュウ</t>
    </rPh>
    <rPh sb="2" eb="3">
      <t>サキ</t>
    </rPh>
    <rPh sb="3" eb="4">
      <t>メイ</t>
    </rPh>
    <phoneticPr fontId="15"/>
  </si>
  <si>
    <t>　　　　折込申込書</t>
    <rPh sb="4" eb="6">
      <t>オリコミ</t>
    </rPh>
    <rPh sb="6" eb="8">
      <t>モウシコミ</t>
    </rPh>
    <rPh sb="8" eb="9">
      <t>ショ</t>
    </rPh>
    <phoneticPr fontId="15"/>
  </si>
  <si>
    <t>担当者名</t>
    <rPh sb="0" eb="2">
      <t>タントウ</t>
    </rPh>
    <rPh sb="2" eb="3">
      <t>シャ</t>
    </rPh>
    <rPh sb="3" eb="4">
      <t>メイ</t>
    </rPh>
    <phoneticPr fontId="15"/>
  </si>
  <si>
    <r>
      <rPr>
        <b/>
        <sz val="14"/>
        <rFont val="ＭＳ Ｐゴシック"/>
        <family val="3"/>
        <charset val="128"/>
      </rPr>
      <t>倉吉支部</t>
    </r>
    <r>
      <rPr>
        <sz val="14"/>
        <rFont val="ＭＳ Ｐゴシック"/>
        <family val="3"/>
        <charset val="128"/>
      </rPr>
      <t xml:space="preserve">   倉吉市上井町1-156</t>
    </r>
    <rPh sb="0" eb="2">
      <t>クラヨシ</t>
    </rPh>
    <rPh sb="2" eb="4">
      <t>シブ</t>
    </rPh>
    <rPh sb="7" eb="10">
      <t>クラヨシシ</t>
    </rPh>
    <rPh sb="10" eb="11">
      <t>ウエ</t>
    </rPh>
    <rPh sb="11" eb="12">
      <t>イ</t>
    </rPh>
    <rPh sb="12" eb="13">
      <t>チョウ</t>
    </rPh>
    <phoneticPr fontId="15"/>
  </si>
  <si>
    <t>(多里含む）</t>
    <rPh sb="1" eb="2">
      <t>タ</t>
    </rPh>
    <rPh sb="2" eb="3">
      <t>サト</t>
    </rPh>
    <rPh sb="3" eb="4">
      <t>フク</t>
    </rPh>
    <phoneticPr fontId="15"/>
  </si>
  <si>
    <t>〒682-0022　鳥取県倉吉市上井町1-156</t>
    <rPh sb="10" eb="13">
      <t>トットリケン</t>
    </rPh>
    <rPh sb="13" eb="16">
      <t>クラヨシシ</t>
    </rPh>
    <rPh sb="16" eb="19">
      <t>アゲイチョウ</t>
    </rPh>
    <phoneticPr fontId="15"/>
  </si>
  <si>
    <t>TEL　0857-32-3555</t>
    <phoneticPr fontId="15"/>
  </si>
  <si>
    <t>FAX　0857-32-1222</t>
    <phoneticPr fontId="15"/>
  </si>
  <si>
    <t>TEL　0858-26-8341</t>
    <phoneticPr fontId="15"/>
  </si>
  <si>
    <t>FAX　0858-26-8323</t>
    <phoneticPr fontId="15"/>
  </si>
  <si>
    <t>TEL　0859-34-2312</t>
    <phoneticPr fontId="15"/>
  </si>
  <si>
    <t>FAX　0859-34-8839</t>
    <phoneticPr fontId="15"/>
  </si>
  <si>
    <t>東部</t>
    <rPh sb="0" eb="2">
      <t>トウブ</t>
    </rPh>
    <phoneticPr fontId="15"/>
  </si>
  <si>
    <t>西部</t>
    <rPh sb="0" eb="2">
      <t>セイブ</t>
    </rPh>
    <phoneticPr fontId="15"/>
  </si>
  <si>
    <t>朝日</t>
    <rPh sb="0" eb="2">
      <t>アサヒ</t>
    </rPh>
    <phoneticPr fontId="15"/>
  </si>
  <si>
    <t>読売</t>
    <rPh sb="0" eb="2">
      <t>ヨミウリ</t>
    </rPh>
    <phoneticPr fontId="15"/>
  </si>
  <si>
    <t>毎日</t>
    <rPh sb="0" eb="2">
      <t>マイニチ</t>
    </rPh>
    <phoneticPr fontId="15"/>
  </si>
  <si>
    <t>日経</t>
    <rPh sb="0" eb="2">
      <t>ニッケイ</t>
    </rPh>
    <phoneticPr fontId="15"/>
  </si>
  <si>
    <t>配送料</t>
    <rPh sb="0" eb="2">
      <t>ハイソウ</t>
    </rPh>
    <rPh sb="2" eb="3">
      <t>リョウ</t>
    </rPh>
    <phoneticPr fontId="15"/>
  </si>
  <si>
    <t>鳥取</t>
    <rPh sb="0" eb="2">
      <t>トットリ</t>
    </rPh>
    <phoneticPr fontId="15"/>
  </si>
  <si>
    <t>倉吉</t>
    <rPh sb="0" eb="2">
      <t>クラヨシ</t>
    </rPh>
    <phoneticPr fontId="15"/>
  </si>
  <si>
    <t>米子</t>
    <rPh sb="0" eb="2">
      <t>ヨナゴ</t>
    </rPh>
    <phoneticPr fontId="15"/>
  </si>
  <si>
    <t>倉吉・郡部</t>
    <rPh sb="0" eb="2">
      <t>クラヨシ</t>
    </rPh>
    <rPh sb="3" eb="5">
      <t>グンブ</t>
    </rPh>
    <phoneticPr fontId="15"/>
  </si>
  <si>
    <t>八頭・若桜</t>
    <rPh sb="0" eb="2">
      <t>ハットウ</t>
    </rPh>
    <rPh sb="3" eb="5">
      <t>ワカサ</t>
    </rPh>
    <phoneticPr fontId="15"/>
  </si>
  <si>
    <t>気高郡</t>
    <rPh sb="0" eb="2">
      <t>ケタカ</t>
    </rPh>
    <rPh sb="2" eb="3">
      <t>グン</t>
    </rPh>
    <phoneticPr fontId="15"/>
  </si>
  <si>
    <t>配布部数があれが1500円</t>
    <rPh sb="0" eb="2">
      <t>ハイフ</t>
    </rPh>
    <rPh sb="2" eb="4">
      <t>ブスウ</t>
    </rPh>
    <rPh sb="12" eb="13">
      <t>エン</t>
    </rPh>
    <phoneticPr fontId="15"/>
  </si>
  <si>
    <t>配布部数*0.2円</t>
    <rPh sb="0" eb="2">
      <t>ハイフ</t>
    </rPh>
    <rPh sb="2" eb="4">
      <t>ブスウ</t>
    </rPh>
    <rPh sb="8" eb="9">
      <t>エン</t>
    </rPh>
    <phoneticPr fontId="15"/>
  </si>
  <si>
    <t>配布地域が1か所だと1000円,2か所だと1200円,3か所だと1500円</t>
    <rPh sb="0" eb="2">
      <t>ハイフ</t>
    </rPh>
    <rPh sb="2" eb="4">
      <t>チイキ</t>
    </rPh>
    <rPh sb="7" eb="8">
      <t>ショ</t>
    </rPh>
    <rPh sb="14" eb="15">
      <t>エン</t>
    </rPh>
    <rPh sb="18" eb="19">
      <t>ショ</t>
    </rPh>
    <rPh sb="25" eb="26">
      <t>エン</t>
    </rPh>
    <rPh sb="29" eb="30">
      <t>ショ</t>
    </rPh>
    <rPh sb="36" eb="37">
      <t>エン</t>
    </rPh>
    <phoneticPr fontId="15"/>
  </si>
  <si>
    <t>配布部数*0.25円</t>
    <rPh sb="0" eb="2">
      <t>ハイフ</t>
    </rPh>
    <rPh sb="2" eb="4">
      <t>ブスウ</t>
    </rPh>
    <rPh sb="9" eb="10">
      <t>エン</t>
    </rPh>
    <phoneticPr fontId="15"/>
  </si>
  <si>
    <t>配布部数があれが6000円</t>
    <rPh sb="0" eb="2">
      <t>ハイフ</t>
    </rPh>
    <rPh sb="2" eb="4">
      <t>ブスウ</t>
    </rPh>
    <rPh sb="12" eb="13">
      <t>エン</t>
    </rPh>
    <phoneticPr fontId="15"/>
  </si>
  <si>
    <t>兵庫</t>
    <rPh sb="0" eb="2">
      <t>ヒョウゴ</t>
    </rPh>
    <phoneticPr fontId="15"/>
  </si>
  <si>
    <t>郡部</t>
    <rPh sb="0" eb="2">
      <t>グンブ</t>
    </rPh>
    <phoneticPr fontId="15"/>
  </si>
  <si>
    <t>新米子市</t>
    <rPh sb="0" eb="1">
      <t>シン</t>
    </rPh>
    <rPh sb="1" eb="4">
      <t>ヨナゴシ</t>
    </rPh>
    <phoneticPr fontId="15"/>
  </si>
  <si>
    <t>西伯・日野郡</t>
    <rPh sb="0" eb="2">
      <t>サイハク</t>
    </rPh>
    <rPh sb="3" eb="6">
      <t>ヒノグン</t>
    </rPh>
    <phoneticPr fontId="15"/>
  </si>
  <si>
    <t>旧市内は無料</t>
    <rPh sb="0" eb="1">
      <t>キュウ</t>
    </rPh>
    <rPh sb="1" eb="3">
      <t>シナイ</t>
    </rPh>
    <rPh sb="4" eb="6">
      <t>ムリョウ</t>
    </rPh>
    <phoneticPr fontId="15"/>
  </si>
  <si>
    <t>旧市内は無料</t>
    <phoneticPr fontId="15"/>
  </si>
  <si>
    <t>旧米子市</t>
    <rPh sb="0" eb="1">
      <t>キュウ</t>
    </rPh>
    <rPh sb="1" eb="4">
      <t>ヨナゴシ</t>
    </rPh>
    <phoneticPr fontId="15"/>
  </si>
  <si>
    <t>新市内と西伯・日野郡と境港は配布部数*0.3円</t>
    <rPh sb="0" eb="1">
      <t>シン</t>
    </rPh>
    <rPh sb="1" eb="3">
      <t>シナイ</t>
    </rPh>
    <rPh sb="4" eb="6">
      <t>サイハク</t>
    </rPh>
    <rPh sb="7" eb="9">
      <t>ヒノ</t>
    </rPh>
    <rPh sb="9" eb="10">
      <t>グン</t>
    </rPh>
    <rPh sb="11" eb="13">
      <t>サカイミナト</t>
    </rPh>
    <rPh sb="14" eb="16">
      <t>ハイフ</t>
    </rPh>
    <rPh sb="16" eb="18">
      <t>ブスウ</t>
    </rPh>
    <rPh sb="22" eb="23">
      <t>エン</t>
    </rPh>
    <phoneticPr fontId="15"/>
  </si>
  <si>
    <t>単価</t>
    <rPh sb="0" eb="2">
      <t>タンカ</t>
    </rPh>
    <phoneticPr fontId="15"/>
  </si>
  <si>
    <t>広告主名</t>
    <rPh sb="0" eb="2">
      <t>コウコク</t>
    </rPh>
    <rPh sb="2" eb="3">
      <t>ヌシ</t>
    </rPh>
    <rPh sb="3" eb="4">
      <t>メイ</t>
    </rPh>
    <phoneticPr fontId="15"/>
  </si>
  <si>
    <t>見積書で使用する広告料単価</t>
  </si>
  <si>
    <t>見積書イメージ１</t>
    <rPh sb="0" eb="3">
      <t>ミツモリショ</t>
    </rPh>
    <phoneticPr fontId="15"/>
  </si>
  <si>
    <t>見積書イメージ２</t>
    <rPh sb="0" eb="3">
      <t>ミツモリショ</t>
    </rPh>
    <phoneticPr fontId="15"/>
  </si>
  <si>
    <t>折込方法</t>
    <rPh sb="0" eb="2">
      <t>オリコミ</t>
    </rPh>
    <rPh sb="2" eb="4">
      <t>ホウホウ</t>
    </rPh>
    <phoneticPr fontId="15"/>
  </si>
  <si>
    <t>品目</t>
    <rPh sb="0" eb="2">
      <t>ヒンモク</t>
    </rPh>
    <phoneticPr fontId="15"/>
  </si>
  <si>
    <t>数量</t>
    <rPh sb="0" eb="2">
      <t>スウリョウ</t>
    </rPh>
    <phoneticPr fontId="15"/>
  </si>
  <si>
    <t>金額</t>
    <rPh sb="0" eb="2">
      <t>キンガク</t>
    </rPh>
    <phoneticPr fontId="15"/>
  </si>
  <si>
    <t>１折</t>
    <rPh sb="1" eb="2">
      <t>オリ</t>
    </rPh>
    <phoneticPr fontId="15"/>
  </si>
  <si>
    <t xml:space="preserve"> </t>
  </si>
  <si>
    <t>４折</t>
    <rPh sb="1" eb="2">
      <t>オリ</t>
    </rPh>
    <phoneticPr fontId="15"/>
  </si>
  <si>
    <t>６折</t>
    <rPh sb="1" eb="2">
      <t>オリ</t>
    </rPh>
    <phoneticPr fontId="15"/>
  </si>
  <si>
    <t>８折</t>
    <rPh sb="1" eb="2">
      <t>オリ</t>
    </rPh>
    <phoneticPr fontId="15"/>
  </si>
  <si>
    <t>搬入日</t>
    <rPh sb="0" eb="2">
      <t>ハンニュウ</t>
    </rPh>
    <rPh sb="2" eb="3">
      <t>ビ</t>
    </rPh>
    <phoneticPr fontId="15"/>
  </si>
  <si>
    <t>2折</t>
    <rPh sb="1" eb="2">
      <t>オリ</t>
    </rPh>
    <phoneticPr fontId="15"/>
  </si>
  <si>
    <t>山上と統合</t>
    <rPh sb="0" eb="2">
      <t>ヤマガミ</t>
    </rPh>
    <rPh sb="3" eb="5">
      <t>トウゴウ</t>
    </rPh>
    <phoneticPr fontId="15"/>
  </si>
  <si>
    <t>城東・成実</t>
    <rPh sb="0" eb="2">
      <t>ジョウトウ</t>
    </rPh>
    <rPh sb="3" eb="5">
      <t>ナルミ</t>
    </rPh>
    <phoneticPr fontId="15"/>
  </si>
  <si>
    <t>大高</t>
    <rPh sb="0" eb="2">
      <t>オオタカ</t>
    </rPh>
    <phoneticPr fontId="15"/>
  </si>
  <si>
    <t>生山・山上</t>
    <rPh sb="0" eb="1">
      <t>イ</t>
    </rPh>
    <rPh sb="1" eb="2">
      <t>ヤマ</t>
    </rPh>
    <rPh sb="3" eb="5">
      <t>ヤマガミ</t>
    </rPh>
    <phoneticPr fontId="15"/>
  </si>
  <si>
    <t>倉田</t>
    <rPh sb="0" eb="2">
      <t>クラタ</t>
    </rPh>
    <phoneticPr fontId="15"/>
  </si>
  <si>
    <t>中央</t>
    <rPh sb="0" eb="2">
      <t>チュウオウ</t>
    </rPh>
    <phoneticPr fontId="14"/>
  </si>
  <si>
    <t>東</t>
    <rPh sb="0" eb="1">
      <t>ヒガシ</t>
    </rPh>
    <phoneticPr fontId="14"/>
  </si>
  <si>
    <t>上井</t>
    <rPh sb="0" eb="2">
      <t>アゲイ</t>
    </rPh>
    <phoneticPr fontId="14"/>
  </si>
  <si>
    <t>西</t>
    <rPh sb="0" eb="1">
      <t>ニシ</t>
    </rPh>
    <phoneticPr fontId="14"/>
  </si>
  <si>
    <t>南</t>
    <rPh sb="0" eb="1">
      <t>ミナミ</t>
    </rPh>
    <phoneticPr fontId="14"/>
  </si>
  <si>
    <t>北</t>
    <rPh sb="0" eb="1">
      <t>キタ</t>
    </rPh>
    <phoneticPr fontId="14"/>
  </si>
  <si>
    <t>関金</t>
    <rPh sb="0" eb="2">
      <t>セキガネ</t>
    </rPh>
    <phoneticPr fontId="14"/>
  </si>
  <si>
    <t>灘手（大栄）</t>
    <rPh sb="0" eb="1">
      <t>ナダ</t>
    </rPh>
    <rPh sb="1" eb="2">
      <t>テ</t>
    </rPh>
    <rPh sb="3" eb="5">
      <t>ダイエイ</t>
    </rPh>
    <phoneticPr fontId="14"/>
  </si>
  <si>
    <t>三朝</t>
    <rPh sb="0" eb="2">
      <t>ミササ</t>
    </rPh>
    <phoneticPr fontId="14"/>
  </si>
  <si>
    <t>旭</t>
    <rPh sb="0" eb="1">
      <t>アサヒ</t>
    </rPh>
    <phoneticPr fontId="14"/>
  </si>
  <si>
    <t>松崎</t>
    <rPh sb="0" eb="2">
      <t>マツザキ</t>
    </rPh>
    <phoneticPr fontId="14"/>
  </si>
  <si>
    <t>泊</t>
    <rPh sb="0" eb="1">
      <t>トマリ</t>
    </rPh>
    <phoneticPr fontId="14"/>
  </si>
  <si>
    <t>羽合</t>
    <rPh sb="0" eb="2">
      <t>ハワイ</t>
    </rPh>
    <phoneticPr fontId="14"/>
  </si>
  <si>
    <t>北条</t>
    <rPh sb="0" eb="2">
      <t>ホウジョウ</t>
    </rPh>
    <phoneticPr fontId="14"/>
  </si>
  <si>
    <t>大栄</t>
    <rPh sb="0" eb="2">
      <t>ダイエイ</t>
    </rPh>
    <phoneticPr fontId="14"/>
  </si>
  <si>
    <t>浦安</t>
    <rPh sb="0" eb="2">
      <t>ウラヤス</t>
    </rPh>
    <phoneticPr fontId="14"/>
  </si>
  <si>
    <t>八橋</t>
    <rPh sb="0" eb="2">
      <t>ヤバセ</t>
    </rPh>
    <phoneticPr fontId="14"/>
  </si>
  <si>
    <t>赤碕</t>
    <rPh sb="0" eb="2">
      <t>アカサキ</t>
    </rPh>
    <phoneticPr fontId="14"/>
  </si>
  <si>
    <t>中部</t>
    <rPh sb="0" eb="2">
      <t>チュウブ</t>
    </rPh>
    <phoneticPr fontId="14"/>
  </si>
  <si>
    <t>東部北</t>
    <rPh sb="0" eb="2">
      <t>トウブ</t>
    </rPh>
    <rPh sb="2" eb="3">
      <t>キタ</t>
    </rPh>
    <phoneticPr fontId="14"/>
  </si>
  <si>
    <t>駅南</t>
    <rPh sb="0" eb="1">
      <t>エキ</t>
    </rPh>
    <rPh sb="1" eb="2">
      <t>ミナミ</t>
    </rPh>
    <phoneticPr fontId="14"/>
  </si>
  <si>
    <t>皆生
三柳</t>
    <rPh sb="0" eb="2">
      <t>カイケ</t>
    </rPh>
    <rPh sb="3" eb="5">
      <t>ミツヤナギ</t>
    </rPh>
    <phoneticPr fontId="14"/>
  </si>
  <si>
    <t>夜見</t>
    <rPh sb="0" eb="1">
      <t>ヨル</t>
    </rPh>
    <rPh sb="1" eb="2">
      <t>ミ</t>
    </rPh>
    <phoneticPr fontId="14"/>
  </si>
  <si>
    <t>美保</t>
    <rPh sb="0" eb="2">
      <t>ミホ</t>
    </rPh>
    <phoneticPr fontId="14"/>
  </si>
  <si>
    <t>箕蚊屋</t>
    <rPh sb="0" eb="1">
      <t>ミ</t>
    </rPh>
    <rPh sb="1" eb="2">
      <t>カ</t>
    </rPh>
    <rPh sb="2" eb="3">
      <t>ヤ</t>
    </rPh>
    <phoneticPr fontId="14"/>
  </si>
  <si>
    <t>中山</t>
    <rPh sb="0" eb="2">
      <t>ナカヤマ</t>
    </rPh>
    <phoneticPr fontId="14"/>
  </si>
  <si>
    <t>名和</t>
    <rPh sb="0" eb="2">
      <t>ナワ</t>
    </rPh>
    <phoneticPr fontId="14"/>
  </si>
  <si>
    <t>大山</t>
    <rPh sb="0" eb="2">
      <t>ダイセン</t>
    </rPh>
    <phoneticPr fontId="14"/>
  </si>
  <si>
    <t>手間</t>
    <rPh sb="0" eb="2">
      <t>テマ</t>
    </rPh>
    <phoneticPr fontId="14"/>
  </si>
  <si>
    <t>法勝寺</t>
    <rPh sb="0" eb="1">
      <t>ホウ</t>
    </rPh>
    <rPh sb="1" eb="2">
      <t>カツ</t>
    </rPh>
    <rPh sb="2" eb="3">
      <t>テラ</t>
    </rPh>
    <phoneticPr fontId="14"/>
  </si>
  <si>
    <t>岸本</t>
    <rPh sb="0" eb="2">
      <t>キシモト</t>
    </rPh>
    <phoneticPr fontId="14"/>
  </si>
  <si>
    <t>溝口</t>
    <rPh sb="0" eb="2">
      <t>ミゾクチ</t>
    </rPh>
    <phoneticPr fontId="14"/>
  </si>
  <si>
    <t>二部</t>
    <rPh sb="0" eb="2">
      <t>ニブ</t>
    </rPh>
    <phoneticPr fontId="14"/>
  </si>
  <si>
    <t>境港</t>
    <rPh sb="0" eb="2">
      <t>サカイミナト</t>
    </rPh>
    <phoneticPr fontId="14"/>
  </si>
  <si>
    <t>上道</t>
    <rPh sb="0" eb="1">
      <t>ジョウ</t>
    </rPh>
    <rPh sb="1" eb="2">
      <t>ドウ</t>
    </rPh>
    <phoneticPr fontId="14"/>
  </si>
  <si>
    <t>余子</t>
    <rPh sb="0" eb="1">
      <t>アマ</t>
    </rPh>
    <rPh sb="1" eb="2">
      <t>コ</t>
    </rPh>
    <phoneticPr fontId="14"/>
  </si>
  <si>
    <t>渡</t>
    <rPh sb="0" eb="1">
      <t>ワタ</t>
    </rPh>
    <phoneticPr fontId="14"/>
  </si>
  <si>
    <t>外江</t>
    <rPh sb="0" eb="1">
      <t>ソト</t>
    </rPh>
    <rPh sb="1" eb="2">
      <t>エ</t>
    </rPh>
    <phoneticPr fontId="14"/>
  </si>
  <si>
    <t>中浜</t>
    <rPh sb="0" eb="2">
      <t>ナカハマ</t>
    </rPh>
    <phoneticPr fontId="14"/>
  </si>
  <si>
    <t>シート</t>
    <phoneticPr fontId="15"/>
  </si>
  <si>
    <t>D8</t>
    <phoneticPr fontId="15"/>
  </si>
  <si>
    <t>セル</t>
    <phoneticPr fontId="15"/>
  </si>
  <si>
    <t>G8</t>
  </si>
  <si>
    <t>1</t>
    <phoneticPr fontId="15"/>
  </si>
  <si>
    <t>受注先コード</t>
  </si>
  <si>
    <t>受注先名</t>
  </si>
  <si>
    <t>受注日</t>
  </si>
  <si>
    <t>受注先子番</t>
  </si>
  <si>
    <t>担当者コード</t>
  </si>
  <si>
    <t>受注名称1</t>
  </si>
  <si>
    <t>商品コード</t>
  </si>
  <si>
    <t>商品名</t>
  </si>
  <si>
    <t>品番</t>
  </si>
  <si>
    <t>受注数量</t>
  </si>
  <si>
    <t>受注単位</t>
  </si>
  <si>
    <t>原価明細商品コード</t>
  </si>
  <si>
    <t>原価明細材料名</t>
  </si>
  <si>
    <t>受注原価数量</t>
  </si>
  <si>
    <t>仕入先コード</t>
  </si>
  <si>
    <t>仕入先子番</t>
  </si>
  <si>
    <t>仕入先名1</t>
  </si>
  <si>
    <t>M8</t>
    <phoneticPr fontId="15"/>
  </si>
  <si>
    <t>J8</t>
    <phoneticPr fontId="15"/>
  </si>
  <si>
    <t>D9</t>
  </si>
  <si>
    <t>D10</t>
  </si>
  <si>
    <t>D11</t>
  </si>
  <si>
    <t>D12</t>
  </si>
  <si>
    <t>D13</t>
  </si>
  <si>
    <t>D14</t>
  </si>
  <si>
    <t>D15</t>
  </si>
  <si>
    <t>D16</t>
  </si>
  <si>
    <t>D17</t>
  </si>
  <si>
    <t>D18</t>
  </si>
  <si>
    <t>D19</t>
  </si>
  <si>
    <t>D20</t>
  </si>
  <si>
    <t>D21</t>
  </si>
  <si>
    <t>D22</t>
  </si>
  <si>
    <t>D23</t>
  </si>
  <si>
    <t>D24</t>
  </si>
  <si>
    <t>D25</t>
  </si>
  <si>
    <t>D26</t>
  </si>
  <si>
    <t>D27</t>
  </si>
  <si>
    <t>D28</t>
  </si>
  <si>
    <t>D29</t>
  </si>
  <si>
    <t>G9</t>
  </si>
  <si>
    <t>G10</t>
  </si>
  <si>
    <t>G11</t>
  </si>
  <si>
    <t>G12</t>
  </si>
  <si>
    <t>G13</t>
  </si>
  <si>
    <t>G14</t>
  </si>
  <si>
    <t>G15</t>
  </si>
  <si>
    <t>G16</t>
  </si>
  <si>
    <t>G17</t>
  </si>
  <si>
    <t>G18</t>
  </si>
  <si>
    <t>G19</t>
  </si>
  <si>
    <t>G20</t>
  </si>
  <si>
    <t>G21</t>
  </si>
  <si>
    <t>G22</t>
  </si>
  <si>
    <t>G23</t>
  </si>
  <si>
    <t>G24</t>
  </si>
  <si>
    <t>G25</t>
  </si>
  <si>
    <t>G26</t>
  </si>
  <si>
    <t>G27</t>
  </si>
  <si>
    <t>G28</t>
  </si>
  <si>
    <t>G29</t>
  </si>
  <si>
    <t>J9</t>
  </si>
  <si>
    <t>J10</t>
  </si>
  <si>
    <t>J11</t>
  </si>
  <si>
    <t>J12</t>
  </si>
  <si>
    <t>J13</t>
  </si>
  <si>
    <t>J14</t>
  </si>
  <si>
    <t>J15</t>
  </si>
  <si>
    <t>J16</t>
  </si>
  <si>
    <t>J17</t>
  </si>
  <si>
    <t>J18</t>
  </si>
  <si>
    <t>J19</t>
  </si>
  <si>
    <t>J20</t>
  </si>
  <si>
    <t>J21</t>
  </si>
  <si>
    <t>J22</t>
  </si>
  <si>
    <t>J23</t>
  </si>
  <si>
    <t>J24</t>
  </si>
  <si>
    <t>J25</t>
  </si>
  <si>
    <t>J26</t>
  </si>
  <si>
    <t>J27</t>
  </si>
  <si>
    <t>J28</t>
  </si>
  <si>
    <t>J29</t>
  </si>
  <si>
    <t>M9</t>
  </si>
  <si>
    <t>M10</t>
  </si>
  <si>
    <t>M11</t>
  </si>
  <si>
    <t>M12</t>
  </si>
  <si>
    <t>M13</t>
  </si>
  <si>
    <t>M14</t>
  </si>
  <si>
    <t>M15</t>
  </si>
  <si>
    <t>M16</t>
  </si>
  <si>
    <t>M17</t>
  </si>
  <si>
    <t>M18</t>
  </si>
  <si>
    <t>M19</t>
  </si>
  <si>
    <t>M20</t>
  </si>
  <si>
    <t>M21</t>
  </si>
  <si>
    <t>M22</t>
  </si>
  <si>
    <t>M23</t>
  </si>
  <si>
    <t>M24</t>
  </si>
  <si>
    <t>M25</t>
  </si>
  <si>
    <t>M26</t>
  </si>
  <si>
    <t>M27</t>
  </si>
  <si>
    <t>M28</t>
  </si>
  <si>
    <t>M29</t>
  </si>
  <si>
    <t>P8</t>
    <phoneticPr fontId="15"/>
  </si>
  <si>
    <t>P9</t>
  </si>
  <si>
    <t>P10</t>
  </si>
  <si>
    <t>P11</t>
  </si>
  <si>
    <t>P12</t>
  </si>
  <si>
    <t>P13</t>
  </si>
  <si>
    <t>P14</t>
  </si>
  <si>
    <t>P15</t>
  </si>
  <si>
    <t>P16</t>
  </si>
  <si>
    <t>P17</t>
  </si>
  <si>
    <t>P18</t>
  </si>
  <si>
    <t>P19</t>
  </si>
  <si>
    <t>P20</t>
  </si>
  <si>
    <t>P21</t>
  </si>
  <si>
    <t>P22</t>
  </si>
  <si>
    <t>P23</t>
  </si>
  <si>
    <t>P24</t>
  </si>
  <si>
    <t>P25</t>
  </si>
  <si>
    <t>P26</t>
  </si>
  <si>
    <t>P27</t>
  </si>
  <si>
    <t>P28</t>
  </si>
  <si>
    <t>P29</t>
  </si>
  <si>
    <t>S8</t>
    <phoneticPr fontId="15"/>
  </si>
  <si>
    <t>S9</t>
  </si>
  <si>
    <t>S10</t>
  </si>
  <si>
    <t>S11</t>
  </si>
  <si>
    <t>S12</t>
  </si>
  <si>
    <t>S13</t>
  </si>
  <si>
    <t>S14</t>
  </si>
  <si>
    <t>S15</t>
  </si>
  <si>
    <t>S16</t>
  </si>
  <si>
    <t>S17</t>
  </si>
  <si>
    <t>S18</t>
  </si>
  <si>
    <t>S19</t>
  </si>
  <si>
    <t>S20</t>
  </si>
  <si>
    <t>S21</t>
  </si>
  <si>
    <t>S22</t>
  </si>
  <si>
    <t>S23</t>
  </si>
  <si>
    <t>S24</t>
  </si>
  <si>
    <t>S25</t>
  </si>
  <si>
    <t>S26</t>
  </si>
  <si>
    <t>S27</t>
  </si>
  <si>
    <t>S28</t>
  </si>
  <si>
    <t>S29</t>
  </si>
  <si>
    <t>V8</t>
    <phoneticPr fontId="15"/>
  </si>
  <si>
    <t>V9</t>
  </si>
  <si>
    <t>V10</t>
  </si>
  <si>
    <t>V11</t>
  </si>
  <si>
    <t>V12</t>
  </si>
  <si>
    <t>V13</t>
  </si>
  <si>
    <t>V14</t>
  </si>
  <si>
    <t>V15</t>
  </si>
  <si>
    <t>V16</t>
  </si>
  <si>
    <t>V17</t>
  </si>
  <si>
    <t>V18</t>
  </si>
  <si>
    <t>V19</t>
  </si>
  <si>
    <t>V20</t>
  </si>
  <si>
    <t>V21</t>
  </si>
  <si>
    <t>V22</t>
  </si>
  <si>
    <t>V23</t>
  </si>
  <si>
    <t>V24</t>
  </si>
  <si>
    <t>V25</t>
  </si>
  <si>
    <t>V26</t>
  </si>
  <si>
    <t>V27</t>
  </si>
  <si>
    <t>V28</t>
  </si>
  <si>
    <t>V29</t>
  </si>
  <si>
    <t>新聞</t>
    <rPh sb="0" eb="2">
      <t>シンブン</t>
    </rPh>
    <phoneticPr fontId="15"/>
  </si>
  <si>
    <t>受注原価単価</t>
    <phoneticPr fontId="15"/>
  </si>
  <si>
    <t>受注単価</t>
    <phoneticPr fontId="15"/>
  </si>
  <si>
    <t>D</t>
    <phoneticPr fontId="15"/>
  </si>
  <si>
    <t>G</t>
    <phoneticPr fontId="15"/>
  </si>
  <si>
    <t>J</t>
    <phoneticPr fontId="15"/>
  </si>
  <si>
    <t>M</t>
    <phoneticPr fontId="15"/>
  </si>
  <si>
    <t>P</t>
    <phoneticPr fontId="15"/>
  </si>
  <si>
    <t>S</t>
    <phoneticPr fontId="15"/>
  </si>
  <si>
    <t>V</t>
    <phoneticPr fontId="15"/>
  </si>
  <si>
    <t>列</t>
    <rPh sb="0" eb="1">
      <t>レツ</t>
    </rPh>
    <phoneticPr fontId="15"/>
  </si>
  <si>
    <t>受注番号1</t>
  </si>
  <si>
    <t>受注番号2</t>
  </si>
  <si>
    <t>追加子番</t>
  </si>
  <si>
    <t>折込広告のお申し込み・お問い合わせは</t>
  </si>
  <si>
    <t>東部地区</t>
    <rPh sb="0" eb="2">
      <t>トウブ</t>
    </rPh>
    <rPh sb="2" eb="4">
      <t>チク</t>
    </rPh>
    <phoneticPr fontId="15"/>
  </si>
  <si>
    <t>中部地区</t>
    <rPh sb="0" eb="2">
      <t>チュウブ</t>
    </rPh>
    <rPh sb="2" eb="4">
      <t>チク</t>
    </rPh>
    <phoneticPr fontId="15"/>
  </si>
  <si>
    <t>西部地区</t>
    <rPh sb="0" eb="2">
      <t>セイブ</t>
    </rPh>
    <rPh sb="2" eb="4">
      <t>チク</t>
    </rPh>
    <phoneticPr fontId="15"/>
  </si>
  <si>
    <t>No</t>
    <phoneticPr fontId="15"/>
  </si>
  <si>
    <t>社内入力欄（業種）</t>
    <rPh sb="0" eb="2">
      <t>シャナイ</t>
    </rPh>
    <rPh sb="2" eb="4">
      <t>ニュウリョク</t>
    </rPh>
    <rPh sb="4" eb="5">
      <t>ラン</t>
    </rPh>
    <rPh sb="6" eb="8">
      <t>ギョウシュ</t>
    </rPh>
    <phoneticPr fontId="15"/>
  </si>
  <si>
    <t>社内入力欄（代理店）</t>
    <rPh sb="0" eb="2">
      <t>シャナイ</t>
    </rPh>
    <rPh sb="2" eb="4">
      <t>ニュウリョク</t>
    </rPh>
    <rPh sb="4" eb="5">
      <t>ラン</t>
    </rPh>
    <rPh sb="6" eb="9">
      <t>ダイリテン</t>
    </rPh>
    <phoneticPr fontId="15"/>
  </si>
  <si>
    <t>配送先</t>
    <rPh sb="0" eb="3">
      <t>ハイソウサキ</t>
    </rPh>
    <phoneticPr fontId="15"/>
  </si>
  <si>
    <t>記号</t>
    <rPh sb="0" eb="2">
      <t>キゴウ</t>
    </rPh>
    <phoneticPr fontId="15"/>
  </si>
  <si>
    <t>商品</t>
    <rPh sb="0" eb="2">
      <t>ショウヒン</t>
    </rPh>
    <phoneticPr fontId="15"/>
  </si>
  <si>
    <t>地区</t>
    <rPh sb="0" eb="2">
      <t>チク</t>
    </rPh>
    <phoneticPr fontId="15"/>
  </si>
  <si>
    <t>Tot</t>
    <phoneticPr fontId="15"/>
  </si>
  <si>
    <t>Shi</t>
    <phoneticPr fontId="15"/>
  </si>
  <si>
    <t>Hha</t>
    <phoneticPr fontId="15"/>
  </si>
  <si>
    <t>Hks</t>
    <phoneticPr fontId="15"/>
  </si>
  <si>
    <t>T</t>
    <phoneticPr fontId="15"/>
  </si>
  <si>
    <t>C</t>
    <phoneticPr fontId="15"/>
  </si>
  <si>
    <t>D31</t>
  </si>
  <si>
    <t>D32</t>
  </si>
  <si>
    <t>D33</t>
  </si>
  <si>
    <t>D34</t>
  </si>
  <si>
    <t>仕入先コード列</t>
    <rPh sb="0" eb="3">
      <t>シイレサキ</t>
    </rPh>
    <rPh sb="6" eb="7">
      <t>レツ</t>
    </rPh>
    <phoneticPr fontId="15"/>
  </si>
  <si>
    <t>G8</t>
    <phoneticPr fontId="15"/>
  </si>
  <si>
    <t>G31</t>
  </si>
  <si>
    <t>G32</t>
  </si>
  <si>
    <t>G33</t>
  </si>
  <si>
    <t>G34</t>
  </si>
  <si>
    <t>J31</t>
  </si>
  <si>
    <t>J32</t>
  </si>
  <si>
    <t>J33</t>
  </si>
  <si>
    <t>J34</t>
  </si>
  <si>
    <t>M31</t>
  </si>
  <si>
    <t>M32</t>
  </si>
  <si>
    <t>M33</t>
  </si>
  <si>
    <t>M34</t>
  </si>
  <si>
    <t>P31</t>
  </si>
  <si>
    <t>P32</t>
  </si>
  <si>
    <t>P33</t>
  </si>
  <si>
    <t>P34</t>
  </si>
  <si>
    <t>S31</t>
  </si>
  <si>
    <t>S32</t>
  </si>
  <si>
    <t>S33</t>
  </si>
  <si>
    <t>S34</t>
  </si>
  <si>
    <t>V31</t>
  </si>
  <si>
    <t>V32</t>
  </si>
  <si>
    <t>V33</t>
  </si>
  <si>
    <t>V34</t>
  </si>
  <si>
    <t>社内入力欄（サイズ表記）</t>
    <rPh sb="0" eb="2">
      <t>シャナイ</t>
    </rPh>
    <rPh sb="2" eb="4">
      <t>ニュウリョク</t>
    </rPh>
    <rPh sb="4" eb="5">
      <t>ラン</t>
    </rPh>
    <rPh sb="9" eb="11">
      <t>ヒョウキ</t>
    </rPh>
    <phoneticPr fontId="15"/>
  </si>
  <si>
    <t>項番</t>
    <rPh sb="0" eb="2">
      <t>コウバン</t>
    </rPh>
    <phoneticPr fontId="84"/>
  </si>
  <si>
    <t>大分類</t>
    <rPh sb="0" eb="3">
      <t>ダイブンルイ</t>
    </rPh>
    <phoneticPr fontId="84"/>
  </si>
  <si>
    <t>小分類</t>
    <rPh sb="0" eb="3">
      <t>ショウブンルイ</t>
    </rPh>
    <phoneticPr fontId="84"/>
  </si>
  <si>
    <t>細々分類</t>
    <rPh sb="0" eb="2">
      <t>ホソボソ</t>
    </rPh>
    <rPh sb="2" eb="4">
      <t>ブンルイ</t>
    </rPh>
    <phoneticPr fontId="84"/>
  </si>
  <si>
    <t>コード</t>
    <phoneticPr fontId="84"/>
  </si>
  <si>
    <t>業種名</t>
    <rPh sb="0" eb="2">
      <t>ギョウシュ</t>
    </rPh>
    <rPh sb="2" eb="3">
      <t>メイ</t>
    </rPh>
    <phoneticPr fontId="84"/>
  </si>
  <si>
    <t>基準</t>
    <rPh sb="0" eb="2">
      <t>キジュン</t>
    </rPh>
    <phoneticPr fontId="84"/>
  </si>
  <si>
    <t>例</t>
    <rPh sb="0" eb="1">
      <t>レイ</t>
    </rPh>
    <phoneticPr fontId="84"/>
  </si>
  <si>
    <t>流通</t>
    <rPh sb="0" eb="2">
      <t>リュウツウ</t>
    </rPh>
    <phoneticPr fontId="84"/>
  </si>
  <si>
    <t>百貨店</t>
    <rPh sb="0" eb="3">
      <t>ヒャッカテン</t>
    </rPh>
    <phoneticPr fontId="84"/>
  </si>
  <si>
    <t>衣食住にわたる商品を販売しているいわゆるデパート</t>
    <rPh sb="0" eb="3">
      <t>イショクジュウ</t>
    </rPh>
    <rPh sb="7" eb="9">
      <t>ショウヒン</t>
    </rPh>
    <rPh sb="10" eb="12">
      <t>ハンバイ</t>
    </rPh>
    <phoneticPr fontId="84"/>
  </si>
  <si>
    <t>SC・駅ビル</t>
    <rPh sb="3" eb="4">
      <t>エキ</t>
    </rPh>
    <phoneticPr fontId="84"/>
  </si>
  <si>
    <t>ショッピングセンター、アウトレットモール、駅ビル</t>
    <rPh sb="21" eb="22">
      <t>エキ</t>
    </rPh>
    <phoneticPr fontId="84"/>
  </si>
  <si>
    <t>シャミネ・イオン津山</t>
    <rPh sb="8" eb="10">
      <t>ツヤマ</t>
    </rPh>
    <phoneticPr fontId="84"/>
  </si>
  <si>
    <t>スーパー</t>
    <phoneticPr fontId="84"/>
  </si>
  <si>
    <t>食料品主体に日用雑貨等も販売しているスーパー</t>
    <rPh sb="0" eb="3">
      <t>ショクリョウヒン</t>
    </rPh>
    <rPh sb="3" eb="5">
      <t>シュタイ</t>
    </rPh>
    <rPh sb="6" eb="8">
      <t>ニチヨウ</t>
    </rPh>
    <rPh sb="8" eb="10">
      <t>ザッカ</t>
    </rPh>
    <rPh sb="10" eb="11">
      <t>トウ</t>
    </rPh>
    <rPh sb="12" eb="14">
      <t>ハンバイ</t>
    </rPh>
    <phoneticPr fontId="84"/>
  </si>
  <si>
    <t>マルイ・エスマート</t>
    <phoneticPr fontId="84"/>
  </si>
  <si>
    <t>地場スーパー</t>
    <rPh sb="0" eb="2">
      <t>ジバ</t>
    </rPh>
    <phoneticPr fontId="84"/>
  </si>
  <si>
    <t>チェーン展開していない地元のスーパーや上記以外のスーパー</t>
    <rPh sb="4" eb="6">
      <t>テンカイ</t>
    </rPh>
    <rPh sb="11" eb="13">
      <t>ジモト</t>
    </rPh>
    <rPh sb="19" eb="23">
      <t>ジョウキイガイ</t>
    </rPh>
    <phoneticPr fontId="84"/>
  </si>
  <si>
    <t>サンマート・トスク</t>
    <phoneticPr fontId="84"/>
  </si>
  <si>
    <t>コンビニエンスストア</t>
    <phoneticPr fontId="84"/>
  </si>
  <si>
    <t>ローソン・ファミリーマート・セブンイレブン</t>
    <phoneticPr fontId="84"/>
  </si>
  <si>
    <t>ホームセンター</t>
    <phoneticPr fontId="84"/>
  </si>
  <si>
    <t>DIYショップ</t>
    <phoneticPr fontId="84"/>
  </si>
  <si>
    <t>カインズ・コメリ・ナフコ・JAグリーン・ナンバ・ジュンテンドー</t>
    <phoneticPr fontId="84"/>
  </si>
  <si>
    <t>ディスカウントストア</t>
    <phoneticPr fontId="84"/>
  </si>
  <si>
    <t>日用雑貨や食料品等のディスカウントストア</t>
    <rPh sb="0" eb="2">
      <t>ニチヨウ</t>
    </rPh>
    <rPh sb="2" eb="4">
      <t>ザッカ</t>
    </rPh>
    <rPh sb="5" eb="8">
      <t>ショクリョウヒン</t>
    </rPh>
    <rPh sb="8" eb="9">
      <t>トウ</t>
    </rPh>
    <phoneticPr fontId="84"/>
  </si>
  <si>
    <t>ドンキホーテ・トライアル・ラムー・大黒天</t>
    <rPh sb="17" eb="20">
      <t>ダイコクテン</t>
    </rPh>
    <phoneticPr fontId="84"/>
  </si>
  <si>
    <t>その他総合小売業</t>
    <rPh sb="2" eb="3">
      <t>タ</t>
    </rPh>
    <rPh sb="3" eb="5">
      <t>ソウゴウ</t>
    </rPh>
    <rPh sb="5" eb="8">
      <t>コウリギョウ</t>
    </rPh>
    <phoneticPr fontId="84"/>
  </si>
  <si>
    <t>上記以外の衣食住が揃っている小売店、100円ショップなど</t>
    <rPh sb="0" eb="2">
      <t>ジョウキ</t>
    </rPh>
    <rPh sb="2" eb="4">
      <t>イガイ</t>
    </rPh>
    <rPh sb="5" eb="8">
      <t>イショクジュウ</t>
    </rPh>
    <rPh sb="9" eb="10">
      <t>ソロ</t>
    </rPh>
    <rPh sb="14" eb="16">
      <t>コウ</t>
    </rPh>
    <rPh sb="16" eb="17">
      <t>テン</t>
    </rPh>
    <rPh sb="21" eb="22">
      <t>エン</t>
    </rPh>
    <phoneticPr fontId="84"/>
  </si>
  <si>
    <t>ダイソー</t>
    <phoneticPr fontId="84"/>
  </si>
  <si>
    <t>食料品全般</t>
    <rPh sb="0" eb="3">
      <t>ショクリョウヒン</t>
    </rPh>
    <rPh sb="3" eb="5">
      <t>ゼンパン</t>
    </rPh>
    <phoneticPr fontId="84"/>
  </si>
  <si>
    <t>食料品店（自然派食品含む）、パン屋、ケーキ屋、たいやき屋、農産物直売所、魚市場など</t>
    <rPh sb="0" eb="3">
      <t>ショクリョウヒン</t>
    </rPh>
    <rPh sb="3" eb="4">
      <t>テン</t>
    </rPh>
    <rPh sb="5" eb="8">
      <t>シゼンハ</t>
    </rPh>
    <rPh sb="8" eb="10">
      <t>ショクヒン</t>
    </rPh>
    <rPh sb="10" eb="11">
      <t>フク</t>
    </rPh>
    <rPh sb="16" eb="17">
      <t>ヤ</t>
    </rPh>
    <rPh sb="21" eb="22">
      <t>ヤ</t>
    </rPh>
    <rPh sb="27" eb="28">
      <t>ヤ</t>
    </rPh>
    <rPh sb="29" eb="32">
      <t>ノウサンブツ</t>
    </rPh>
    <rPh sb="32" eb="34">
      <t>チョクバイ</t>
    </rPh>
    <rPh sb="34" eb="35">
      <t>ショ</t>
    </rPh>
    <rPh sb="36" eb="37">
      <t>サカナ</t>
    </rPh>
    <rPh sb="37" eb="39">
      <t>イチバ</t>
    </rPh>
    <phoneticPr fontId="84"/>
  </si>
  <si>
    <t>リトットマルシェ・やず市場・畜産・シャトレーゼ・柴田洋菓子・食のみやこ・大江の郷</t>
    <rPh sb="11" eb="13">
      <t>イチバ</t>
    </rPh>
    <rPh sb="14" eb="16">
      <t>チクサン</t>
    </rPh>
    <rPh sb="24" eb="26">
      <t>シバタ</t>
    </rPh>
    <rPh sb="26" eb="29">
      <t>ヨウガシ</t>
    </rPh>
    <rPh sb="30" eb="31">
      <t>ショク</t>
    </rPh>
    <rPh sb="36" eb="38">
      <t>オオエ</t>
    </rPh>
    <rPh sb="39" eb="40">
      <t>サト</t>
    </rPh>
    <phoneticPr fontId="84"/>
  </si>
  <si>
    <t>酒販売・嗜好品</t>
    <rPh sb="0" eb="1">
      <t>サケ</t>
    </rPh>
    <rPh sb="1" eb="3">
      <t>ハンバイ</t>
    </rPh>
    <rPh sb="4" eb="7">
      <t>シコウヒン</t>
    </rPh>
    <phoneticPr fontId="84"/>
  </si>
  <si>
    <t>酒類販売（酒がメインなら食品等販売していても可、ディスカウント含む）タバコ屋</t>
    <rPh sb="0" eb="1">
      <t>サケ</t>
    </rPh>
    <rPh sb="1" eb="2">
      <t>ルイ</t>
    </rPh>
    <rPh sb="2" eb="4">
      <t>ハンバイ</t>
    </rPh>
    <rPh sb="5" eb="6">
      <t>サケ</t>
    </rPh>
    <rPh sb="12" eb="14">
      <t>ショクヒン</t>
    </rPh>
    <rPh sb="14" eb="15">
      <t>トウ</t>
    </rPh>
    <rPh sb="15" eb="17">
      <t>ハンバイ</t>
    </rPh>
    <rPh sb="22" eb="23">
      <t>カ</t>
    </rPh>
    <rPh sb="31" eb="32">
      <t>フク</t>
    </rPh>
    <rPh sb="37" eb="38">
      <t>ヤ</t>
    </rPh>
    <phoneticPr fontId="84"/>
  </si>
  <si>
    <t>カジュアル・衣料洋品</t>
    <rPh sb="6" eb="8">
      <t>イリョウ</t>
    </rPh>
    <rPh sb="8" eb="10">
      <t>ヨウヒン</t>
    </rPh>
    <phoneticPr fontId="84"/>
  </si>
  <si>
    <t>カジュアル・衣料洋品店</t>
    <rPh sb="6" eb="8">
      <t>イリョウ</t>
    </rPh>
    <rPh sb="8" eb="10">
      <t>ヨウヒン</t>
    </rPh>
    <rPh sb="10" eb="11">
      <t>テン</t>
    </rPh>
    <phoneticPr fontId="84"/>
  </si>
  <si>
    <t>しまむら・アベイル・ユニクロ・シャンブル・パレット</t>
    <phoneticPr fontId="84"/>
  </si>
  <si>
    <t>紳士服専門店</t>
    <rPh sb="0" eb="6">
      <t>シンシフクセンモンテン</t>
    </rPh>
    <phoneticPr fontId="84"/>
  </si>
  <si>
    <t>紳士服量販店、紳士服店</t>
    <rPh sb="0" eb="3">
      <t>シンシフク</t>
    </rPh>
    <rPh sb="3" eb="6">
      <t>リョウハンテン</t>
    </rPh>
    <rPh sb="7" eb="10">
      <t>シンシフク</t>
    </rPh>
    <rPh sb="10" eb="11">
      <t>テン</t>
    </rPh>
    <phoneticPr fontId="84"/>
  </si>
  <si>
    <t>青山・はるやま</t>
    <rPh sb="0" eb="2">
      <t>アオヤマ</t>
    </rPh>
    <phoneticPr fontId="84"/>
  </si>
  <si>
    <t>ベビー・子供・婦人服</t>
    <rPh sb="4" eb="6">
      <t>コドモ</t>
    </rPh>
    <rPh sb="7" eb="10">
      <t>フジンフク</t>
    </rPh>
    <phoneticPr fontId="84"/>
  </si>
  <si>
    <t>ベビー・子供用品</t>
    <rPh sb="4" eb="6">
      <t>コドモ</t>
    </rPh>
    <rPh sb="6" eb="8">
      <t>ヨウヒン</t>
    </rPh>
    <phoneticPr fontId="84"/>
  </si>
  <si>
    <t>ベビー・子供用品取扱店</t>
    <rPh sb="4" eb="6">
      <t>コドモ</t>
    </rPh>
    <rPh sb="6" eb="8">
      <t>ヨウヒン</t>
    </rPh>
    <rPh sb="8" eb="10">
      <t>トリアツカイ</t>
    </rPh>
    <rPh sb="10" eb="11">
      <t>テン</t>
    </rPh>
    <phoneticPr fontId="84"/>
  </si>
  <si>
    <t>西松屋・バースデイ</t>
    <rPh sb="0" eb="3">
      <t>ニシマツヤ</t>
    </rPh>
    <phoneticPr fontId="84"/>
  </si>
  <si>
    <t>婦人服</t>
    <rPh sb="0" eb="3">
      <t>フジンフク</t>
    </rPh>
    <phoneticPr fontId="84"/>
  </si>
  <si>
    <t>婦人服、毛皮販売店</t>
    <rPh sb="0" eb="3">
      <t>フジンフク</t>
    </rPh>
    <rPh sb="4" eb="6">
      <t>ケガワ</t>
    </rPh>
    <rPh sb="6" eb="9">
      <t>ハンバイテン</t>
    </rPh>
    <phoneticPr fontId="84"/>
  </si>
  <si>
    <t>ファミスタ</t>
    <phoneticPr fontId="84"/>
  </si>
  <si>
    <t>その他の衣料洋品</t>
    <rPh sb="2" eb="3">
      <t>タ</t>
    </rPh>
    <rPh sb="4" eb="6">
      <t>イリョウ</t>
    </rPh>
    <rPh sb="6" eb="8">
      <t>ヨウヒン</t>
    </rPh>
    <phoneticPr fontId="84"/>
  </si>
  <si>
    <t>呉服・レザー</t>
    <rPh sb="0" eb="2">
      <t>ゴフク</t>
    </rPh>
    <phoneticPr fontId="84"/>
  </si>
  <si>
    <t>呉服や呉服用品、レザー、作業服販売店</t>
    <rPh sb="0" eb="2">
      <t>ゴフク</t>
    </rPh>
    <rPh sb="3" eb="5">
      <t>ゴフク</t>
    </rPh>
    <rPh sb="5" eb="7">
      <t>ヨウヒン</t>
    </rPh>
    <rPh sb="12" eb="15">
      <t>サギョウフク</t>
    </rPh>
    <rPh sb="15" eb="18">
      <t>ハンバイテン</t>
    </rPh>
    <phoneticPr fontId="84"/>
  </si>
  <si>
    <t>和想・ワークマン・京都きよふく</t>
    <rPh sb="0" eb="2">
      <t>ワソウ</t>
    </rPh>
    <rPh sb="9" eb="11">
      <t>キョウト</t>
    </rPh>
    <phoneticPr fontId="84"/>
  </si>
  <si>
    <t>手芸用品</t>
    <rPh sb="0" eb="2">
      <t>シュゲイ</t>
    </rPh>
    <rPh sb="2" eb="4">
      <t>ヨウヒン</t>
    </rPh>
    <phoneticPr fontId="84"/>
  </si>
  <si>
    <t>毛糸、生地、手芸用品専門店</t>
    <rPh sb="0" eb="2">
      <t>ケイト</t>
    </rPh>
    <rPh sb="3" eb="5">
      <t>キジ</t>
    </rPh>
    <rPh sb="6" eb="10">
      <t>シュゲイヨウヒン</t>
    </rPh>
    <rPh sb="10" eb="13">
      <t>センモンテン</t>
    </rPh>
    <phoneticPr fontId="84"/>
  </si>
  <si>
    <t>宝石・装飾雑貨</t>
    <rPh sb="0" eb="2">
      <t>ホウセキ</t>
    </rPh>
    <rPh sb="3" eb="5">
      <t>ソウショク</t>
    </rPh>
    <rPh sb="5" eb="7">
      <t>ザッカ</t>
    </rPh>
    <phoneticPr fontId="84"/>
  </si>
  <si>
    <t>宝石店、アクセサリー専門店</t>
    <rPh sb="0" eb="2">
      <t>ホウセキ</t>
    </rPh>
    <rPh sb="2" eb="3">
      <t>テン</t>
    </rPh>
    <rPh sb="10" eb="13">
      <t>センモンテン</t>
    </rPh>
    <phoneticPr fontId="84"/>
  </si>
  <si>
    <t>中井脩</t>
    <rPh sb="0" eb="3">
      <t>ナカイシュウ</t>
    </rPh>
    <phoneticPr fontId="84"/>
  </si>
  <si>
    <t>靴</t>
    <rPh sb="0" eb="1">
      <t>クツ</t>
    </rPh>
    <phoneticPr fontId="84"/>
  </si>
  <si>
    <t>靴専門店</t>
    <rPh sb="0" eb="1">
      <t>クツ</t>
    </rPh>
    <rPh sb="1" eb="4">
      <t>センモンテン</t>
    </rPh>
    <phoneticPr fontId="84"/>
  </si>
  <si>
    <t>シューズ愛ランド</t>
    <rPh sb="4" eb="5">
      <t>アイ</t>
    </rPh>
    <phoneticPr fontId="84"/>
  </si>
  <si>
    <t>メガネ・コンタクト</t>
    <phoneticPr fontId="84"/>
  </si>
  <si>
    <t>メガネ店、コンタクトレンズ店</t>
    <rPh sb="3" eb="4">
      <t>テン</t>
    </rPh>
    <rPh sb="13" eb="14">
      <t>テン</t>
    </rPh>
    <phoneticPr fontId="84"/>
  </si>
  <si>
    <t>メガネ21・シティコンタクト・ルネックス・眼鏡市場</t>
    <rPh sb="21" eb="25">
      <t>メガネイチバ</t>
    </rPh>
    <phoneticPr fontId="84"/>
  </si>
  <si>
    <t>その他宝飾・身回</t>
    <rPh sb="2" eb="3">
      <t>タ</t>
    </rPh>
    <rPh sb="3" eb="5">
      <t>ホウショク</t>
    </rPh>
    <rPh sb="6" eb="7">
      <t>ミ</t>
    </rPh>
    <rPh sb="7" eb="8">
      <t>マワ</t>
    </rPh>
    <phoneticPr fontId="84"/>
  </si>
  <si>
    <t>かばんやかつら、ウィッグおよび上記に当てはまらない宝飾・身回品取扱店</t>
    <rPh sb="15" eb="17">
      <t>ジョウキ</t>
    </rPh>
    <rPh sb="18" eb="19">
      <t>ア</t>
    </rPh>
    <rPh sb="25" eb="27">
      <t>ホウショク</t>
    </rPh>
    <rPh sb="28" eb="29">
      <t>ミ</t>
    </rPh>
    <rPh sb="29" eb="30">
      <t>カイ</t>
    </rPh>
    <rPh sb="30" eb="31">
      <t>ヒン</t>
    </rPh>
    <rPh sb="31" eb="33">
      <t>トリアツカ</t>
    </rPh>
    <rPh sb="33" eb="34">
      <t>テン</t>
    </rPh>
    <phoneticPr fontId="84"/>
  </si>
  <si>
    <t>花嫁センター木下</t>
    <rPh sb="0" eb="2">
      <t>ハナヨメ</t>
    </rPh>
    <rPh sb="6" eb="8">
      <t>キノシタ</t>
    </rPh>
    <phoneticPr fontId="84"/>
  </si>
  <si>
    <t>家電・カメラ・時計</t>
    <rPh sb="0" eb="2">
      <t>カデン</t>
    </rPh>
    <rPh sb="7" eb="9">
      <t>トケイ</t>
    </rPh>
    <phoneticPr fontId="84"/>
  </si>
  <si>
    <t>家電</t>
    <rPh sb="0" eb="2">
      <t>カデン</t>
    </rPh>
    <phoneticPr fontId="84"/>
  </si>
  <si>
    <t>家電専門店とパソコンショップ</t>
    <rPh sb="0" eb="2">
      <t>カデン</t>
    </rPh>
    <rPh sb="2" eb="5">
      <t>センモンテン</t>
    </rPh>
    <phoneticPr fontId="84"/>
  </si>
  <si>
    <t>ヤマダ電機・ケーズデンキ・パソコン工房</t>
    <rPh sb="3" eb="5">
      <t>デンキ</t>
    </rPh>
    <rPh sb="17" eb="19">
      <t>コウボウ</t>
    </rPh>
    <phoneticPr fontId="84"/>
  </si>
  <si>
    <t>カメラ・時計</t>
    <rPh sb="4" eb="6">
      <t>トケイ</t>
    </rPh>
    <phoneticPr fontId="84"/>
  </si>
  <si>
    <t>カメラ・時計販売専門店</t>
    <rPh sb="4" eb="6">
      <t>トケイ</t>
    </rPh>
    <rPh sb="6" eb="8">
      <t>ハンバイ</t>
    </rPh>
    <rPh sb="8" eb="11">
      <t>センモンテン</t>
    </rPh>
    <phoneticPr fontId="84"/>
  </si>
  <si>
    <t>携帯ショップ</t>
    <rPh sb="0" eb="2">
      <t>ケイタイ</t>
    </rPh>
    <phoneticPr fontId="84"/>
  </si>
  <si>
    <t>携帯電話取次店</t>
    <rPh sb="0" eb="4">
      <t>ケイタイデンワ</t>
    </rPh>
    <rPh sb="4" eb="6">
      <t>トリツギ</t>
    </rPh>
    <rPh sb="6" eb="7">
      <t>テン</t>
    </rPh>
    <phoneticPr fontId="84"/>
  </si>
  <si>
    <t>au・ドコモ・ソフトバンク・UQモバイル</t>
    <phoneticPr fontId="84"/>
  </si>
  <si>
    <t>その他の家電・精密</t>
    <rPh sb="2" eb="3">
      <t>タ</t>
    </rPh>
    <rPh sb="4" eb="6">
      <t>カデン</t>
    </rPh>
    <rPh sb="7" eb="9">
      <t>セイミツ</t>
    </rPh>
    <phoneticPr fontId="84"/>
  </si>
  <si>
    <t>ミシン</t>
    <phoneticPr fontId="84"/>
  </si>
  <si>
    <t>ミシン販売専門店</t>
    <rPh sb="3" eb="5">
      <t>ハンバイ</t>
    </rPh>
    <rPh sb="5" eb="8">
      <t>センモンテン</t>
    </rPh>
    <phoneticPr fontId="84"/>
  </si>
  <si>
    <t>中国ミシンセンター</t>
    <rPh sb="0" eb="2">
      <t>チュウゴク</t>
    </rPh>
    <phoneticPr fontId="84"/>
  </si>
  <si>
    <t>ガス器具・補聴器販売</t>
    <rPh sb="2" eb="4">
      <t>キグ</t>
    </rPh>
    <rPh sb="5" eb="8">
      <t>ホチョウキ</t>
    </rPh>
    <rPh sb="8" eb="10">
      <t>ハンバイ</t>
    </rPh>
    <phoneticPr fontId="84"/>
  </si>
  <si>
    <t>ガス器具・補聴器販売店</t>
    <rPh sb="2" eb="4">
      <t>キグ</t>
    </rPh>
    <rPh sb="5" eb="8">
      <t>ホチョウキ</t>
    </rPh>
    <rPh sb="8" eb="10">
      <t>ハンバイ</t>
    </rPh>
    <rPh sb="10" eb="11">
      <t>テン</t>
    </rPh>
    <phoneticPr fontId="84"/>
  </si>
  <si>
    <t>補聴器サービス・鳥取ガス</t>
    <rPh sb="0" eb="3">
      <t>ホチョウキ</t>
    </rPh>
    <rPh sb="8" eb="10">
      <t>ト</t>
    </rPh>
    <phoneticPr fontId="84"/>
  </si>
  <si>
    <t>ドラッグストア</t>
    <phoneticPr fontId="84"/>
  </si>
  <si>
    <t>ドラッグストア及び薬局・薬店</t>
    <rPh sb="7" eb="8">
      <t>オヨ</t>
    </rPh>
    <rPh sb="9" eb="11">
      <t>ヤッキョク</t>
    </rPh>
    <rPh sb="12" eb="13">
      <t>クスリ</t>
    </rPh>
    <rPh sb="13" eb="14">
      <t>テン</t>
    </rPh>
    <phoneticPr fontId="84"/>
  </si>
  <si>
    <t>マツモトキヨシ・コスモス薬品・ウェルネス・エース・イヌイ・シンヤクドー</t>
    <rPh sb="12" eb="14">
      <t>ヤクヒン</t>
    </rPh>
    <phoneticPr fontId="84"/>
  </si>
  <si>
    <t>化粧品販売</t>
    <rPh sb="0" eb="3">
      <t>ケショウヒン</t>
    </rPh>
    <rPh sb="3" eb="5">
      <t>ハンバイ</t>
    </rPh>
    <phoneticPr fontId="84"/>
  </si>
  <si>
    <t>化粧品販売店</t>
    <rPh sb="0" eb="3">
      <t>ケショウヒン</t>
    </rPh>
    <rPh sb="3" eb="5">
      <t>ハンバイ</t>
    </rPh>
    <rPh sb="5" eb="6">
      <t>テン</t>
    </rPh>
    <phoneticPr fontId="84"/>
  </si>
  <si>
    <t>化粧品の店らら</t>
    <rPh sb="0" eb="3">
      <t>ケショウヒン</t>
    </rPh>
    <rPh sb="4" eb="5">
      <t>ミセ</t>
    </rPh>
    <phoneticPr fontId="84"/>
  </si>
  <si>
    <t>家具・インテリア・仏壇</t>
    <rPh sb="0" eb="2">
      <t>カグ</t>
    </rPh>
    <rPh sb="9" eb="11">
      <t>ブツダン</t>
    </rPh>
    <phoneticPr fontId="84"/>
  </si>
  <si>
    <t>家具、インテリアショップ、仏壇、仏具、寝具販売店</t>
    <rPh sb="0" eb="2">
      <t>カグ</t>
    </rPh>
    <rPh sb="13" eb="15">
      <t>ブツダン</t>
    </rPh>
    <rPh sb="16" eb="18">
      <t>ブツグ</t>
    </rPh>
    <rPh sb="19" eb="21">
      <t>シング</t>
    </rPh>
    <rPh sb="21" eb="24">
      <t>ハンバイテン</t>
    </rPh>
    <phoneticPr fontId="84"/>
  </si>
  <si>
    <t>日本家具・ニトリ・加納</t>
    <rPh sb="0" eb="4">
      <t>ニホンカグ</t>
    </rPh>
    <rPh sb="9" eb="11">
      <t>カノウ</t>
    </rPh>
    <phoneticPr fontId="84"/>
  </si>
  <si>
    <t>自動車販売店</t>
    <rPh sb="0" eb="5">
      <t>ジドウシャハンバイ</t>
    </rPh>
    <rPh sb="5" eb="6">
      <t>テン</t>
    </rPh>
    <phoneticPr fontId="84"/>
  </si>
  <si>
    <t>自動車販売店（国産・外国新車・中古車）</t>
    <rPh sb="0" eb="5">
      <t>ジドウシャハンバイ</t>
    </rPh>
    <rPh sb="5" eb="6">
      <t>テン</t>
    </rPh>
    <rPh sb="7" eb="9">
      <t>コクサン</t>
    </rPh>
    <rPh sb="10" eb="12">
      <t>ガイコク</t>
    </rPh>
    <rPh sb="12" eb="14">
      <t>シンシャ</t>
    </rPh>
    <rPh sb="15" eb="18">
      <t>チュウコシャ</t>
    </rPh>
    <phoneticPr fontId="84"/>
  </si>
  <si>
    <t>ダイハツ・日産・クリーンカー・スズキ自販・オートフレンド・ホンダ・マツダ・トヨペット・ガリバー・三菱自動車販売</t>
    <rPh sb="5" eb="7">
      <t>ニッサン</t>
    </rPh>
    <rPh sb="18" eb="20">
      <t>ジハン</t>
    </rPh>
    <rPh sb="48" eb="55">
      <t>ミツビシジドウシャハンバイ</t>
    </rPh>
    <phoneticPr fontId="84"/>
  </si>
  <si>
    <t>カー用品</t>
    <rPh sb="2" eb="4">
      <t>ヨウヒン</t>
    </rPh>
    <phoneticPr fontId="84"/>
  </si>
  <si>
    <t>自動車・バイクの部品・備品などを扱う専門店</t>
    <rPh sb="0" eb="3">
      <t>ジドウシャ</t>
    </rPh>
    <rPh sb="8" eb="10">
      <t>ブヒン</t>
    </rPh>
    <rPh sb="11" eb="13">
      <t>ビヒン</t>
    </rPh>
    <rPh sb="16" eb="17">
      <t>アツカ</t>
    </rPh>
    <rPh sb="18" eb="21">
      <t>センモンテン</t>
    </rPh>
    <phoneticPr fontId="84"/>
  </si>
  <si>
    <t>イエローハット</t>
    <phoneticPr fontId="84"/>
  </si>
  <si>
    <t>自動車買取店</t>
    <rPh sb="0" eb="3">
      <t>ジドウシャ</t>
    </rPh>
    <rPh sb="3" eb="5">
      <t>カイトリ</t>
    </rPh>
    <rPh sb="5" eb="6">
      <t>テン</t>
    </rPh>
    <phoneticPr fontId="84"/>
  </si>
  <si>
    <t>自動車買取専門店</t>
    <rPh sb="0" eb="3">
      <t>ジドウシャ</t>
    </rPh>
    <rPh sb="3" eb="5">
      <t>カイトリ</t>
    </rPh>
    <rPh sb="5" eb="8">
      <t>センモンテン</t>
    </rPh>
    <rPh sb="7" eb="8">
      <t>テン</t>
    </rPh>
    <phoneticPr fontId="84"/>
  </si>
  <si>
    <t>その他の輸送機器</t>
    <rPh sb="2" eb="3">
      <t>タ</t>
    </rPh>
    <rPh sb="4" eb="6">
      <t>ユソウ</t>
    </rPh>
    <rPh sb="6" eb="8">
      <t>キキ</t>
    </rPh>
    <phoneticPr fontId="84"/>
  </si>
  <si>
    <t>バイク、自転車、上記に当てはまらない輸送機器販売店</t>
    <rPh sb="4" eb="7">
      <t>ジテンシャ</t>
    </rPh>
    <rPh sb="8" eb="10">
      <t>ジョウキ</t>
    </rPh>
    <rPh sb="11" eb="12">
      <t>ア</t>
    </rPh>
    <rPh sb="18" eb="20">
      <t>ユソウ</t>
    </rPh>
    <rPh sb="20" eb="22">
      <t>キキ</t>
    </rPh>
    <rPh sb="22" eb="24">
      <t>ハンバイ</t>
    </rPh>
    <rPh sb="24" eb="25">
      <t>テン</t>
    </rPh>
    <phoneticPr fontId="84"/>
  </si>
  <si>
    <t>レッドバロン・サイクルセンターヨネザワ</t>
    <phoneticPr fontId="84"/>
  </si>
  <si>
    <t>趣味・娯楽用品</t>
    <rPh sb="0" eb="2">
      <t>シュミ</t>
    </rPh>
    <rPh sb="3" eb="5">
      <t>ゴラク</t>
    </rPh>
    <rPh sb="5" eb="7">
      <t>ヨウヒン</t>
    </rPh>
    <phoneticPr fontId="84"/>
  </si>
  <si>
    <t>玩具・ゲーム</t>
    <rPh sb="0" eb="2">
      <t>ガング</t>
    </rPh>
    <phoneticPr fontId="84"/>
  </si>
  <si>
    <t>ゲーム、玩具、人形販売店</t>
    <rPh sb="4" eb="6">
      <t>ガング</t>
    </rPh>
    <rPh sb="7" eb="9">
      <t>ニンギョウ</t>
    </rPh>
    <rPh sb="9" eb="12">
      <t>ハンバイテン</t>
    </rPh>
    <phoneticPr fontId="84"/>
  </si>
  <si>
    <t>トイザらス・はなふさ</t>
    <phoneticPr fontId="84"/>
  </si>
  <si>
    <t>楽器・CD</t>
    <rPh sb="0" eb="2">
      <t>ガッキ</t>
    </rPh>
    <phoneticPr fontId="84"/>
  </si>
  <si>
    <t>楽器、CD販売店</t>
    <rPh sb="0" eb="2">
      <t>ガッキ</t>
    </rPh>
    <rPh sb="5" eb="8">
      <t>ハンバイテン</t>
    </rPh>
    <phoneticPr fontId="84"/>
  </si>
  <si>
    <t>アコヤ</t>
    <phoneticPr fontId="84"/>
  </si>
  <si>
    <t>スポーツ・レジャー用品</t>
    <rPh sb="9" eb="11">
      <t>ヨウヒン</t>
    </rPh>
    <phoneticPr fontId="84"/>
  </si>
  <si>
    <t>スポーツ関連・レジャー・アウトドア用品店</t>
    <rPh sb="4" eb="6">
      <t>カンレン</t>
    </rPh>
    <rPh sb="17" eb="19">
      <t>ヨウヒン</t>
    </rPh>
    <rPh sb="19" eb="20">
      <t>テン</t>
    </rPh>
    <phoneticPr fontId="84"/>
  </si>
  <si>
    <t>デポ・ポイント・ゴルフ5・ヒマラヤ</t>
    <phoneticPr fontId="84"/>
  </si>
  <si>
    <t>書籍・文具</t>
    <rPh sb="0" eb="2">
      <t>ショセキ</t>
    </rPh>
    <rPh sb="3" eb="5">
      <t>ブング</t>
    </rPh>
    <phoneticPr fontId="84"/>
  </si>
  <si>
    <t>文房具店</t>
    <rPh sb="0" eb="3">
      <t>ブンボウグ</t>
    </rPh>
    <rPh sb="3" eb="4">
      <t>テン</t>
    </rPh>
    <phoneticPr fontId="84"/>
  </si>
  <si>
    <t>文房具店、はんこ販売店</t>
    <rPh sb="0" eb="3">
      <t>ブンボウグ</t>
    </rPh>
    <rPh sb="3" eb="4">
      <t>テン</t>
    </rPh>
    <rPh sb="8" eb="11">
      <t>ハンバイテン</t>
    </rPh>
    <phoneticPr fontId="84"/>
  </si>
  <si>
    <t>植田印判</t>
    <rPh sb="0" eb="2">
      <t>ウエタ</t>
    </rPh>
    <rPh sb="2" eb="4">
      <t>インバン</t>
    </rPh>
    <phoneticPr fontId="84"/>
  </si>
  <si>
    <t>書店</t>
    <rPh sb="0" eb="2">
      <t>ショテン</t>
    </rPh>
    <phoneticPr fontId="84"/>
  </si>
  <si>
    <t>総合通信販売</t>
    <rPh sb="0" eb="2">
      <t>ソウゴウ</t>
    </rPh>
    <rPh sb="2" eb="4">
      <t>ツウシン</t>
    </rPh>
    <rPh sb="4" eb="6">
      <t>ハンバイ</t>
    </rPh>
    <phoneticPr fontId="84"/>
  </si>
  <si>
    <t>総合通信販売（生協系の通信販売を含む）</t>
    <rPh sb="0" eb="2">
      <t>ソウゴウ</t>
    </rPh>
    <rPh sb="2" eb="4">
      <t>ツウシン</t>
    </rPh>
    <rPh sb="4" eb="6">
      <t>ハンバイ</t>
    </rPh>
    <rPh sb="7" eb="9">
      <t>セイキョウ</t>
    </rPh>
    <rPh sb="9" eb="10">
      <t>ケイ</t>
    </rPh>
    <rPh sb="11" eb="15">
      <t>ツウシンハンバイ</t>
    </rPh>
    <rPh sb="16" eb="17">
      <t>フク</t>
    </rPh>
    <phoneticPr fontId="84"/>
  </si>
  <si>
    <t>ベルーナ・ジャパネット</t>
    <phoneticPr fontId="84"/>
  </si>
  <si>
    <t>ペット・ペット用品</t>
    <rPh sb="7" eb="9">
      <t>ヨウヒン</t>
    </rPh>
    <phoneticPr fontId="84"/>
  </si>
  <si>
    <t>ペット販売や用品販売、ペットホテルなど</t>
    <rPh sb="3" eb="5">
      <t>ハンバイ</t>
    </rPh>
    <rPh sb="6" eb="10">
      <t>ヨウヒンハンバイ</t>
    </rPh>
    <phoneticPr fontId="84"/>
  </si>
  <si>
    <t>KUU&amp;RIKU</t>
    <phoneticPr fontId="84"/>
  </si>
  <si>
    <t>その他の小売店</t>
    <rPh sb="2" eb="3">
      <t>タ</t>
    </rPh>
    <rPh sb="4" eb="6">
      <t>コウリ</t>
    </rPh>
    <rPh sb="6" eb="7">
      <t>テン</t>
    </rPh>
    <phoneticPr fontId="84"/>
  </si>
  <si>
    <t>雑貨店などの業種区分にも当てはまらない小売業、ガソリンスタンド、美術品などの卸売、商店街など</t>
    <rPh sb="0" eb="2">
      <t>ザッカ</t>
    </rPh>
    <rPh sb="2" eb="3">
      <t>テン</t>
    </rPh>
    <rPh sb="6" eb="8">
      <t>ギョウシュ</t>
    </rPh>
    <rPh sb="8" eb="10">
      <t>クブン</t>
    </rPh>
    <rPh sb="12" eb="13">
      <t>ア</t>
    </rPh>
    <rPh sb="19" eb="22">
      <t>コウリギョウ</t>
    </rPh>
    <rPh sb="32" eb="34">
      <t>ビジュツ</t>
    </rPh>
    <rPh sb="34" eb="35">
      <t>ヒン</t>
    </rPh>
    <rPh sb="38" eb="40">
      <t>オロシウリ</t>
    </rPh>
    <rPh sb="41" eb="44">
      <t>ショウテンガイ</t>
    </rPh>
    <phoneticPr fontId="84"/>
  </si>
  <si>
    <t>トリベイ・西日本宇佐美・アムズ・お袋市</t>
    <rPh sb="5" eb="11">
      <t>ニシニホンウサミ</t>
    </rPh>
    <rPh sb="17" eb="18">
      <t>フクロ</t>
    </rPh>
    <rPh sb="18" eb="19">
      <t>イチ</t>
    </rPh>
    <phoneticPr fontId="84"/>
  </si>
  <si>
    <t>サービス業</t>
    <rPh sb="4" eb="5">
      <t>ギョウ</t>
    </rPh>
    <phoneticPr fontId="84"/>
  </si>
  <si>
    <t>エステティック</t>
    <phoneticPr fontId="84"/>
  </si>
  <si>
    <t>痩身、美顔、脱毛、発毛など</t>
    <rPh sb="0" eb="1">
      <t>ソウ</t>
    </rPh>
    <rPh sb="1" eb="2">
      <t>ミ</t>
    </rPh>
    <rPh sb="3" eb="5">
      <t>ビガン</t>
    </rPh>
    <rPh sb="6" eb="8">
      <t>ダツモウ</t>
    </rPh>
    <rPh sb="9" eb="11">
      <t>ハツモウ</t>
    </rPh>
    <phoneticPr fontId="84"/>
  </si>
  <si>
    <t>理美容</t>
    <rPh sb="0" eb="3">
      <t>リビヨウ</t>
    </rPh>
    <phoneticPr fontId="84"/>
  </si>
  <si>
    <t>理・美容院、ネイルサロン</t>
    <rPh sb="0" eb="1">
      <t>リ</t>
    </rPh>
    <rPh sb="2" eb="5">
      <t>ビヨウイン</t>
    </rPh>
    <phoneticPr fontId="84"/>
  </si>
  <si>
    <t>プラージュ・3Q・美染・ライフカラー湖山</t>
    <rPh sb="9" eb="10">
      <t>ビ</t>
    </rPh>
    <rPh sb="10" eb="11">
      <t>ソメ</t>
    </rPh>
    <rPh sb="18" eb="20">
      <t>コヤマ</t>
    </rPh>
    <phoneticPr fontId="84"/>
  </si>
  <si>
    <t>ファミリーレストラン</t>
    <phoneticPr fontId="84"/>
  </si>
  <si>
    <t>ファミリーレストランほか、チェーン展開しているレストラン</t>
    <rPh sb="17" eb="19">
      <t>テンカイ</t>
    </rPh>
    <phoneticPr fontId="84"/>
  </si>
  <si>
    <t>ミスターバーク・しゃぶ葉・牛角・はま寿司・大戸屋・なか卯</t>
    <rPh sb="11" eb="12">
      <t>ヨウ</t>
    </rPh>
    <rPh sb="13" eb="15">
      <t>ギュウカク</t>
    </rPh>
    <rPh sb="18" eb="20">
      <t>スシ</t>
    </rPh>
    <rPh sb="21" eb="24">
      <t>オオトヤ</t>
    </rPh>
    <rPh sb="27" eb="28">
      <t>ウ</t>
    </rPh>
    <phoneticPr fontId="84"/>
  </si>
  <si>
    <t>ファーストフード</t>
    <phoneticPr fontId="84"/>
  </si>
  <si>
    <t>ファーストフード、テイクアウト、持ち帰り弁当販売店</t>
    <rPh sb="16" eb="17">
      <t>モ</t>
    </rPh>
    <rPh sb="18" eb="19">
      <t>カエ</t>
    </rPh>
    <rPh sb="20" eb="22">
      <t>ベントウ</t>
    </rPh>
    <rPh sb="22" eb="25">
      <t>ハンバイテン</t>
    </rPh>
    <phoneticPr fontId="84"/>
  </si>
  <si>
    <t>マクドナルド・かまどや・ミスタードーナツ・ケンタッキー</t>
    <phoneticPr fontId="84"/>
  </si>
  <si>
    <t>居酒屋・すし・焼肉</t>
    <rPh sb="0" eb="3">
      <t>イザカヤ</t>
    </rPh>
    <rPh sb="7" eb="9">
      <t>ヤキニク</t>
    </rPh>
    <phoneticPr fontId="84"/>
  </si>
  <si>
    <t>居酒屋・すし・焼肉その他チェーン展開していない飲食店</t>
    <rPh sb="0" eb="3">
      <t>イザカヤ</t>
    </rPh>
    <rPh sb="7" eb="9">
      <t>ヤキニク</t>
    </rPh>
    <rPh sb="11" eb="12">
      <t>タ</t>
    </rPh>
    <rPh sb="16" eb="18">
      <t>テンカイ</t>
    </rPh>
    <rPh sb="23" eb="25">
      <t>インショク</t>
    </rPh>
    <rPh sb="25" eb="26">
      <t>テン</t>
    </rPh>
    <phoneticPr fontId="84"/>
  </si>
  <si>
    <t>アイワナドゥ岩戸</t>
    <rPh sb="6" eb="8">
      <t>イワド</t>
    </rPh>
    <phoneticPr fontId="84"/>
  </si>
  <si>
    <t>宅配</t>
    <rPh sb="0" eb="2">
      <t>タクハイ</t>
    </rPh>
    <phoneticPr fontId="84"/>
  </si>
  <si>
    <t>ケータリング</t>
    <phoneticPr fontId="84"/>
  </si>
  <si>
    <t>宅配専門のピザ、すしなど</t>
    <rPh sb="0" eb="2">
      <t>タクハイ</t>
    </rPh>
    <rPh sb="2" eb="4">
      <t>センモン</t>
    </rPh>
    <phoneticPr fontId="84"/>
  </si>
  <si>
    <t>ピザハット・ピザーラ・小僧寿し・ストロベリーコーンズ</t>
    <rPh sb="11" eb="14">
      <t>コゾウズ</t>
    </rPh>
    <phoneticPr fontId="84"/>
  </si>
  <si>
    <t>会員制個別宅配</t>
    <rPh sb="0" eb="3">
      <t>カイインセイ</t>
    </rPh>
    <rPh sb="3" eb="5">
      <t>コベツ</t>
    </rPh>
    <rPh sb="5" eb="7">
      <t>タクハイ</t>
    </rPh>
    <phoneticPr fontId="84"/>
  </si>
  <si>
    <t>生協系の個別宅配、宅配専門の食品・水・おかずなど</t>
    <rPh sb="0" eb="2">
      <t>セイキョウ</t>
    </rPh>
    <rPh sb="2" eb="3">
      <t>ケイ</t>
    </rPh>
    <rPh sb="4" eb="6">
      <t>コベツ</t>
    </rPh>
    <rPh sb="6" eb="8">
      <t>タクハイ</t>
    </rPh>
    <rPh sb="9" eb="11">
      <t>タクハイ</t>
    </rPh>
    <rPh sb="11" eb="13">
      <t>センモン</t>
    </rPh>
    <rPh sb="14" eb="16">
      <t>ショクヒン</t>
    </rPh>
    <rPh sb="17" eb="18">
      <t>ミズ</t>
    </rPh>
    <phoneticPr fontId="84"/>
  </si>
  <si>
    <t>生協（ワンコイン）</t>
    <rPh sb="0" eb="2">
      <t>セイキョウ</t>
    </rPh>
    <phoneticPr fontId="84"/>
  </si>
  <si>
    <t>旅行</t>
    <rPh sb="0" eb="2">
      <t>リョコウ</t>
    </rPh>
    <phoneticPr fontId="84"/>
  </si>
  <si>
    <t>旅行代理店など</t>
    <rPh sb="0" eb="2">
      <t>リョコウ</t>
    </rPh>
    <rPh sb="2" eb="4">
      <t>ダイリ</t>
    </rPh>
    <rPh sb="4" eb="5">
      <t>テン</t>
    </rPh>
    <phoneticPr fontId="84"/>
  </si>
  <si>
    <t>大江戸温泉・ゆこゆこ</t>
    <rPh sb="0" eb="5">
      <t>オオエドオンセン</t>
    </rPh>
    <phoneticPr fontId="84"/>
  </si>
  <si>
    <t>ホテル・式場</t>
    <rPh sb="4" eb="6">
      <t>シキジョウ</t>
    </rPh>
    <phoneticPr fontId="84"/>
  </si>
  <si>
    <t>ホテル、冠婚葬祭</t>
    <rPh sb="4" eb="6">
      <t>カンコン</t>
    </rPh>
    <rPh sb="6" eb="8">
      <t>ソウサイ</t>
    </rPh>
    <phoneticPr fontId="84"/>
  </si>
  <si>
    <t>ホテルニューオータニ・メモワールイナバ・ぎしき・対翠閣</t>
    <rPh sb="24" eb="25">
      <t>タイ</t>
    </rPh>
    <rPh sb="25" eb="26">
      <t>スイ</t>
    </rPh>
    <rPh sb="26" eb="27">
      <t>カク</t>
    </rPh>
    <phoneticPr fontId="84"/>
  </si>
  <si>
    <t>引越・代行</t>
    <rPh sb="0" eb="2">
      <t>ヒッコシ</t>
    </rPh>
    <rPh sb="3" eb="5">
      <t>ダイコウ</t>
    </rPh>
    <phoneticPr fontId="84"/>
  </si>
  <si>
    <t>引越</t>
    <rPh sb="0" eb="2">
      <t>ヒッコシ</t>
    </rPh>
    <phoneticPr fontId="84"/>
  </si>
  <si>
    <t>リフォーム</t>
    <phoneticPr fontId="84"/>
  </si>
  <si>
    <t>リフォーム、太陽光発電</t>
    <rPh sb="6" eb="11">
      <t>タイヨウコウハツデン</t>
    </rPh>
    <phoneticPr fontId="84"/>
  </si>
  <si>
    <t>マツワ・マツモト工務店</t>
    <rPh sb="8" eb="11">
      <t>コウムテン</t>
    </rPh>
    <phoneticPr fontId="84"/>
  </si>
  <si>
    <t>クリーニング</t>
    <phoneticPr fontId="84"/>
  </si>
  <si>
    <t>たくみクリーニング・ホワイト急便</t>
    <rPh sb="14" eb="16">
      <t>キュウビン</t>
    </rPh>
    <phoneticPr fontId="84"/>
  </si>
  <si>
    <t>パチンコホール</t>
    <phoneticPr fontId="84"/>
  </si>
  <si>
    <t>パチンコ、パチスロ店</t>
    <rPh sb="9" eb="10">
      <t>テン</t>
    </rPh>
    <phoneticPr fontId="84"/>
  </si>
  <si>
    <t>UFO・ワールドカップ・マンモス・フェニックス</t>
    <phoneticPr fontId="84"/>
  </si>
  <si>
    <t>遊技場</t>
    <rPh sb="0" eb="3">
      <t>ユウギジョウ</t>
    </rPh>
    <phoneticPr fontId="84"/>
  </si>
  <si>
    <t>遊園地、ボウリング場、ゲームセンター、カラオケ</t>
    <rPh sb="0" eb="3">
      <t>ユウエンチ</t>
    </rPh>
    <rPh sb="9" eb="10">
      <t>ジョウ</t>
    </rPh>
    <phoneticPr fontId="84"/>
  </si>
  <si>
    <t>スポーツ</t>
    <phoneticPr fontId="84"/>
  </si>
  <si>
    <t>各種スポーツクラブ、体育館、ゴルフ場、スキー場</t>
    <rPh sb="0" eb="2">
      <t>カクシュ</t>
    </rPh>
    <rPh sb="10" eb="13">
      <t>タイイクカン</t>
    </rPh>
    <rPh sb="17" eb="18">
      <t>ジョウ</t>
    </rPh>
    <rPh sb="22" eb="23">
      <t>ジョウ</t>
    </rPh>
    <phoneticPr fontId="84"/>
  </si>
  <si>
    <t>LAVA・ZEROスポーツ・ハイパーフィット</t>
    <phoneticPr fontId="84"/>
  </si>
  <si>
    <t>マスコミ関係</t>
    <rPh sb="4" eb="6">
      <t>カンケイ</t>
    </rPh>
    <phoneticPr fontId="84"/>
  </si>
  <si>
    <t>TV、ラジオ、新聞社、出版社</t>
    <rPh sb="7" eb="10">
      <t>シンブンシャ</t>
    </rPh>
    <rPh sb="11" eb="14">
      <t>シュッパンシャ</t>
    </rPh>
    <phoneticPr fontId="84"/>
  </si>
  <si>
    <t>いき出版</t>
    <rPh sb="2" eb="4">
      <t>シュッパン</t>
    </rPh>
    <phoneticPr fontId="84"/>
  </si>
  <si>
    <t>医療・介護</t>
    <rPh sb="0" eb="2">
      <t>イリョウ</t>
    </rPh>
    <rPh sb="3" eb="5">
      <t>カイゴ</t>
    </rPh>
    <phoneticPr fontId="84"/>
  </si>
  <si>
    <t>老人ホーム、高齢者向けマンション、病院（動物含む）、整体、美容整形、カイロプラクティス</t>
    <rPh sb="0" eb="2">
      <t>ロウジン</t>
    </rPh>
    <rPh sb="6" eb="10">
      <t>コウレイシャム</t>
    </rPh>
    <rPh sb="17" eb="19">
      <t>ビョウイン</t>
    </rPh>
    <rPh sb="20" eb="22">
      <t>ドウブツ</t>
    </rPh>
    <rPh sb="22" eb="23">
      <t>フク</t>
    </rPh>
    <rPh sb="26" eb="28">
      <t>セイタイ</t>
    </rPh>
    <rPh sb="29" eb="31">
      <t>ビヨウ</t>
    </rPh>
    <rPh sb="31" eb="33">
      <t>セイケイ</t>
    </rPh>
    <phoneticPr fontId="84"/>
  </si>
  <si>
    <t>はっぴー整骨音・ストレッチヒーロー</t>
    <rPh sb="4" eb="6">
      <t>セイコツ</t>
    </rPh>
    <rPh sb="6" eb="7">
      <t>オン</t>
    </rPh>
    <phoneticPr fontId="84"/>
  </si>
  <si>
    <t>その他のサービス</t>
    <rPh sb="2" eb="3">
      <t>タ</t>
    </rPh>
    <phoneticPr fontId="84"/>
  </si>
  <si>
    <t>車検</t>
    <rPh sb="0" eb="2">
      <t>シャケン</t>
    </rPh>
    <phoneticPr fontId="84"/>
  </si>
  <si>
    <t>車検専門店</t>
    <rPh sb="0" eb="2">
      <t>シャケン</t>
    </rPh>
    <rPh sb="2" eb="4">
      <t>センモン</t>
    </rPh>
    <rPh sb="4" eb="5">
      <t>テン</t>
    </rPh>
    <phoneticPr fontId="84"/>
  </si>
  <si>
    <t>光商会</t>
    <rPh sb="0" eb="3">
      <t>ヒカリショウカイ</t>
    </rPh>
    <phoneticPr fontId="84"/>
  </si>
  <si>
    <t>レンタル、買取、畳、水道、写真スタジオ、コインランドリー、車キズ、マッサージ店、印刷会社、視力回復センターなど</t>
    <rPh sb="5" eb="7">
      <t>カイトリ</t>
    </rPh>
    <rPh sb="8" eb="9">
      <t>タタミ</t>
    </rPh>
    <rPh sb="10" eb="12">
      <t>スイドウ</t>
    </rPh>
    <rPh sb="13" eb="15">
      <t>シャシン</t>
    </rPh>
    <rPh sb="29" eb="30">
      <t>クルマ</t>
    </rPh>
    <rPh sb="38" eb="39">
      <t>テン</t>
    </rPh>
    <rPh sb="40" eb="42">
      <t>インサツ</t>
    </rPh>
    <rPh sb="42" eb="44">
      <t>ガイシャ</t>
    </rPh>
    <rPh sb="45" eb="47">
      <t>シリョク</t>
    </rPh>
    <rPh sb="47" eb="49">
      <t>カイフク</t>
    </rPh>
    <phoneticPr fontId="84"/>
  </si>
  <si>
    <t>あたらし畳・さんいん水道・おそうじ本舗・大吉・ジュエルカフェ・おたからや・ダスキン・スタジオコアラ</t>
    <rPh sb="4" eb="5">
      <t>タタミ</t>
    </rPh>
    <rPh sb="10" eb="12">
      <t>スイドウ</t>
    </rPh>
    <rPh sb="17" eb="19">
      <t>ホンポ</t>
    </rPh>
    <rPh sb="20" eb="22">
      <t>ダイキチ</t>
    </rPh>
    <phoneticPr fontId="84"/>
  </si>
  <si>
    <t>教育・教養</t>
    <rPh sb="0" eb="2">
      <t>キョウイク</t>
    </rPh>
    <rPh sb="3" eb="5">
      <t>キョウヨウ</t>
    </rPh>
    <phoneticPr fontId="84"/>
  </si>
  <si>
    <t>塾・予備校</t>
    <rPh sb="0" eb="1">
      <t>ジュク</t>
    </rPh>
    <rPh sb="2" eb="5">
      <t>ヨビコウ</t>
    </rPh>
    <phoneticPr fontId="84"/>
  </si>
  <si>
    <t>進学塾、予備校、家庭教師</t>
    <rPh sb="0" eb="3">
      <t>シンガクジュク</t>
    </rPh>
    <rPh sb="4" eb="7">
      <t>ヨビコウ</t>
    </rPh>
    <rPh sb="8" eb="12">
      <t>カテイキョウシ</t>
    </rPh>
    <phoneticPr fontId="84"/>
  </si>
  <si>
    <t>アクシス・サクラサクセス・公文・明光</t>
    <rPh sb="13" eb="15">
      <t>クモン</t>
    </rPh>
    <rPh sb="16" eb="18">
      <t>メイコウ</t>
    </rPh>
    <phoneticPr fontId="84"/>
  </si>
  <si>
    <t>通信教育</t>
    <rPh sb="0" eb="2">
      <t>ツウシン</t>
    </rPh>
    <rPh sb="2" eb="4">
      <t>キョウイク</t>
    </rPh>
    <phoneticPr fontId="84"/>
  </si>
  <si>
    <t>ユーキャン</t>
    <phoneticPr fontId="84"/>
  </si>
  <si>
    <t>各種学校</t>
    <rPh sb="0" eb="2">
      <t>カクシュ</t>
    </rPh>
    <rPh sb="2" eb="4">
      <t>ガッコウ</t>
    </rPh>
    <phoneticPr fontId="84"/>
  </si>
  <si>
    <t>自動車学校、ビジネススクール、カルチャーセンター、料理教室、商工会議所主催のパソコン教室など</t>
    <rPh sb="0" eb="3">
      <t>ジドウシャ</t>
    </rPh>
    <rPh sb="3" eb="5">
      <t>ガッコウ</t>
    </rPh>
    <rPh sb="25" eb="29">
      <t>リョウリキョウシツ</t>
    </rPh>
    <rPh sb="30" eb="35">
      <t>ショウコウカイギショ</t>
    </rPh>
    <rPh sb="35" eb="37">
      <t>シュサイ</t>
    </rPh>
    <rPh sb="42" eb="44">
      <t>キョウシツ</t>
    </rPh>
    <phoneticPr fontId="84"/>
  </si>
  <si>
    <t>福部スイミングスクール・リプルスイミング</t>
    <rPh sb="0" eb="2">
      <t>フクベ</t>
    </rPh>
    <phoneticPr fontId="84"/>
  </si>
  <si>
    <t>金融・保険</t>
    <rPh sb="0" eb="2">
      <t>キンユウ</t>
    </rPh>
    <rPh sb="3" eb="5">
      <t>ホケン</t>
    </rPh>
    <phoneticPr fontId="84"/>
  </si>
  <si>
    <t>金融</t>
    <rPh sb="0" eb="2">
      <t>キンユウ</t>
    </rPh>
    <phoneticPr fontId="84"/>
  </si>
  <si>
    <t>銀行・証券</t>
    <rPh sb="0" eb="2">
      <t>ギンコウ</t>
    </rPh>
    <rPh sb="3" eb="5">
      <t>ショウケン</t>
    </rPh>
    <phoneticPr fontId="84"/>
  </si>
  <si>
    <t>銀行（農協および生協系の銀行含む）、証券、ゆうちょ銀行</t>
    <rPh sb="0" eb="2">
      <t>ギンコウ</t>
    </rPh>
    <rPh sb="3" eb="5">
      <t>ノウキョウ</t>
    </rPh>
    <rPh sb="8" eb="11">
      <t>セイキョウケイ</t>
    </rPh>
    <rPh sb="12" eb="14">
      <t>ギンコウ</t>
    </rPh>
    <rPh sb="14" eb="15">
      <t>フク</t>
    </rPh>
    <rPh sb="18" eb="20">
      <t>ショウケン</t>
    </rPh>
    <rPh sb="25" eb="27">
      <t>ギンコウ</t>
    </rPh>
    <phoneticPr fontId="84"/>
  </si>
  <si>
    <t>鳥取銀行・信金</t>
    <rPh sb="0" eb="2">
      <t>ト</t>
    </rPh>
    <rPh sb="2" eb="4">
      <t>ギンコウ</t>
    </rPh>
    <rPh sb="5" eb="7">
      <t>シンキン</t>
    </rPh>
    <phoneticPr fontId="84"/>
  </si>
  <si>
    <t>消費者金融</t>
    <rPh sb="0" eb="5">
      <t>ショウヒシャキンユウ</t>
    </rPh>
    <phoneticPr fontId="84"/>
  </si>
  <si>
    <t>保険</t>
    <rPh sb="0" eb="2">
      <t>ホケン</t>
    </rPh>
    <phoneticPr fontId="84"/>
  </si>
  <si>
    <t>生命保険、損害保険、農協および生協系の共済保険</t>
    <rPh sb="0" eb="2">
      <t>セイメイ</t>
    </rPh>
    <rPh sb="2" eb="4">
      <t>ホケン</t>
    </rPh>
    <rPh sb="5" eb="7">
      <t>ソンガイ</t>
    </rPh>
    <rPh sb="7" eb="9">
      <t>ホケン</t>
    </rPh>
    <rPh sb="10" eb="12">
      <t>ノウキョウ</t>
    </rPh>
    <rPh sb="15" eb="17">
      <t>セイキョウ</t>
    </rPh>
    <rPh sb="17" eb="18">
      <t>ケイ</t>
    </rPh>
    <rPh sb="19" eb="21">
      <t>キョウサイ</t>
    </rPh>
    <rPh sb="21" eb="23">
      <t>ホケン</t>
    </rPh>
    <phoneticPr fontId="84"/>
  </si>
  <si>
    <t>コープ共済</t>
    <rPh sb="3" eb="5">
      <t>キョウサイ</t>
    </rPh>
    <phoneticPr fontId="84"/>
  </si>
  <si>
    <t>不動産</t>
    <rPh sb="0" eb="3">
      <t>フドウサン</t>
    </rPh>
    <phoneticPr fontId="84"/>
  </si>
  <si>
    <t>マンション</t>
    <phoneticPr fontId="84"/>
  </si>
  <si>
    <t>新築のマンション広告</t>
    <rPh sb="0" eb="2">
      <t>シンチク</t>
    </rPh>
    <rPh sb="8" eb="10">
      <t>コウコク</t>
    </rPh>
    <phoneticPr fontId="84"/>
  </si>
  <si>
    <t>あなぶき興産</t>
    <rPh sb="4" eb="6">
      <t>コウサン</t>
    </rPh>
    <phoneticPr fontId="84"/>
  </si>
  <si>
    <t>建売</t>
    <rPh sb="0" eb="2">
      <t>タテウリ</t>
    </rPh>
    <phoneticPr fontId="84"/>
  </si>
  <si>
    <t>新築の建売広告</t>
    <rPh sb="0" eb="2">
      <t>シンチク</t>
    </rPh>
    <rPh sb="3" eb="5">
      <t>タテウリ</t>
    </rPh>
    <rPh sb="5" eb="7">
      <t>コウコク</t>
    </rPh>
    <phoneticPr fontId="84"/>
  </si>
  <si>
    <t>不動産仲介</t>
    <rPh sb="0" eb="3">
      <t>フドウサン</t>
    </rPh>
    <rPh sb="3" eb="5">
      <t>チュウカイ</t>
    </rPh>
    <phoneticPr fontId="84"/>
  </si>
  <si>
    <t>仲介物件</t>
    <rPh sb="0" eb="4">
      <t>チュウカイブッケン</t>
    </rPh>
    <phoneticPr fontId="84"/>
  </si>
  <si>
    <t>ハウスドゥ・積和不動産・エステートセンター・積水ハウス不動産・不動産マガジン</t>
    <rPh sb="6" eb="11">
      <t>セキワフドウサン</t>
    </rPh>
    <rPh sb="22" eb="24">
      <t>セキスイ</t>
    </rPh>
    <rPh sb="27" eb="30">
      <t>フドウサン</t>
    </rPh>
    <rPh sb="31" eb="34">
      <t>フドウサン</t>
    </rPh>
    <phoneticPr fontId="84"/>
  </si>
  <si>
    <t>その他の不動産</t>
    <rPh sb="2" eb="3">
      <t>タ</t>
    </rPh>
    <rPh sb="4" eb="7">
      <t>フドウサン</t>
    </rPh>
    <phoneticPr fontId="84"/>
  </si>
  <si>
    <t>霊園・別荘</t>
    <rPh sb="0" eb="2">
      <t>レイエン</t>
    </rPh>
    <rPh sb="3" eb="5">
      <t>ベッソウ</t>
    </rPh>
    <phoneticPr fontId="84"/>
  </si>
  <si>
    <t>霊園、別荘</t>
    <rPh sb="0" eb="2">
      <t>レイエン</t>
    </rPh>
    <rPh sb="3" eb="5">
      <t>ベッソウ</t>
    </rPh>
    <phoneticPr fontId="84"/>
  </si>
  <si>
    <t>住宅展示場</t>
    <rPh sb="0" eb="2">
      <t>ジュウタク</t>
    </rPh>
    <rPh sb="2" eb="5">
      <t>テンジジョウ</t>
    </rPh>
    <phoneticPr fontId="84"/>
  </si>
  <si>
    <t>住宅展示場、注文住宅、ハウスメーカー（ハウスメーカーの不動産セミナー含む）</t>
    <rPh sb="0" eb="2">
      <t>ジュウタク</t>
    </rPh>
    <rPh sb="2" eb="5">
      <t>テンジジョウ</t>
    </rPh>
    <rPh sb="6" eb="8">
      <t>チュウモン</t>
    </rPh>
    <rPh sb="8" eb="10">
      <t>ジュウタク</t>
    </rPh>
    <rPh sb="27" eb="30">
      <t>フドウサン</t>
    </rPh>
    <rPh sb="34" eb="35">
      <t>フク</t>
    </rPh>
    <phoneticPr fontId="84"/>
  </si>
  <si>
    <t>一条・タマホーム・アイフルホーム・プラスホーム・中央建設</t>
    <rPh sb="0" eb="2">
      <t>イチジョウ</t>
    </rPh>
    <rPh sb="24" eb="28">
      <t>チュウオウケンセツ</t>
    </rPh>
    <phoneticPr fontId="84"/>
  </si>
  <si>
    <t>土地</t>
    <rPh sb="0" eb="2">
      <t>トチ</t>
    </rPh>
    <phoneticPr fontId="84"/>
  </si>
  <si>
    <t>メーカー</t>
    <phoneticPr fontId="84"/>
  </si>
  <si>
    <t>食料・飲料・嗜好品</t>
    <rPh sb="0" eb="2">
      <t>ショクリョウ</t>
    </rPh>
    <rPh sb="3" eb="5">
      <t>インリョウ</t>
    </rPh>
    <rPh sb="6" eb="9">
      <t>シコウヒン</t>
    </rPh>
    <phoneticPr fontId="84"/>
  </si>
  <si>
    <t>乳製品、肉製品、調味料、パン、加工食品のメーカー</t>
    <rPh sb="0" eb="3">
      <t>ニュウセイヒン</t>
    </rPh>
    <rPh sb="4" eb="7">
      <t>ニクセイヒン</t>
    </rPh>
    <rPh sb="8" eb="11">
      <t>チョウミリョウ</t>
    </rPh>
    <rPh sb="15" eb="19">
      <t>カコウショクヒン</t>
    </rPh>
    <phoneticPr fontId="84"/>
  </si>
  <si>
    <t>山崎製パン・久原本家・ブルックス</t>
    <rPh sb="0" eb="3">
      <t>ヤマザキセイ</t>
    </rPh>
    <rPh sb="6" eb="8">
      <t>クバラ</t>
    </rPh>
    <rPh sb="8" eb="10">
      <t>ホンケ</t>
    </rPh>
    <phoneticPr fontId="84"/>
  </si>
  <si>
    <t>健康食品</t>
    <rPh sb="0" eb="2">
      <t>ケンコウ</t>
    </rPh>
    <rPh sb="2" eb="4">
      <t>ショクヒン</t>
    </rPh>
    <phoneticPr fontId="84"/>
  </si>
  <si>
    <t>通販を中心とする健康食品のメーカー</t>
    <rPh sb="0" eb="2">
      <t>ツウハン</t>
    </rPh>
    <rPh sb="3" eb="5">
      <t>チュウシン</t>
    </rPh>
    <rPh sb="8" eb="10">
      <t>ケンコウ</t>
    </rPh>
    <rPh sb="10" eb="12">
      <t>ショクヒン</t>
    </rPh>
    <phoneticPr fontId="84"/>
  </si>
  <si>
    <t>サントリー・世田谷自然食品・やずや</t>
    <rPh sb="6" eb="13">
      <t>セタガヤシゼンショクヒン</t>
    </rPh>
    <phoneticPr fontId="84"/>
  </si>
  <si>
    <t>製薬・医療用品</t>
    <rPh sb="0" eb="2">
      <t>セイヤク</t>
    </rPh>
    <rPh sb="3" eb="5">
      <t>イリョウ</t>
    </rPh>
    <rPh sb="5" eb="7">
      <t>ヨウヒン</t>
    </rPh>
    <phoneticPr fontId="84"/>
  </si>
  <si>
    <t>製薬会社および医薬品の告知や治験チラシ</t>
    <rPh sb="0" eb="2">
      <t>セイヤク</t>
    </rPh>
    <rPh sb="2" eb="4">
      <t>ガイシャ</t>
    </rPh>
    <rPh sb="7" eb="10">
      <t>イヤクヒン</t>
    </rPh>
    <rPh sb="11" eb="13">
      <t>コクチ</t>
    </rPh>
    <rPh sb="14" eb="16">
      <t>チケン</t>
    </rPh>
    <phoneticPr fontId="84"/>
  </si>
  <si>
    <t>化粧品</t>
    <rPh sb="0" eb="3">
      <t>ケショウヒン</t>
    </rPh>
    <phoneticPr fontId="84"/>
  </si>
  <si>
    <t>通販を中心とする化粧品のメーカー</t>
    <rPh sb="0" eb="2">
      <t>ツウハン</t>
    </rPh>
    <rPh sb="3" eb="5">
      <t>チュウシン</t>
    </rPh>
    <rPh sb="8" eb="11">
      <t>ケショウヒン</t>
    </rPh>
    <phoneticPr fontId="84"/>
  </si>
  <si>
    <t>新日本製薬</t>
    <rPh sb="0" eb="5">
      <t>シンニホンセイヤク</t>
    </rPh>
    <phoneticPr fontId="84"/>
  </si>
  <si>
    <t>日用雑貨・家庭用品</t>
    <rPh sb="0" eb="2">
      <t>ニチヨウ</t>
    </rPh>
    <rPh sb="2" eb="4">
      <t>ザッカ</t>
    </rPh>
    <rPh sb="5" eb="7">
      <t>カテイ</t>
    </rPh>
    <rPh sb="7" eb="9">
      <t>ヨウヒン</t>
    </rPh>
    <phoneticPr fontId="84"/>
  </si>
  <si>
    <t>美容用品、シャンプー、歯磨き粉、毛染め、育毛剤の販売および告知</t>
    <rPh sb="0" eb="2">
      <t>ビヨウ</t>
    </rPh>
    <rPh sb="2" eb="4">
      <t>ヨウヒン</t>
    </rPh>
    <rPh sb="11" eb="13">
      <t>ハミガ</t>
    </rPh>
    <rPh sb="14" eb="15">
      <t>コ</t>
    </rPh>
    <rPh sb="16" eb="17">
      <t>ケ</t>
    </rPh>
    <rPh sb="17" eb="18">
      <t>ゾ</t>
    </rPh>
    <rPh sb="20" eb="23">
      <t>イクモウザイ</t>
    </rPh>
    <rPh sb="24" eb="26">
      <t>ハンバイ</t>
    </rPh>
    <rPh sb="29" eb="31">
      <t>コクチ</t>
    </rPh>
    <phoneticPr fontId="84"/>
  </si>
  <si>
    <t>セグレタ・ファンケル・資生堂プリオール</t>
    <rPh sb="11" eb="14">
      <t>シセイドウ</t>
    </rPh>
    <phoneticPr fontId="84"/>
  </si>
  <si>
    <t>家電・AV機器</t>
    <rPh sb="0" eb="2">
      <t>カデン</t>
    </rPh>
    <rPh sb="5" eb="7">
      <t>キキ</t>
    </rPh>
    <phoneticPr fontId="84"/>
  </si>
  <si>
    <t>家電・AVメーカーと欠品商品回収通知</t>
    <rPh sb="0" eb="2">
      <t>カデン</t>
    </rPh>
    <rPh sb="10" eb="12">
      <t>ケッピン</t>
    </rPh>
    <rPh sb="12" eb="14">
      <t>ショウヒン</t>
    </rPh>
    <rPh sb="14" eb="16">
      <t>カイシュウ</t>
    </rPh>
    <rPh sb="16" eb="18">
      <t>ツウチ</t>
    </rPh>
    <phoneticPr fontId="84"/>
  </si>
  <si>
    <t>パナソニック</t>
    <phoneticPr fontId="84"/>
  </si>
  <si>
    <t>輸送・自動車関係</t>
    <rPh sb="0" eb="2">
      <t>ユソウ</t>
    </rPh>
    <rPh sb="3" eb="6">
      <t>ジドウシャ</t>
    </rPh>
    <rPh sb="6" eb="8">
      <t>カンケイ</t>
    </rPh>
    <phoneticPr fontId="84"/>
  </si>
  <si>
    <t>輸送・自動車関連メーカー</t>
    <rPh sb="0" eb="2">
      <t>ユソウ</t>
    </rPh>
    <rPh sb="3" eb="6">
      <t>ジドウシャ</t>
    </rPh>
    <rPh sb="6" eb="8">
      <t>カンレン</t>
    </rPh>
    <phoneticPr fontId="84"/>
  </si>
  <si>
    <t>その他</t>
    <rPh sb="2" eb="3">
      <t>タ</t>
    </rPh>
    <phoneticPr fontId="84"/>
  </si>
  <si>
    <t>上記以外のメーカー</t>
    <rPh sb="0" eb="4">
      <t>ジョウキイガイ</t>
    </rPh>
    <phoneticPr fontId="84"/>
  </si>
  <si>
    <t>官公庁</t>
    <rPh sb="0" eb="3">
      <t>カンコウチョウ</t>
    </rPh>
    <phoneticPr fontId="84"/>
  </si>
  <si>
    <t>官公庁、選挙管理委員会</t>
    <rPh sb="0" eb="3">
      <t>カンコウチョウ</t>
    </rPh>
    <rPh sb="4" eb="11">
      <t>センキョカンリイインカイ</t>
    </rPh>
    <phoneticPr fontId="84"/>
  </si>
  <si>
    <t>組合・団体</t>
    <rPh sb="0" eb="2">
      <t>クミアイ</t>
    </rPh>
    <rPh sb="3" eb="5">
      <t>ダンタイ</t>
    </rPh>
    <phoneticPr fontId="84"/>
  </si>
  <si>
    <t>～協会、～実行委員会、～の会、高速道路およびサービスエリア運営会社、上記以外の農協、生協関係</t>
    <rPh sb="1" eb="3">
      <t>キョウカイ</t>
    </rPh>
    <rPh sb="5" eb="7">
      <t>ジッコウ</t>
    </rPh>
    <rPh sb="7" eb="10">
      <t>イインカイ</t>
    </rPh>
    <rPh sb="13" eb="14">
      <t>カイ</t>
    </rPh>
    <rPh sb="15" eb="19">
      <t>コウソクドウロ</t>
    </rPh>
    <rPh sb="29" eb="31">
      <t>ウンエイ</t>
    </rPh>
    <rPh sb="31" eb="33">
      <t>ガイシャ</t>
    </rPh>
    <rPh sb="34" eb="38">
      <t>ジョウキイガイ</t>
    </rPh>
    <rPh sb="39" eb="41">
      <t>ノウキョウ</t>
    </rPh>
    <rPh sb="42" eb="44">
      <t>セイキョウ</t>
    </rPh>
    <rPh sb="44" eb="46">
      <t>カンケイ</t>
    </rPh>
    <phoneticPr fontId="84"/>
  </si>
  <si>
    <t>かいちゃんスタンプ会・法律事務所・八頭ポイントカード会</t>
    <rPh sb="9" eb="10">
      <t>カイ</t>
    </rPh>
    <rPh sb="11" eb="16">
      <t>ホウリツジムショ</t>
    </rPh>
    <rPh sb="17" eb="19">
      <t>ヤズ</t>
    </rPh>
    <rPh sb="26" eb="27">
      <t>カイ</t>
    </rPh>
    <phoneticPr fontId="84"/>
  </si>
  <si>
    <t>通信関係</t>
    <rPh sb="0" eb="4">
      <t>ツウシンカンケイ</t>
    </rPh>
    <phoneticPr fontId="84"/>
  </si>
  <si>
    <t>インターネットプロバイダ、ケーブルテレビ、携帯電話会社、郵便局</t>
    <rPh sb="21" eb="25">
      <t>ケイタイデンワ</t>
    </rPh>
    <rPh sb="25" eb="27">
      <t>ガイシャ</t>
    </rPh>
    <rPh sb="28" eb="31">
      <t>ユウビンキョク</t>
    </rPh>
    <phoneticPr fontId="84"/>
  </si>
  <si>
    <t>NCN</t>
    <phoneticPr fontId="84"/>
  </si>
  <si>
    <t>運輸・輸送</t>
    <rPh sb="0" eb="2">
      <t>ウンユ</t>
    </rPh>
    <rPh sb="3" eb="5">
      <t>ユソウ</t>
    </rPh>
    <phoneticPr fontId="84"/>
  </si>
  <si>
    <t>電鉄、バス会社</t>
    <rPh sb="0" eb="2">
      <t>デンテツ</t>
    </rPh>
    <rPh sb="5" eb="7">
      <t>カイシャ</t>
    </rPh>
    <phoneticPr fontId="84"/>
  </si>
  <si>
    <t>日本交通</t>
    <rPh sb="0" eb="2">
      <t>ニホン</t>
    </rPh>
    <rPh sb="2" eb="4">
      <t>コウツウ</t>
    </rPh>
    <phoneticPr fontId="84"/>
  </si>
  <si>
    <t>求人連合</t>
    <rPh sb="0" eb="2">
      <t>キュウジン</t>
    </rPh>
    <rPh sb="2" eb="4">
      <t>レンゴウ</t>
    </rPh>
    <phoneticPr fontId="84"/>
  </si>
  <si>
    <t>多数の求人情報を共同で掲載した広告および広告代理店</t>
    <rPh sb="0" eb="2">
      <t>タスウ</t>
    </rPh>
    <rPh sb="3" eb="5">
      <t>キュウジン</t>
    </rPh>
    <rPh sb="5" eb="7">
      <t>ジョウホウ</t>
    </rPh>
    <rPh sb="8" eb="10">
      <t>キョウドウ</t>
    </rPh>
    <rPh sb="11" eb="13">
      <t>ケイサイ</t>
    </rPh>
    <rPh sb="15" eb="17">
      <t>コウコク</t>
    </rPh>
    <rPh sb="20" eb="25">
      <t>コウコクダイリテン</t>
    </rPh>
    <phoneticPr fontId="84"/>
  </si>
  <si>
    <t>ビーフリー</t>
    <phoneticPr fontId="84"/>
  </si>
  <si>
    <t>新聞販売店、不動産セミナー運営会社、コンサートホール、空港、人材派遣会社、政党、宗教団体、社寺など</t>
    <rPh sb="0" eb="2">
      <t>シンブン</t>
    </rPh>
    <rPh sb="2" eb="5">
      <t>ハンバイテン</t>
    </rPh>
    <rPh sb="6" eb="9">
      <t>フドウサン</t>
    </rPh>
    <rPh sb="13" eb="15">
      <t>ウンエイ</t>
    </rPh>
    <rPh sb="15" eb="17">
      <t>ガイシャ</t>
    </rPh>
    <rPh sb="27" eb="29">
      <t>クウコウ</t>
    </rPh>
    <rPh sb="30" eb="32">
      <t>ジンザイ</t>
    </rPh>
    <rPh sb="32" eb="34">
      <t>ハケン</t>
    </rPh>
    <rPh sb="34" eb="36">
      <t>ガイシャ</t>
    </rPh>
    <rPh sb="37" eb="39">
      <t>セイトウ</t>
    </rPh>
    <rPh sb="40" eb="42">
      <t>シュウキョウ</t>
    </rPh>
    <rPh sb="42" eb="44">
      <t>ダンタイ</t>
    </rPh>
    <rPh sb="45" eb="46">
      <t>シャ</t>
    </rPh>
    <rPh sb="46" eb="47">
      <t>テラ</t>
    </rPh>
    <phoneticPr fontId="84"/>
  </si>
  <si>
    <t>公明党</t>
    <rPh sb="0" eb="3">
      <t>コウメイトウ</t>
    </rPh>
    <phoneticPr fontId="84"/>
  </si>
  <si>
    <t>種別</t>
    <rPh sb="0" eb="2">
      <t>シュベツ</t>
    </rPh>
    <phoneticPr fontId="84"/>
  </si>
  <si>
    <t>連番</t>
    <rPh sb="0" eb="2">
      <t>レンバン</t>
    </rPh>
    <phoneticPr fontId="84"/>
  </si>
  <si>
    <t>新サイズ表記</t>
    <rPh sb="0" eb="1">
      <t>シン</t>
    </rPh>
    <rPh sb="4" eb="6">
      <t>ヒョウキ</t>
    </rPh>
    <phoneticPr fontId="84"/>
  </si>
  <si>
    <t>料金
（鳥取県内）</t>
    <rPh sb="0" eb="2">
      <t>リョウキン</t>
    </rPh>
    <rPh sb="4" eb="8">
      <t>トットリケンナイ</t>
    </rPh>
    <phoneticPr fontId="84"/>
  </si>
  <si>
    <t>旧サイズ表記</t>
    <rPh sb="0" eb="1">
      <t>キュウ</t>
    </rPh>
    <rPh sb="4" eb="6">
      <t>ヒョウキ</t>
    </rPh>
    <phoneticPr fontId="84"/>
  </si>
  <si>
    <t>浜坂・温泉</t>
    <rPh sb="0" eb="2">
      <t>ハマサカ</t>
    </rPh>
    <rPh sb="3" eb="5">
      <t>オンセン</t>
    </rPh>
    <phoneticPr fontId="84"/>
  </si>
  <si>
    <t>美方・村岡</t>
    <rPh sb="0" eb="2">
      <t>ミカタ</t>
    </rPh>
    <rPh sb="3" eb="5">
      <t>ムラオカ</t>
    </rPh>
    <phoneticPr fontId="84"/>
  </si>
  <si>
    <t>香住</t>
    <rPh sb="0" eb="2">
      <t>カスミ</t>
    </rPh>
    <phoneticPr fontId="84"/>
  </si>
  <si>
    <t>岡山</t>
    <rPh sb="0" eb="2">
      <t>オカヤマ</t>
    </rPh>
    <phoneticPr fontId="84"/>
  </si>
  <si>
    <t>島根</t>
    <rPh sb="0" eb="2">
      <t>シマネ</t>
    </rPh>
    <phoneticPr fontId="84"/>
  </si>
  <si>
    <t>本部</t>
    <rPh sb="0" eb="2">
      <t>ホンブ</t>
    </rPh>
    <phoneticPr fontId="84"/>
  </si>
  <si>
    <t>倉吉支部</t>
    <rPh sb="0" eb="4">
      <t>クラヨシシブ</t>
    </rPh>
    <phoneticPr fontId="84"/>
  </si>
  <si>
    <t>米子支部</t>
    <rPh sb="0" eb="4">
      <t>ヨナゴシブ</t>
    </rPh>
    <phoneticPr fontId="84"/>
  </si>
  <si>
    <t>B4（折り無し）</t>
    <rPh sb="3" eb="4">
      <t>オリ</t>
    </rPh>
    <rPh sb="5" eb="6">
      <t>ナ</t>
    </rPh>
    <phoneticPr fontId="84"/>
  </si>
  <si>
    <t>１折</t>
    <rPh sb="1" eb="2">
      <t>オリ</t>
    </rPh>
    <phoneticPr fontId="84"/>
  </si>
  <si>
    <t>B3（2つ折り）</t>
    <rPh sb="5" eb="6">
      <t>オ</t>
    </rPh>
    <phoneticPr fontId="84"/>
  </si>
  <si>
    <t>２折</t>
    <rPh sb="1" eb="2">
      <t>オリ</t>
    </rPh>
    <phoneticPr fontId="84"/>
  </si>
  <si>
    <t>3つ折り</t>
    <rPh sb="2" eb="3">
      <t>オ</t>
    </rPh>
    <phoneticPr fontId="84"/>
  </si>
  <si>
    <t>3折</t>
    <rPh sb="1" eb="2">
      <t>オ</t>
    </rPh>
    <phoneticPr fontId="84"/>
  </si>
  <si>
    <t>3折・観音折</t>
    <rPh sb="1" eb="2">
      <t>オリ</t>
    </rPh>
    <rPh sb="3" eb="5">
      <t>カンノン</t>
    </rPh>
    <rPh sb="5" eb="6">
      <t>オリ</t>
    </rPh>
    <phoneticPr fontId="84"/>
  </si>
  <si>
    <t>観音折</t>
    <rPh sb="0" eb="2">
      <t>カンノン</t>
    </rPh>
    <rPh sb="2" eb="3">
      <t>オリ</t>
    </rPh>
    <phoneticPr fontId="84"/>
  </si>
  <si>
    <t>B2（4つ折り）</t>
    <rPh sb="5" eb="6">
      <t>オ</t>
    </rPh>
    <phoneticPr fontId="84"/>
  </si>
  <si>
    <t>4折</t>
    <rPh sb="1" eb="2">
      <t>オリ</t>
    </rPh>
    <phoneticPr fontId="84"/>
  </si>
  <si>
    <t>B1（8折り）</t>
    <rPh sb="4" eb="5">
      <t>オ</t>
    </rPh>
    <phoneticPr fontId="84"/>
  </si>
  <si>
    <t>8折</t>
    <rPh sb="1" eb="2">
      <t>オリ</t>
    </rPh>
    <phoneticPr fontId="84"/>
  </si>
  <si>
    <t>B4厚紙</t>
    <rPh sb="2" eb="4">
      <t>アツガミ</t>
    </rPh>
    <phoneticPr fontId="84"/>
  </si>
  <si>
    <t>1折厚</t>
    <rPh sb="1" eb="2">
      <t>オリ</t>
    </rPh>
    <rPh sb="2" eb="3">
      <t>アツ</t>
    </rPh>
    <phoneticPr fontId="84"/>
  </si>
  <si>
    <t>厚１折</t>
    <rPh sb="0" eb="1">
      <t>アツ</t>
    </rPh>
    <rPh sb="2" eb="3">
      <t>オリ</t>
    </rPh>
    <phoneticPr fontId="84"/>
  </si>
  <si>
    <t>B4厚</t>
    <rPh sb="2" eb="3">
      <t>アツ</t>
    </rPh>
    <phoneticPr fontId="84"/>
  </si>
  <si>
    <t>B3厚紙</t>
    <rPh sb="2" eb="4">
      <t>アツガミ</t>
    </rPh>
    <phoneticPr fontId="84"/>
  </si>
  <si>
    <t>2折厚</t>
    <rPh sb="1" eb="2">
      <t>オリ</t>
    </rPh>
    <rPh sb="2" eb="3">
      <t>アツ</t>
    </rPh>
    <phoneticPr fontId="84"/>
  </si>
  <si>
    <t>厚２折</t>
    <rPh sb="0" eb="1">
      <t>アツ</t>
    </rPh>
    <rPh sb="2" eb="3">
      <t>オリ</t>
    </rPh>
    <phoneticPr fontId="84"/>
  </si>
  <si>
    <t>B3厚</t>
    <rPh sb="2" eb="3">
      <t>アツ</t>
    </rPh>
    <phoneticPr fontId="84"/>
  </si>
  <si>
    <t>B2厚紙</t>
    <rPh sb="2" eb="4">
      <t>アツガミ</t>
    </rPh>
    <phoneticPr fontId="84"/>
  </si>
  <si>
    <t>4折厚</t>
    <rPh sb="1" eb="2">
      <t>オリ</t>
    </rPh>
    <rPh sb="2" eb="3">
      <t>アツ</t>
    </rPh>
    <phoneticPr fontId="84"/>
  </si>
  <si>
    <t>B4以下変形</t>
    <rPh sb="2" eb="4">
      <t>イカ</t>
    </rPh>
    <rPh sb="4" eb="6">
      <t>ヘンケイ</t>
    </rPh>
    <phoneticPr fontId="84"/>
  </si>
  <si>
    <t>1折変形</t>
    <rPh sb="1" eb="2">
      <t>オリ</t>
    </rPh>
    <rPh sb="2" eb="4">
      <t>ヘンケイ</t>
    </rPh>
    <phoneticPr fontId="84"/>
  </si>
  <si>
    <t>B4シール付き</t>
    <rPh sb="5" eb="6">
      <t>ツ</t>
    </rPh>
    <phoneticPr fontId="84"/>
  </si>
  <si>
    <t>1折シ</t>
    <rPh sb="1" eb="2">
      <t>オリ</t>
    </rPh>
    <phoneticPr fontId="84"/>
  </si>
  <si>
    <t>B3シール付き</t>
    <rPh sb="5" eb="6">
      <t>ツ</t>
    </rPh>
    <phoneticPr fontId="84"/>
  </si>
  <si>
    <t>2折シ</t>
    <rPh sb="1" eb="2">
      <t>オリ</t>
    </rPh>
    <phoneticPr fontId="84"/>
  </si>
  <si>
    <t>B4スクラッチ付き</t>
    <rPh sb="7" eb="8">
      <t>ツ</t>
    </rPh>
    <phoneticPr fontId="84"/>
  </si>
  <si>
    <t>１折ス</t>
    <rPh sb="1" eb="2">
      <t>オリ</t>
    </rPh>
    <phoneticPr fontId="84"/>
  </si>
  <si>
    <t>連合B4</t>
    <rPh sb="0" eb="2">
      <t>レンゴウ</t>
    </rPh>
    <phoneticPr fontId="84"/>
  </si>
  <si>
    <t>1折特</t>
    <rPh sb="1" eb="2">
      <t>オリ</t>
    </rPh>
    <rPh sb="2" eb="3">
      <t>トク</t>
    </rPh>
    <phoneticPr fontId="84"/>
  </si>
  <si>
    <t>連1折　</t>
    <rPh sb="0" eb="1">
      <t>レン</t>
    </rPh>
    <rPh sb="2" eb="3">
      <t>オリ</t>
    </rPh>
    <phoneticPr fontId="84"/>
  </si>
  <si>
    <t>連合B3</t>
    <rPh sb="0" eb="2">
      <t>レンゴウ</t>
    </rPh>
    <phoneticPr fontId="84"/>
  </si>
  <si>
    <t>2折特</t>
    <rPh sb="1" eb="2">
      <t>オリ</t>
    </rPh>
    <rPh sb="2" eb="3">
      <t>トク</t>
    </rPh>
    <phoneticPr fontId="84"/>
  </si>
  <si>
    <t>連2折　</t>
    <rPh sb="0" eb="1">
      <t>レン</t>
    </rPh>
    <rPh sb="2" eb="3">
      <t>オリ</t>
    </rPh>
    <phoneticPr fontId="84"/>
  </si>
  <si>
    <t>連合B2</t>
    <rPh sb="0" eb="2">
      <t>レンゴウ</t>
    </rPh>
    <phoneticPr fontId="84"/>
  </si>
  <si>
    <t>4折特</t>
    <rPh sb="1" eb="2">
      <t>オリ</t>
    </rPh>
    <rPh sb="2" eb="3">
      <t>トク</t>
    </rPh>
    <phoneticPr fontId="84"/>
  </si>
  <si>
    <t>連4折　</t>
    <phoneticPr fontId="84"/>
  </si>
  <si>
    <t>連合3つ折り</t>
    <rPh sb="0" eb="2">
      <t>レンゴウ</t>
    </rPh>
    <rPh sb="4" eb="5">
      <t>オ</t>
    </rPh>
    <phoneticPr fontId="84"/>
  </si>
  <si>
    <t>特３折</t>
    <rPh sb="0" eb="1">
      <t>トク</t>
    </rPh>
    <rPh sb="2" eb="3">
      <t>オリ</t>
    </rPh>
    <phoneticPr fontId="84"/>
  </si>
  <si>
    <t>連合B4厚紙</t>
    <rPh sb="0" eb="2">
      <t>レンゴウ</t>
    </rPh>
    <rPh sb="4" eb="6">
      <t>アツガミ</t>
    </rPh>
    <phoneticPr fontId="84"/>
  </si>
  <si>
    <t>特1折厚</t>
    <rPh sb="0" eb="1">
      <t>トク</t>
    </rPh>
    <rPh sb="2" eb="3">
      <t>オリ</t>
    </rPh>
    <rPh sb="3" eb="4">
      <t>アツ</t>
    </rPh>
    <phoneticPr fontId="84"/>
  </si>
  <si>
    <t>連合2つ折り極小</t>
    <rPh sb="0" eb="2">
      <t>レンゴウ</t>
    </rPh>
    <rPh sb="4" eb="5">
      <t>オ</t>
    </rPh>
    <rPh sb="6" eb="8">
      <t>ゴクショウ</t>
    </rPh>
    <phoneticPr fontId="84"/>
  </si>
  <si>
    <t>特2+1</t>
    <rPh sb="0" eb="1">
      <t>トク</t>
    </rPh>
    <phoneticPr fontId="84"/>
  </si>
  <si>
    <t>特4+2</t>
    <rPh sb="0" eb="1">
      <t>トク</t>
    </rPh>
    <phoneticPr fontId="84"/>
  </si>
  <si>
    <t>政治B4</t>
    <rPh sb="0" eb="2">
      <t>セイジ</t>
    </rPh>
    <phoneticPr fontId="84"/>
  </si>
  <si>
    <t>政１折</t>
    <rPh sb="0" eb="1">
      <t>セイ</t>
    </rPh>
    <rPh sb="2" eb="3">
      <t>オリ</t>
    </rPh>
    <phoneticPr fontId="84"/>
  </si>
  <si>
    <t>政治B3</t>
    <rPh sb="0" eb="2">
      <t>セイジ</t>
    </rPh>
    <phoneticPr fontId="84"/>
  </si>
  <si>
    <t>政2折</t>
    <rPh sb="0" eb="1">
      <t>セイ</t>
    </rPh>
    <rPh sb="2" eb="3">
      <t>オリ</t>
    </rPh>
    <phoneticPr fontId="84"/>
  </si>
  <si>
    <t>政治B2</t>
    <rPh sb="0" eb="2">
      <t>セイジ</t>
    </rPh>
    <phoneticPr fontId="84"/>
  </si>
  <si>
    <t>政治3つ折り</t>
    <rPh sb="0" eb="2">
      <t>セイジ</t>
    </rPh>
    <rPh sb="4" eb="5">
      <t>オ</t>
    </rPh>
    <phoneticPr fontId="84"/>
  </si>
  <si>
    <t>政治2つ折り極小</t>
    <rPh sb="0" eb="2">
      <t>セイジ</t>
    </rPh>
    <rPh sb="4" eb="5">
      <t>オ</t>
    </rPh>
    <rPh sb="6" eb="8">
      <t>ゴクショウ</t>
    </rPh>
    <phoneticPr fontId="84"/>
  </si>
  <si>
    <t>連2極小</t>
    <rPh sb="0" eb="1">
      <t>レン</t>
    </rPh>
    <rPh sb="2" eb="3">
      <t>キョク</t>
    </rPh>
    <rPh sb="3" eb="4">
      <t>ショウ</t>
    </rPh>
    <phoneticPr fontId="84"/>
  </si>
  <si>
    <t>政治B4厚紙</t>
    <rPh sb="0" eb="2">
      <t>セイジ</t>
    </rPh>
    <rPh sb="4" eb="6">
      <t>アツガミ</t>
    </rPh>
    <phoneticPr fontId="84"/>
  </si>
  <si>
    <t>2+1折</t>
    <rPh sb="3" eb="4">
      <t>オリ</t>
    </rPh>
    <phoneticPr fontId="84"/>
  </si>
  <si>
    <t>タブ6</t>
    <phoneticPr fontId="84"/>
  </si>
  <si>
    <t>2折+1</t>
    <rPh sb="1" eb="2">
      <t>オリ</t>
    </rPh>
    <phoneticPr fontId="84"/>
  </si>
  <si>
    <t>４折</t>
    <rPh sb="1" eb="2">
      <t>オリ</t>
    </rPh>
    <phoneticPr fontId="84"/>
  </si>
  <si>
    <t>タブ8</t>
    <phoneticPr fontId="84"/>
  </si>
  <si>
    <t>２折+2</t>
    <rPh sb="1" eb="2">
      <t>オリ</t>
    </rPh>
    <phoneticPr fontId="84"/>
  </si>
  <si>
    <t>8Pホ</t>
    <phoneticPr fontId="84"/>
  </si>
  <si>
    <t>4+1折</t>
    <rPh sb="3" eb="4">
      <t>オリ</t>
    </rPh>
    <phoneticPr fontId="84"/>
  </si>
  <si>
    <t>4+2折</t>
    <rPh sb="3" eb="4">
      <t>オリ</t>
    </rPh>
    <phoneticPr fontId="84"/>
  </si>
  <si>
    <t>冊14P</t>
    <rPh sb="0" eb="1">
      <t>サク</t>
    </rPh>
    <phoneticPr fontId="84"/>
  </si>
  <si>
    <t>冊18Ｐ</t>
    <rPh sb="0" eb="1">
      <t>サク</t>
    </rPh>
    <phoneticPr fontId="84"/>
  </si>
  <si>
    <t>冊20Ｐ</t>
    <rPh sb="0" eb="1">
      <t>サク</t>
    </rPh>
    <phoneticPr fontId="84"/>
  </si>
  <si>
    <t>16Ｐホ</t>
    <phoneticPr fontId="84"/>
  </si>
  <si>
    <t>冊40Ｐ</t>
    <rPh sb="0" eb="1">
      <t>サク</t>
    </rPh>
    <phoneticPr fontId="84"/>
  </si>
  <si>
    <t>うさぎの耳</t>
    <rPh sb="4" eb="5">
      <t>ミミ</t>
    </rPh>
    <phoneticPr fontId="84"/>
  </si>
  <si>
    <t>うさ耳</t>
    <rPh sb="2" eb="3">
      <t>ミミ</t>
    </rPh>
    <phoneticPr fontId="84"/>
  </si>
  <si>
    <t>ユーキャン（題字）</t>
    <rPh sb="6" eb="8">
      <t>ダイジ</t>
    </rPh>
    <phoneticPr fontId="84"/>
  </si>
  <si>
    <t>冊子</t>
    <rPh sb="0" eb="2">
      <t>サッシ</t>
    </rPh>
    <phoneticPr fontId="84"/>
  </si>
  <si>
    <t>題字付</t>
    <rPh sb="0" eb="2">
      <t>ダイジ</t>
    </rPh>
    <rPh sb="2" eb="3">
      <t>ツ</t>
    </rPh>
    <phoneticPr fontId="84"/>
  </si>
  <si>
    <t>横長B3</t>
    <rPh sb="0" eb="2">
      <t>ヨコナガ</t>
    </rPh>
    <phoneticPr fontId="84"/>
  </si>
  <si>
    <t>長2折</t>
    <rPh sb="0" eb="1">
      <t>ナガ</t>
    </rPh>
    <rPh sb="2" eb="3">
      <t>オリ</t>
    </rPh>
    <phoneticPr fontId="84"/>
  </si>
  <si>
    <t>長B3</t>
    <rPh sb="0" eb="1">
      <t>ナガ</t>
    </rPh>
    <phoneticPr fontId="84"/>
  </si>
  <si>
    <t>ＡＤＢＡ</t>
    <phoneticPr fontId="84"/>
  </si>
  <si>
    <t>ADB</t>
    <phoneticPr fontId="84"/>
  </si>
  <si>
    <t>封筒</t>
    <rPh sb="0" eb="2">
      <t>フウトウ</t>
    </rPh>
    <phoneticPr fontId="84"/>
  </si>
  <si>
    <t>圧着</t>
    <rPh sb="0" eb="2">
      <t>アッチャク</t>
    </rPh>
    <phoneticPr fontId="84"/>
  </si>
  <si>
    <t>圧着厚紙</t>
    <rPh sb="0" eb="2">
      <t>アッチャク</t>
    </rPh>
    <rPh sb="2" eb="4">
      <t>アツガミ</t>
    </rPh>
    <phoneticPr fontId="84"/>
  </si>
  <si>
    <t>圧着圧</t>
    <rPh sb="0" eb="2">
      <t>アッチャク</t>
    </rPh>
    <rPh sb="2" eb="3">
      <t>アツ</t>
    </rPh>
    <phoneticPr fontId="84"/>
  </si>
  <si>
    <t>観音折</t>
  </si>
  <si>
    <t>B4（折り無し）</t>
  </si>
  <si>
    <t>サイズ表記</t>
    <rPh sb="3" eb="5">
      <t>ヒョウキ</t>
    </rPh>
    <phoneticPr fontId="15"/>
  </si>
  <si>
    <t>B3（2つ折り）</t>
  </si>
  <si>
    <t>3つ折り</t>
  </si>
  <si>
    <t>B2（4つ折り）</t>
  </si>
  <si>
    <t>Oka</t>
  </si>
  <si>
    <t>Oka</t>
    <phoneticPr fontId="15"/>
  </si>
  <si>
    <t>B1（8折り）</t>
  </si>
  <si>
    <t>B4厚紙</t>
  </si>
  <si>
    <t>B3厚紙</t>
  </si>
  <si>
    <t>B2厚紙</t>
  </si>
  <si>
    <t>B4以下変形</t>
  </si>
  <si>
    <t>B4シール付き</t>
  </si>
  <si>
    <t>B3シール付き</t>
  </si>
  <si>
    <t>B4スクラッチ付き</t>
  </si>
  <si>
    <t>連合B4</t>
  </si>
  <si>
    <t>連合B3</t>
  </si>
  <si>
    <t>連合B2</t>
  </si>
  <si>
    <t>連合3つ折り</t>
  </si>
  <si>
    <t>連合B4厚紙</t>
  </si>
  <si>
    <t>連合2つ折り極小</t>
  </si>
  <si>
    <t>政治B4</t>
  </si>
  <si>
    <t>政治B3</t>
  </si>
  <si>
    <t>政治B2</t>
  </si>
  <si>
    <t>政治3つ折り</t>
  </si>
  <si>
    <t>政治2つ折り極小</t>
  </si>
  <si>
    <t>政治B4厚紙</t>
  </si>
  <si>
    <t>うさぎの耳</t>
  </si>
  <si>
    <t>ユーキャン（題字）</t>
  </si>
  <si>
    <t>横長B3</t>
  </si>
  <si>
    <t>AD-BAG</t>
  </si>
  <si>
    <t>封筒</t>
  </si>
  <si>
    <t>圧着</t>
  </si>
  <si>
    <t>圧着厚紙</t>
  </si>
  <si>
    <t>Tot</t>
  </si>
  <si>
    <t>Hha</t>
  </si>
  <si>
    <t>Hks</t>
  </si>
  <si>
    <t>Shi</t>
  </si>
  <si>
    <t>Hmm</t>
  </si>
  <si>
    <t>Hmm</t>
    <phoneticPr fontId="15"/>
  </si>
  <si>
    <t>社内入力欄（請求先番号）</t>
    <rPh sb="0" eb="2">
      <t>シャナイ</t>
    </rPh>
    <rPh sb="2" eb="4">
      <t>ニュウリョク</t>
    </rPh>
    <rPh sb="4" eb="5">
      <t>ラン</t>
    </rPh>
    <rPh sb="6" eb="8">
      <t>セイキュウ</t>
    </rPh>
    <rPh sb="8" eb="9">
      <t>サキ</t>
    </rPh>
    <rPh sb="9" eb="11">
      <t>バンゴウ</t>
    </rPh>
    <phoneticPr fontId="15"/>
  </si>
  <si>
    <t>業種</t>
    <rPh sb="0" eb="2">
      <t>ギョウシュ</t>
    </rPh>
    <phoneticPr fontId="15"/>
  </si>
  <si>
    <t>代理店</t>
    <rPh sb="0" eb="3">
      <t>ダイリテン</t>
    </rPh>
    <phoneticPr fontId="15"/>
  </si>
  <si>
    <t>仕入先コード列</t>
    <phoneticPr fontId="15"/>
  </si>
  <si>
    <t>X</t>
  </si>
  <si>
    <t>Y</t>
  </si>
  <si>
    <t>Z</t>
  </si>
  <si>
    <t>AA</t>
  </si>
  <si>
    <t>AB</t>
  </si>
  <si>
    <t>AC</t>
  </si>
  <si>
    <t>AD</t>
  </si>
  <si>
    <t>AE</t>
  </si>
  <si>
    <t>AF</t>
  </si>
  <si>
    <t>AG</t>
  </si>
  <si>
    <t>AH</t>
  </si>
  <si>
    <t>AI</t>
  </si>
  <si>
    <t>AJ</t>
  </si>
  <si>
    <t>AK</t>
  </si>
  <si>
    <t>AL</t>
  </si>
  <si>
    <t>AM</t>
  </si>
  <si>
    <t>AN</t>
  </si>
  <si>
    <t>AO</t>
  </si>
  <si>
    <t>AP</t>
  </si>
  <si>
    <t>AQ</t>
  </si>
  <si>
    <t>AR</t>
  </si>
  <si>
    <t>東部
地区</t>
    <rPh sb="0" eb="2">
      <t>トウブ</t>
    </rPh>
    <rPh sb="3" eb="5">
      <t>チク</t>
    </rPh>
    <phoneticPr fontId="15"/>
  </si>
  <si>
    <t>中部
地区</t>
    <rPh sb="0" eb="2">
      <t>チュウブ</t>
    </rPh>
    <rPh sb="3" eb="5">
      <t>チク</t>
    </rPh>
    <phoneticPr fontId="15"/>
  </si>
  <si>
    <t>西部
地区</t>
    <rPh sb="0" eb="2">
      <t>セイブ</t>
    </rPh>
    <rPh sb="3" eb="5">
      <t>チク</t>
    </rPh>
    <phoneticPr fontId="15"/>
  </si>
  <si>
    <t>③郡部</t>
  </si>
  <si>
    <t>④中部</t>
  </si>
  <si>
    <t>⑤米子市</t>
  </si>
  <si>
    <t>⑥西伯・日野郡</t>
  </si>
  <si>
    <t>⑦境・島根</t>
  </si>
  <si>
    <t>⑧兵庫</t>
  </si>
  <si>
    <t>鳥取</t>
  </si>
  <si>
    <t>鳥取</t>
    <rPh sb="0" eb="2">
      <t>トットリ</t>
    </rPh>
    <phoneticPr fontId="84"/>
  </si>
  <si>
    <t>項目名</t>
    <rPh sb="0" eb="2">
      <t>コウモク</t>
    </rPh>
    <rPh sb="2" eb="3">
      <t>メイ</t>
    </rPh>
    <phoneticPr fontId="15"/>
  </si>
  <si>
    <t>商品名1</t>
    <phoneticPr fontId="15"/>
  </si>
  <si>
    <t>商品名2</t>
    <rPh sb="0" eb="3">
      <t>ショウヒンメイ</t>
    </rPh>
    <phoneticPr fontId="15"/>
  </si>
  <si>
    <t>フリガナ</t>
  </si>
  <si>
    <t>入数</t>
    <rPh sb="0" eb="2">
      <t>イリスウ</t>
    </rPh>
    <phoneticPr fontId="15"/>
  </si>
  <si>
    <t>課税区分</t>
  </si>
  <si>
    <t>商品分類1No</t>
    <rPh sb="0" eb="2">
      <t>ショウヒン</t>
    </rPh>
    <rPh sb="2" eb="4">
      <t>ブンルイ</t>
    </rPh>
    <phoneticPr fontId="15"/>
  </si>
  <si>
    <t>商品分類2No</t>
    <rPh sb="0" eb="2">
      <t>ショウヒン</t>
    </rPh>
    <rPh sb="2" eb="4">
      <t>ブンルイ</t>
    </rPh>
    <phoneticPr fontId="15"/>
  </si>
  <si>
    <t>単位</t>
  </si>
  <si>
    <t>定価</t>
    <rPh sb="0" eb="2">
      <t>テイカ</t>
    </rPh>
    <phoneticPr fontId="15"/>
  </si>
  <si>
    <t>定価税額</t>
  </si>
  <si>
    <t>売上単価</t>
  </si>
  <si>
    <t>売上単価税額</t>
  </si>
  <si>
    <t>原価単価</t>
  </si>
  <si>
    <t>原価単価税額</t>
  </si>
  <si>
    <t>商品区分(商品)</t>
    <rPh sb="0" eb="2">
      <t>ショウヒン</t>
    </rPh>
    <rPh sb="2" eb="4">
      <t>クブン</t>
    </rPh>
    <rPh sb="5" eb="7">
      <t>ショウヒン</t>
    </rPh>
    <phoneticPr fontId="15"/>
  </si>
  <si>
    <t>商品区分(原材料)</t>
    <rPh sb="0" eb="2">
      <t>ショウヒン</t>
    </rPh>
    <rPh sb="2" eb="4">
      <t>クブン</t>
    </rPh>
    <rPh sb="5" eb="8">
      <t>ゲンザイリョウ</t>
    </rPh>
    <phoneticPr fontId="15"/>
  </si>
  <si>
    <t>生産区分</t>
    <rPh sb="0" eb="2">
      <t>セイサン</t>
    </rPh>
    <rPh sb="2" eb="4">
      <t>クブン</t>
    </rPh>
    <phoneticPr fontId="15"/>
  </si>
  <si>
    <t>受注残管理</t>
  </si>
  <si>
    <t>在庫管理</t>
  </si>
  <si>
    <t>受注の入力</t>
    <rPh sb="0" eb="2">
      <t>ジュチュウ</t>
    </rPh>
    <rPh sb="3" eb="5">
      <t>ニュウリョク</t>
    </rPh>
    <phoneticPr fontId="15"/>
  </si>
  <si>
    <t>出荷の入力</t>
    <rPh sb="0" eb="2">
      <t>シュッカ</t>
    </rPh>
    <rPh sb="3" eb="5">
      <t>ニュウリョク</t>
    </rPh>
    <phoneticPr fontId="15"/>
  </si>
  <si>
    <t>在庫計算単位(倉庫)</t>
    <rPh sb="0" eb="2">
      <t>ザイコ</t>
    </rPh>
    <rPh sb="2" eb="4">
      <t>ケイサン</t>
    </rPh>
    <rPh sb="4" eb="6">
      <t>タンイ</t>
    </rPh>
    <rPh sb="7" eb="9">
      <t>ソウコ</t>
    </rPh>
    <phoneticPr fontId="15"/>
  </si>
  <si>
    <t>在庫計算単位(商品)</t>
    <rPh sb="0" eb="2">
      <t>ザイコ</t>
    </rPh>
    <rPh sb="2" eb="4">
      <t>ケイサン</t>
    </rPh>
    <rPh sb="4" eb="6">
      <t>タンイ</t>
    </rPh>
    <rPh sb="7" eb="9">
      <t>ショウヒン</t>
    </rPh>
    <phoneticPr fontId="15"/>
  </si>
  <si>
    <t>作業残管理</t>
  </si>
  <si>
    <t>自動在庫引当</t>
    <rPh sb="0" eb="2">
      <t>ジドウ</t>
    </rPh>
    <rPh sb="2" eb="4">
      <t>ザイコ</t>
    </rPh>
    <rPh sb="4" eb="6">
      <t>ヒキアテ</t>
    </rPh>
    <phoneticPr fontId="15"/>
  </si>
  <si>
    <t>在庫倉庫コード</t>
    <rPh sb="0" eb="2">
      <t>ザイコ</t>
    </rPh>
    <rPh sb="2" eb="4">
      <t>ソウコ</t>
    </rPh>
    <phoneticPr fontId="15"/>
  </si>
  <si>
    <t>最低在庫数</t>
  </si>
  <si>
    <t>適正在庫数</t>
    <rPh sb="0" eb="2">
      <t>テキセイ</t>
    </rPh>
    <rPh sb="2" eb="4">
      <t>ザイコ</t>
    </rPh>
    <rPh sb="4" eb="5">
      <t>カズ</t>
    </rPh>
    <phoneticPr fontId="15"/>
  </si>
  <si>
    <t>要素コード</t>
    <rPh sb="0" eb="2">
      <t>ヨウソ</t>
    </rPh>
    <phoneticPr fontId="15"/>
  </si>
  <si>
    <t>要素明細コード</t>
    <rPh sb="0" eb="2">
      <t>ヨウソ</t>
    </rPh>
    <rPh sb="2" eb="4">
      <t>メイサイ</t>
    </rPh>
    <phoneticPr fontId="15"/>
  </si>
  <si>
    <t>単価自動計算設定</t>
    <rPh sb="0" eb="2">
      <t>タンカ</t>
    </rPh>
    <rPh sb="2" eb="4">
      <t>ジドウ</t>
    </rPh>
    <rPh sb="4" eb="6">
      <t>ケイサン</t>
    </rPh>
    <rPh sb="6" eb="8">
      <t>セッテイ</t>
    </rPh>
    <phoneticPr fontId="15"/>
  </si>
  <si>
    <t>仕入先コード</t>
    <rPh sb="0" eb="2">
      <t>シイレ</t>
    </rPh>
    <rPh sb="2" eb="3">
      <t>サキ</t>
    </rPh>
    <phoneticPr fontId="15"/>
  </si>
  <si>
    <t>仕入先子番</t>
    <rPh sb="0" eb="2">
      <t>シイレ</t>
    </rPh>
    <rPh sb="2" eb="3">
      <t>サキ</t>
    </rPh>
    <rPh sb="3" eb="4">
      <t>コ</t>
    </rPh>
    <rPh sb="4" eb="5">
      <t>バン</t>
    </rPh>
    <phoneticPr fontId="15"/>
  </si>
  <si>
    <t>備考１</t>
  </si>
  <si>
    <t>備考２</t>
  </si>
  <si>
    <t>フリーマスタ１コード</t>
  </si>
  <si>
    <t>フリーマスタ２コード</t>
  </si>
  <si>
    <t>フリーマスタ３コード</t>
  </si>
  <si>
    <t>フリーマスタ４コード</t>
  </si>
  <si>
    <t>フリーマスタ５コード</t>
  </si>
  <si>
    <t>形式</t>
    <rPh sb="0" eb="2">
      <t>ケイシキ</t>
    </rPh>
    <phoneticPr fontId="15"/>
  </si>
  <si>
    <t>文字</t>
    <rPh sb="0" eb="2">
      <t>モジ</t>
    </rPh>
    <phoneticPr fontId="15"/>
  </si>
  <si>
    <t>数値</t>
    <phoneticPr fontId="15"/>
  </si>
  <si>
    <t>数値</t>
    <rPh sb="0" eb="2">
      <t>スウチ</t>
    </rPh>
    <phoneticPr fontId="15"/>
  </si>
  <si>
    <t>最大桁数(形式が文字の場合半角)</t>
    <rPh sb="0" eb="2">
      <t>サイダイ</t>
    </rPh>
    <rPh sb="2" eb="3">
      <t>ケタ</t>
    </rPh>
    <rPh sb="3" eb="4">
      <t>スウ</t>
    </rPh>
    <phoneticPr fontId="15"/>
  </si>
  <si>
    <t>整9＋小2</t>
    <rPh sb="0" eb="1">
      <t>ヒトシ</t>
    </rPh>
    <rPh sb="3" eb="4">
      <t>ショウ</t>
    </rPh>
    <phoneticPr fontId="15"/>
  </si>
  <si>
    <t>書式</t>
    <rPh sb="0" eb="2">
      <t>ショシキ</t>
    </rPh>
    <phoneticPr fontId="15"/>
  </si>
  <si>
    <t>外税/内税/非課税</t>
    <rPh sb="0" eb="1">
      <t>ソト</t>
    </rPh>
    <rPh sb="1" eb="2">
      <t>ゼイ</t>
    </rPh>
    <rPh sb="3" eb="5">
      <t>ウチゼイ</t>
    </rPh>
    <rPh sb="6" eb="9">
      <t>ヒカゼイ</t>
    </rPh>
    <phoneticPr fontId="15"/>
  </si>
  <si>
    <t>○/×</t>
    <phoneticPr fontId="15"/>
  </si>
  <si>
    <t>生産品以外/生産品/構成品</t>
    <rPh sb="0" eb="3">
      <t>セイサンヒン</t>
    </rPh>
    <rPh sb="3" eb="5">
      <t>イガイ</t>
    </rPh>
    <rPh sb="6" eb="9">
      <t>セイサンヒン</t>
    </rPh>
    <rPh sb="10" eb="12">
      <t>コウセイ</t>
    </rPh>
    <rPh sb="12" eb="13">
      <t>ヒン</t>
    </rPh>
    <phoneticPr fontId="15"/>
  </si>
  <si>
    <t>数量/金額</t>
    <rPh sb="0" eb="2">
      <t>スウリョウ</t>
    </rPh>
    <rPh sb="3" eb="5">
      <t>キンガク</t>
    </rPh>
    <phoneticPr fontId="15"/>
  </si>
  <si>
    <t>する/しない</t>
    <phoneticPr fontId="15"/>
  </si>
  <si>
    <t>在庫がないと不可/在庫がなくても可</t>
    <rPh sb="0" eb="2">
      <t>ザイコ</t>
    </rPh>
    <rPh sb="6" eb="8">
      <t>フカ</t>
    </rPh>
    <rPh sb="9" eb="11">
      <t>ザイコ</t>
    </rPh>
    <rPh sb="16" eb="17">
      <t>カ</t>
    </rPh>
    <phoneticPr fontId="15"/>
  </si>
  <si>
    <t>指定なし/在庫締倉庫分類単位/倉庫単位</t>
    <rPh sb="0" eb="2">
      <t>シテイ</t>
    </rPh>
    <rPh sb="5" eb="7">
      <t>ザイコ</t>
    </rPh>
    <rPh sb="7" eb="8">
      <t>シメ</t>
    </rPh>
    <rPh sb="8" eb="10">
      <t>ソウコ</t>
    </rPh>
    <rPh sb="10" eb="12">
      <t>ブンルイ</t>
    </rPh>
    <rPh sb="12" eb="14">
      <t>タンイ</t>
    </rPh>
    <rPh sb="15" eb="17">
      <t>ソウコ</t>
    </rPh>
    <rPh sb="17" eb="19">
      <t>タンイ</t>
    </rPh>
    <phoneticPr fontId="15"/>
  </si>
  <si>
    <t>指定なし/ロット番号単位</t>
    <rPh sb="0" eb="2">
      <t>シテイ</t>
    </rPh>
    <rPh sb="8" eb="10">
      <t>バンゴウ</t>
    </rPh>
    <rPh sb="10" eb="12">
      <t>タンイ</t>
    </rPh>
    <phoneticPr fontId="15"/>
  </si>
  <si>
    <t>倉庫コード or 倉庫名</t>
    <rPh sb="0" eb="2">
      <t>ソウコ</t>
    </rPh>
    <rPh sb="9" eb="11">
      <t>ソウコ</t>
    </rPh>
    <rPh sb="11" eb="12">
      <t>メイ</t>
    </rPh>
    <phoneticPr fontId="15"/>
  </si>
  <si>
    <t>１円単位で表示/小数第１位で表示/小数第２位で表示/小数第３位で表示</t>
    <rPh sb="1" eb="2">
      <t>エン</t>
    </rPh>
    <rPh sb="2" eb="4">
      <t>タンイ</t>
    </rPh>
    <rPh sb="5" eb="7">
      <t>ヒョウジ</t>
    </rPh>
    <rPh sb="8" eb="10">
      <t>ショウスウ</t>
    </rPh>
    <rPh sb="10" eb="11">
      <t>ダイ</t>
    </rPh>
    <rPh sb="12" eb="13">
      <t>イ</t>
    </rPh>
    <rPh sb="14" eb="16">
      <t>ヒョウジ</t>
    </rPh>
    <phoneticPr fontId="15"/>
  </si>
  <si>
    <t>入力例</t>
    <rPh sb="0" eb="2">
      <t>ニュウリョク</t>
    </rPh>
    <rPh sb="2" eb="3">
      <t>レイ</t>
    </rPh>
    <phoneticPr fontId="15"/>
  </si>
  <si>
    <t>A001</t>
    <phoneticPr fontId="15"/>
  </si>
  <si>
    <t>商品A</t>
    <rPh sb="0" eb="2">
      <t>ショウヒン</t>
    </rPh>
    <phoneticPr fontId="15"/>
  </si>
  <si>
    <t>ｼｮｳﾋﾝｴｰ</t>
    <phoneticPr fontId="15"/>
  </si>
  <si>
    <t>外税</t>
    <rPh sb="0" eb="1">
      <t>ソト</t>
    </rPh>
    <rPh sb="1" eb="2">
      <t>ゼイ</t>
    </rPh>
    <phoneticPr fontId="15"/>
  </si>
  <si>
    <t>個</t>
    <rPh sb="0" eb="1">
      <t>コ</t>
    </rPh>
    <phoneticPr fontId="15"/>
  </si>
  <si>
    <t>○</t>
    <phoneticPr fontId="15"/>
  </si>
  <si>
    <t>×</t>
    <phoneticPr fontId="15"/>
  </si>
  <si>
    <t>生産品以外</t>
    <rPh sb="0" eb="3">
      <t>セイサンヒン</t>
    </rPh>
    <rPh sb="3" eb="5">
      <t>イガイ</t>
    </rPh>
    <phoneticPr fontId="15"/>
  </si>
  <si>
    <t>する</t>
    <phoneticPr fontId="15"/>
  </si>
  <si>
    <t>在庫がないと不可</t>
    <rPh sb="0" eb="2">
      <t>ザイコ</t>
    </rPh>
    <rPh sb="6" eb="8">
      <t>フカ</t>
    </rPh>
    <phoneticPr fontId="15"/>
  </si>
  <si>
    <t>倉庫単位</t>
    <rPh sb="0" eb="2">
      <t>ソウコ</t>
    </rPh>
    <rPh sb="2" eb="4">
      <t>タンイ</t>
    </rPh>
    <phoneticPr fontId="15"/>
  </si>
  <si>
    <t>ロット番号単位</t>
    <rPh sb="3" eb="5">
      <t>バンゴウ</t>
    </rPh>
    <rPh sb="5" eb="7">
      <t>タンイ</t>
    </rPh>
    <phoneticPr fontId="15"/>
  </si>
  <si>
    <t>しない</t>
    <phoneticPr fontId="15"/>
  </si>
  <si>
    <t>１円単位で表示</t>
    <rPh sb="1" eb="2">
      <t>エン</t>
    </rPh>
    <rPh sb="2" eb="4">
      <t>タンイ</t>
    </rPh>
    <rPh sb="5" eb="7">
      <t>ヒョウジ</t>
    </rPh>
    <phoneticPr fontId="15"/>
  </si>
  <si>
    <t>シート</t>
    <phoneticPr fontId="84"/>
  </si>
  <si>
    <t>新聞種類</t>
    <rPh sb="0" eb="2">
      <t>シンブン</t>
    </rPh>
    <rPh sb="2" eb="4">
      <t>シュルイ</t>
    </rPh>
    <phoneticPr fontId="84"/>
  </si>
  <si>
    <t>代理店原価率</t>
    <rPh sb="0" eb="3">
      <t>ダイリテン</t>
    </rPh>
    <rPh sb="3" eb="6">
      <t>ゲンカリツ</t>
    </rPh>
    <phoneticPr fontId="84"/>
  </si>
  <si>
    <t>直原価率</t>
    <rPh sb="0" eb="1">
      <t>チョク</t>
    </rPh>
    <rPh sb="1" eb="4">
      <t>ゲンカリツ</t>
    </rPh>
    <phoneticPr fontId="84"/>
  </si>
  <si>
    <t>②旧鳥取市</t>
  </si>
  <si>
    <t>日本海新聞（市内）</t>
    <rPh sb="6" eb="8">
      <t>シナイ</t>
    </rPh>
    <phoneticPr fontId="84"/>
  </si>
  <si>
    <t>山陰中央新報（市内）</t>
    <rPh sb="7" eb="9">
      <t>シナイ</t>
    </rPh>
    <phoneticPr fontId="84"/>
  </si>
  <si>
    <t>他紙（市内）新報除く</t>
    <rPh sb="0" eb="2">
      <t>タシ</t>
    </rPh>
    <rPh sb="3" eb="5">
      <t>シナイ</t>
    </rPh>
    <rPh sb="6" eb="8">
      <t>シンポウ</t>
    </rPh>
    <rPh sb="8" eb="9">
      <t>ノゾ</t>
    </rPh>
    <phoneticPr fontId="84"/>
  </si>
  <si>
    <t>日本海新聞（郡部）</t>
    <phoneticPr fontId="84"/>
  </si>
  <si>
    <t>山陰中央新報（郡部）</t>
    <phoneticPr fontId="84"/>
  </si>
  <si>
    <t>他紙（郡部）新報除く</t>
    <rPh sb="0" eb="2">
      <t>タシ</t>
    </rPh>
    <rPh sb="6" eb="8">
      <t>シンポウ</t>
    </rPh>
    <rPh sb="8" eb="9">
      <t>ノゾ</t>
    </rPh>
    <phoneticPr fontId="84"/>
  </si>
  <si>
    <t>日本海新聞（市内）</t>
    <phoneticPr fontId="84"/>
  </si>
  <si>
    <t>山陰中央新報（郡部）</t>
    <rPh sb="7" eb="9">
      <t>グンブ</t>
    </rPh>
    <phoneticPr fontId="84"/>
  </si>
  <si>
    <t>日本海新聞（岡山）</t>
    <rPh sb="6" eb="8">
      <t>オカヤマ</t>
    </rPh>
    <phoneticPr fontId="84"/>
  </si>
  <si>
    <t>⑥西伯・日野郡</t>
    <phoneticPr fontId="84"/>
  </si>
  <si>
    <t>⑧兵庫</t>
    <phoneticPr fontId="84"/>
  </si>
  <si>
    <t>新聞種類</t>
    <rPh sb="0" eb="2">
      <t>シンブン</t>
    </rPh>
    <rPh sb="2" eb="4">
      <t>シュルイ</t>
    </rPh>
    <phoneticPr fontId="15"/>
  </si>
  <si>
    <t>米子広告センター</t>
    <phoneticPr fontId="15"/>
  </si>
  <si>
    <t>代理店原価率</t>
    <rPh sb="3" eb="5">
      <t>ゲンカ</t>
    </rPh>
    <rPh sb="5" eb="6">
      <t>リツ</t>
    </rPh>
    <phoneticPr fontId="15"/>
  </si>
  <si>
    <t>直原価率</t>
    <rPh sb="0" eb="1">
      <t>チョク</t>
    </rPh>
    <rPh sb="1" eb="3">
      <t>ゲンカ</t>
    </rPh>
    <rPh sb="3" eb="4">
      <t>リツ</t>
    </rPh>
    <phoneticPr fontId="15"/>
  </si>
  <si>
    <t>追加時はこの行の上に挿入してください。</t>
    <rPh sb="0" eb="2">
      <t>ツイカ</t>
    </rPh>
    <rPh sb="2" eb="3">
      <t>ジ</t>
    </rPh>
    <rPh sb="6" eb="7">
      <t>ギョウ</t>
    </rPh>
    <rPh sb="8" eb="9">
      <t>ウエ</t>
    </rPh>
    <rPh sb="10" eb="12">
      <t>ソウニュウ</t>
    </rPh>
    <phoneticPr fontId="15"/>
  </si>
  <si>
    <t>追加時はこの行の上に挿入してください。</t>
    <phoneticPr fontId="15"/>
  </si>
  <si>
    <t>米子広告センター</t>
    <rPh sb="0" eb="2">
      <t>ヨナゴ</t>
    </rPh>
    <rPh sb="2" eb="4">
      <t>コウコク</t>
    </rPh>
    <phoneticPr fontId="84"/>
  </si>
  <si>
    <t>日本海新聞（兵庫/浜坂・温泉）</t>
    <rPh sb="6" eb="8">
      <t>ヒョウゴ</t>
    </rPh>
    <rPh sb="9" eb="11">
      <t>ハマサカ</t>
    </rPh>
    <rPh sb="12" eb="14">
      <t>オンセン</t>
    </rPh>
    <phoneticPr fontId="84"/>
  </si>
  <si>
    <t>他紙（兵庫/浜坂・温泉）</t>
    <rPh sb="0" eb="2">
      <t>タシ</t>
    </rPh>
    <rPh sb="3" eb="5">
      <t>ヒョウゴ</t>
    </rPh>
    <rPh sb="6" eb="8">
      <t>ハマサカ</t>
    </rPh>
    <rPh sb="9" eb="11">
      <t>オンセン</t>
    </rPh>
    <phoneticPr fontId="84"/>
  </si>
  <si>
    <t>日本海新聞（兵庫/美方・村岡）</t>
    <rPh sb="6" eb="8">
      <t>ヒョウゴ</t>
    </rPh>
    <rPh sb="9" eb="11">
      <t>ミカタ</t>
    </rPh>
    <rPh sb="12" eb="14">
      <t>ムラオカ</t>
    </rPh>
    <phoneticPr fontId="84"/>
  </si>
  <si>
    <t>日本海新聞（兵庫/香住）</t>
    <rPh sb="6" eb="8">
      <t>ヒョウゴ</t>
    </rPh>
    <rPh sb="9" eb="11">
      <t>カスミ</t>
    </rPh>
    <phoneticPr fontId="84"/>
  </si>
  <si>
    <t>日本海新聞（兵庫/佐津・よろい）</t>
    <rPh sb="6" eb="8">
      <t>ヒョウゴ</t>
    </rPh>
    <rPh sb="9" eb="11">
      <t>サツ</t>
    </rPh>
    <phoneticPr fontId="84"/>
  </si>
  <si>
    <t>他紙（兵庫/佐津・よろい）</t>
    <rPh sb="0" eb="2">
      <t>タシ</t>
    </rPh>
    <rPh sb="3" eb="5">
      <t>ヒョウゴ</t>
    </rPh>
    <rPh sb="6" eb="8">
      <t>サツ</t>
    </rPh>
    <phoneticPr fontId="84"/>
  </si>
  <si>
    <t>他紙（兵庫/美方・村岡）</t>
    <rPh sb="0" eb="2">
      <t>タシ</t>
    </rPh>
    <rPh sb="3" eb="5">
      <t>ヒョウゴ</t>
    </rPh>
    <phoneticPr fontId="84"/>
  </si>
  <si>
    <t>他紙（兵庫/香住）</t>
    <rPh sb="0" eb="2">
      <t>タシ</t>
    </rPh>
    <rPh sb="3" eb="5">
      <t>ヒョウゴ</t>
    </rPh>
    <rPh sb="6" eb="8">
      <t>カスミ</t>
    </rPh>
    <phoneticPr fontId="84"/>
  </si>
  <si>
    <t>日本海新聞（島根１）</t>
  </si>
  <si>
    <t>日本海新聞（島根１）</t>
    <phoneticPr fontId="15"/>
  </si>
  <si>
    <t>日本海新聞（島根２）/B4（折り無し）</t>
    <phoneticPr fontId="15"/>
  </si>
  <si>
    <t>日本海新聞（島根２）/B3（2つ折り）</t>
    <phoneticPr fontId="15"/>
  </si>
  <si>
    <t>日本海新聞（島根２）/B2（4つ折り）</t>
    <phoneticPr fontId="15"/>
  </si>
  <si>
    <t>日本海新聞（島根２）/B1（8折り）</t>
    <phoneticPr fontId="15"/>
  </si>
  <si>
    <t>日本海新聞（島根２）/ユーキャン（題字）</t>
    <phoneticPr fontId="15"/>
  </si>
  <si>
    <t>②旧鳥取市</t>
    <phoneticPr fontId="15"/>
  </si>
  <si>
    <t>部</t>
    <rPh sb="0" eb="1">
      <t>ブ</t>
    </rPh>
    <phoneticPr fontId="15"/>
  </si>
  <si>
    <t>原価
商品</t>
    <rPh sb="0" eb="2">
      <t>ゲンカ</t>
    </rPh>
    <rPh sb="3" eb="5">
      <t>ショウヒン</t>
    </rPh>
    <phoneticPr fontId="15"/>
  </si>
  <si>
    <t>原価商品名</t>
    <rPh sb="0" eb="2">
      <t>ゲンカ</t>
    </rPh>
    <rPh sb="2" eb="4">
      <t>ショウヒン</t>
    </rPh>
    <rPh sb="4" eb="5">
      <t>メイ</t>
    </rPh>
    <phoneticPr fontId="15"/>
  </si>
  <si>
    <t>橋北</t>
    <phoneticPr fontId="15"/>
  </si>
  <si>
    <t>D29</t>
    <phoneticPr fontId="15"/>
  </si>
  <si>
    <t>G29</t>
    <phoneticPr fontId="15"/>
  </si>
  <si>
    <t>J29</t>
    <phoneticPr fontId="15"/>
  </si>
  <si>
    <t>M29</t>
    <phoneticPr fontId="15"/>
  </si>
  <si>
    <t>P29</t>
    <phoneticPr fontId="15"/>
  </si>
  <si>
    <t>S29</t>
    <phoneticPr fontId="15"/>
  </si>
  <si>
    <t>V29</t>
    <phoneticPr fontId="15"/>
  </si>
  <si>
    <t>D27</t>
    <phoneticPr fontId="15"/>
  </si>
  <si>
    <t>D28</t>
    <phoneticPr fontId="15"/>
  </si>
  <si>
    <t>営業所</t>
    <rPh sb="0" eb="3">
      <t>エイギョウショ</t>
    </rPh>
    <phoneticPr fontId="15"/>
  </si>
  <si>
    <t>トップ折込センター</t>
    <phoneticPr fontId="15"/>
  </si>
  <si>
    <t>④中部・トップ折込センター</t>
  </si>
  <si>
    <t>④中部・トップ折込センター</t>
    <phoneticPr fontId="15"/>
  </si>
  <si>
    <t>トップ折込センター</t>
    <rPh sb="3" eb="5">
      <t>オリコミ</t>
    </rPh>
    <phoneticPr fontId="84"/>
  </si>
  <si>
    <t>社内入力欄（営業所）</t>
    <rPh sb="0" eb="2">
      <t>シャナイ</t>
    </rPh>
    <rPh sb="2" eb="4">
      <t>ニュウリョク</t>
    </rPh>
    <rPh sb="4" eb="5">
      <t>ラン</t>
    </rPh>
    <rPh sb="6" eb="9">
      <t>エイギョウショ</t>
    </rPh>
    <phoneticPr fontId="15"/>
  </si>
  <si>
    <t>⑨-大阪</t>
    <rPh sb="2" eb="4">
      <t>オオサカ</t>
    </rPh>
    <phoneticPr fontId="15"/>
  </si>
  <si>
    <t>大阪府</t>
    <rPh sb="0" eb="2">
      <t>オオサカ</t>
    </rPh>
    <rPh sb="2" eb="3">
      <t>フ</t>
    </rPh>
    <phoneticPr fontId="15"/>
  </si>
  <si>
    <t>大阪</t>
    <rPh sb="0" eb="2">
      <t>オオサカ</t>
    </rPh>
    <phoneticPr fontId="15"/>
  </si>
  <si>
    <t>大阪販売店</t>
    <rPh sb="0" eb="2">
      <t>オオサカ</t>
    </rPh>
    <rPh sb="2" eb="5">
      <t>ハンバイテン</t>
    </rPh>
    <phoneticPr fontId="15"/>
  </si>
  <si>
    <t>旭区専売所</t>
  </si>
  <si>
    <t>守口市専売所</t>
  </si>
  <si>
    <t>大正橋販売所</t>
  </si>
  <si>
    <t>南恩加島販売所</t>
  </si>
  <si>
    <t>福島販売所</t>
  </si>
  <si>
    <t>福島北販売所</t>
  </si>
  <si>
    <t>野田販売所</t>
  </si>
  <si>
    <t>此花販売所</t>
  </si>
  <si>
    <t>生野北販売所</t>
  </si>
  <si>
    <t>巽販売所</t>
  </si>
  <si>
    <t>田島販売所</t>
  </si>
  <si>
    <t>四ツ橋販売所</t>
  </si>
  <si>
    <t>九条販売所</t>
  </si>
  <si>
    <t>京町堀販売所</t>
  </si>
  <si>
    <t>箕面北販売所</t>
  </si>
  <si>
    <t>箕面東販売所</t>
  </si>
  <si>
    <t>北豊中販売所</t>
  </si>
  <si>
    <t>豊中販売所</t>
  </si>
  <si>
    <t>東豊中販売所</t>
  </si>
  <si>
    <t>千里中央販売所</t>
  </si>
  <si>
    <t>新千里南町販売所</t>
  </si>
  <si>
    <t>石橋販売所</t>
  </si>
  <si>
    <t>矢田・瓜破販売所</t>
  </si>
  <si>
    <t>大毎舎</t>
  </si>
  <si>
    <t>針中野販売所</t>
  </si>
  <si>
    <t>今川販売所</t>
  </si>
  <si>
    <t>毎日　苅田販売所</t>
  </si>
  <si>
    <t>育和販売所</t>
  </si>
  <si>
    <t>毎日　布施深江販売所</t>
  </si>
  <si>
    <t>みなと販売所</t>
  </si>
  <si>
    <t>八戸の里販売所</t>
  </si>
  <si>
    <t>毎日　徳庵販売所</t>
  </si>
  <si>
    <t>長瀬販売所</t>
  </si>
  <si>
    <t>小阪販売所</t>
  </si>
  <si>
    <t>天王寺販売所</t>
  </si>
  <si>
    <t>谷町販売所</t>
  </si>
  <si>
    <t>東成販売所</t>
  </si>
  <si>
    <t>阿倍野販売所</t>
  </si>
  <si>
    <t>北畠販売所</t>
  </si>
  <si>
    <t>毎日　住吉販売所</t>
  </si>
  <si>
    <t>毎日　長居販売所</t>
  </si>
  <si>
    <t>高麗橋販売所</t>
  </si>
  <si>
    <t>松屋町販売所</t>
  </si>
  <si>
    <t>心斎橋販売所</t>
  </si>
  <si>
    <t>難波販売所</t>
  </si>
  <si>
    <t>淀川西販売所</t>
  </si>
  <si>
    <t>三国販売所</t>
  </si>
  <si>
    <t>十三西販売所</t>
  </si>
  <si>
    <t>十三東販売所</t>
  </si>
  <si>
    <t>西淀川販売所</t>
  </si>
  <si>
    <t>桃谷寺田町販売所</t>
  </si>
  <si>
    <t>梅田販売所</t>
  </si>
  <si>
    <t>天六販売所</t>
  </si>
  <si>
    <t>天満販売所</t>
  </si>
  <si>
    <t>中津販売所</t>
  </si>
  <si>
    <t>加賀屋販売所</t>
  </si>
  <si>
    <t>毎日　我孫子道販売所</t>
  </si>
  <si>
    <t>南港ポートタウン販売所</t>
  </si>
  <si>
    <t>南港販売所</t>
  </si>
  <si>
    <t>毎日　野江関目販売所</t>
  </si>
  <si>
    <t>毎日　今福鶴見販売所</t>
  </si>
  <si>
    <t>毎日　放出販売所</t>
  </si>
  <si>
    <t>毎日　中茶屋販売所</t>
  </si>
  <si>
    <t>毎日　諸福大宮販売所</t>
  </si>
  <si>
    <t>桜川販売所</t>
  </si>
  <si>
    <t>恵美須町販売所</t>
  </si>
  <si>
    <t>西成中央販売所</t>
  </si>
  <si>
    <t>梅通販売所</t>
  </si>
  <si>
    <t>天下茶屋販売所</t>
  </si>
  <si>
    <t>淡路販売所</t>
  </si>
  <si>
    <t>瑞光販売所</t>
  </si>
  <si>
    <t>大道豊里販売所</t>
  </si>
  <si>
    <t>毎日　都島販売所</t>
  </si>
  <si>
    <t>毎日　高倉販売所</t>
  </si>
  <si>
    <t>毎日　あびこ販売所</t>
  </si>
  <si>
    <t>毎日　杉本町販売所</t>
  </si>
  <si>
    <t>平野販売所</t>
  </si>
  <si>
    <t>長吉販売所</t>
  </si>
  <si>
    <t>加美販売所</t>
  </si>
  <si>
    <t>西平野販売所</t>
  </si>
  <si>
    <t>喜連販売所</t>
  </si>
  <si>
    <t>木の本販売所</t>
  </si>
  <si>
    <t>毎日　城東販売所</t>
  </si>
  <si>
    <t>大阪</t>
    <rPh sb="0" eb="2">
      <t>オオサカ</t>
    </rPh>
    <phoneticPr fontId="15"/>
  </si>
  <si>
    <t>O</t>
    <phoneticPr fontId="15"/>
  </si>
  <si>
    <t>⑨大阪</t>
    <rPh sb="1" eb="3">
      <t>オオサカ</t>
    </rPh>
    <phoneticPr fontId="15"/>
  </si>
  <si>
    <t>Osk</t>
    <phoneticPr fontId="15"/>
  </si>
  <si>
    <t>⑨大阪</t>
    <rPh sb="1" eb="3">
      <t>オオサカ</t>
    </rPh>
    <phoneticPr fontId="84"/>
  </si>
  <si>
    <t>日本海新聞（大阪）</t>
    <rPh sb="6" eb="8">
      <t>オオサカ</t>
    </rPh>
    <phoneticPr fontId="84"/>
  </si>
  <si>
    <t>D30</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</si>
  <si>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</si>
  <si>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</si>
  <si>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</si>
  <si>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</si>
  <si>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</si>
  <si>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</si>
  <si>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</si>
  <si>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</si>
  <si>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</si>
  <si>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</si>
  <si>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</si>
  <si>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</si>
  <si>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</si>
  <si>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</si>
  <si>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</si>
  <si>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</si>
  <si>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</si>
  <si>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</si>
  <si>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</si>
  <si>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</si>
  <si>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</si>
  <si>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</si>
  <si>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</si>
  <si>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</si>
  <si>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</si>
  <si>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</si>
  <si>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</si>
  <si>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</si>
  <si>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</si>
  <si>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</si>
  <si>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</si>
  <si>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</si>
  <si>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</si>
  <si>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</si>
  <si>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</si>
  <si>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</si>
  <si>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</si>
  <si>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</si>
  <si>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</si>
  <si>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</si>
  <si>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</si>
  <si>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</si>
  <si>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</si>
  <si>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</si>
  <si>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</si>
  <si>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</si>
  <si>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</si>
  <si>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</si>
  <si>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</si>
  <si>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</si>
  <si>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</si>
  <si>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</si>
  <si>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</si>
  <si>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</si>
  <si>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</si>
  <si>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</si>
  <si>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AS</t>
    <phoneticPr fontId="15"/>
  </si>
  <si>
    <t>B5（折り無し）</t>
    <phoneticPr fontId="15"/>
  </si>
  <si>
    <t>B2＋B3（8つ折り）</t>
    <phoneticPr fontId="15"/>
  </si>
  <si>
    <t>大阪</t>
    <rPh sb="0" eb="2">
      <t>オオサカ</t>
    </rPh>
    <phoneticPr fontId="84"/>
  </si>
  <si>
    <t>B2（4つ折り）</t>
    <phoneticPr fontId="15"/>
  </si>
  <si>
    <t>B3（2つ折り）</t>
    <phoneticPr fontId="15"/>
  </si>
  <si>
    <t>B4（折り無し）</t>
    <phoneticPr fontId="15"/>
  </si>
  <si>
    <t>単価率</t>
    <rPh sb="0" eb="2">
      <t>タンカ</t>
    </rPh>
    <rPh sb="2" eb="3">
      <t>リツ</t>
    </rPh>
    <phoneticPr fontId="84"/>
  </si>
  <si>
    <t>単価率</t>
    <rPh sb="0" eb="2">
      <t>タンカ</t>
    </rPh>
    <rPh sb="2" eb="3">
      <t>リツ</t>
    </rPh>
    <phoneticPr fontId="15"/>
  </si>
  <si>
    <t>定価</t>
    <rPh sb="0" eb="2">
      <t>テイカ</t>
    </rPh>
    <phoneticPr fontId="15"/>
  </si>
  <si>
    <t>サイズ表記コード</t>
    <rPh sb="3" eb="5">
      <t>ヒョウキ</t>
    </rPh>
    <phoneticPr fontId="15"/>
  </si>
  <si>
    <t>＜ホームページ添付用設定＞</t>
    <rPh sb="7" eb="9">
      <t>テンプ</t>
    </rPh>
    <rPh sb="9" eb="10">
      <t>ヨウ</t>
    </rPh>
    <rPh sb="10" eb="12">
      <t>セッテイ</t>
    </rPh>
    <phoneticPr fontId="15"/>
  </si>
  <si>
    <t>★設定シートを非表示にする。</t>
    <rPh sb="1" eb="3">
      <t>セッテイ</t>
    </rPh>
    <rPh sb="7" eb="10">
      <t>ヒヒョウジ</t>
    </rPh>
    <phoneticPr fontId="15"/>
  </si>
  <si>
    <t>校閲タブのブックの保護をクリックし、パスワードを入力してOKをクリックする。</t>
    <rPh sb="0" eb="2">
      <t>コウエツ</t>
    </rPh>
    <rPh sb="9" eb="11">
      <t>ホゴ</t>
    </rPh>
    <rPh sb="24" eb="26">
      <t>ニュウリョク</t>
    </rPh>
    <phoneticPr fontId="15"/>
  </si>
  <si>
    <t>＜全シート保護解除＞</t>
    <rPh sb="1" eb="2">
      <t>ゼン</t>
    </rPh>
    <rPh sb="5" eb="7">
      <t>ホゴ</t>
    </rPh>
    <rPh sb="7" eb="9">
      <t>カイジョ</t>
    </rPh>
    <phoneticPr fontId="15"/>
  </si>
  <si>
    <t>★設定シートを再表示する。</t>
    <rPh sb="1" eb="3">
      <t>セッテイ</t>
    </rPh>
    <rPh sb="7" eb="8">
      <t>サイ</t>
    </rPh>
    <rPh sb="8" eb="10">
      <t>ヒョウジ</t>
    </rPh>
    <phoneticPr fontId="15"/>
  </si>
  <si>
    <t>原価単価の
四捨五入方法</t>
    <rPh sb="0" eb="2">
      <t>ゲンカ</t>
    </rPh>
    <rPh sb="2" eb="4">
      <t>タンカ</t>
    </rPh>
    <rPh sb="6" eb="10">
      <t>シシャゴニュウ</t>
    </rPh>
    <rPh sb="10" eb="12">
      <t>ホウホウ</t>
    </rPh>
    <phoneticPr fontId="84"/>
  </si>
  <si>
    <t>切り捨て</t>
  </si>
  <si>
    <t>消費税率</t>
    <rPh sb="0" eb="3">
      <t>ショウヒゼイ</t>
    </rPh>
    <rPh sb="3" eb="4">
      <t>リツ</t>
    </rPh>
    <phoneticPr fontId="84"/>
  </si>
  <si>
    <t>標準税率</t>
    <rPh sb="0" eb="2">
      <t>ヒョウジュン</t>
    </rPh>
    <rPh sb="2" eb="4">
      <t>ゼイリツ</t>
    </rPh>
    <phoneticPr fontId="84"/>
  </si>
  <si>
    <t>外税</t>
    <rPh sb="0" eb="2">
      <t>ソトゼイ</t>
    </rPh>
    <phoneticPr fontId="84"/>
  </si>
  <si>
    <t>サイズコード</t>
    <phoneticPr fontId="84"/>
  </si>
  <si>
    <t>サイズ名</t>
    <rPh sb="3" eb="4">
      <t>メイ</t>
    </rPh>
    <phoneticPr fontId="84"/>
  </si>
  <si>
    <t>フリガナ</t>
    <phoneticPr fontId="15"/>
  </si>
  <si>
    <t>名称</t>
    <rPh sb="0" eb="2">
      <t>メイショウ</t>
    </rPh>
    <phoneticPr fontId="15"/>
  </si>
  <si>
    <t>その他のメーカー</t>
    <rPh sb="2" eb="3">
      <t>タ</t>
    </rPh>
    <phoneticPr fontId="84"/>
  </si>
  <si>
    <t>B5（折り無し）</t>
  </si>
  <si>
    <t>連合タブ6P</t>
    <rPh sb="0" eb="2">
      <t>レンゴウ</t>
    </rPh>
    <phoneticPr fontId="84"/>
  </si>
  <si>
    <t>連合タブ8P</t>
    <rPh sb="0" eb="2">
      <t>レンゴウ</t>
    </rPh>
    <phoneticPr fontId="84"/>
  </si>
  <si>
    <t>連合タブ12P</t>
    <rPh sb="0" eb="2">
      <t>レンゴウ</t>
    </rPh>
    <phoneticPr fontId="84"/>
  </si>
  <si>
    <t>政治タブ6P</t>
    <rPh sb="0" eb="2">
      <t>セイジ</t>
    </rPh>
    <phoneticPr fontId="84"/>
  </si>
  <si>
    <t>政治タブ8P</t>
    <rPh sb="0" eb="2">
      <t>セイジ</t>
    </rPh>
    <phoneticPr fontId="84"/>
  </si>
  <si>
    <t>政治タブ12P</t>
    <rPh sb="0" eb="2">
      <t>セイジ</t>
    </rPh>
    <phoneticPr fontId="84"/>
  </si>
  <si>
    <t>タブ6P</t>
  </si>
  <si>
    <t>タブ8P</t>
  </si>
  <si>
    <t>タブ10P</t>
  </si>
  <si>
    <t>タブ12P</t>
  </si>
  <si>
    <t>タブ14P</t>
  </si>
  <si>
    <t>タブ16P</t>
  </si>
  <si>
    <t>タブ18P</t>
  </si>
  <si>
    <t>タブ20P</t>
  </si>
  <si>
    <t>タブ40P</t>
  </si>
  <si>
    <t>B2＋B3（8つ折り）</t>
  </si>
  <si>
    <t>タブ8Pホチキス止め</t>
    <rPh sb="8" eb="9">
      <t>ド</t>
    </rPh>
    <phoneticPr fontId="84"/>
  </si>
  <si>
    <t>タブ16Pホチキス止め</t>
    <rPh sb="9" eb="10">
      <t>ド</t>
    </rPh>
    <phoneticPr fontId="84"/>
  </si>
  <si>
    <t>タブ10P</t>
    <phoneticPr fontId="15"/>
  </si>
  <si>
    <t>タブ12P</t>
    <phoneticPr fontId="15"/>
  </si>
  <si>
    <t>タブ14P</t>
    <phoneticPr fontId="15"/>
  </si>
  <si>
    <t>タブ16P</t>
    <phoneticPr fontId="15"/>
  </si>
  <si>
    <t>タブ16Pホチキス止め</t>
    <phoneticPr fontId="15"/>
  </si>
  <si>
    <t>タブ18P</t>
    <phoneticPr fontId="15"/>
  </si>
  <si>
    <t>タブ20P</t>
    <phoneticPr fontId="15"/>
  </si>
  <si>
    <t>タブ40P</t>
    <phoneticPr fontId="15"/>
  </si>
  <si>
    <t>タブ6P</t>
    <phoneticPr fontId="15"/>
  </si>
  <si>
    <t>タブ8P</t>
    <phoneticPr fontId="15"/>
  </si>
  <si>
    <t>タブ8Pホチキス止め</t>
    <phoneticPr fontId="15"/>
  </si>
  <si>
    <t>政治タブ12P</t>
    <phoneticPr fontId="15"/>
  </si>
  <si>
    <t>政治タブ6P</t>
    <phoneticPr fontId="15"/>
  </si>
  <si>
    <t>政治タブ8P</t>
    <phoneticPr fontId="15"/>
  </si>
  <si>
    <t>連合タブ12P</t>
    <phoneticPr fontId="15"/>
  </si>
  <si>
    <t>連合タブ6P</t>
    <phoneticPr fontId="15"/>
  </si>
  <si>
    <t>連合タブ8P</t>
    <phoneticPr fontId="15"/>
  </si>
  <si>
    <t>流通&gt;スーパー</t>
  </si>
  <si>
    <t>仕入先コード</t>
    <rPh sb="0" eb="3">
      <t>シイレサキ</t>
    </rPh>
    <phoneticPr fontId="84"/>
  </si>
  <si>
    <t>仕入先名１</t>
    <rPh sb="0" eb="2">
      <t>シイレ</t>
    </rPh>
    <rPh sb="2" eb="3">
      <t>サキ</t>
    </rPh>
    <rPh sb="3" eb="4">
      <t>メイ</t>
    </rPh>
    <phoneticPr fontId="84"/>
  </si>
  <si>
    <t>日本海新聞鳥取西専売所</t>
  </si>
  <si>
    <t>日本海新聞久松専売所</t>
  </si>
  <si>
    <t>日本海新聞鳥取城南専売所</t>
  </si>
  <si>
    <t>日本海新聞鳥取北専売所</t>
  </si>
  <si>
    <t>日本海新聞鳥取城北専売所</t>
  </si>
  <si>
    <t>日本海新聞鳥取城西専売所</t>
  </si>
  <si>
    <t>日本海新聞鳥取東専売所</t>
  </si>
  <si>
    <t>日本海新聞明徳専売所</t>
  </si>
  <si>
    <t>日本海新聞河原販売所（倉田）</t>
  </si>
  <si>
    <t>日本海新聞鳥取南専売所</t>
  </si>
  <si>
    <t>日本海新聞美保専売所</t>
  </si>
  <si>
    <t>日本海新聞賀露専売所</t>
  </si>
  <si>
    <t>日本海新聞湖山西専売所</t>
  </si>
  <si>
    <t>日本海新聞湖山東専売所</t>
  </si>
  <si>
    <t>日本海新聞末恒専売所</t>
  </si>
  <si>
    <t>日本海新聞湖南専売所</t>
  </si>
  <si>
    <t>日本海新聞高草販売所</t>
  </si>
  <si>
    <t>日本海新聞美和専売所</t>
  </si>
  <si>
    <t>日本海新聞神戸販売所</t>
  </si>
  <si>
    <t>読売センター浜村（宝木）</t>
  </si>
  <si>
    <t>日本海新聞宝木販売所　（高原新聞舗）</t>
    <phoneticPr fontId="84"/>
  </si>
  <si>
    <t>日本海新聞浜村販売所</t>
  </si>
  <si>
    <t>読売センター浜村（浜村）</t>
  </si>
  <si>
    <t>日本海新聞鹿野販売所</t>
  </si>
  <si>
    <t>読売センター浜村（鹿野）</t>
  </si>
  <si>
    <t>読売センター青谷</t>
  </si>
  <si>
    <t>日本海新聞青谷専売所</t>
  </si>
  <si>
    <t>読売センター鳥取</t>
  </si>
  <si>
    <t>読売センター湖山</t>
  </si>
  <si>
    <t>読売センター鳥取（鳥取南）</t>
  </si>
  <si>
    <t>読売センター湖山（末恒）</t>
  </si>
  <si>
    <t>鳥取朝日販売</t>
  </si>
  <si>
    <t>朝日新聞鳥取東販売所（湖山）</t>
  </si>
  <si>
    <t>朝日新聞鳥取東販売所</t>
  </si>
  <si>
    <t>毎日新聞鳥取専売所</t>
  </si>
  <si>
    <t>毎日新聞鳥取南販売所</t>
  </si>
  <si>
    <t>㈱中央新報サービス鳥取営業所</t>
  </si>
  <si>
    <t>㈱中央新報サービス鳥取営業所（湖山</t>
  </si>
  <si>
    <t>日本海新聞福部販売所　（嶋崎新聞舗）</t>
    <phoneticPr fontId="84"/>
  </si>
  <si>
    <t>日本海新聞岩美北販売所</t>
  </si>
  <si>
    <t>読売センター岩美</t>
  </si>
  <si>
    <t>日本海新聞岩美南販売所</t>
  </si>
  <si>
    <t>日本海折込センター  倉吉支部</t>
  </si>
  <si>
    <t>読売センター郡家（郡家）</t>
  </si>
  <si>
    <t>日本海新聞郡家販売所（朝日）</t>
  </si>
  <si>
    <t>日本海新聞郡家販売所</t>
  </si>
  <si>
    <t>日本海新聞船岡販売所</t>
  </si>
  <si>
    <t>読売センター郡家（船岡）</t>
  </si>
  <si>
    <t>読売センター郡家（丹比）</t>
  </si>
  <si>
    <t>日本海新聞丹比販売所</t>
  </si>
  <si>
    <t>日本海新聞若桜販売所</t>
  </si>
  <si>
    <t>日本海新聞若桜販売所（朝日）</t>
  </si>
  <si>
    <t>読売センター若桜</t>
  </si>
  <si>
    <t>日本海新聞河原販売所</t>
  </si>
  <si>
    <t>読売センター河原（河原）</t>
  </si>
  <si>
    <t>日本海新聞八上販売所</t>
  </si>
  <si>
    <t>日本海新聞用瀬販売所　（石井新聞舗）</t>
    <phoneticPr fontId="84"/>
  </si>
  <si>
    <t>読売センター河原（用瀬）</t>
  </si>
  <si>
    <t>読売センター河原（佐治）</t>
  </si>
  <si>
    <t>日本海新聞佐治販売所</t>
  </si>
  <si>
    <t>日本海新聞智頭専売所</t>
  </si>
  <si>
    <t>朝日新聞智頭販売所（朝日）</t>
  </si>
  <si>
    <t>朝日新聞智頭販売所（読売）</t>
  </si>
  <si>
    <t>日本海新聞鳥取城東専売所</t>
  </si>
  <si>
    <t>日本海新聞国府専売所</t>
  </si>
  <si>
    <t>日本海新聞津ノ井専売所</t>
  </si>
  <si>
    <t>日本海新聞浜坂専売所</t>
  </si>
  <si>
    <t>読売ｾﾝﾀｰ浜坂</t>
  </si>
  <si>
    <t>神戸新聞浜坂販売所</t>
  </si>
  <si>
    <t>日本海新聞温泉専売所</t>
  </si>
  <si>
    <t>読売センター湯村</t>
  </si>
  <si>
    <t>神戸新聞湯村販売所</t>
  </si>
  <si>
    <t>日本海新聞　香住専売所</t>
  </si>
  <si>
    <t>読売センター香住</t>
  </si>
  <si>
    <t>朝日新聞香住専売所</t>
  </si>
  <si>
    <t>毎日新聞香住販売所</t>
  </si>
  <si>
    <t>神戸新聞香住販売所</t>
  </si>
  <si>
    <t>神戸新聞佐津販売所</t>
  </si>
  <si>
    <t>よろい合配　（読売センター香住）</t>
  </si>
  <si>
    <t>神戸新聞佐津販売所（読売）</t>
  </si>
  <si>
    <t>読売センター射添</t>
  </si>
  <si>
    <t>神戸新聞村岡販売所</t>
  </si>
  <si>
    <t>神戸新聞射添販売所</t>
  </si>
  <si>
    <t>読売センター村岡</t>
  </si>
  <si>
    <t>日本海新聞　村岡専売所</t>
  </si>
  <si>
    <t>日本海新聞　美方専売所</t>
  </si>
  <si>
    <t>神戸新聞小代販売所</t>
  </si>
  <si>
    <t>㈱ヴァントランスポート豊岡折込センター</t>
  </si>
  <si>
    <t>日本海折込センター  米子支部</t>
  </si>
  <si>
    <t>山陽メディアネット津山営業所</t>
  </si>
  <si>
    <t>山陰中央新報セールスセンター</t>
  </si>
  <si>
    <t>朝日オリコミ西部㈱　山口県本部</t>
  </si>
  <si>
    <t>㈱毎日メディアサービス(福江）</t>
  </si>
  <si>
    <t>㈱中国新聞サービスセンター</t>
  </si>
  <si>
    <t>㈱毎日メディアサービス（五島）</t>
  </si>
  <si>
    <t>㈱神戸新聞総合折込</t>
  </si>
  <si>
    <t>日本海新聞米子中央専売所</t>
  </si>
  <si>
    <t>日本海新聞米子東専売所</t>
  </si>
  <si>
    <t>日本海新聞米子南専売所</t>
  </si>
  <si>
    <t>日本海新聞河崎専売所</t>
  </si>
  <si>
    <t>日本海新聞彦名専売所</t>
  </si>
  <si>
    <t>日本海新聞米子城南専売所</t>
  </si>
  <si>
    <t>日本海新聞福原専売所</t>
  </si>
  <si>
    <t>日本海新聞錦海専売所</t>
  </si>
  <si>
    <t>日本海新聞旗ヶ崎専売所</t>
  </si>
  <si>
    <t>日本海新聞城東・成実専売所</t>
  </si>
  <si>
    <t>日本海新聞両三柳専売所</t>
  </si>
  <si>
    <t>日本海新聞崎津専売所</t>
  </si>
  <si>
    <t>日本海新聞弓ヶ浜専売所</t>
  </si>
  <si>
    <t>日本海新聞春日販売所</t>
  </si>
  <si>
    <t>日本海新聞大高販売所</t>
  </si>
  <si>
    <t>日本海新聞皆生専売所</t>
  </si>
  <si>
    <t>日本海新聞淀江販売所</t>
  </si>
  <si>
    <t>日本海新聞境港専売所</t>
  </si>
  <si>
    <t>日本海新聞上道専売所</t>
  </si>
  <si>
    <t>日本海新聞余子専売所</t>
  </si>
  <si>
    <t>日本海新聞外江専売所</t>
  </si>
  <si>
    <t>日本海新聞中浜専売所</t>
  </si>
  <si>
    <t>日本海新聞渡専売所</t>
  </si>
  <si>
    <t>日本海新聞中山販売所</t>
  </si>
  <si>
    <t>日本海新聞名和販売所</t>
  </si>
  <si>
    <t>矢吹新聞舗</t>
  </si>
  <si>
    <t>日本海新聞岸本販売所</t>
  </si>
  <si>
    <t>日本海新聞法勝寺専売所</t>
  </si>
  <si>
    <t>日本海新聞手間販売所</t>
  </si>
  <si>
    <t>日本海新聞溝口販売所</t>
  </si>
  <si>
    <t>日本海新聞二部販売所</t>
  </si>
  <si>
    <t>日本海新聞江府販売所</t>
  </si>
  <si>
    <t>日本海新聞大山販売所</t>
    <rPh sb="0" eb="5">
      <t>ニホンカイシンブン</t>
    </rPh>
    <phoneticPr fontId="84"/>
  </si>
  <si>
    <t>日本海新聞矢戸販売所</t>
  </si>
  <si>
    <t>日本海新聞生山・山上販売所</t>
  </si>
  <si>
    <t>日本海新聞阿毘縁販売所</t>
  </si>
  <si>
    <t>日本海新聞大宮販売所</t>
  </si>
  <si>
    <t>日本海新聞石見販売所</t>
  </si>
  <si>
    <t>日本海新聞日野販売所</t>
  </si>
  <si>
    <t>日本海新聞安来専売所</t>
  </si>
  <si>
    <t>日本海新聞広瀬専売所</t>
  </si>
  <si>
    <t>日本海新聞伯太専売所</t>
  </si>
  <si>
    <t>日本海新聞美保関専売所</t>
  </si>
  <si>
    <t>日本海新聞松江中央販売所</t>
  </si>
  <si>
    <t>日本海新聞松江南販売所</t>
  </si>
  <si>
    <t>日本海新聞松江城東販売所</t>
  </si>
  <si>
    <t>日本海新聞松江城西販売所</t>
  </si>
  <si>
    <t>日本海新聞荒島販売所</t>
  </si>
  <si>
    <t>日本海新聞揖屋販売所</t>
  </si>
  <si>
    <t>ASA松江城東販売所</t>
  </si>
  <si>
    <t>読売センター米子</t>
  </si>
  <si>
    <t>読売センター米子東</t>
  </si>
  <si>
    <t>読売センター米子南</t>
  </si>
  <si>
    <t>読売センター米子東部</t>
  </si>
  <si>
    <t>読売センター米子皆生</t>
  </si>
  <si>
    <t>読売センター米子北</t>
  </si>
  <si>
    <t>㈱中央新報サービス米子営業所</t>
  </si>
  <si>
    <t>山陰中央新報彦名販売店</t>
  </si>
  <si>
    <t>㈱中央新報サービス境港営業所</t>
  </si>
  <si>
    <t>読売センター境港</t>
  </si>
  <si>
    <t>日本海折込センター本社</t>
  </si>
  <si>
    <t>山陰中央新報ＳＣ</t>
  </si>
  <si>
    <t>日本海折込センター倉吉支部</t>
  </si>
  <si>
    <t>（有）米子広告センター</t>
  </si>
  <si>
    <t>日本海新聞倉吉中央専売所</t>
  </si>
  <si>
    <t>日本海新聞倉吉西専売所</t>
  </si>
  <si>
    <t>日本海新聞倉吉南専売所</t>
  </si>
  <si>
    <t>日本海新聞倉吉北専売所</t>
  </si>
  <si>
    <t>日本海新聞倉吉東専売所</t>
  </si>
  <si>
    <t>中松新聞舗</t>
  </si>
  <si>
    <t>日本海新聞旭専売所</t>
  </si>
  <si>
    <t>日本海新聞松崎販売所</t>
  </si>
  <si>
    <t>㈲日本海新聞泊専売所</t>
  </si>
  <si>
    <t>㈱三村新聞舗</t>
  </si>
  <si>
    <t>合同会社トピックス</t>
  </si>
  <si>
    <t>㈲永田新聞舗</t>
  </si>
  <si>
    <t>㈲中西新聞舗</t>
  </si>
  <si>
    <t>八橋販売所</t>
  </si>
  <si>
    <t>日本海新聞赤碕専売所</t>
  </si>
  <si>
    <t>日本海新聞関金専売所</t>
  </si>
  <si>
    <t>中山</t>
  </si>
  <si>
    <t>㈱池口新聞舗</t>
  </si>
  <si>
    <t>㈱坂原新聞舗</t>
  </si>
  <si>
    <t>㈱福来屋</t>
  </si>
  <si>
    <t>上斎原新聞販売所</t>
    <phoneticPr fontId="84"/>
  </si>
  <si>
    <t>奥津</t>
  </si>
  <si>
    <t>㈱読売センター倉吉・三朝</t>
  </si>
  <si>
    <t>㈱読売センター倉吉・三朝（廃）</t>
  </si>
  <si>
    <t>山村新聞店</t>
  </si>
  <si>
    <t>㈱中央新報サービス倉吉営業所</t>
  </si>
  <si>
    <t>㈲KSネットワーク</t>
  </si>
  <si>
    <t>読売センター北栄(松原）</t>
  </si>
  <si>
    <t>読売センター赤碕(松原)</t>
  </si>
  <si>
    <t>読売センター湯梨浜（岡松）</t>
  </si>
  <si>
    <t>日本海折込センター本部</t>
  </si>
  <si>
    <t>日本海折込センター米子支部</t>
  </si>
  <si>
    <t>中部折込センター</t>
  </si>
  <si>
    <t>トップ折込センター</t>
  </si>
  <si>
    <t>鶴見区専売所</t>
  </si>
  <si>
    <t>城東区専売所</t>
  </si>
  <si>
    <t>住吉区専売所</t>
  </si>
  <si>
    <t>都島区専売所</t>
  </si>
  <si>
    <t>北区専売所</t>
  </si>
  <si>
    <t>中央区専売所</t>
  </si>
  <si>
    <t>浪速区専売所</t>
  </si>
  <si>
    <t>西区専売所</t>
  </si>
  <si>
    <t>東淀川区専売所</t>
  </si>
  <si>
    <t>福島区専売所</t>
  </si>
  <si>
    <t>天王寺区専売所</t>
  </si>
  <si>
    <t>淀川区専売所</t>
  </si>
  <si>
    <t>住之江区専売所</t>
  </si>
  <si>
    <t>大正区専売所</t>
  </si>
  <si>
    <t>平野区専売所</t>
  </si>
  <si>
    <t>東住吉区専売所</t>
  </si>
  <si>
    <t>東成区専売所</t>
  </si>
  <si>
    <t>此花区専売所</t>
  </si>
  <si>
    <t>阿倍野区専売所</t>
  </si>
  <si>
    <t>西淀川区専売所</t>
  </si>
  <si>
    <t>西成区専売所</t>
  </si>
  <si>
    <t>生野区専売所</t>
  </si>
  <si>
    <t>港区専売所</t>
  </si>
  <si>
    <t>吹田市専売所</t>
  </si>
  <si>
    <t>豊中北専売所</t>
  </si>
  <si>
    <t>豊中南専売所</t>
  </si>
  <si>
    <t>池田市専売所</t>
  </si>
  <si>
    <t>東大阪市専売所</t>
  </si>
  <si>
    <t>寺田町販売所</t>
  </si>
  <si>
    <t>桃谷販売所</t>
  </si>
  <si>
    <t>森ノ宮販売所</t>
  </si>
  <si>
    <t>毎日　鴫野販売所</t>
  </si>
  <si>
    <t>今里販売所</t>
  </si>
  <si>
    <t>長瀬東販売所</t>
  </si>
  <si>
    <t>播磨町販売所</t>
  </si>
  <si>
    <t>毎日　城北古市販売所</t>
  </si>
  <si>
    <t>毎日　蒲生販売所</t>
  </si>
  <si>
    <t>毎日　横堤販売所</t>
  </si>
  <si>
    <t>倉吉</t>
    <rPh sb="0" eb="2">
      <t>クラヨシ</t>
    </rPh>
    <phoneticPr fontId="15"/>
  </si>
  <si>
    <t>米子</t>
    <rPh sb="0" eb="2">
      <t>ヨナゴ</t>
    </rPh>
    <phoneticPr fontId="15"/>
  </si>
  <si>
    <t>Yng</t>
    <phoneticPr fontId="15"/>
  </si>
  <si>
    <t>Kry</t>
    <phoneticPr fontId="15"/>
  </si>
  <si>
    <t>伝票明細順</t>
    <rPh sb="0" eb="2">
      <t>デンピョウ</t>
    </rPh>
    <rPh sb="2" eb="4">
      <t>メイサイ</t>
    </rPh>
    <rPh sb="4" eb="5">
      <t>ジュン</t>
    </rPh>
    <phoneticPr fontId="15"/>
  </si>
  <si>
    <t>日本海折込センター用申込部数表のシート表示設定手順</t>
    <rPh sb="0" eb="3">
      <t>ニホンカイ</t>
    </rPh>
    <rPh sb="3" eb="5">
      <t>オリコミ</t>
    </rPh>
    <rPh sb="9" eb="10">
      <t>ヨウ</t>
    </rPh>
    <rPh sb="10" eb="12">
      <t>モウシコミ</t>
    </rPh>
    <rPh sb="12" eb="15">
      <t>ブスウヒョウ</t>
    </rPh>
    <rPh sb="19" eb="21">
      <t>ヒョウジ</t>
    </rPh>
    <rPh sb="21" eb="23">
      <t>セッテイ</t>
    </rPh>
    <rPh sb="23" eb="25">
      <t>テジュン</t>
    </rPh>
    <phoneticPr fontId="15"/>
  </si>
  <si>
    <t>日本海折込センターの場合、5行目の「大阪」をコピーして7行目以降に貼りつけてから削除</t>
    <rPh sb="0" eb="3">
      <t>ニホンカイ</t>
    </rPh>
    <rPh sb="3" eb="5">
      <t>オリコミ</t>
    </rPh>
    <rPh sb="10" eb="12">
      <t>バアイ</t>
    </rPh>
    <rPh sb="14" eb="16">
      <t>ギョウメ</t>
    </rPh>
    <rPh sb="18" eb="20">
      <t>オオサカ</t>
    </rPh>
    <rPh sb="28" eb="29">
      <t>ギョウ</t>
    </rPh>
    <rPh sb="29" eb="30">
      <t>メ</t>
    </rPh>
    <rPh sb="30" eb="32">
      <t>イコウ</t>
    </rPh>
    <rPh sb="33" eb="34">
      <t>ハ</t>
    </rPh>
    <rPh sb="40" eb="42">
      <t>サクジョ</t>
    </rPh>
    <phoneticPr fontId="15"/>
  </si>
  <si>
    <t>営業担当者コード</t>
    <rPh sb="0" eb="2">
      <t>エイギョウ</t>
    </rPh>
    <rPh sb="2" eb="5">
      <t>タントウシャ</t>
    </rPh>
    <phoneticPr fontId="15"/>
  </si>
  <si>
    <t>営業担当者コード</t>
    <rPh sb="0" eb="2">
      <t>エイギョウ</t>
    </rPh>
    <rPh sb="2" eb="5">
      <t>タントウシャ</t>
    </rPh>
    <phoneticPr fontId="15"/>
  </si>
  <si>
    <t>X</t>
    <phoneticPr fontId="15"/>
  </si>
  <si>
    <t>新聞コード</t>
    <rPh sb="0" eb="2">
      <t>シンブン</t>
    </rPh>
    <phoneticPr fontId="15"/>
  </si>
  <si>
    <t>受注シートの新聞コード設定方法：シート=⑧兵庫 AND セル先頭="S"の場合、新聞コード=8(神戸)に置き換える</t>
    <rPh sb="0" eb="2">
      <t>ジュチュウ</t>
    </rPh>
    <rPh sb="6" eb="8">
      <t>シンブン</t>
    </rPh>
    <rPh sb="11" eb="13">
      <t>セッテイ</t>
    </rPh>
    <rPh sb="13" eb="15">
      <t>ホウホウ</t>
    </rPh>
    <rPh sb="21" eb="23">
      <t>ヒョウゴ</t>
    </rPh>
    <rPh sb="30" eb="32">
      <t>セントウ</t>
    </rPh>
    <rPh sb="37" eb="39">
      <t>バアイ</t>
    </rPh>
    <rPh sb="40" eb="42">
      <t>シンブン</t>
    </rPh>
    <rPh sb="48" eb="50">
      <t>コウベ</t>
    </rPh>
    <rPh sb="52" eb="53">
      <t>オ</t>
    </rPh>
    <rPh sb="54" eb="55">
      <t>カ</t>
    </rPh>
    <phoneticPr fontId="15"/>
  </si>
  <si>
    <t>部数</t>
    <rPh sb="0" eb="2">
      <t>ブスウ</t>
    </rPh>
    <phoneticPr fontId="15"/>
  </si>
  <si>
    <t>社内入力欄（摘要）</t>
    <rPh sb="0" eb="2">
      <t>シャナイ</t>
    </rPh>
    <rPh sb="2" eb="4">
      <t>ニュウリョク</t>
    </rPh>
    <rPh sb="4" eb="5">
      <t>ラン</t>
    </rPh>
    <rPh sb="6" eb="8">
      <t>テキヨウ</t>
    </rPh>
    <phoneticPr fontId="15"/>
  </si>
  <si>
    <t>摘要</t>
    <rPh sb="0" eb="2">
      <t>テキヨウ</t>
    </rPh>
    <phoneticPr fontId="15"/>
  </si>
  <si>
    <t>日本海新聞</t>
    <phoneticPr fontId="84"/>
  </si>
  <si>
    <t>新聞名</t>
    <rPh sb="0" eb="3">
      <t>シンブンメイ</t>
    </rPh>
    <phoneticPr fontId="15"/>
  </si>
  <si>
    <t>内訳部数</t>
    <rPh sb="0" eb="2">
      <t>ウチワケ</t>
    </rPh>
    <rPh sb="2" eb="4">
      <t>ブスウ</t>
    </rPh>
    <phoneticPr fontId="15"/>
  </si>
  <si>
    <r>
      <t>★設定シートの</t>
    </r>
    <r>
      <rPr>
        <b/>
        <sz val="11"/>
        <rFont val="游ゴシック"/>
        <family val="3"/>
        <charset val="128"/>
      </rPr>
      <t>HP添付設定</t>
    </r>
    <r>
      <rPr>
        <sz val="11"/>
        <rFont val="游ゴシック"/>
        <family val="3"/>
        <charset val="128"/>
      </rPr>
      <t>ボタンをクリックする。</t>
    </r>
    <rPh sb="1" eb="3">
      <t>セッテイ</t>
    </rPh>
    <rPh sb="9" eb="11">
      <t>テンプ</t>
    </rPh>
    <rPh sb="11" eb="13">
      <t>セッテイ</t>
    </rPh>
    <phoneticPr fontId="15"/>
  </si>
  <si>
    <r>
      <t>★設定シートの</t>
    </r>
    <r>
      <rPr>
        <b/>
        <sz val="11"/>
        <rFont val="游ゴシック"/>
        <family val="3"/>
        <charset val="128"/>
      </rPr>
      <t>設定解除</t>
    </r>
    <r>
      <rPr>
        <sz val="11"/>
        <rFont val="游ゴシック"/>
        <family val="3"/>
        <charset val="128"/>
      </rPr>
      <t>ボタンをクリックする。</t>
    </r>
    <rPh sb="1" eb="3">
      <t>セッテイ</t>
    </rPh>
    <rPh sb="7" eb="9">
      <t>セッテイ</t>
    </rPh>
    <rPh sb="9" eb="11">
      <t>カイジョ</t>
    </rPh>
    <phoneticPr fontId="15"/>
  </si>
  <si>
    <t>他紙（郡部）新報除く</t>
    <phoneticPr fontId="84"/>
  </si>
  <si>
    <t>切り捨て</t>
    <phoneticPr fontId="15"/>
  </si>
  <si>
    <t>四捨五入</t>
  </si>
  <si>
    <t>◎</t>
  </si>
  <si>
    <t>配送料込・消費税別</t>
    <rPh sb="0" eb="2">
      <t>ハイソウ</t>
    </rPh>
    <rPh sb="2" eb="3">
      <t>リョウ</t>
    </rPh>
    <rPh sb="3" eb="4">
      <t>コ</t>
    </rPh>
    <rPh sb="5" eb="9">
      <t>ショウヒゼイベツ</t>
    </rPh>
    <phoneticPr fontId="15"/>
  </si>
  <si>
    <t>北兵庫</t>
    <rPh sb="0" eb="3">
      <t>キタヒョウゴ</t>
    </rPh>
    <phoneticPr fontId="15"/>
  </si>
  <si>
    <t>配送料別・消費税別</t>
    <rPh sb="0" eb="3">
      <t>ハイソウリョウ</t>
    </rPh>
    <rPh sb="3" eb="4">
      <t>ベツ</t>
    </rPh>
    <rPh sb="5" eb="8">
      <t>ショウヒゼイ</t>
    </rPh>
    <rPh sb="8" eb="9">
      <t>ベツ</t>
    </rPh>
    <phoneticPr fontId="15"/>
  </si>
  <si>
    <t>Ｂ４以下（折無）</t>
    <rPh sb="2" eb="4">
      <t>イカ</t>
    </rPh>
    <rPh sb="5" eb="7">
      <t>オリナ</t>
    </rPh>
    <phoneticPr fontId="15"/>
  </si>
  <si>
    <t>Ｂ３・Ａ３（２折）</t>
    <rPh sb="7" eb="8">
      <t>オ</t>
    </rPh>
    <phoneticPr fontId="15"/>
  </si>
  <si>
    <t>Ｂ２・Ａ２（４折）</t>
    <rPh sb="7" eb="8">
      <t>オ</t>
    </rPh>
    <phoneticPr fontId="15"/>
  </si>
  <si>
    <t>Ｂ１・Ａ１折（８折）</t>
    <rPh sb="5" eb="6">
      <t>オ</t>
    </rPh>
    <rPh sb="8" eb="9">
      <t>オリ</t>
    </rPh>
    <phoneticPr fontId="15"/>
  </si>
  <si>
    <t>Ｂ４以下　折無</t>
    <rPh sb="2" eb="4">
      <t>イカ</t>
    </rPh>
    <rPh sb="5" eb="7">
      <t>オリナ</t>
    </rPh>
    <phoneticPr fontId="15"/>
  </si>
  <si>
    <t>Ｂ３・Ａ３　２折</t>
    <rPh sb="7" eb="8">
      <t>オ</t>
    </rPh>
    <phoneticPr fontId="15"/>
  </si>
  <si>
    <t>Ｂ２・Ａ２　４折</t>
    <rPh sb="7" eb="8">
      <t>オ</t>
    </rPh>
    <phoneticPr fontId="15"/>
  </si>
  <si>
    <t>Ｂ１・Ａ１折　８折</t>
    <rPh sb="5" eb="6">
      <t>オ</t>
    </rPh>
    <rPh sb="8" eb="9">
      <t>オリ</t>
    </rPh>
    <phoneticPr fontId="15"/>
  </si>
  <si>
    <t>３．３円</t>
    <rPh sb="3" eb="4">
      <t>エン</t>
    </rPh>
    <phoneticPr fontId="15"/>
  </si>
  <si>
    <t>４．５円</t>
    <rPh sb="2" eb="3">
      <t>エン</t>
    </rPh>
    <phoneticPr fontId="15"/>
  </si>
  <si>
    <t>７．２円</t>
    <rPh sb="2" eb="3">
      <t>エン</t>
    </rPh>
    <phoneticPr fontId="15"/>
  </si>
  <si>
    <t>１５．２円</t>
    <rPh sb="3" eb="4">
      <t>エン</t>
    </rPh>
    <phoneticPr fontId="15"/>
  </si>
  <si>
    <t>３．０円</t>
    <rPh sb="3" eb="4">
      <t>エン</t>
    </rPh>
    <phoneticPr fontId="15"/>
  </si>
  <si>
    <t>４．０円</t>
    <rPh sb="3" eb="4">
      <t>エン</t>
    </rPh>
    <phoneticPr fontId="15"/>
  </si>
  <si>
    <t>６．０円</t>
    <rPh sb="3" eb="4">
      <t>エン</t>
    </rPh>
    <phoneticPr fontId="15"/>
  </si>
  <si>
    <t>１２．０円</t>
    <rPh sb="4" eb="5">
      <t>エン</t>
    </rPh>
    <phoneticPr fontId="15"/>
  </si>
  <si>
    <t>美方・村岡</t>
    <rPh sb="0" eb="2">
      <t>ミカタ</t>
    </rPh>
    <rPh sb="3" eb="5">
      <t>ムラオカ</t>
    </rPh>
    <phoneticPr fontId="15"/>
  </si>
  <si>
    <t>５．０円</t>
    <rPh sb="3" eb="4">
      <t>エン</t>
    </rPh>
    <phoneticPr fontId="15"/>
  </si>
  <si>
    <t>８．０円</t>
    <rPh sb="3" eb="4">
      <t>エン</t>
    </rPh>
    <phoneticPr fontId="15"/>
  </si>
  <si>
    <t>１６．０円</t>
    <rPh sb="4" eb="5">
      <t>エン</t>
    </rPh>
    <phoneticPr fontId="15"/>
  </si>
  <si>
    <t>政党・意見・連合
B4以下折無</t>
    <rPh sb="0" eb="2">
      <t>セイトウ</t>
    </rPh>
    <rPh sb="3" eb="5">
      <t>イケン</t>
    </rPh>
    <rPh sb="6" eb="8">
      <t>レンゴウ</t>
    </rPh>
    <rPh sb="11" eb="13">
      <t>イカ</t>
    </rPh>
    <rPh sb="13" eb="15">
      <t>オリナ</t>
    </rPh>
    <phoneticPr fontId="15"/>
  </si>
  <si>
    <t>政党・意見・連合
B３　２折</t>
    <rPh sb="0" eb="2">
      <t>セイトウ</t>
    </rPh>
    <rPh sb="3" eb="5">
      <t>イケン</t>
    </rPh>
    <rPh sb="6" eb="8">
      <t>レンゴウ</t>
    </rPh>
    <rPh sb="13" eb="14">
      <t>オリ</t>
    </rPh>
    <phoneticPr fontId="15"/>
  </si>
  <si>
    <t>政党・意見・連合の料金は日本海新聞・山陰中央新報のみ</t>
    <rPh sb="0" eb="1">
      <t>セイトウ</t>
    </rPh>
    <rPh sb="2" eb="4">
      <t>イケン</t>
    </rPh>
    <rPh sb="5" eb="7">
      <t>レンゴウ</t>
    </rPh>
    <rPh sb="8" eb="10">
      <t>リョウキン</t>
    </rPh>
    <rPh sb="11" eb="14">
      <t>ニホンカイ</t>
    </rPh>
    <rPh sb="15" eb="17">
      <t>シンブン</t>
    </rPh>
    <rPh sb="17" eb="19">
      <t>サンイン</t>
    </rPh>
    <rPh sb="19" eb="21">
      <t>チュウオウ</t>
    </rPh>
    <rPh sb="22" eb="24">
      <t>シンポウ</t>
    </rPh>
    <phoneticPr fontId="15"/>
  </si>
  <si>
    <t>１０．０円</t>
    <rPh sb="4" eb="5">
      <t>エン</t>
    </rPh>
    <phoneticPr fontId="15"/>
  </si>
  <si>
    <t>１５．０円</t>
    <rPh sb="4" eb="5">
      <t>エン</t>
    </rPh>
    <phoneticPr fontId="15"/>
  </si>
  <si>
    <t>４．８５円</t>
    <rPh sb="4" eb="5">
      <t>エン</t>
    </rPh>
    <phoneticPr fontId="15"/>
  </si>
  <si>
    <t>６．６５円</t>
    <rPh sb="3" eb="4">
      <t>エン</t>
    </rPh>
    <phoneticPr fontId="15"/>
  </si>
  <si>
    <t>他新聞は通常料金</t>
    <rPh sb="0" eb="2">
      <t>タシンブン</t>
    </rPh>
    <rPh sb="3" eb="5">
      <t>ツウジョウ</t>
    </rPh>
    <rPh sb="5" eb="7">
      <t>リョウキン</t>
    </rPh>
    <phoneticPr fontId="15"/>
  </si>
  <si>
    <t>北兵庫配送料</t>
    <rPh sb="0" eb="3">
      <t>キタヒョウゴ</t>
    </rPh>
    <rPh sb="3" eb="6">
      <t>ハイソウリョウ</t>
    </rPh>
    <phoneticPr fontId="15"/>
  </si>
  <si>
    <t>鳥取→北兵庫</t>
    <rPh sb="0" eb="2">
      <t>トットリ</t>
    </rPh>
    <rPh sb="3" eb="6">
      <t>キタヒョウゴ</t>
    </rPh>
    <phoneticPr fontId="15"/>
  </si>
  <si>
    <t>6,000円</t>
    <rPh sb="1" eb="6">
      <t>000エン</t>
    </rPh>
    <phoneticPr fontId="15"/>
  </si>
  <si>
    <t>横長B３（２折）</t>
    <rPh sb="0" eb="1">
      <t>ヨコ</t>
    </rPh>
    <rPh sb="1" eb="2">
      <t>ナガ</t>
    </rPh>
    <rPh sb="6" eb="7">
      <t>オリ</t>
    </rPh>
    <phoneticPr fontId="15"/>
  </si>
  <si>
    <t>圧着</t>
    <rPh sb="0" eb="1">
      <t>アッチャク</t>
    </rPh>
    <phoneticPr fontId="15"/>
  </si>
  <si>
    <t>封筒</t>
    <rPh sb="0" eb="1">
      <t>フウトウ</t>
    </rPh>
    <phoneticPr fontId="15"/>
  </si>
  <si>
    <t>AD-BAG</t>
    <phoneticPr fontId="15"/>
  </si>
  <si>
    <t>観音折・三折り</t>
    <rPh sb="0" eb="2">
      <t>カンノンオリ</t>
    </rPh>
    <rPh sb="3" eb="4">
      <t>ミ</t>
    </rPh>
    <rPh sb="4" eb="5">
      <t>オ</t>
    </rPh>
    <phoneticPr fontId="15"/>
  </si>
  <si>
    <t>島根県（隠岐以外）</t>
    <rPh sb="0" eb="3">
      <t>シマネケン</t>
    </rPh>
    <rPh sb="4" eb="8">
      <t>オキイガイ</t>
    </rPh>
    <phoneticPr fontId="15"/>
  </si>
  <si>
    <t>５．５円</t>
    <rPh sb="3" eb="4">
      <t>エン</t>
    </rPh>
    <phoneticPr fontId="15"/>
  </si>
  <si>
    <t>５．２円</t>
    <phoneticPr fontId="15"/>
  </si>
  <si>
    <t>※B4以下を半分に折った場合は２折料金になります。</t>
    <rPh sb="3" eb="5">
      <t>イカ</t>
    </rPh>
    <rPh sb="6" eb="8">
      <t>ハンブン</t>
    </rPh>
    <rPh sb="9" eb="10">
      <t>オ</t>
    </rPh>
    <rPh sb="12" eb="14">
      <t>バアイ</t>
    </rPh>
    <rPh sb="16" eb="17">
      <t>オリ</t>
    </rPh>
    <rPh sb="17" eb="19">
      <t>リョウキン</t>
    </rPh>
    <phoneticPr fontId="15"/>
  </si>
  <si>
    <t>７．０円</t>
    <phoneticPr fontId="15"/>
  </si>
  <si>
    <t>２０．０円</t>
    <phoneticPr fontId="15"/>
  </si>
  <si>
    <t>特殊加工料金</t>
    <rPh sb="0" eb="4">
      <t>トクシュカコウ</t>
    </rPh>
    <rPh sb="4" eb="6">
      <t>リョウキン</t>
    </rPh>
    <phoneticPr fontId="15"/>
  </si>
  <si>
    <t>隠岐</t>
    <rPh sb="0" eb="2">
      <t>オキ</t>
    </rPh>
    <phoneticPr fontId="15"/>
  </si>
  <si>
    <t>シール付・・・１．０円増（日本海新聞・山陰中央新報に折込の政党・意見広告及び選挙ちらしは除く）</t>
    <rPh sb="3" eb="4">
      <t>ツ</t>
    </rPh>
    <phoneticPr fontId="15"/>
  </si>
  <si>
    <t>スクラッチ・・・１．０円増</t>
    <rPh sb="11" eb="12">
      <t>エン</t>
    </rPh>
    <rPh sb="12" eb="13">
      <t>マ</t>
    </rPh>
    <phoneticPr fontId="15"/>
  </si>
  <si>
    <t>３．５円</t>
    <rPh sb="3" eb="4">
      <t>エン</t>
    </rPh>
    <phoneticPr fontId="15"/>
  </si>
  <si>
    <t>５．５円</t>
    <phoneticPr fontId="15"/>
  </si>
  <si>
    <t>８．０円</t>
    <phoneticPr fontId="15"/>
  </si>
  <si>
    <t>極小ちらし・・１．５円増</t>
    <rPh sb="0" eb="1">
      <t>ゴク</t>
    </rPh>
    <rPh sb="1" eb="2">
      <t>ショウ</t>
    </rPh>
    <rPh sb="10" eb="11">
      <t>エン</t>
    </rPh>
    <rPh sb="11" eb="12">
      <t>マ</t>
    </rPh>
    <phoneticPr fontId="15"/>
  </si>
  <si>
    <t>配送料　島根県全域、全サイズ1枚につき0.25円いただきます。
船賃　隠岐郡は１回につき下記船賃をいただきます。
(B4まで＝2,000円、B3＝4,000円、B2＝8,000円、B1=16,000円)</t>
    <phoneticPr fontId="15"/>
  </si>
  <si>
    <t>極厚紙・・・・・０．５円増</t>
    <rPh sb="0" eb="2">
      <t>ゴクアツ</t>
    </rPh>
    <rPh sb="2" eb="3">
      <t>カミ</t>
    </rPh>
    <rPh sb="11" eb="12">
      <t>エン</t>
    </rPh>
    <rPh sb="12" eb="13">
      <t>マ</t>
    </rPh>
    <phoneticPr fontId="15"/>
  </si>
  <si>
    <t>その他希少サイズ・特殊加工のチラシは別途お問い合わせください。</t>
    <rPh sb="2" eb="3">
      <t>タ</t>
    </rPh>
    <rPh sb="3" eb="5">
      <t>キショウ</t>
    </rPh>
    <rPh sb="9" eb="11">
      <t>トクシュ</t>
    </rPh>
    <rPh sb="11" eb="13">
      <t>カコウ</t>
    </rPh>
    <rPh sb="18" eb="20">
      <t>ベット</t>
    </rPh>
    <rPh sb="21" eb="22">
      <t>ト</t>
    </rPh>
    <rPh sb="23" eb="24">
      <t>ア</t>
    </rPh>
    <phoneticPr fontId="15"/>
  </si>
  <si>
    <t>※県外地域に限り折込料金と折込配送料金は原則として前金となっております。</t>
    <rPh sb="1" eb="5">
      <t>ケンガイチイキ</t>
    </rPh>
    <rPh sb="6" eb="7">
      <t>カギ</t>
    </rPh>
    <rPh sb="8" eb="12">
      <t>オリコミリョウキン</t>
    </rPh>
    <rPh sb="13" eb="15">
      <t>オリコミ</t>
    </rPh>
    <rPh sb="15" eb="19">
      <t>ハイソウリョウキン</t>
    </rPh>
    <rPh sb="20" eb="22">
      <t>ゲンソク</t>
    </rPh>
    <rPh sb="25" eb="27">
      <t>マエキン</t>
    </rPh>
    <phoneticPr fontId="15"/>
  </si>
  <si>
    <t>各支部間の転送及び県外に発送する場合には別途転送料を頂戴いたしいます。</t>
    <rPh sb="0" eb="3">
      <t>カクシブ</t>
    </rPh>
    <rPh sb="3" eb="4">
      <t>アイダ</t>
    </rPh>
    <rPh sb="5" eb="7">
      <t>テンソウ</t>
    </rPh>
    <rPh sb="7" eb="8">
      <t>オヨ</t>
    </rPh>
    <rPh sb="9" eb="11">
      <t>ケンガイ</t>
    </rPh>
    <rPh sb="12" eb="14">
      <t>ハッソウ</t>
    </rPh>
    <rPh sb="16" eb="18">
      <t>バアイ</t>
    </rPh>
    <rPh sb="20" eb="22">
      <t>ベット</t>
    </rPh>
    <rPh sb="22" eb="24">
      <t>テンソウ</t>
    </rPh>
    <rPh sb="24" eb="25">
      <t>リョウ</t>
    </rPh>
    <rPh sb="26" eb="28">
      <t>チョウダイ</t>
    </rPh>
    <phoneticPr fontId="15"/>
  </si>
  <si>
    <t>料金表　2023.10より</t>
    <rPh sb="0" eb="3">
      <t>リョウキンヒョウ</t>
    </rPh>
    <phoneticPr fontId="15"/>
  </si>
  <si>
    <t>溝口へ統合</t>
    <rPh sb="0" eb="2">
      <t>ミゾグチ</t>
    </rPh>
    <rPh sb="3" eb="5">
      <t>トウゴウ</t>
    </rPh>
    <phoneticPr fontId="15"/>
  </si>
  <si>
    <t>大塚</t>
    <rPh sb="0" eb="2">
      <t>オオツカ</t>
    </rPh>
    <phoneticPr fontId="15"/>
  </si>
  <si>
    <t>伯太北</t>
    <rPh sb="0" eb="2">
      <t>ハクタ</t>
    </rPh>
    <rPh sb="2" eb="3">
      <t>キタ</t>
    </rPh>
    <phoneticPr fontId="15"/>
  </si>
  <si>
    <t>廃店</t>
    <rPh sb="0" eb="2">
      <t>ハイテン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</si>
</sst>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0_ "/>
    <numFmt numFmtId="178" formatCode="#,##0_ "/>
    <numFmt numFmtId="179" formatCode="&quot;旧&quot;&quot;市&quot;&quot;内&quot;&quot;定&quot;&quot;数&quot;\(###,###,###\)"/>
    <numFmt numFmtId="180" formatCode="&quot;新&quot;&quot;市&quot;&quot;内&quot;&quot;定&quot;&quot;数&quot;\(###,###,###\)"/>
    <numFmt numFmtId="181" formatCode="&quot;/&quot;###,###"/>
    <numFmt numFmtId="182" formatCode="yyyy&quot;年&quot;m&quot;月&quot;d&quot;日&quot;\(aaa\)"/>
    <numFmt numFmtId="183" formatCode="#,##0_);[Red]\(#,##0\)"/>
    <numFmt numFmtId="184" formatCode="0.0_ "/>
    <numFmt numFmtId="185" formatCode="m&quot;月&quot;\ \ \ d&quot;日&quot;;;&quot;        月         日&quot;"/>
    <numFmt numFmtId="186" formatCode="yyyy&quot;年 &quot;m&quot;月 &quot;d&quot;日 (&quot;aaa&quot;)&quot;;;&quot;         年        月        日 (      )&quot;"/>
    <numFmt numFmtId="187" formatCode="0;\-0;;@"/>
    <numFmt numFmtId="188" formatCode="yyyy&quot;年&quot;m&quot;月&quot;d&quot;日&quot;;;;"/>
    <numFmt numFmtId="189" formatCode="yyyymmdd"/>
    <numFmt numFmtId="190" formatCode="00"/>
    <numFmt numFmtId="191" formatCode="000"/>
    <numFmt numFmtId="192" formatCode="&quot;¥&quot;#,##0_);[Red]\(&quot;¥&quot;#,##0\)"/>
    <numFmt numFmtId="193" formatCode="0000000"/>
    <numFmt numFmtId="194" formatCode="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2"/>
      <color indexed="12"/>
      <name val="ＭＳ Ｐ明朝"/>
      <family val="1"/>
      <charset val="128"/>
    </font>
    <font>
      <b/>
      <sz val="12"/>
      <name val="ＭＳ Ｐ明朝"/>
      <family val="1"/>
      <charset val="128"/>
    </font>
    <font>
      <b/>
      <sz val="18"/>
      <name val="HG丸ｺﾞｼｯｸM-PRO"/>
      <family val="3"/>
      <charset val="128"/>
    </font>
    <font>
      <b/>
      <sz val="16"/>
      <name val="ＭＳ Ｐ明朝"/>
      <family val="1"/>
      <charset val="128"/>
    </font>
    <font>
      <b/>
      <sz val="16"/>
      <color indexed="12"/>
      <name val="ＭＳ Ｐ明朝"/>
      <family val="1"/>
      <charset val="128"/>
    </font>
    <font>
      <b/>
      <sz val="18"/>
      <name val="ＭＳ Ｐ明朝"/>
      <family val="1"/>
      <charset val="128"/>
    </font>
    <font>
      <b/>
      <sz val="12"/>
      <color indexed="12"/>
      <name val="ＭＳ Ｐ明朝"/>
      <family val="1"/>
      <charset val="128"/>
    </font>
    <font>
      <sz val="9"/>
      <name val="ＭＳ Ｐ明朝"/>
      <family val="1"/>
      <charset val="128"/>
    </font>
    <font>
      <sz val="11"/>
      <color indexed="12"/>
      <name val="ＭＳ Ｐ明朝"/>
      <family val="1"/>
      <charset val="128"/>
    </font>
    <font>
      <b/>
      <sz val="11"/>
      <name val="ＭＳ Ｐ明朝"/>
      <family val="1"/>
      <charset val="128"/>
    </font>
    <font>
      <b/>
      <sz val="20"/>
      <color indexed="12"/>
      <name val="ＭＳ Ｐ明朝"/>
      <family val="1"/>
      <charset val="128"/>
    </font>
    <font>
      <b/>
      <sz val="10"/>
      <color indexed="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HGSｺﾞｼｯｸE"/>
      <family val="3"/>
      <charset val="128"/>
    </font>
    <font>
      <u/>
      <sz val="11"/>
      <name val="ＭＳ Ｐ明朝"/>
      <family val="1"/>
      <charset val="128"/>
    </font>
    <font>
      <sz val="11"/>
      <name val="HGSｺﾞｼｯｸE"/>
      <family val="3"/>
      <charset val="128"/>
    </font>
    <font>
      <b/>
      <sz val="14"/>
      <name val="ＭＳ Ｐゴシック"/>
      <family val="3"/>
      <charset val="128"/>
    </font>
    <font>
      <b/>
      <sz val="11"/>
      <name val="ＭＳ Ｐゴシック"/>
      <family val="3"/>
      <charset val="128"/>
    </font>
    <font>
      <sz val="8"/>
      <color indexed="12"/>
      <name val="ＭＳ Ｐ明朝"/>
      <family val="1"/>
      <charset val="128"/>
    </font>
    <font>
      <b/>
      <sz val="12"/>
      <color indexed="12"/>
      <name val="HG丸ｺﾞｼｯｸM-PRO"/>
      <family val="3"/>
      <charset val="128"/>
    </font>
    <font>
      <b/>
      <sz val="20"/>
      <color indexed="12"/>
      <name val="HG丸ｺﾞｼｯｸM-PRO"/>
      <family val="3"/>
      <charset val="128"/>
    </font>
    <font>
      <b/>
      <sz val="14"/>
      <color indexed="12"/>
      <name val="HG丸ｺﾞｼｯｸM-PRO"/>
      <family val="3"/>
      <charset val="128"/>
    </font>
    <font>
      <b/>
      <sz val="18"/>
      <color indexed="12"/>
      <name val="HG丸ｺﾞｼｯｸM-PRO"/>
      <family val="3"/>
      <charset val="128"/>
    </font>
    <font>
      <b/>
      <sz val="14"/>
      <color indexed="12"/>
      <name val="ＭＳ Ｐ明朝"/>
      <family val="1"/>
      <charset val="128"/>
    </font>
    <font>
      <sz val="16"/>
      <color indexed="12"/>
      <name val="ＭＳ Ｐ明朝"/>
      <family val="1"/>
      <charset val="128"/>
    </font>
    <font>
      <b/>
      <sz val="6"/>
      <name val="ＭＳ Ｐ明朝"/>
      <family val="1"/>
      <charset val="128"/>
    </font>
    <font>
      <b/>
      <sz val="8"/>
      <name val="ＭＳ Ｐ明朝"/>
      <family val="1"/>
      <charset val="128"/>
    </font>
    <font>
      <sz val="12"/>
      <color indexed="12"/>
      <name val="HG丸ｺﾞｼｯｸM-PRO"/>
      <family val="3"/>
      <charset val="128"/>
    </font>
    <font>
      <sz val="8"/>
      <name val="HG丸ｺﾞｼｯｸM-PRO"/>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u/>
      <sz val="14"/>
      <name val="ＭＳ Ｐゴシック"/>
      <family val="3"/>
      <charset val="128"/>
    </font>
    <font>
      <b/>
      <sz val="18"/>
      <name val="ＭＳ Ｐゴシック"/>
      <family val="3"/>
      <charset val="128"/>
    </font>
    <font>
      <sz val="8"/>
      <color theme="1"/>
      <name val="HG丸ｺﾞｼｯｸM-PRO"/>
      <family val="3"/>
      <charset val="128"/>
    </font>
    <font>
      <sz val="5"/>
      <color theme="1"/>
      <name val="HG丸ｺﾞｼｯｸM-PRO"/>
      <family val="3"/>
      <charset val="128"/>
    </font>
    <font>
      <sz val="11"/>
      <color theme="0"/>
      <name val="ＭＳ Ｐゴシック"/>
      <family val="3"/>
      <charset val="128"/>
    </font>
    <font>
      <sz val="11"/>
      <name val="游ゴシック"/>
      <family val="3"/>
      <charset val="128"/>
    </font>
    <font>
      <sz val="11"/>
      <color indexed="8"/>
      <name val="游ゴシック"/>
      <family val="3"/>
      <charset val="128"/>
    </font>
    <font>
      <sz val="11"/>
      <color rgb="FF000000"/>
      <name val="游ゴシック"/>
      <family val="3"/>
      <charset val="128"/>
    </font>
    <font>
      <b/>
      <sz val="12"/>
      <color rgb="FFFF0000"/>
      <name val="ＭＳ Ｐ明朝"/>
      <family val="1"/>
      <charset val="128"/>
    </font>
    <font>
      <sz val="9"/>
      <color rgb="FF000000"/>
      <name val="Meiryo UI"/>
      <family val="3"/>
      <charset val="128"/>
    </font>
    <font>
      <sz val="6"/>
      <name val="ＭＳ Ｐゴシック"/>
      <family val="2"/>
      <charset val="128"/>
      <scheme val="minor"/>
    </font>
    <font>
      <sz val="11"/>
      <color theme="1"/>
      <name val="ＭＳ Ｐゴシック"/>
      <family val="3"/>
      <charset val="128"/>
      <scheme val="minor"/>
    </font>
    <font>
      <sz val="9"/>
      <color indexed="81"/>
      <name val="游ゴシック"/>
      <family val="3"/>
      <charset val="128"/>
    </font>
    <font>
      <b/>
      <sz val="11"/>
      <color rgb="FF00CC00"/>
      <name val="游ゴシック"/>
      <family val="3"/>
      <charset val="128"/>
    </font>
    <font>
      <sz val="11"/>
      <color theme="1"/>
      <name val="游ゴシック"/>
      <family val="3"/>
      <charset val="128"/>
    </font>
    <font>
      <b/>
      <sz val="9"/>
      <color indexed="81"/>
      <name val="MS P ゴシック"/>
      <family val="3"/>
      <charset val="128"/>
    </font>
    <font>
      <u/>
      <sz val="11"/>
      <name val="ＭＳ Ｐゴシック"/>
      <family val="3"/>
      <charset val="128"/>
    </font>
    <font>
      <b/>
      <sz val="12"/>
      <color rgb="FF0070C0"/>
      <name val="ＭＳ Ｐ明朝"/>
      <family val="1"/>
      <charset val="128"/>
    </font>
    <font>
      <b/>
      <sz val="20"/>
      <name val="ＭＳ Ｐゴシック"/>
      <family val="3"/>
      <charset val="128"/>
    </font>
    <font>
      <sz val="9"/>
      <color indexed="81"/>
      <name val="MS P ゴシック"/>
      <family val="3"/>
      <charset val="128"/>
    </font>
    <font>
      <b/>
      <sz val="11"/>
      <name val="游ゴシック"/>
      <family val="3"/>
      <charset val="128"/>
    </font>
    <font>
      <b/>
      <sz val="11"/>
      <color theme="1"/>
      <name val="HGPｺﾞｼｯｸM"/>
      <family val="3"/>
      <charset val="128"/>
    </font>
    <font>
      <sz val="11"/>
      <color theme="1"/>
      <name val="HGPｺﾞｼｯｸM"/>
      <family val="3"/>
      <charset val="128"/>
    </font>
    <font>
      <sz val="11"/>
      <color rgb="FF000000"/>
      <name val="ＭＳ Ｐ明朝"/>
      <family val="1"/>
      <charset val="128"/>
    </font>
    <font>
      <sz val="16"/>
      <name val="HGSｺﾞｼｯｸE"/>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2"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51" fillId="4" borderId="0" applyNumberFormat="0" applyBorder="0" applyAlignment="0" applyProtection="0">
      <alignment vertical="center"/>
    </xf>
    <xf numFmtId="0" fontId="11" fillId="0" borderId="0">
      <alignment vertical="center"/>
    </xf>
    <xf numFmtId="0" fontId="9" fillId="0" borderId="0">
      <alignment vertical="center"/>
    </xf>
  </cellStyleXfs>
  <cellXfs count="875">
    <xf numFmtId="0" fontId="0" fillId="0" borderId="0" xfId="0"/>
    <xf numFmtId="0" fontId="17" fillId="0" borderId="0" xfId="0" applyFont="1" applyAlignment="1">
      <alignment vertical="center"/>
    </xf>
    <xf numFmtId="0" fontId="17" fillId="0" borderId="0" xfId="0" applyFont="1" applyAlignment="1">
      <alignment horizontal="right" vertical="center"/>
    </xf>
    <xf numFmtId="3" fontId="27" fillId="0" borderId="17" xfId="0" applyNumberFormat="1" applyFont="1" applyBorder="1" applyAlignment="1" applyProtection="1">
      <alignment vertical="center"/>
      <protection locked="0"/>
    </xf>
    <xf numFmtId="3" fontId="27" fillId="0" borderId="16" xfId="0" applyNumberFormat="1" applyFont="1" applyBorder="1" applyAlignment="1" applyProtection="1">
      <alignment vertical="center"/>
      <protection locked="0"/>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17" fillId="0" borderId="60" xfId="0" applyFont="1" applyBorder="1" applyAlignment="1">
      <alignment vertical="center"/>
    </xf>
    <xf numFmtId="0" fontId="17" fillId="0" borderId="61" xfId="0" applyFont="1" applyBorder="1" applyAlignment="1">
      <alignment vertical="center"/>
    </xf>
    <xf numFmtId="0" fontId="55" fillId="0" borderId="61" xfId="0" applyFont="1" applyBorder="1" applyAlignment="1">
      <alignment vertical="top"/>
    </xf>
    <xf numFmtId="0" fontId="0" fillId="0" borderId="0" xfId="0" applyAlignment="1">
      <alignment vertical="top"/>
    </xf>
    <xf numFmtId="0" fontId="0" fillId="0" borderId="61" xfId="0" applyBorder="1" applyAlignment="1">
      <alignment vertical="top"/>
    </xf>
    <xf numFmtId="0" fontId="0" fillId="0" borderId="0" xfId="0" applyAlignment="1">
      <alignment horizontal="right" vertical="top"/>
    </xf>
    <xf numFmtId="0" fontId="0" fillId="0" borderId="0" xfId="0" quotePrefix="1" applyAlignment="1">
      <alignment horizontal="left" vertical="top"/>
    </xf>
    <xf numFmtId="0" fontId="0" fillId="0" borderId="0" xfId="0" applyAlignment="1">
      <alignment vertical="top" wrapText="1"/>
    </xf>
    <xf numFmtId="0" fontId="0" fillId="0" borderId="0" xfId="0" quotePrefix="1" applyAlignment="1">
      <alignment vertical="top"/>
    </xf>
    <xf numFmtId="0" fontId="0" fillId="0" borderId="0" xfId="0" quotePrefix="1" applyAlignment="1">
      <alignment horizontal="right" vertical="top"/>
    </xf>
    <xf numFmtId="3" fontId="27" fillId="0" borderId="18" xfId="0" applyNumberFormat="1" applyFont="1" applyBorder="1" applyAlignment="1" applyProtection="1">
      <alignment vertical="center"/>
      <protection locked="0"/>
    </xf>
    <xf numFmtId="3" fontId="58" fillId="0" borderId="17" xfId="0" applyNumberFormat="1" applyFont="1" applyBorder="1" applyAlignment="1" applyProtection="1">
      <alignment vertical="center"/>
      <protection locked="0"/>
    </xf>
    <xf numFmtId="3" fontId="58" fillId="0" borderId="18" xfId="0" applyNumberFormat="1" applyFont="1" applyBorder="1" applyAlignment="1" applyProtection="1">
      <alignment vertical="center"/>
      <protection locked="0"/>
    </xf>
    <xf numFmtId="3" fontId="27" fillId="0" borderId="38" xfId="0" applyNumberFormat="1" applyFont="1" applyBorder="1" applyAlignment="1" applyProtection="1">
      <alignment vertical="center"/>
      <protection locked="0"/>
    </xf>
    <xf numFmtId="3" fontId="27" fillId="0" borderId="17" xfId="0" applyNumberFormat="1" applyFont="1" applyBorder="1" applyAlignment="1" applyProtection="1">
      <alignment horizontal="right" vertical="center"/>
      <protection locked="0"/>
    </xf>
    <xf numFmtId="0" fontId="65" fillId="0" borderId="0" xfId="0" applyFont="1" applyAlignment="1">
      <alignment vertical="center" wrapText="1"/>
    </xf>
    <xf numFmtId="0" fontId="17" fillId="0" borderId="63" xfId="0" applyFont="1" applyBorder="1" applyAlignment="1">
      <alignment vertical="center"/>
    </xf>
    <xf numFmtId="0" fontId="55" fillId="0" borderId="0" xfId="0" applyFont="1" applyAlignment="1">
      <alignment vertical="top"/>
    </xf>
    <xf numFmtId="0" fontId="13" fillId="26" borderId="0" xfId="28" applyFill="1" applyAlignment="1" applyProtection="1"/>
    <xf numFmtId="3" fontId="58" fillId="0" borderId="13" xfId="0" applyNumberFormat="1" applyFont="1" applyBorder="1" applyAlignment="1" applyProtection="1">
      <alignment vertical="center"/>
      <protection locked="0"/>
    </xf>
    <xf numFmtId="3" fontId="58" fillId="0" borderId="65" xfId="0" applyNumberFormat="1" applyFont="1" applyBorder="1" applyAlignment="1" applyProtection="1">
      <alignment vertical="center"/>
      <protection locked="0"/>
    </xf>
    <xf numFmtId="3" fontId="58" fillId="0" borderId="34" xfId="0" applyNumberFormat="1" applyFont="1" applyBorder="1" applyAlignment="1" applyProtection="1">
      <alignment vertical="center"/>
      <protection locked="0"/>
    </xf>
    <xf numFmtId="0" fontId="20" fillId="26" borderId="0" xfId="0" applyFont="1" applyFill="1"/>
    <xf numFmtId="49" fontId="20" fillId="26" borderId="0" xfId="0" applyNumberFormat="1" applyFont="1" applyFill="1" applyAlignment="1">
      <alignment horizontal="center" vertical="center"/>
    </xf>
    <xf numFmtId="0" fontId="20" fillId="26" borderId="0" xfId="0" applyFont="1" applyFill="1" applyAlignment="1">
      <alignment vertical="center"/>
    </xf>
    <xf numFmtId="0" fontId="20" fillId="26" borderId="30" xfId="0" applyFont="1" applyFill="1" applyBorder="1" applyAlignment="1">
      <alignment horizontal="left" vertical="center"/>
    </xf>
    <xf numFmtId="0" fontId="20" fillId="26" borderId="11" xfId="0" applyFont="1" applyFill="1" applyBorder="1" applyAlignment="1">
      <alignment vertical="center"/>
    </xf>
    <xf numFmtId="0" fontId="20" fillId="26" borderId="12" xfId="0" applyFont="1" applyFill="1" applyBorder="1" applyAlignment="1">
      <alignment vertical="center"/>
    </xf>
    <xf numFmtId="0" fontId="20" fillId="26" borderId="69" xfId="0" applyFont="1" applyFill="1" applyBorder="1" applyAlignment="1">
      <alignment horizontal="center" vertical="center"/>
    </xf>
    <xf numFmtId="0" fontId="20" fillId="26" borderId="70" xfId="0" applyFont="1" applyFill="1" applyBorder="1" applyAlignment="1">
      <alignment horizontal="center" vertical="center"/>
    </xf>
    <xf numFmtId="0" fontId="20" fillId="26" borderId="32" xfId="0" applyFont="1" applyFill="1" applyBorder="1" applyAlignment="1">
      <alignment horizontal="center" vertical="center"/>
    </xf>
    <xf numFmtId="0" fontId="20" fillId="26" borderId="10" xfId="0" applyFont="1" applyFill="1" applyBorder="1" applyAlignment="1">
      <alignment vertical="center" wrapText="1"/>
    </xf>
    <xf numFmtId="0" fontId="20" fillId="26" borderId="33"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27" xfId="0" applyFont="1" applyFill="1" applyBorder="1" applyAlignment="1">
      <alignment horizontal="center" vertical="center"/>
    </xf>
    <xf numFmtId="0" fontId="20" fillId="26" borderId="18" xfId="0" applyFont="1" applyFill="1" applyBorder="1" applyAlignment="1">
      <alignment horizontal="center" vertical="center"/>
    </xf>
    <xf numFmtId="0" fontId="20" fillId="26" borderId="19" xfId="0" applyFont="1" applyFill="1" applyBorder="1" applyAlignment="1">
      <alignment horizontal="center" vertical="center"/>
    </xf>
    <xf numFmtId="0" fontId="20" fillId="26" borderId="34" xfId="0" applyFont="1" applyFill="1" applyBorder="1" applyAlignment="1">
      <alignment horizontal="center" vertical="center"/>
    </xf>
    <xf numFmtId="0" fontId="20" fillId="26" borderId="35" xfId="0" applyFont="1" applyFill="1" applyBorder="1" applyAlignment="1">
      <alignment horizontal="distributed" vertical="center"/>
    </xf>
    <xf numFmtId="3" fontId="20" fillId="26" borderId="16" xfId="0" applyNumberFormat="1" applyFont="1" applyFill="1" applyBorder="1" applyAlignment="1">
      <alignment horizontal="center" vertical="center"/>
    </xf>
    <xf numFmtId="3" fontId="20" fillId="26" borderId="16" xfId="0" applyNumberFormat="1" applyFont="1" applyFill="1" applyBorder="1" applyAlignment="1">
      <alignment vertical="center"/>
    </xf>
    <xf numFmtId="3" fontId="22" fillId="26" borderId="17" xfId="0" applyNumberFormat="1" applyFont="1" applyFill="1" applyBorder="1" applyAlignment="1">
      <alignment vertical="center" wrapText="1"/>
    </xf>
    <xf numFmtId="3" fontId="20" fillId="26" borderId="19" xfId="0" applyNumberFormat="1" applyFont="1" applyFill="1" applyBorder="1" applyAlignment="1">
      <alignment vertical="center"/>
    </xf>
    <xf numFmtId="0" fontId="20" fillId="26" borderId="36" xfId="0" applyFont="1" applyFill="1" applyBorder="1" applyAlignment="1">
      <alignment vertical="center" wrapText="1"/>
    </xf>
    <xf numFmtId="3" fontId="20" fillId="26" borderId="16" xfId="0" applyNumberFormat="1" applyFont="1" applyFill="1" applyBorder="1" applyAlignment="1">
      <alignment horizontal="distributed" vertical="center"/>
    </xf>
    <xf numFmtId="3" fontId="58" fillId="26" borderId="17" xfId="0" applyNumberFormat="1" applyFont="1" applyFill="1" applyBorder="1" applyAlignment="1">
      <alignment vertical="center"/>
    </xf>
    <xf numFmtId="3" fontId="76" fillId="26" borderId="17" xfId="0" applyNumberFormat="1" applyFont="1" applyFill="1" applyBorder="1" applyAlignment="1">
      <alignment vertical="center"/>
    </xf>
    <xf numFmtId="3" fontId="30" fillId="26" borderId="31" xfId="0" applyNumberFormat="1" applyFont="1" applyFill="1" applyBorder="1" applyAlignment="1">
      <alignment vertical="center"/>
    </xf>
    <xf numFmtId="0" fontId="20" fillId="26" borderId="36" xfId="0" applyFont="1" applyFill="1" applyBorder="1" applyAlignment="1">
      <alignment horizontal="distributed" vertical="center"/>
    </xf>
    <xf numFmtId="3" fontId="20" fillId="26" borderId="19" xfId="0" applyNumberFormat="1" applyFont="1" applyFill="1" applyBorder="1" applyAlignment="1">
      <alignment horizontal="distributed" vertical="center"/>
    </xf>
    <xf numFmtId="3" fontId="20" fillId="26" borderId="27" xfId="0" applyNumberFormat="1" applyFont="1" applyFill="1" applyBorder="1" applyAlignment="1">
      <alignment vertical="center"/>
    </xf>
    <xf numFmtId="3" fontId="66" fillId="26" borderId="17" xfId="0" applyNumberFormat="1" applyFont="1" applyFill="1" applyBorder="1" applyAlignment="1">
      <alignment vertical="center"/>
    </xf>
    <xf numFmtId="0" fontId="20" fillId="26" borderId="36" xfId="0" applyFont="1" applyFill="1" applyBorder="1" applyAlignment="1">
      <alignment horizontal="left" vertical="center"/>
    </xf>
    <xf numFmtId="3" fontId="26" fillId="26" borderId="19" xfId="0" applyNumberFormat="1" applyFont="1" applyFill="1" applyBorder="1" applyAlignment="1">
      <alignment vertical="center"/>
    </xf>
    <xf numFmtId="3" fontId="76" fillId="26" borderId="17" xfId="0" applyNumberFormat="1" applyFont="1" applyFill="1" applyBorder="1" applyAlignment="1">
      <alignment vertical="center" textRotation="255"/>
    </xf>
    <xf numFmtId="3" fontId="30" fillId="26" borderId="19" xfId="0" applyNumberFormat="1" applyFont="1" applyFill="1" applyBorder="1" applyAlignment="1">
      <alignment vertical="center"/>
    </xf>
    <xf numFmtId="3" fontId="77" fillId="26" borderId="17" xfId="0" applyNumberFormat="1" applyFont="1" applyFill="1" applyBorder="1" applyAlignment="1">
      <alignment vertical="center" textRotation="255"/>
    </xf>
    <xf numFmtId="3" fontId="67" fillId="26" borderId="17" xfId="0" applyNumberFormat="1" applyFont="1" applyFill="1" applyBorder="1" applyAlignment="1">
      <alignment vertical="center" textRotation="255"/>
    </xf>
    <xf numFmtId="3" fontId="22" fillId="26" borderId="19" xfId="0" applyNumberFormat="1" applyFont="1" applyFill="1" applyBorder="1" applyAlignment="1">
      <alignment vertical="center"/>
    </xf>
    <xf numFmtId="3" fontId="20" fillId="26" borderId="31" xfId="0" applyNumberFormat="1" applyFont="1" applyFill="1" applyBorder="1" applyAlignment="1">
      <alignment horizontal="distributed" vertical="center"/>
    </xf>
    <xf numFmtId="3" fontId="58" fillId="26" borderId="18" xfId="0" applyNumberFormat="1" applyFont="1" applyFill="1" applyBorder="1" applyAlignment="1">
      <alignment vertical="center"/>
    </xf>
    <xf numFmtId="0" fontId="20" fillId="26" borderId="40" xfId="0" applyFont="1" applyFill="1" applyBorder="1" applyAlignment="1">
      <alignment vertical="center" wrapText="1"/>
    </xf>
    <xf numFmtId="3" fontId="20" fillId="26" borderId="41" xfId="0" applyNumberFormat="1" applyFont="1" applyFill="1" applyBorder="1" applyAlignment="1">
      <alignment horizontal="distributed" vertical="center"/>
    </xf>
    <xf numFmtId="3" fontId="20" fillId="26" borderId="20" xfId="0" applyNumberFormat="1" applyFont="1" applyFill="1" applyBorder="1" applyAlignment="1">
      <alignment vertical="center"/>
    </xf>
    <xf numFmtId="3" fontId="58" fillId="26" borderId="21" xfId="0" applyNumberFormat="1" applyFont="1" applyFill="1" applyBorder="1" applyAlignment="1">
      <alignment vertical="center"/>
    </xf>
    <xf numFmtId="3" fontId="20" fillId="26" borderId="41" xfId="0" applyNumberFormat="1" applyFont="1" applyFill="1" applyBorder="1" applyAlignment="1">
      <alignment vertical="center"/>
    </xf>
    <xf numFmtId="3" fontId="20" fillId="26" borderId="22" xfId="0" applyNumberFormat="1" applyFont="1" applyFill="1" applyBorder="1" applyAlignment="1">
      <alignment vertical="center"/>
    </xf>
    <xf numFmtId="0" fontId="20" fillId="26" borderId="35" xfId="0" applyFont="1" applyFill="1" applyBorder="1" applyAlignment="1">
      <alignment vertical="center" wrapText="1"/>
    </xf>
    <xf numFmtId="3" fontId="17" fillId="26" borderId="10" xfId="0" applyNumberFormat="1" applyFont="1" applyFill="1" applyBorder="1" applyAlignment="1">
      <alignment horizontal="distributed" vertical="center"/>
    </xf>
    <xf numFmtId="3" fontId="20" fillId="26" borderId="29" xfId="0" applyNumberFormat="1" applyFont="1" applyFill="1" applyBorder="1" applyAlignment="1">
      <alignment vertical="center"/>
    </xf>
    <xf numFmtId="3" fontId="23" fillId="26" borderId="52" xfId="0" applyNumberFormat="1" applyFont="1" applyFill="1" applyBorder="1" applyAlignment="1">
      <alignment vertical="center"/>
    </xf>
    <xf numFmtId="3" fontId="20" fillId="26" borderId="49" xfId="0" applyNumberFormat="1" applyFont="1" applyFill="1" applyBorder="1" applyAlignment="1">
      <alignment vertical="center"/>
    </xf>
    <xf numFmtId="3" fontId="23" fillId="26" borderId="29" xfId="0" applyNumberFormat="1" applyFont="1" applyFill="1" applyBorder="1" applyAlignment="1">
      <alignment vertical="center"/>
    </xf>
    <xf numFmtId="3" fontId="23" fillId="26" borderId="72" xfId="0" applyNumberFormat="1" applyFont="1" applyFill="1" applyBorder="1" applyAlignment="1">
      <alignment vertical="center"/>
    </xf>
    <xf numFmtId="3" fontId="20" fillId="26" borderId="37" xfId="0" applyNumberFormat="1" applyFont="1" applyFill="1" applyBorder="1" applyAlignment="1">
      <alignment vertical="center" wrapText="1"/>
    </xf>
    <xf numFmtId="3" fontId="58" fillId="26" borderId="20" xfId="0" applyNumberFormat="1" applyFont="1" applyFill="1" applyBorder="1" applyAlignment="1">
      <alignment vertical="center"/>
    </xf>
    <xf numFmtId="3" fontId="58" fillId="26" borderId="59" xfId="0" applyNumberFormat="1" applyFont="1" applyFill="1" applyBorder="1" applyAlignment="1">
      <alignment vertical="center"/>
    </xf>
    <xf numFmtId="0" fontId="23" fillId="26" borderId="0" xfId="0" applyFont="1" applyFill="1" applyAlignment="1">
      <alignment vertical="center"/>
    </xf>
    <xf numFmtId="0" fontId="12" fillId="26" borderId="0" xfId="0" applyFont="1" applyFill="1" applyAlignment="1">
      <alignment horizontal="distributed" vertical="center" indent="1" shrinkToFit="1"/>
    </xf>
    <xf numFmtId="0" fontId="12" fillId="26" borderId="0" xfId="0" applyFont="1" applyFill="1" applyAlignment="1">
      <alignment horizontal="center" vertical="center" shrinkToFit="1"/>
    </xf>
    <xf numFmtId="0" fontId="0" fillId="26" borderId="0" xfId="0" applyFill="1"/>
    <xf numFmtId="0" fontId="74" fillId="26" borderId="0" xfId="0" applyFont="1" applyFill="1"/>
    <xf numFmtId="0" fontId="68" fillId="26" borderId="0" xfId="0" applyFont="1" applyFill="1" applyAlignment="1">
      <alignment vertical="center"/>
    </xf>
    <xf numFmtId="0" fontId="12" fillId="26" borderId="0" xfId="0" applyFont="1" applyFill="1"/>
    <xf numFmtId="0" fontId="78" fillId="26" borderId="0" xfId="0" applyFont="1" applyFill="1"/>
    <xf numFmtId="0" fontId="70" fillId="26" borderId="0" xfId="0" applyFont="1" applyFill="1"/>
    <xf numFmtId="0" fontId="70" fillId="26" borderId="0" xfId="0" applyFont="1" applyFill="1" applyAlignment="1">
      <alignment horizontal="left" vertical="center" indent="3"/>
    </xf>
    <xf numFmtId="0" fontId="70" fillId="26" borderId="0" xfId="0" applyFont="1" applyFill="1" applyAlignment="1">
      <alignment vertical="center"/>
    </xf>
    <xf numFmtId="0" fontId="73" fillId="26" borderId="0" xfId="0" applyFont="1" applyFill="1" applyAlignment="1">
      <alignment horizontal="center" vertical="center"/>
    </xf>
    <xf numFmtId="0" fontId="16" fillId="26" borderId="0" xfId="0" applyFont="1" applyFill="1" applyAlignment="1">
      <alignment horizontal="center" vertical="center"/>
    </xf>
    <xf numFmtId="0" fontId="17" fillId="26" borderId="0" xfId="0" applyFont="1" applyFill="1"/>
    <xf numFmtId="0" fontId="17" fillId="26" borderId="0" xfId="0" applyFont="1" applyFill="1" applyAlignment="1">
      <alignment vertical="center"/>
    </xf>
    <xf numFmtId="0" fontId="17" fillId="26" borderId="0" xfId="0" applyFont="1" applyFill="1" applyAlignment="1">
      <alignment horizontal="right" vertical="center"/>
    </xf>
    <xf numFmtId="0" fontId="17" fillId="26" borderId="11" xfId="0" applyFont="1" applyFill="1" applyBorder="1" applyAlignment="1">
      <alignment horizontal="left" vertical="center"/>
    </xf>
    <xf numFmtId="0" fontId="18" fillId="26" borderId="11" xfId="0" applyFont="1" applyFill="1" applyBorder="1" applyAlignment="1">
      <alignment vertical="center"/>
    </xf>
    <xf numFmtId="0" fontId="18" fillId="26" borderId="12" xfId="0" applyFont="1" applyFill="1" applyBorder="1" applyAlignment="1">
      <alignment vertical="center"/>
    </xf>
    <xf numFmtId="0" fontId="21" fillId="26" borderId="38"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15" xfId="0" applyFont="1" applyFill="1" applyBorder="1" applyAlignment="1">
      <alignment horizontal="center" vertical="center"/>
    </xf>
    <xf numFmtId="0" fontId="17" fillId="26" borderId="48" xfId="0" applyFont="1" applyFill="1" applyBorder="1"/>
    <xf numFmtId="0" fontId="17" fillId="26" borderId="26" xfId="0" applyFont="1" applyFill="1" applyBorder="1" applyAlignment="1">
      <alignment horizontal="center" vertical="center"/>
    </xf>
    <xf numFmtId="0" fontId="17" fillId="26" borderId="67" xfId="0" applyFont="1" applyFill="1" applyBorder="1" applyAlignment="1">
      <alignment horizontal="center" vertical="center"/>
    </xf>
    <xf numFmtId="0" fontId="17" fillId="26" borderId="48" xfId="0" applyFont="1" applyFill="1" applyBorder="1" applyAlignment="1">
      <alignment horizontal="center" vertical="center"/>
    </xf>
    <xf numFmtId="0" fontId="17" fillId="26" borderId="79" xfId="0" applyFont="1" applyFill="1" applyBorder="1" applyAlignment="1">
      <alignment horizontal="center" vertical="center"/>
    </xf>
    <xf numFmtId="0" fontId="17" fillId="26" borderId="80" xfId="0" applyFont="1" applyFill="1" applyBorder="1" applyAlignment="1">
      <alignment horizontal="center" vertical="center"/>
    </xf>
    <xf numFmtId="0" fontId="17" fillId="26" borderId="81" xfId="0" applyFont="1" applyFill="1" applyBorder="1" applyAlignment="1">
      <alignment horizontal="center" vertical="center"/>
    </xf>
    <xf numFmtId="0" fontId="17" fillId="26" borderId="0" xfId="0" applyFont="1" applyFill="1" applyAlignment="1">
      <alignment horizontal="center" vertical="center"/>
    </xf>
    <xf numFmtId="3" fontId="58" fillId="26" borderId="16" xfId="0" applyNumberFormat="1" applyFont="1" applyFill="1" applyBorder="1" applyAlignment="1">
      <alignment vertical="center"/>
    </xf>
    <xf numFmtId="3" fontId="20" fillId="26" borderId="17" xfId="0" applyNumberFormat="1" applyFont="1" applyFill="1" applyBorder="1" applyAlignment="1">
      <alignment vertical="center"/>
    </xf>
    <xf numFmtId="3" fontId="20" fillId="26" borderId="38" xfId="0" applyNumberFormat="1" applyFont="1" applyFill="1" applyBorder="1" applyAlignment="1">
      <alignment vertical="center"/>
    </xf>
    <xf numFmtId="3" fontId="58" fillId="26" borderId="65" xfId="0" applyNumberFormat="1" applyFont="1" applyFill="1" applyBorder="1" applyAlignment="1">
      <alignment vertical="center"/>
    </xf>
    <xf numFmtId="178" fontId="58" fillId="26" borderId="16" xfId="0" applyNumberFormat="1" applyFont="1" applyFill="1" applyBorder="1" applyAlignment="1">
      <alignment horizontal="right" vertical="center"/>
    </xf>
    <xf numFmtId="0" fontId="17" fillId="26" borderId="73" xfId="0" applyFont="1" applyFill="1" applyBorder="1" applyAlignment="1">
      <alignment horizontal="left" vertical="center"/>
    </xf>
    <xf numFmtId="176" fontId="17" fillId="26" borderId="27" xfId="0" applyNumberFormat="1" applyFont="1" applyFill="1" applyBorder="1" applyAlignment="1">
      <alignment horizontal="right" vertical="center"/>
    </xf>
    <xf numFmtId="177" fontId="17" fillId="26" borderId="27" xfId="0" applyNumberFormat="1" applyFont="1" applyFill="1" applyBorder="1" applyAlignment="1">
      <alignment horizontal="right" vertical="center"/>
    </xf>
    <xf numFmtId="176" fontId="17" fillId="26" borderId="34" xfId="0" applyNumberFormat="1" applyFont="1" applyFill="1" applyBorder="1" applyAlignment="1">
      <alignment horizontal="right" vertical="center"/>
    </xf>
    <xf numFmtId="177" fontId="17" fillId="26" borderId="34" xfId="0" applyNumberFormat="1" applyFont="1" applyFill="1" applyBorder="1" applyAlignment="1">
      <alignment horizontal="right" vertical="center"/>
    </xf>
    <xf numFmtId="0" fontId="17" fillId="26" borderId="82" xfId="0" applyFont="1" applyFill="1" applyBorder="1" applyAlignment="1">
      <alignment horizontal="left" vertical="center"/>
    </xf>
    <xf numFmtId="0" fontId="17" fillId="26" borderId="83" xfId="0" applyFont="1" applyFill="1" applyBorder="1" applyAlignment="1">
      <alignment horizontal="right" vertical="center"/>
    </xf>
    <xf numFmtId="0" fontId="17" fillId="26" borderId="27" xfId="0" applyFont="1" applyFill="1" applyBorder="1" applyAlignment="1">
      <alignment horizontal="right" vertical="center"/>
    </xf>
    <xf numFmtId="176" fontId="17" fillId="26" borderId="83" xfId="0" applyNumberFormat="1" applyFont="1" applyFill="1" applyBorder="1" applyAlignment="1">
      <alignment horizontal="right" vertical="center"/>
    </xf>
    <xf numFmtId="0" fontId="13" fillId="26" borderId="31" xfId="28" applyFill="1" applyBorder="1" applyAlignment="1" applyProtection="1">
      <alignment horizontal="distributed" vertical="center"/>
    </xf>
    <xf numFmtId="3" fontId="20" fillId="26" borderId="18" xfId="0" applyNumberFormat="1" applyFont="1" applyFill="1" applyBorder="1" applyAlignment="1">
      <alignment vertical="center"/>
    </xf>
    <xf numFmtId="176" fontId="17" fillId="26" borderId="0" xfId="0" applyNumberFormat="1" applyFont="1" applyFill="1" applyAlignment="1">
      <alignment horizontal="right" vertical="center"/>
    </xf>
    <xf numFmtId="0" fontId="13" fillId="26" borderId="41" xfId="28" applyFill="1" applyBorder="1" applyAlignment="1" applyProtection="1">
      <alignment horizontal="distributed" vertical="center"/>
    </xf>
    <xf numFmtId="3" fontId="58" fillId="26" borderId="13" xfId="0" applyNumberFormat="1" applyFont="1" applyFill="1" applyBorder="1" applyAlignment="1">
      <alignment vertical="center"/>
    </xf>
    <xf numFmtId="3" fontId="20" fillId="26" borderId="13" xfId="0" applyNumberFormat="1" applyFont="1" applyFill="1" applyBorder="1" applyAlignment="1">
      <alignment vertical="center"/>
    </xf>
    <xf numFmtId="3" fontId="58" fillId="26" borderId="15" xfId="0" applyNumberFormat="1" applyFont="1" applyFill="1" applyBorder="1" applyAlignment="1">
      <alignment vertical="center"/>
    </xf>
    <xf numFmtId="178" fontId="58" fillId="26" borderId="13" xfId="0" applyNumberFormat="1" applyFont="1" applyFill="1" applyBorder="1" applyAlignment="1">
      <alignment horizontal="right" vertical="center"/>
    </xf>
    <xf numFmtId="3" fontId="20" fillId="26" borderId="23" xfId="0" applyNumberFormat="1" applyFont="1" applyFill="1" applyBorder="1" applyAlignment="1">
      <alignment vertical="center"/>
    </xf>
    <xf numFmtId="3" fontId="58" fillId="26" borderId="23" xfId="0" applyNumberFormat="1" applyFont="1" applyFill="1" applyBorder="1" applyAlignment="1">
      <alignment vertical="center"/>
    </xf>
    <xf numFmtId="3" fontId="20" fillId="26" borderId="24" xfId="0" applyNumberFormat="1" applyFont="1" applyFill="1" applyBorder="1" applyAlignment="1">
      <alignment vertical="center"/>
    </xf>
    <xf numFmtId="3" fontId="58" fillId="26" borderId="66" xfId="0" applyNumberFormat="1" applyFont="1" applyFill="1" applyBorder="1" applyAlignment="1">
      <alignment vertical="center"/>
    </xf>
    <xf numFmtId="178" fontId="58" fillId="26" borderId="23" xfId="0" applyNumberFormat="1" applyFont="1" applyFill="1" applyBorder="1" applyAlignment="1">
      <alignment horizontal="right" vertical="center"/>
    </xf>
    <xf numFmtId="0" fontId="17" fillId="26" borderId="74" xfId="0" applyFont="1" applyFill="1" applyBorder="1" applyAlignment="1">
      <alignment horizontal="left" vertical="center"/>
    </xf>
    <xf numFmtId="177" fontId="17" fillId="26" borderId="15" xfId="0" applyNumberFormat="1" applyFont="1" applyFill="1" applyBorder="1" applyAlignment="1">
      <alignment horizontal="right" vertical="center"/>
    </xf>
    <xf numFmtId="176" fontId="17" fillId="26" borderId="13" xfId="0" applyNumberFormat="1" applyFont="1" applyFill="1" applyBorder="1" applyAlignment="1">
      <alignment horizontal="right" vertical="center"/>
    </xf>
    <xf numFmtId="177" fontId="17" fillId="26" borderId="13" xfId="0" applyNumberFormat="1" applyFont="1" applyFill="1" applyBorder="1" applyAlignment="1">
      <alignment horizontal="right" vertical="center"/>
    </xf>
    <xf numFmtId="176" fontId="17" fillId="26" borderId="15" xfId="0" applyNumberFormat="1" applyFont="1" applyFill="1" applyBorder="1" applyAlignment="1">
      <alignment horizontal="right" vertical="center"/>
    </xf>
    <xf numFmtId="0" fontId="17" fillId="26" borderId="33" xfId="0" applyFont="1" applyFill="1" applyBorder="1"/>
    <xf numFmtId="0" fontId="17" fillId="26" borderId="31" xfId="0" applyFont="1" applyFill="1" applyBorder="1"/>
    <xf numFmtId="0" fontId="17" fillId="26" borderId="65" xfId="0" applyFont="1" applyFill="1" applyBorder="1" applyAlignment="1">
      <alignment horizontal="center" vertical="center"/>
    </xf>
    <xf numFmtId="0" fontId="17" fillId="26" borderId="75" xfId="0" applyFont="1" applyFill="1" applyBorder="1" applyAlignment="1">
      <alignment vertical="center"/>
    </xf>
    <xf numFmtId="0" fontId="17" fillId="26" borderId="19" xfId="0" applyFont="1" applyFill="1" applyBorder="1" applyAlignment="1">
      <alignment vertical="center"/>
    </xf>
    <xf numFmtId="0" fontId="17" fillId="26" borderId="0" xfId="0" applyFont="1" applyFill="1" applyAlignment="1">
      <alignment horizontal="left" vertical="center"/>
    </xf>
    <xf numFmtId="3" fontId="20" fillId="26" borderId="26" xfId="0" applyNumberFormat="1" applyFont="1" applyFill="1" applyBorder="1" applyAlignment="1">
      <alignment vertical="center"/>
    </xf>
    <xf numFmtId="3" fontId="20" fillId="26" borderId="31" xfId="0" applyNumberFormat="1" applyFont="1" applyFill="1" applyBorder="1" applyAlignment="1">
      <alignment vertical="center"/>
    </xf>
    <xf numFmtId="0" fontId="17" fillId="26" borderId="43" xfId="0" applyFont="1" applyFill="1" applyBorder="1" applyAlignment="1">
      <alignment vertical="center"/>
    </xf>
    <xf numFmtId="0" fontId="17" fillId="26" borderId="27" xfId="0" applyFont="1" applyFill="1" applyBorder="1" applyAlignment="1">
      <alignment vertical="center"/>
    </xf>
    <xf numFmtId="0" fontId="17" fillId="26" borderId="36" xfId="0" applyFont="1" applyFill="1" applyBorder="1" applyAlignment="1">
      <alignment vertical="center"/>
    </xf>
    <xf numFmtId="0" fontId="17" fillId="26" borderId="51" xfId="0" applyFont="1" applyFill="1" applyBorder="1" applyAlignment="1">
      <alignment vertical="center"/>
    </xf>
    <xf numFmtId="3" fontId="17" fillId="26" borderId="0" xfId="0" applyNumberFormat="1" applyFont="1" applyFill="1" applyAlignment="1">
      <alignment horizontal="left" vertical="center"/>
    </xf>
    <xf numFmtId="0" fontId="17" fillId="26" borderId="84" xfId="0" applyFont="1" applyFill="1" applyBorder="1" applyAlignment="1">
      <alignment horizontal="left" vertical="center"/>
    </xf>
    <xf numFmtId="176" fontId="17" fillId="26" borderId="85" xfId="0" applyNumberFormat="1" applyFont="1" applyFill="1" applyBorder="1" applyAlignment="1">
      <alignment horizontal="right" vertical="center"/>
    </xf>
    <xf numFmtId="177" fontId="17" fillId="26" borderId="85" xfId="0" applyNumberFormat="1" applyFont="1" applyFill="1" applyBorder="1" applyAlignment="1">
      <alignment horizontal="right" vertical="center"/>
    </xf>
    <xf numFmtId="176" fontId="17" fillId="26" borderId="86" xfId="0" applyNumberFormat="1" applyFont="1" applyFill="1" applyBorder="1" applyAlignment="1">
      <alignment horizontal="right" vertical="center"/>
    </xf>
    <xf numFmtId="0" fontId="17" fillId="26" borderId="77" xfId="0" applyFont="1" applyFill="1" applyBorder="1" applyAlignment="1">
      <alignment horizontal="left" vertical="center"/>
    </xf>
    <xf numFmtId="0" fontId="17" fillId="26" borderId="13" xfId="0" applyFont="1" applyFill="1" applyBorder="1" applyAlignment="1">
      <alignment horizontal="right" vertical="center"/>
    </xf>
    <xf numFmtId="176" fontId="17" fillId="26" borderId="78" xfId="0" applyNumberFormat="1" applyFont="1" applyFill="1" applyBorder="1" applyAlignment="1">
      <alignment horizontal="right" vertical="center"/>
    </xf>
    <xf numFmtId="0" fontId="17" fillId="26" borderId="57" xfId="0" applyFont="1" applyFill="1" applyBorder="1" applyAlignment="1">
      <alignment vertical="center"/>
    </xf>
    <xf numFmtId="0" fontId="17" fillId="26" borderId="46" xfId="0" applyFont="1" applyFill="1" applyBorder="1" applyAlignment="1">
      <alignment vertical="center"/>
    </xf>
    <xf numFmtId="176" fontId="17" fillId="26" borderId="50" xfId="0" applyNumberFormat="1" applyFont="1" applyFill="1" applyBorder="1" applyAlignment="1">
      <alignment horizontal="right" vertical="center"/>
    </xf>
    <xf numFmtId="0" fontId="17" fillId="26" borderId="35" xfId="0" applyFont="1" applyFill="1" applyBorder="1" applyAlignment="1">
      <alignment vertical="center"/>
    </xf>
    <xf numFmtId="0" fontId="17" fillId="26" borderId="49" xfId="0" applyFont="1" applyFill="1" applyBorder="1" applyAlignment="1">
      <alignment vertical="center"/>
    </xf>
    <xf numFmtId="176" fontId="17" fillId="26" borderId="72" xfId="0" applyNumberFormat="1" applyFont="1" applyFill="1" applyBorder="1" applyAlignment="1">
      <alignment horizontal="right" vertical="center"/>
    </xf>
    <xf numFmtId="0" fontId="20" fillId="26" borderId="28" xfId="0" applyFont="1" applyFill="1" applyBorder="1" applyAlignment="1">
      <alignment vertical="center"/>
    </xf>
    <xf numFmtId="0" fontId="17" fillId="26" borderId="33" xfId="0" applyFont="1" applyFill="1" applyBorder="1" applyAlignment="1">
      <alignment vertical="center"/>
    </xf>
    <xf numFmtId="0" fontId="17" fillId="26" borderId="31" xfId="0" applyFont="1" applyFill="1" applyBorder="1" applyAlignment="1">
      <alignment vertical="center"/>
    </xf>
    <xf numFmtId="176" fontId="17" fillId="26" borderId="65" xfId="0" applyNumberFormat="1" applyFont="1" applyFill="1" applyBorder="1" applyAlignment="1">
      <alignment horizontal="right" vertical="center"/>
    </xf>
    <xf numFmtId="3" fontId="58" fillId="26" borderId="26" xfId="0" applyNumberFormat="1" applyFont="1" applyFill="1" applyBorder="1" applyAlignment="1">
      <alignment vertical="center"/>
    </xf>
    <xf numFmtId="3" fontId="18" fillId="26" borderId="38" xfId="0" applyNumberFormat="1" applyFont="1" applyFill="1" applyBorder="1" applyAlignment="1">
      <alignment horizontal="center" vertical="center" wrapText="1"/>
    </xf>
    <xf numFmtId="3" fontId="20" fillId="26" borderId="39" xfId="0" applyNumberFormat="1" applyFont="1" applyFill="1" applyBorder="1" applyAlignment="1">
      <alignment vertical="center"/>
    </xf>
    <xf numFmtId="3" fontId="58" fillId="26" borderId="67" xfId="0" applyNumberFormat="1" applyFont="1" applyFill="1" applyBorder="1" applyAlignment="1">
      <alignment vertical="center"/>
    </xf>
    <xf numFmtId="178" fontId="58" fillId="26" borderId="26" xfId="0" applyNumberFormat="1" applyFont="1" applyFill="1" applyBorder="1" applyAlignment="1">
      <alignment horizontal="right" vertical="center"/>
    </xf>
    <xf numFmtId="0" fontId="17" fillId="26" borderId="76" xfId="0" applyFont="1" applyFill="1" applyBorder="1" applyAlignment="1">
      <alignment vertical="center"/>
    </xf>
    <xf numFmtId="0" fontId="17" fillId="26" borderId="22" xfId="0" applyFont="1" applyFill="1" applyBorder="1" applyAlignment="1">
      <alignment vertical="center"/>
    </xf>
    <xf numFmtId="0" fontId="13" fillId="26" borderId="49" xfId="28" applyFill="1" applyBorder="1" applyAlignment="1" applyProtection="1">
      <alignment horizontal="distributed" vertical="center"/>
    </xf>
    <xf numFmtId="3" fontId="22" fillId="26" borderId="14" xfId="0" applyNumberFormat="1" applyFont="1" applyFill="1" applyBorder="1" applyAlignment="1">
      <alignment horizontal="center" vertical="center" wrapText="1"/>
    </xf>
    <xf numFmtId="3" fontId="22" fillId="26" borderId="24" xfId="0" applyNumberFormat="1" applyFont="1" applyFill="1" applyBorder="1" applyAlignment="1">
      <alignment horizontal="center" vertical="center" wrapText="1"/>
    </xf>
    <xf numFmtId="3" fontId="58" fillId="26" borderId="28" xfId="0" applyNumberFormat="1" applyFont="1" applyFill="1" applyBorder="1" applyAlignment="1">
      <alignment vertical="center"/>
    </xf>
    <xf numFmtId="0" fontId="15" fillId="26" borderId="10" xfId="0" applyFont="1" applyFill="1" applyBorder="1" applyAlignment="1">
      <alignment horizontal="center" vertical="center"/>
    </xf>
    <xf numFmtId="0" fontId="58" fillId="26" borderId="10" xfId="0" applyFont="1" applyFill="1" applyBorder="1" applyAlignment="1">
      <alignment vertical="center"/>
    </xf>
    <xf numFmtId="0" fontId="20" fillId="26" borderId="10" xfId="0" applyFont="1" applyFill="1" applyBorder="1" applyAlignment="1">
      <alignment vertical="center"/>
    </xf>
    <xf numFmtId="3" fontId="58" fillId="26" borderId="10" xfId="0" applyNumberFormat="1" applyFont="1" applyFill="1" applyBorder="1" applyAlignment="1">
      <alignment vertical="center"/>
    </xf>
    <xf numFmtId="0" fontId="20" fillId="26" borderId="30" xfId="0" applyFont="1" applyFill="1" applyBorder="1" applyAlignment="1">
      <alignment vertical="center"/>
    </xf>
    <xf numFmtId="3" fontId="58" fillId="26" borderId="58" xfId="0" applyNumberFormat="1" applyFont="1" applyFill="1" applyBorder="1" applyAlignment="1">
      <alignment vertical="center"/>
    </xf>
    <xf numFmtId="3" fontId="20" fillId="26" borderId="21" xfId="0" applyNumberFormat="1" applyFont="1" applyFill="1" applyBorder="1" applyAlignment="1">
      <alignment vertical="center"/>
    </xf>
    <xf numFmtId="178" fontId="58" fillId="26" borderId="20" xfId="0" applyNumberFormat="1" applyFont="1" applyFill="1" applyBorder="1" applyAlignment="1">
      <alignment horizontal="right" vertical="center"/>
    </xf>
    <xf numFmtId="0" fontId="19" fillId="26" borderId="0" xfId="0" applyFont="1" applyFill="1" applyAlignment="1">
      <alignment vertical="center"/>
    </xf>
    <xf numFmtId="3" fontId="16" fillId="26" borderId="0" xfId="0" applyNumberFormat="1" applyFont="1" applyFill="1" applyAlignment="1">
      <alignment vertical="center"/>
    </xf>
    <xf numFmtId="0" fontId="19" fillId="26" borderId="0" xfId="0" applyFont="1" applyFill="1"/>
    <xf numFmtId="3" fontId="16" fillId="26" borderId="0" xfId="0" applyNumberFormat="1" applyFont="1" applyFill="1"/>
    <xf numFmtId="3" fontId="20" fillId="26" borderId="23" xfId="0" applyNumberFormat="1" applyFont="1" applyFill="1" applyBorder="1" applyAlignment="1">
      <alignment vertical="center" shrinkToFit="1"/>
    </xf>
    <xf numFmtId="3" fontId="20" fillId="26" borderId="25" xfId="0" applyNumberFormat="1" applyFont="1" applyFill="1" applyBorder="1" applyAlignment="1">
      <alignment vertical="center" shrinkToFit="1"/>
    </xf>
    <xf numFmtId="0" fontId="79" fillId="0" borderId="0" xfId="0" applyFont="1" applyAlignment="1">
      <alignment vertical="top"/>
    </xf>
    <xf numFmtId="0" fontId="79" fillId="0" borderId="0" xfId="0" applyFont="1" applyAlignment="1">
      <alignment vertical="center" textRotation="255"/>
    </xf>
    <xf numFmtId="0" fontId="79" fillId="0" borderId="0" xfId="0" applyFont="1" applyAlignment="1">
      <alignment horizontal="center" vertical="top"/>
    </xf>
    <xf numFmtId="3" fontId="79" fillId="0" borderId="0" xfId="0" applyNumberFormat="1" applyFont="1" applyAlignment="1">
      <alignment vertical="top"/>
    </xf>
    <xf numFmtId="0" fontId="21" fillId="26" borderId="26" xfId="0" applyFont="1" applyFill="1" applyBorder="1" applyAlignment="1">
      <alignment horizontal="center" vertical="center"/>
    </xf>
    <xf numFmtId="0" fontId="20" fillId="26" borderId="0" xfId="0" applyFont="1" applyFill="1" applyAlignment="1">
      <alignment horizontal="right" vertical="center"/>
    </xf>
    <xf numFmtId="0" fontId="17" fillId="26" borderId="11" xfId="0" applyFont="1" applyFill="1" applyBorder="1" applyAlignment="1">
      <alignment horizontal="center" vertical="center"/>
    </xf>
    <xf numFmtId="0" fontId="17" fillId="26" borderId="42" xfId="0" applyFont="1" applyFill="1" applyBorder="1" applyAlignment="1">
      <alignment horizontal="center" vertical="center"/>
    </xf>
    <xf numFmtId="3" fontId="58" fillId="26" borderId="20" xfId="0" applyNumberFormat="1" applyFont="1" applyFill="1" applyBorder="1" applyAlignment="1">
      <alignment horizontal="right" vertical="center"/>
    </xf>
    <xf numFmtId="0" fontId="20" fillId="26" borderId="0" xfId="0" applyFont="1" applyFill="1" applyAlignment="1">
      <alignment horizontal="center" vertical="center"/>
    </xf>
    <xf numFmtId="189" fontId="79" fillId="0" borderId="0" xfId="0" applyNumberFormat="1" applyFont="1" applyAlignment="1">
      <alignment vertical="top"/>
    </xf>
    <xf numFmtId="0" fontId="17" fillId="26" borderId="30" xfId="0" applyFont="1" applyFill="1" applyBorder="1" applyAlignment="1">
      <alignment horizontal="left" vertical="center"/>
    </xf>
    <xf numFmtId="0" fontId="21" fillId="26" borderId="33" xfId="0" applyFont="1" applyFill="1" applyBorder="1" applyAlignment="1">
      <alignment horizontal="center" vertical="center"/>
    </xf>
    <xf numFmtId="0" fontId="21" fillId="26" borderId="27"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34" xfId="0" applyFont="1" applyFill="1" applyBorder="1" applyAlignment="1">
      <alignment horizontal="center" vertical="center"/>
    </xf>
    <xf numFmtId="0" fontId="21" fillId="26" borderId="35" xfId="0" applyFont="1" applyFill="1" applyBorder="1" applyAlignment="1">
      <alignment horizontal="distributed" vertical="center"/>
    </xf>
    <xf numFmtId="3" fontId="17" fillId="26" borderId="16" xfId="0" applyNumberFormat="1" applyFont="1" applyFill="1" applyBorder="1" applyAlignment="1">
      <alignment horizontal="distributed" vertical="center"/>
    </xf>
    <xf numFmtId="3" fontId="27" fillId="26" borderId="17" xfId="0" applyNumberFormat="1" applyFont="1" applyFill="1" applyBorder="1" applyAlignment="1">
      <alignment vertical="center"/>
    </xf>
    <xf numFmtId="3" fontId="27" fillId="26" borderId="65" xfId="0" applyNumberFormat="1" applyFont="1" applyFill="1" applyBorder="1" applyAlignment="1">
      <alignment vertical="center"/>
    </xf>
    <xf numFmtId="0" fontId="21" fillId="26" borderId="36" xfId="0" applyFont="1" applyFill="1" applyBorder="1" applyAlignment="1">
      <alignment vertical="center" wrapText="1"/>
    </xf>
    <xf numFmtId="0" fontId="21" fillId="26" borderId="43" xfId="0" applyFont="1" applyFill="1" applyBorder="1" applyAlignment="1">
      <alignment horizontal="distributed" vertical="center"/>
    </xf>
    <xf numFmtId="3" fontId="17" fillId="26" borderId="29" xfId="0" applyNumberFormat="1" applyFont="1" applyFill="1" applyBorder="1" applyAlignment="1">
      <alignment horizontal="distributed" vertical="center"/>
    </xf>
    <xf numFmtId="3" fontId="20" fillId="26" borderId="44" xfId="0" applyNumberFormat="1" applyFont="1" applyFill="1" applyBorder="1" applyAlignment="1">
      <alignment vertical="center"/>
    </xf>
    <xf numFmtId="0" fontId="21" fillId="26" borderId="45" xfId="0" applyFont="1" applyFill="1" applyBorder="1" applyAlignment="1">
      <alignment vertical="center" wrapText="1"/>
    </xf>
    <xf numFmtId="3" fontId="17" fillId="26" borderId="12" xfId="0" applyNumberFormat="1" applyFont="1" applyFill="1" applyBorder="1" applyAlignment="1">
      <alignment horizontal="distributed" vertical="center"/>
    </xf>
    <xf numFmtId="3" fontId="20" fillId="26" borderId="10" xfId="0" applyNumberFormat="1" applyFont="1" applyFill="1" applyBorder="1" applyAlignment="1">
      <alignment vertical="center"/>
    </xf>
    <xf numFmtId="3" fontId="27" fillId="26" borderId="30" xfId="0" applyNumberFormat="1" applyFont="1" applyFill="1" applyBorder="1" applyAlignment="1">
      <alignment vertical="center"/>
    </xf>
    <xf numFmtId="3" fontId="27" fillId="26" borderId="10" xfId="0" applyNumberFormat="1" applyFont="1" applyFill="1" applyBorder="1" applyAlignment="1">
      <alignment vertical="center"/>
    </xf>
    <xf numFmtId="3" fontId="27" fillId="26" borderId="58" xfId="0" applyNumberFormat="1" applyFont="1" applyFill="1" applyBorder="1" applyAlignment="1">
      <alignment vertical="center"/>
    </xf>
    <xf numFmtId="3" fontId="21" fillId="26" borderId="37" xfId="0" applyNumberFormat="1" applyFont="1" applyFill="1" applyBorder="1" applyAlignment="1">
      <alignment vertical="center" wrapText="1"/>
    </xf>
    <xf numFmtId="3" fontId="29" fillId="26" borderId="20" xfId="0" applyNumberFormat="1" applyFont="1" applyFill="1" applyBorder="1" applyAlignment="1">
      <alignment vertical="center" wrapText="1"/>
    </xf>
    <xf numFmtId="3" fontId="27" fillId="26" borderId="20" xfId="0" applyNumberFormat="1" applyFont="1" applyFill="1" applyBorder="1" applyAlignment="1">
      <alignment vertical="center"/>
    </xf>
    <xf numFmtId="3" fontId="27" fillId="26" borderId="59" xfId="0" applyNumberFormat="1" applyFont="1" applyFill="1" applyBorder="1" applyAlignment="1">
      <alignment vertical="center"/>
    </xf>
    <xf numFmtId="3" fontId="29" fillId="26" borderId="16" xfId="0" applyNumberFormat="1" applyFont="1" applyFill="1" applyBorder="1" applyAlignment="1">
      <alignment vertical="center"/>
    </xf>
    <xf numFmtId="0" fontId="21" fillId="26" borderId="36" xfId="0" applyFont="1" applyFill="1" applyBorder="1" applyAlignment="1">
      <alignment horizontal="center" vertical="center" wrapText="1"/>
    </xf>
    <xf numFmtId="3" fontId="21" fillId="26" borderId="35" xfId="0" applyNumberFormat="1" applyFont="1" applyFill="1" applyBorder="1" applyAlignment="1">
      <alignment horizontal="right" vertical="center"/>
    </xf>
    <xf numFmtId="3" fontId="17" fillId="26" borderId="19" xfId="0" applyNumberFormat="1" applyFont="1" applyFill="1" applyBorder="1" applyAlignment="1">
      <alignment horizontal="distributed" vertical="center"/>
    </xf>
    <xf numFmtId="3" fontId="17" fillId="26" borderId="0" xfId="0" applyNumberFormat="1" applyFont="1" applyFill="1"/>
    <xf numFmtId="3" fontId="21" fillId="26" borderId="36" xfId="0" applyNumberFormat="1" applyFont="1" applyFill="1" applyBorder="1" applyAlignment="1">
      <alignment horizontal="right" vertical="center"/>
    </xf>
    <xf numFmtId="3" fontId="17" fillId="26" borderId="46" xfId="0" applyNumberFormat="1" applyFont="1" applyFill="1" applyBorder="1" applyAlignment="1">
      <alignment horizontal="distributed" vertical="center"/>
    </xf>
    <xf numFmtId="3" fontId="20" fillId="26" borderId="47" xfId="0" applyNumberFormat="1" applyFont="1" applyFill="1" applyBorder="1" applyAlignment="1">
      <alignment vertical="center"/>
    </xf>
    <xf numFmtId="3" fontId="27" fillId="26" borderId="47" xfId="0" applyNumberFormat="1" applyFont="1" applyFill="1" applyBorder="1" applyAlignment="1">
      <alignment vertical="center"/>
    </xf>
    <xf numFmtId="3" fontId="29" fillId="26" borderId="47" xfId="0" applyNumberFormat="1" applyFont="1" applyFill="1" applyBorder="1" applyAlignment="1">
      <alignment vertical="center"/>
    </xf>
    <xf numFmtId="3" fontId="27" fillId="26" borderId="50" xfId="0" applyNumberFormat="1" applyFont="1" applyFill="1" applyBorder="1" applyAlignment="1">
      <alignment vertical="center"/>
    </xf>
    <xf numFmtId="3" fontId="21" fillId="26" borderId="0" xfId="0" applyNumberFormat="1" applyFont="1" applyFill="1" applyAlignment="1">
      <alignment vertical="center" wrapText="1"/>
    </xf>
    <xf numFmtId="3" fontId="20" fillId="26" borderId="0" xfId="0" applyNumberFormat="1" applyFont="1" applyFill="1" applyAlignment="1">
      <alignment vertical="center"/>
    </xf>
    <xf numFmtId="3" fontId="27" fillId="26" borderId="11" xfId="0" applyNumberFormat="1" applyFont="1" applyFill="1" applyBorder="1" applyAlignment="1">
      <alignment vertical="center"/>
    </xf>
    <xf numFmtId="3" fontId="27" fillId="26" borderId="0" xfId="0" applyNumberFormat="1" applyFont="1" applyFill="1" applyAlignment="1">
      <alignment vertical="center"/>
    </xf>
    <xf numFmtId="3" fontId="29" fillId="26" borderId="0" xfId="0" applyNumberFormat="1" applyFont="1" applyFill="1" applyAlignment="1">
      <alignment vertical="center"/>
    </xf>
    <xf numFmtId="0" fontId="30" fillId="26" borderId="48" xfId="0" applyFont="1" applyFill="1" applyBorder="1" applyAlignment="1">
      <alignment horizontal="distributed" vertical="center"/>
    </xf>
    <xf numFmtId="3" fontId="17" fillId="26" borderId="26" xfId="0" applyNumberFormat="1" applyFont="1" applyFill="1" applyBorder="1" applyAlignment="1">
      <alignment horizontal="distributed" vertical="center"/>
    </xf>
    <xf numFmtId="3" fontId="27" fillId="26" borderId="38" xfId="0" applyNumberFormat="1" applyFont="1" applyFill="1" applyBorder="1" applyAlignment="1">
      <alignment vertical="center"/>
    </xf>
    <xf numFmtId="3" fontId="29" fillId="26" borderId="26" xfId="0" applyNumberFormat="1" applyFont="1" applyFill="1" applyBorder="1" applyAlignment="1">
      <alignment vertical="center"/>
    </xf>
    <xf numFmtId="3" fontId="17" fillId="26" borderId="27" xfId="0" applyNumberFormat="1" applyFont="1" applyFill="1" applyBorder="1" applyAlignment="1">
      <alignment horizontal="distributed" vertical="center"/>
    </xf>
    <xf numFmtId="3" fontId="27" fillId="26" borderId="18" xfId="0" applyNumberFormat="1" applyFont="1" applyFill="1" applyBorder="1" applyAlignment="1">
      <alignment vertical="center"/>
    </xf>
    <xf numFmtId="3" fontId="29" fillId="26" borderId="27" xfId="0" applyNumberFormat="1" applyFont="1" applyFill="1" applyBorder="1" applyAlignment="1">
      <alignment vertical="center"/>
    </xf>
    <xf numFmtId="3" fontId="27" fillId="26" borderId="34" xfId="0" applyNumberFormat="1" applyFont="1" applyFill="1" applyBorder="1" applyAlignment="1">
      <alignment vertical="center"/>
    </xf>
    <xf numFmtId="3" fontId="17" fillId="26" borderId="13" xfId="0" applyNumberFormat="1" applyFont="1" applyFill="1" applyBorder="1" applyAlignment="1">
      <alignment horizontal="distributed" vertical="center"/>
    </xf>
    <xf numFmtId="3" fontId="27" fillId="26" borderId="14" xfId="0" applyNumberFormat="1" applyFont="1" applyFill="1" applyBorder="1" applyAlignment="1">
      <alignment vertical="center"/>
    </xf>
    <xf numFmtId="3" fontId="29" fillId="26" borderId="13" xfId="0" applyNumberFormat="1" applyFont="1" applyFill="1" applyBorder="1" applyAlignment="1">
      <alignment vertical="center"/>
    </xf>
    <xf numFmtId="3" fontId="29" fillId="26" borderId="10" xfId="0" applyNumberFormat="1" applyFont="1" applyFill="1" applyBorder="1" applyAlignment="1">
      <alignment vertical="center"/>
    </xf>
    <xf numFmtId="0" fontId="21" fillId="26" borderId="71" xfId="0" applyFont="1" applyFill="1" applyBorder="1" applyAlignment="1">
      <alignment horizontal="distributed" vertical="center"/>
    </xf>
    <xf numFmtId="3" fontId="17" fillId="26" borderId="0" xfId="0" applyNumberFormat="1" applyFont="1" applyFill="1" applyAlignment="1">
      <alignment horizontal="distributed" vertical="center"/>
    </xf>
    <xf numFmtId="3" fontId="17" fillId="26" borderId="31" xfId="0" applyNumberFormat="1" applyFont="1" applyFill="1" applyBorder="1" applyAlignment="1">
      <alignment horizontal="distributed" vertical="center"/>
    </xf>
    <xf numFmtId="0" fontId="21" fillId="26" borderId="40" xfId="0" applyFont="1" applyFill="1" applyBorder="1" applyAlignment="1">
      <alignment vertical="center" wrapText="1"/>
    </xf>
    <xf numFmtId="3" fontId="17" fillId="26" borderId="41" xfId="0" applyNumberFormat="1" applyFont="1" applyFill="1" applyBorder="1" applyAlignment="1">
      <alignment horizontal="distributed" vertical="center"/>
    </xf>
    <xf numFmtId="3" fontId="21" fillId="26" borderId="40" xfId="0" applyNumberFormat="1" applyFont="1" applyFill="1" applyBorder="1" applyAlignment="1">
      <alignment vertical="center" wrapText="1"/>
    </xf>
    <xf numFmtId="3" fontId="29" fillId="26" borderId="41" xfId="0" applyNumberFormat="1" applyFont="1" applyFill="1" applyBorder="1" applyAlignment="1">
      <alignment horizontal="right" vertical="center"/>
    </xf>
    <xf numFmtId="3" fontId="27" fillId="0" borderId="65" xfId="0" applyNumberFormat="1" applyFont="1" applyBorder="1" applyAlignment="1" applyProtection="1">
      <alignment vertical="center"/>
      <protection locked="0"/>
    </xf>
    <xf numFmtId="3" fontId="27" fillId="0" borderId="14" xfId="0" applyNumberFormat="1" applyFont="1" applyBorder="1" applyAlignment="1" applyProtection="1">
      <alignment vertical="center"/>
      <protection locked="0"/>
    </xf>
    <xf numFmtId="3" fontId="27" fillId="0" borderId="67" xfId="0" applyNumberFormat="1" applyFont="1" applyBorder="1" applyAlignment="1" applyProtection="1">
      <alignment vertical="center"/>
      <protection locked="0"/>
    </xf>
    <xf numFmtId="3" fontId="27" fillId="0" borderId="34" xfId="0" applyNumberFormat="1" applyFont="1" applyBorder="1" applyAlignment="1" applyProtection="1">
      <alignment vertical="center"/>
      <protection locked="0"/>
    </xf>
    <xf numFmtId="3" fontId="27" fillId="0" borderId="15" xfId="0" applyNumberFormat="1" applyFont="1" applyBorder="1" applyAlignment="1" applyProtection="1">
      <alignment vertical="center"/>
      <protection locked="0"/>
    </xf>
    <xf numFmtId="0" fontId="21" fillId="26" borderId="19" xfId="0" applyFont="1" applyFill="1" applyBorder="1" applyAlignment="1">
      <alignment horizontal="center" vertical="center"/>
    </xf>
    <xf numFmtId="3" fontId="27" fillId="26" borderId="16" xfId="0" applyNumberFormat="1" applyFont="1" applyFill="1" applyBorder="1" applyAlignment="1">
      <alignment vertical="center"/>
    </xf>
    <xf numFmtId="3" fontId="21" fillId="26" borderId="31" xfId="0" applyNumberFormat="1" applyFont="1" applyFill="1" applyBorder="1" applyAlignment="1">
      <alignment vertical="center"/>
    </xf>
    <xf numFmtId="0" fontId="21" fillId="26" borderId="43" xfId="0" applyFont="1" applyFill="1" applyBorder="1" applyAlignment="1">
      <alignment vertical="center" wrapText="1"/>
    </xf>
    <xf numFmtId="3" fontId="27" fillId="26" borderId="44" xfId="0" applyNumberFormat="1" applyFont="1" applyFill="1" applyBorder="1" applyAlignment="1">
      <alignment vertical="center"/>
    </xf>
    <xf numFmtId="3" fontId="20" fillId="26" borderId="46" xfId="0" applyNumberFormat="1" applyFont="1" applyFill="1" applyBorder="1" applyAlignment="1">
      <alignment vertical="center"/>
    </xf>
    <xf numFmtId="3" fontId="27" fillId="26" borderId="21" xfId="0" applyNumberFormat="1" applyFont="1" applyFill="1" applyBorder="1" applyAlignment="1">
      <alignment vertical="center"/>
    </xf>
    <xf numFmtId="3" fontId="21" fillId="26" borderId="28" xfId="0" applyNumberFormat="1" applyFont="1" applyFill="1" applyBorder="1" applyAlignment="1">
      <alignment vertical="center" wrapText="1"/>
    </xf>
    <xf numFmtId="3" fontId="29" fillId="26" borderId="28" xfId="0" applyNumberFormat="1" applyFont="1" applyFill="1" applyBorder="1" applyAlignment="1">
      <alignment vertical="center"/>
    </xf>
    <xf numFmtId="0" fontId="21" fillId="26" borderId="45" xfId="0" applyFont="1" applyFill="1" applyBorder="1" applyAlignment="1">
      <alignment horizontal="distributed" vertical="center"/>
    </xf>
    <xf numFmtId="0" fontId="21" fillId="26" borderId="51" xfId="0" applyFont="1" applyFill="1" applyBorder="1" applyAlignment="1">
      <alignment horizontal="distributed" vertical="center"/>
    </xf>
    <xf numFmtId="3" fontId="27" fillId="26" borderId="27" xfId="0" applyNumberFormat="1" applyFont="1" applyFill="1" applyBorder="1" applyAlignment="1">
      <alignment vertical="center"/>
    </xf>
    <xf numFmtId="0" fontId="21" fillId="26" borderId="36" xfId="0" applyFont="1" applyFill="1" applyBorder="1" applyAlignment="1">
      <alignment horizontal="distributed" vertical="center"/>
    </xf>
    <xf numFmtId="0" fontId="18" fillId="26" borderId="36" xfId="0" applyFont="1" applyFill="1" applyBorder="1" applyAlignment="1">
      <alignment horizontal="distributed" vertical="center"/>
    </xf>
    <xf numFmtId="0" fontId="30" fillId="26" borderId="36" xfId="0" applyFont="1" applyFill="1" applyBorder="1" applyAlignment="1">
      <alignment horizontal="distributed" vertical="center"/>
    </xf>
    <xf numFmtId="0" fontId="21" fillId="26" borderId="0" xfId="0" applyFont="1" applyFill="1" applyAlignment="1">
      <alignment horizontal="distributed" vertical="center"/>
    </xf>
    <xf numFmtId="3" fontId="17" fillId="26" borderId="0" xfId="0" applyNumberFormat="1" applyFont="1" applyFill="1" applyAlignment="1">
      <alignment vertical="center"/>
    </xf>
    <xf numFmtId="3" fontId="31" fillId="26" borderId="0" xfId="0" applyNumberFormat="1" applyFont="1" applyFill="1" applyAlignment="1">
      <alignment vertical="center"/>
    </xf>
    <xf numFmtId="3" fontId="18" fillId="26" borderId="0" xfId="0" applyNumberFormat="1" applyFont="1" applyFill="1" applyAlignment="1">
      <alignment vertical="center"/>
    </xf>
    <xf numFmtId="3" fontId="22" fillId="26" borderId="39" xfId="0" applyNumberFormat="1" applyFont="1" applyFill="1" applyBorder="1" applyAlignment="1">
      <alignment horizontal="distributed" vertical="center" wrapText="1"/>
    </xf>
    <xf numFmtId="3" fontId="32" fillId="26" borderId="0" xfId="0" applyNumberFormat="1" applyFont="1" applyFill="1" applyAlignment="1">
      <alignment vertical="center"/>
    </xf>
    <xf numFmtId="3" fontId="27" fillId="0" borderId="26" xfId="0" applyNumberFormat="1" applyFont="1" applyBorder="1" applyAlignment="1" applyProtection="1">
      <alignment vertical="center"/>
      <protection locked="0"/>
    </xf>
    <xf numFmtId="3" fontId="27" fillId="0" borderId="27" xfId="0" applyNumberFormat="1" applyFont="1" applyBorder="1" applyAlignment="1" applyProtection="1">
      <alignment vertical="center"/>
      <protection locked="0"/>
    </xf>
    <xf numFmtId="3" fontId="27" fillId="0" borderId="17" xfId="0" quotePrefix="1" applyNumberFormat="1" applyFont="1" applyBorder="1" applyAlignment="1" applyProtection="1">
      <alignment horizontal="right" vertical="center"/>
      <protection locked="0"/>
    </xf>
    <xf numFmtId="3" fontId="27" fillId="0" borderId="17" xfId="0" applyNumberFormat="1" applyFont="1" applyBorder="1" applyAlignment="1" applyProtection="1">
      <alignment vertical="center" wrapText="1"/>
      <protection locked="0"/>
    </xf>
    <xf numFmtId="3" fontId="18" fillId="26" borderId="17" xfId="0" applyNumberFormat="1" applyFont="1" applyFill="1" applyBorder="1" applyAlignment="1">
      <alignment vertical="center" wrapText="1"/>
    </xf>
    <xf numFmtId="3" fontId="20" fillId="26" borderId="60" xfId="0" applyNumberFormat="1" applyFont="1" applyFill="1" applyBorder="1" applyAlignment="1">
      <alignment vertical="center"/>
    </xf>
    <xf numFmtId="3" fontId="30" fillId="26" borderId="60" xfId="0" applyNumberFormat="1" applyFont="1" applyFill="1" applyBorder="1" applyAlignment="1">
      <alignment vertical="center"/>
    </xf>
    <xf numFmtId="3" fontId="27" fillId="26" borderId="17" xfId="0" quotePrefix="1" applyNumberFormat="1" applyFont="1" applyFill="1" applyBorder="1" applyAlignment="1">
      <alignment horizontal="right" vertical="center"/>
    </xf>
    <xf numFmtId="3" fontId="63" fillId="26" borderId="17" xfId="0" applyNumberFormat="1" applyFont="1" applyFill="1" applyBorder="1" applyAlignment="1">
      <alignment vertical="center" wrapText="1"/>
    </xf>
    <xf numFmtId="3" fontId="16" fillId="26" borderId="60" xfId="0" applyNumberFormat="1" applyFont="1" applyFill="1" applyBorder="1" applyAlignment="1">
      <alignment vertical="center"/>
    </xf>
    <xf numFmtId="0" fontId="17" fillId="26" borderId="18" xfId="0" applyFont="1" applyFill="1" applyBorder="1"/>
    <xf numFmtId="0" fontId="17" fillId="26" borderId="19" xfId="0" applyFont="1" applyFill="1" applyBorder="1"/>
    <xf numFmtId="3" fontId="57" fillId="26" borderId="17" xfId="0" applyNumberFormat="1" applyFont="1" applyFill="1" applyBorder="1" applyAlignment="1">
      <alignment vertical="center" wrapText="1"/>
    </xf>
    <xf numFmtId="3" fontId="32" fillId="26" borderId="17" xfId="0" applyNumberFormat="1" applyFont="1" applyFill="1" applyBorder="1" applyAlignment="1">
      <alignment vertical="center"/>
    </xf>
    <xf numFmtId="3" fontId="17" fillId="26" borderId="17" xfId="0" applyNumberFormat="1" applyFont="1" applyFill="1" applyBorder="1" applyAlignment="1">
      <alignment vertical="center"/>
    </xf>
    <xf numFmtId="3" fontId="22" fillId="26" borderId="18" xfId="0" applyNumberFormat="1" applyFont="1" applyFill="1" applyBorder="1" applyAlignment="1">
      <alignment vertical="center" wrapText="1"/>
    </xf>
    <xf numFmtId="3" fontId="22" fillId="26" borderId="17" xfId="0" applyNumberFormat="1" applyFont="1" applyFill="1" applyBorder="1" applyAlignment="1">
      <alignment vertical="center"/>
    </xf>
    <xf numFmtId="0" fontId="21" fillId="26" borderId="36" xfId="0" applyFont="1" applyFill="1" applyBorder="1" applyAlignment="1">
      <alignment horizontal="right" vertical="center" wrapText="1"/>
    </xf>
    <xf numFmtId="3" fontId="20" fillId="26" borderId="61" xfId="0" applyNumberFormat="1" applyFont="1" applyFill="1" applyBorder="1" applyAlignment="1">
      <alignment vertical="center"/>
    </xf>
    <xf numFmtId="179" fontId="17" fillId="26" borderId="35" xfId="0" applyNumberFormat="1" applyFont="1" applyFill="1" applyBorder="1" applyAlignment="1">
      <alignment vertical="center" shrinkToFit="1"/>
    </xf>
    <xf numFmtId="183" fontId="34" fillId="26" borderId="40" xfId="0" applyNumberFormat="1" applyFont="1" applyFill="1" applyBorder="1" applyAlignment="1">
      <alignment vertical="center" shrinkToFit="1"/>
    </xf>
    <xf numFmtId="3" fontId="17" fillId="26" borderId="53" xfId="0" applyNumberFormat="1" applyFont="1" applyFill="1" applyBorder="1" applyAlignment="1">
      <alignment horizontal="distributed" vertical="center"/>
    </xf>
    <xf numFmtId="0" fontId="21" fillId="26" borderId="36" xfId="0" applyFont="1" applyFill="1" applyBorder="1" applyAlignment="1">
      <alignment horizontal="left" vertical="center"/>
    </xf>
    <xf numFmtId="3" fontId="22" fillId="26" borderId="18" xfId="0" applyNumberFormat="1" applyFont="1" applyFill="1" applyBorder="1" applyAlignment="1">
      <alignment horizontal="center" vertical="center" wrapText="1"/>
    </xf>
    <xf numFmtId="0" fontId="20" fillId="26" borderId="60" xfId="0" applyFont="1" applyFill="1" applyBorder="1" applyAlignment="1">
      <alignment horizontal="right" vertical="center"/>
    </xf>
    <xf numFmtId="3" fontId="17" fillId="26" borderId="18" xfId="0" applyNumberFormat="1" applyFont="1" applyFill="1" applyBorder="1" applyAlignment="1">
      <alignment vertical="center"/>
    </xf>
    <xf numFmtId="3" fontId="27" fillId="26" borderId="17" xfId="0" applyNumberFormat="1" applyFont="1" applyFill="1" applyBorder="1" applyAlignment="1">
      <alignment vertical="center" wrapText="1"/>
    </xf>
    <xf numFmtId="3" fontId="18" fillId="26" borderId="18" xfId="0" applyNumberFormat="1" applyFont="1" applyFill="1" applyBorder="1" applyAlignment="1">
      <alignment horizontal="center" vertical="center" wrapText="1"/>
    </xf>
    <xf numFmtId="3" fontId="22" fillId="26" borderId="52" xfId="0" applyNumberFormat="1" applyFont="1" applyFill="1" applyBorder="1" applyAlignment="1">
      <alignment vertical="center" wrapText="1"/>
    </xf>
    <xf numFmtId="3" fontId="18" fillId="26" borderId="44" xfId="0" applyNumberFormat="1" applyFont="1" applyFill="1" applyBorder="1" applyAlignment="1">
      <alignment horizontal="center" vertical="center" wrapText="1"/>
    </xf>
    <xf numFmtId="3" fontId="20" fillId="26" borderId="63" xfId="0" applyNumberFormat="1" applyFont="1" applyFill="1" applyBorder="1" applyAlignment="1">
      <alignment vertical="center"/>
    </xf>
    <xf numFmtId="3" fontId="17" fillId="26" borderId="44" xfId="0" applyNumberFormat="1" applyFont="1" applyFill="1" applyBorder="1" applyAlignment="1">
      <alignment vertical="center"/>
    </xf>
    <xf numFmtId="180" fontId="17" fillId="26" borderId="35" xfId="0" applyNumberFormat="1" applyFont="1" applyFill="1" applyBorder="1" applyAlignment="1">
      <alignment vertical="center" shrinkToFit="1"/>
    </xf>
    <xf numFmtId="3" fontId="17" fillId="26" borderId="47" xfId="0" applyNumberFormat="1" applyFont="1" applyFill="1" applyBorder="1" applyAlignment="1">
      <alignment horizontal="distributed" vertical="center"/>
    </xf>
    <xf numFmtId="3" fontId="32" fillId="26" borderId="44" xfId="0" applyNumberFormat="1" applyFont="1" applyFill="1" applyBorder="1" applyAlignment="1">
      <alignment vertical="center"/>
    </xf>
    <xf numFmtId="3" fontId="17" fillId="26" borderId="49" xfId="0" applyNumberFormat="1" applyFont="1" applyFill="1" applyBorder="1" applyAlignment="1">
      <alignment horizontal="distributed" vertical="center"/>
    </xf>
    <xf numFmtId="3" fontId="32" fillId="26" borderId="52" xfId="0" applyNumberFormat="1" applyFont="1" applyFill="1" applyBorder="1" applyAlignment="1">
      <alignment vertical="center"/>
    </xf>
    <xf numFmtId="3" fontId="17" fillId="26" borderId="21" xfId="0" applyNumberFormat="1" applyFont="1" applyFill="1" applyBorder="1" applyAlignment="1">
      <alignment vertical="center"/>
    </xf>
    <xf numFmtId="0" fontId="21" fillId="26" borderId="60" xfId="0" applyFont="1" applyFill="1" applyBorder="1" applyAlignment="1">
      <alignment horizontal="center" vertical="center"/>
    </xf>
    <xf numFmtId="0" fontId="21" fillId="26" borderId="36" xfId="0" applyFont="1" applyFill="1" applyBorder="1" applyAlignment="1">
      <alignment horizontal="distributed" vertical="center" wrapText="1"/>
    </xf>
    <xf numFmtId="3" fontId="21" fillId="26" borderId="16" xfId="0" applyNumberFormat="1" applyFont="1" applyFill="1" applyBorder="1" applyAlignment="1">
      <alignment horizontal="distributed" vertical="center"/>
    </xf>
    <xf numFmtId="3" fontId="62" fillId="26" borderId="17" xfId="0" applyNumberFormat="1" applyFont="1" applyFill="1" applyBorder="1" applyAlignment="1">
      <alignment vertical="center"/>
    </xf>
    <xf numFmtId="3" fontId="62" fillId="26" borderId="16" xfId="0" applyNumberFormat="1" applyFont="1" applyFill="1" applyBorder="1" applyAlignment="1">
      <alignment vertical="center"/>
    </xf>
    <xf numFmtId="3" fontId="62" fillId="26" borderId="65" xfId="0" applyNumberFormat="1" applyFont="1" applyFill="1" applyBorder="1" applyAlignment="1">
      <alignment vertical="center"/>
    </xf>
    <xf numFmtId="3" fontId="21" fillId="26" borderId="11" xfId="0" applyNumberFormat="1" applyFont="1" applyFill="1" applyBorder="1" applyAlignment="1">
      <alignment vertical="center" wrapText="1"/>
    </xf>
    <xf numFmtId="3" fontId="23" fillId="26" borderId="0" xfId="0" applyNumberFormat="1" applyFont="1" applyFill="1" applyAlignment="1">
      <alignment vertical="center"/>
    </xf>
    <xf numFmtId="0" fontId="21" fillId="26" borderId="48" xfId="0" applyFont="1" applyFill="1" applyBorder="1" applyAlignment="1">
      <alignment horizontal="distributed" vertical="center"/>
    </xf>
    <xf numFmtId="3" fontId="22" fillId="26" borderId="38" xfId="0" applyNumberFormat="1" applyFont="1" applyFill="1" applyBorder="1" applyAlignment="1">
      <alignment horizontal="center" vertical="center" wrapText="1"/>
    </xf>
    <xf numFmtId="3" fontId="20" fillId="26" borderId="11" xfId="0" applyNumberFormat="1" applyFont="1" applyFill="1" applyBorder="1" applyAlignment="1">
      <alignment vertical="center"/>
    </xf>
    <xf numFmtId="3" fontId="20" fillId="26" borderId="12" xfId="0" applyNumberFormat="1" applyFont="1" applyFill="1" applyBorder="1" applyAlignment="1">
      <alignment vertical="center"/>
    </xf>
    <xf numFmtId="3" fontId="27" fillId="26" borderId="18" xfId="0" applyNumberFormat="1" applyFont="1" applyFill="1" applyBorder="1" applyAlignment="1">
      <alignment horizontal="right" vertical="center"/>
    </xf>
    <xf numFmtId="0" fontId="22" fillId="26" borderId="51" xfId="0" applyFont="1" applyFill="1" applyBorder="1" applyAlignment="1">
      <alignment horizontal="distributed" vertical="center"/>
    </xf>
    <xf numFmtId="3" fontId="27" fillId="26" borderId="17" xfId="0" applyNumberFormat="1" applyFont="1" applyFill="1" applyBorder="1" applyAlignment="1">
      <alignment horizontal="right" vertical="center"/>
    </xf>
    <xf numFmtId="3" fontId="21" fillId="26" borderId="27" xfId="0" applyNumberFormat="1" applyFont="1" applyFill="1" applyBorder="1" applyAlignment="1">
      <alignment vertical="center"/>
    </xf>
    <xf numFmtId="3" fontId="27" fillId="26" borderId="27" xfId="0" applyNumberFormat="1" applyFont="1" applyFill="1" applyBorder="1" applyAlignment="1">
      <alignment horizontal="right" vertical="center"/>
    </xf>
    <xf numFmtId="3" fontId="22" fillId="26" borderId="44" xfId="0" applyNumberFormat="1" applyFont="1" applyFill="1" applyBorder="1" applyAlignment="1">
      <alignment horizontal="center" vertical="center" wrapText="1"/>
    </xf>
    <xf numFmtId="3" fontId="22" fillId="26" borderId="17" xfId="0" applyNumberFormat="1" applyFont="1" applyFill="1" applyBorder="1" applyAlignment="1">
      <alignment horizontal="center" vertical="center" wrapText="1"/>
    </xf>
    <xf numFmtId="3" fontId="30" fillId="26" borderId="31" xfId="0" applyNumberFormat="1" applyFont="1" applyFill="1" applyBorder="1" applyAlignment="1">
      <alignment horizontal="distributed" vertical="center"/>
    </xf>
    <xf numFmtId="3" fontId="62" fillId="26" borderId="44" xfId="0" applyNumberFormat="1" applyFont="1" applyFill="1" applyBorder="1" applyAlignment="1">
      <alignment vertical="center"/>
    </xf>
    <xf numFmtId="3" fontId="62" fillId="26" borderId="20" xfId="0" applyNumberFormat="1" applyFont="1" applyFill="1" applyBorder="1" applyAlignment="1">
      <alignment vertical="center"/>
    </xf>
    <xf numFmtId="3" fontId="19" fillId="26" borderId="0" xfId="0" applyNumberFormat="1" applyFont="1" applyFill="1" applyAlignment="1">
      <alignment vertical="center"/>
    </xf>
    <xf numFmtId="3" fontId="27" fillId="0" borderId="10" xfId="0" applyNumberFormat="1" applyFont="1" applyBorder="1" applyAlignment="1" applyProtection="1">
      <alignment vertical="center"/>
      <protection locked="0"/>
    </xf>
    <xf numFmtId="3" fontId="27" fillId="0" borderId="58" xfId="0" applyNumberFormat="1" applyFont="1" applyBorder="1" applyAlignment="1" applyProtection="1">
      <alignment vertical="center"/>
      <protection locked="0"/>
    </xf>
    <xf numFmtId="0" fontId="21" fillId="26" borderId="56" xfId="0" applyFont="1" applyFill="1" applyBorder="1" applyAlignment="1">
      <alignment horizontal="center" vertical="center"/>
    </xf>
    <xf numFmtId="3" fontId="20" fillId="26" borderId="17" xfId="0" applyNumberFormat="1" applyFont="1" applyFill="1" applyBorder="1" applyAlignment="1">
      <alignment vertical="center" wrapText="1"/>
    </xf>
    <xf numFmtId="3" fontId="22" fillId="26" borderId="19" xfId="0" applyNumberFormat="1" applyFont="1" applyFill="1" applyBorder="1" applyAlignment="1">
      <alignment vertical="center" wrapText="1"/>
    </xf>
    <xf numFmtId="0" fontId="21" fillId="26" borderId="11" xfId="0" applyFont="1" applyFill="1" applyBorder="1" applyAlignment="1">
      <alignment vertical="center" wrapText="1"/>
    </xf>
    <xf numFmtId="3" fontId="17" fillId="26" borderId="56" xfId="0" applyNumberFormat="1" applyFont="1" applyFill="1" applyBorder="1" applyAlignment="1">
      <alignment horizontal="distributed" vertical="center"/>
    </xf>
    <xf numFmtId="3" fontId="17" fillId="26" borderId="56" xfId="0" applyNumberFormat="1" applyFont="1" applyFill="1" applyBorder="1" applyAlignment="1">
      <alignment vertical="center"/>
    </xf>
    <xf numFmtId="3" fontId="32" fillId="26" borderId="56" xfId="0" applyNumberFormat="1" applyFont="1" applyFill="1" applyBorder="1" applyAlignment="1">
      <alignment vertical="center"/>
    </xf>
    <xf numFmtId="3" fontId="32" fillId="26" borderId="11" xfId="0" applyNumberFormat="1" applyFont="1" applyFill="1" applyBorder="1" applyAlignment="1">
      <alignment vertical="center"/>
    </xf>
    <xf numFmtId="3" fontId="17" fillId="26" borderId="11" xfId="0" applyNumberFormat="1" applyFont="1" applyFill="1" applyBorder="1" applyAlignment="1">
      <alignment vertical="center"/>
    </xf>
    <xf numFmtId="3" fontId="22" fillId="26" borderId="11" xfId="0" applyNumberFormat="1" applyFont="1" applyFill="1" applyBorder="1" applyAlignment="1">
      <alignment vertical="center"/>
    </xf>
    <xf numFmtId="0" fontId="21" fillId="26" borderId="0" xfId="0" applyFont="1" applyFill="1" applyAlignment="1">
      <alignment horizontal="center" vertical="center"/>
    </xf>
    <xf numFmtId="3" fontId="22" fillId="26" borderId="0" xfId="0" applyNumberFormat="1" applyFont="1" applyFill="1" applyAlignment="1">
      <alignment vertical="center"/>
    </xf>
    <xf numFmtId="0" fontId="21" fillId="26" borderId="35" xfId="0" applyFont="1" applyFill="1" applyBorder="1" applyAlignment="1">
      <alignment vertical="center" wrapText="1"/>
    </xf>
    <xf numFmtId="3" fontId="22" fillId="26" borderId="0" xfId="0" applyNumberFormat="1" applyFont="1" applyFill="1" applyAlignment="1">
      <alignment vertical="center" wrapText="1"/>
    </xf>
    <xf numFmtId="3" fontId="29" fillId="26" borderId="65" xfId="0" applyNumberFormat="1" applyFont="1" applyFill="1" applyBorder="1" applyAlignment="1">
      <alignment vertical="center"/>
    </xf>
    <xf numFmtId="0" fontId="21" fillId="26" borderId="33" xfId="0" applyFont="1" applyFill="1" applyBorder="1" applyAlignment="1">
      <alignment horizontal="distributed" vertical="center"/>
    </xf>
    <xf numFmtId="3" fontId="21" fillId="26" borderId="19" xfId="0" applyNumberFormat="1" applyFont="1" applyFill="1" applyBorder="1" applyAlignment="1">
      <alignment vertical="center"/>
    </xf>
    <xf numFmtId="0" fontId="21" fillId="26" borderId="57" xfId="0" applyFont="1" applyFill="1" applyBorder="1" applyAlignment="1">
      <alignment vertical="center" wrapText="1"/>
    </xf>
    <xf numFmtId="3" fontId="24" fillId="26" borderId="44" xfId="0" applyNumberFormat="1" applyFont="1" applyFill="1" applyBorder="1" applyAlignment="1">
      <alignment vertical="center"/>
    </xf>
    <xf numFmtId="3" fontId="29" fillId="26" borderId="50" xfId="0" applyNumberFormat="1" applyFont="1" applyFill="1" applyBorder="1" applyAlignment="1">
      <alignment vertical="center"/>
    </xf>
    <xf numFmtId="3" fontId="29" fillId="26" borderId="20" xfId="0" applyNumberFormat="1" applyFont="1" applyFill="1" applyBorder="1" applyAlignment="1">
      <alignment horizontal="right" vertical="center"/>
    </xf>
    <xf numFmtId="3" fontId="17" fillId="26" borderId="11" xfId="0" applyNumberFormat="1" applyFont="1" applyFill="1" applyBorder="1" applyAlignment="1">
      <alignment horizontal="distributed" vertical="center"/>
    </xf>
    <xf numFmtId="2" fontId="79" fillId="0" borderId="0" xfId="0" applyNumberFormat="1" applyFont="1" applyAlignment="1">
      <alignment vertical="top"/>
    </xf>
    <xf numFmtId="0" fontId="0" fillId="0" borderId="0" xfId="0" applyAlignment="1">
      <alignment horizontal="left" vertical="top" wrapText="1"/>
    </xf>
    <xf numFmtId="0" fontId="17" fillId="0" borderId="27" xfId="0" applyFont="1" applyBorder="1" applyAlignment="1">
      <alignment horizontal="center" vertical="center"/>
    </xf>
    <xf numFmtId="0" fontId="79" fillId="25" borderId="0" xfId="0" applyFont="1" applyFill="1" applyAlignment="1">
      <alignment vertical="center"/>
    </xf>
    <xf numFmtId="0" fontId="79" fillId="25" borderId="17" xfId="0" applyFont="1" applyFill="1" applyBorder="1" applyAlignment="1">
      <alignment vertical="center"/>
    </xf>
    <xf numFmtId="0" fontId="79" fillId="25" borderId="31" xfId="0" applyFont="1" applyFill="1" applyBorder="1" applyAlignment="1">
      <alignment vertical="center"/>
    </xf>
    <xf numFmtId="0" fontId="56" fillId="26" borderId="28" xfId="0" applyFont="1" applyFill="1" applyBorder="1" applyAlignment="1">
      <alignment vertical="top"/>
    </xf>
    <xf numFmtId="0" fontId="0" fillId="26" borderId="28" xfId="0" applyFill="1" applyBorder="1" applyAlignment="1">
      <alignment vertical="top"/>
    </xf>
    <xf numFmtId="0" fontId="0" fillId="26" borderId="0" xfId="0" applyFill="1" applyAlignment="1">
      <alignment vertical="top"/>
    </xf>
    <xf numFmtId="185" fontId="0" fillId="26" borderId="0" xfId="0" applyNumberFormat="1" applyFill="1" applyAlignment="1">
      <alignment horizontal="center" vertical="center" shrinkToFit="1"/>
    </xf>
    <xf numFmtId="0" fontId="0" fillId="26" borderId="0" xfId="0" applyFill="1" applyAlignment="1">
      <alignment horizontal="center" vertical="center" shrinkToFit="1"/>
    </xf>
    <xf numFmtId="0" fontId="56" fillId="26" borderId="0" xfId="0" applyFont="1" applyFill="1" applyAlignment="1">
      <alignment vertical="top"/>
    </xf>
    <xf numFmtId="0" fontId="71" fillId="26" borderId="0" xfId="0" applyFont="1" applyFill="1" applyAlignment="1">
      <alignment vertical="top"/>
    </xf>
    <xf numFmtId="0" fontId="71" fillId="26" borderId="0" xfId="0" quotePrefix="1" applyFont="1" applyFill="1" applyAlignment="1">
      <alignment horizontal="right" vertical="top"/>
    </xf>
    <xf numFmtId="0" fontId="71" fillId="26" borderId="0" xfId="0" applyFont="1" applyFill="1"/>
    <xf numFmtId="186" fontId="68" fillId="26" borderId="35" xfId="0" applyNumberFormat="1" applyFont="1" applyFill="1" applyBorder="1" applyAlignment="1">
      <alignment vertical="center"/>
    </xf>
    <xf numFmtId="186" fontId="68" fillId="26" borderId="0" xfId="0" applyNumberFormat="1" applyFont="1" applyFill="1" applyAlignment="1">
      <alignment vertical="center"/>
    </xf>
    <xf numFmtId="0" fontId="55" fillId="26" borderId="0" xfId="0" applyFont="1" applyFill="1"/>
    <xf numFmtId="0" fontId="13" fillId="26" borderId="0" xfId="28" applyNumberFormat="1" applyFill="1" applyAlignment="1" applyProtection="1"/>
    <xf numFmtId="0" fontId="24" fillId="26" borderId="0" xfId="0" applyFont="1" applyFill="1" applyAlignment="1">
      <alignment horizontal="center" vertical="center"/>
    </xf>
    <xf numFmtId="0" fontId="82" fillId="26" borderId="0" xfId="0" applyFont="1" applyFill="1" applyAlignment="1">
      <alignment horizontal="center" vertical="center"/>
    </xf>
    <xf numFmtId="0" fontId="79" fillId="0" borderId="27" xfId="0" applyFont="1" applyBorder="1" applyAlignment="1">
      <alignment horizontal="center" vertical="center" textRotation="255"/>
    </xf>
    <xf numFmtId="0" fontId="79" fillId="0" borderId="27" xfId="0" applyFont="1" applyBorder="1" applyAlignment="1">
      <alignment horizontal="center" vertical="top"/>
    </xf>
    <xf numFmtId="177" fontId="79" fillId="0" borderId="27" xfId="0" applyNumberFormat="1" applyFont="1" applyBorder="1" applyAlignment="1">
      <alignment horizontal="center" vertical="center"/>
    </xf>
    <xf numFmtId="0" fontId="79" fillId="0" borderId="0" xfId="0" applyFont="1" applyAlignment="1">
      <alignment horizontal="center" vertical="center" textRotation="255"/>
    </xf>
    <xf numFmtId="3" fontId="58" fillId="26" borderId="14" xfId="0" applyNumberFormat="1" applyFont="1" applyFill="1" applyBorder="1" applyAlignment="1">
      <alignment vertical="center"/>
    </xf>
    <xf numFmtId="3" fontId="58" fillId="26" borderId="30" xfId="0" applyNumberFormat="1" applyFont="1" applyFill="1" applyBorder="1" applyAlignment="1">
      <alignment vertical="center"/>
    </xf>
    <xf numFmtId="3" fontId="23" fillId="26" borderId="24" xfId="0" applyNumberFormat="1" applyFont="1" applyFill="1" applyBorder="1" applyAlignment="1">
      <alignment vertical="center"/>
    </xf>
    <xf numFmtId="0" fontId="20" fillId="26" borderId="21" xfId="0" applyFont="1" applyFill="1" applyBorder="1" applyAlignment="1">
      <alignment vertical="center"/>
    </xf>
    <xf numFmtId="3" fontId="58" fillId="26" borderId="38" xfId="0" applyNumberFormat="1" applyFont="1" applyFill="1" applyBorder="1" applyAlignment="1">
      <alignment vertical="center"/>
    </xf>
    <xf numFmtId="0" fontId="20" fillId="26" borderId="18" xfId="0" applyFont="1" applyFill="1" applyBorder="1" applyAlignment="1">
      <alignment vertical="center"/>
    </xf>
    <xf numFmtId="0" fontId="20" fillId="26" borderId="30" xfId="0" applyFont="1" applyFill="1" applyBorder="1"/>
    <xf numFmtId="3" fontId="26" fillId="26" borderId="41" xfId="0" applyNumberFormat="1" applyFont="1" applyFill="1" applyBorder="1" applyAlignment="1">
      <alignment vertical="center"/>
    </xf>
    <xf numFmtId="3" fontId="20" fillId="26" borderId="56" xfId="0" applyNumberFormat="1" applyFont="1" applyFill="1" applyBorder="1" applyAlignment="1">
      <alignment vertical="center"/>
    </xf>
    <xf numFmtId="3" fontId="20" fillId="26" borderId="96" xfId="0" applyNumberFormat="1" applyFont="1" applyFill="1" applyBorder="1" applyAlignment="1">
      <alignment vertical="center"/>
    </xf>
    <xf numFmtId="3" fontId="27" fillId="26" borderId="28" xfId="0" applyNumberFormat="1" applyFont="1" applyFill="1" applyBorder="1" applyAlignment="1">
      <alignment vertical="center"/>
    </xf>
    <xf numFmtId="0" fontId="21" fillId="26" borderId="32" xfId="0" applyFont="1" applyFill="1" applyBorder="1" applyAlignment="1">
      <alignment horizontal="distributed" vertical="center"/>
    </xf>
    <xf numFmtId="0" fontId="20" fillId="26" borderId="21" xfId="0" applyFont="1" applyFill="1" applyBorder="1"/>
    <xf numFmtId="3" fontId="23" fillId="26" borderId="11" xfId="0" applyNumberFormat="1" applyFont="1" applyFill="1" applyBorder="1" applyAlignment="1">
      <alignment vertical="center"/>
    </xf>
    <xf numFmtId="3" fontId="18" fillId="26" borderId="11" xfId="0" applyNumberFormat="1" applyFont="1" applyFill="1" applyBorder="1" applyAlignment="1">
      <alignment vertical="center"/>
    </xf>
    <xf numFmtId="3" fontId="58" fillId="26" borderId="0" xfId="0" applyNumberFormat="1" applyFont="1" applyFill="1" applyAlignment="1">
      <alignment vertical="center"/>
    </xf>
    <xf numFmtId="3" fontId="27" fillId="0" borderId="18" xfId="0" applyNumberFormat="1" applyFont="1" applyBorder="1" applyAlignment="1" applyProtection="1">
      <alignment horizontal="right" vertical="center"/>
      <protection locked="0"/>
    </xf>
    <xf numFmtId="3" fontId="27" fillId="0" borderId="18" xfId="0" applyNumberFormat="1" applyFont="1" applyBorder="1" applyAlignment="1" applyProtection="1">
      <alignment vertical="center" wrapText="1"/>
      <protection locked="0"/>
    </xf>
    <xf numFmtId="0" fontId="11" fillId="27" borderId="27" xfId="43" applyFill="1" applyBorder="1" applyAlignment="1">
      <alignment horizontal="center" vertical="center"/>
    </xf>
    <xf numFmtId="0" fontId="11" fillId="0" borderId="27" xfId="43" applyBorder="1" applyAlignment="1">
      <alignment horizontal="center" vertical="center"/>
    </xf>
    <xf numFmtId="0" fontId="11" fillId="0" borderId="0" xfId="43" applyAlignment="1">
      <alignment horizontal="center" vertical="center"/>
    </xf>
    <xf numFmtId="0" fontId="11" fillId="0" borderId="97" xfId="43" applyBorder="1">
      <alignment vertical="center"/>
    </xf>
    <xf numFmtId="0" fontId="11" fillId="0" borderId="98" xfId="43" applyBorder="1">
      <alignment vertical="center"/>
    </xf>
    <xf numFmtId="0" fontId="11" fillId="0" borderId="0" xfId="43">
      <alignment vertical="center"/>
    </xf>
    <xf numFmtId="0" fontId="11" fillId="27" borderId="47" xfId="43" applyFill="1" applyBorder="1" applyAlignment="1">
      <alignment horizontal="center" vertical="center"/>
    </xf>
    <xf numFmtId="190" fontId="11" fillId="27" borderId="47" xfId="43" applyNumberFormat="1" applyFill="1" applyBorder="1" applyAlignment="1">
      <alignment horizontal="center" vertical="center"/>
    </xf>
    <xf numFmtId="190" fontId="11" fillId="27" borderId="27" xfId="43" applyNumberFormat="1" applyFill="1" applyBorder="1" applyAlignment="1">
      <alignment horizontal="center" vertical="center"/>
    </xf>
    <xf numFmtId="191" fontId="11" fillId="0" borderId="27" xfId="43" applyNumberFormat="1" applyBorder="1" applyAlignment="1">
      <alignment horizontal="center" vertical="center"/>
    </xf>
    <xf numFmtId="191" fontId="11" fillId="0" borderId="27" xfId="43" applyNumberFormat="1" applyBorder="1" applyAlignment="1">
      <alignment horizontal="left" vertical="center"/>
    </xf>
    <xf numFmtId="0" fontId="11" fillId="0" borderId="16" xfId="43" applyBorder="1">
      <alignment vertical="center"/>
    </xf>
    <xf numFmtId="0" fontId="11" fillId="0" borderId="27" xfId="43" applyBorder="1">
      <alignment vertical="center"/>
    </xf>
    <xf numFmtId="0" fontId="11" fillId="0" borderId="29" xfId="43" applyBorder="1">
      <alignment vertical="center"/>
    </xf>
    <xf numFmtId="0" fontId="11" fillId="0" borderId="47" xfId="43" applyBorder="1" applyAlignment="1">
      <alignment horizontal="center" vertical="center"/>
    </xf>
    <xf numFmtId="0" fontId="11" fillId="0" borderId="16" xfId="43" applyBorder="1" applyAlignment="1">
      <alignment horizontal="center" vertical="center"/>
    </xf>
    <xf numFmtId="0" fontId="11" fillId="0" borderId="52" xfId="43" applyBorder="1">
      <alignment vertical="center"/>
    </xf>
    <xf numFmtId="0" fontId="11" fillId="27" borderId="0" xfId="43" applyFill="1" applyAlignment="1">
      <alignment horizontal="center" vertical="center"/>
    </xf>
    <xf numFmtId="0" fontId="11" fillId="0" borderId="0" xfId="43" applyAlignment="1">
      <alignment horizontal="left" vertical="center"/>
    </xf>
    <xf numFmtId="0" fontId="85" fillId="0" borderId="27" xfId="43" applyFont="1" applyBorder="1" applyAlignment="1">
      <alignment horizontal="left" vertical="center"/>
    </xf>
    <xf numFmtId="0" fontId="79" fillId="26" borderId="0" xfId="0" applyFont="1" applyFill="1" applyAlignment="1">
      <alignment horizontal="center" vertical="top"/>
    </xf>
    <xf numFmtId="0" fontId="79" fillId="26" borderId="0" xfId="0" applyFont="1" applyFill="1" applyAlignment="1">
      <alignment vertical="top"/>
    </xf>
    <xf numFmtId="0" fontId="11" fillId="0" borderId="16" xfId="43" applyBorder="1" applyAlignment="1">
      <alignment horizontal="center" vertical="center" wrapText="1"/>
    </xf>
    <xf numFmtId="0" fontId="11" fillId="0" borderId="47" xfId="43" applyBorder="1" applyAlignment="1">
      <alignment horizontal="center" vertical="center" wrapText="1"/>
    </xf>
    <xf numFmtId="0" fontId="79" fillId="0" borderId="0" xfId="0" quotePrefix="1" applyFont="1" applyAlignment="1">
      <alignment vertical="top"/>
    </xf>
    <xf numFmtId="0" fontId="79" fillId="26" borderId="27" xfId="0" applyFont="1" applyFill="1" applyBorder="1" applyAlignment="1">
      <alignment horizontal="left" vertical="center"/>
    </xf>
    <xf numFmtId="0" fontId="79" fillId="26" borderId="27" xfId="0" applyFont="1" applyFill="1" applyBorder="1" applyAlignment="1">
      <alignment horizontal="center" vertical="center"/>
    </xf>
    <xf numFmtId="177" fontId="79" fillId="26" borderId="27" xfId="0" applyNumberFormat="1" applyFont="1" applyFill="1" applyBorder="1" applyAlignment="1">
      <alignment horizontal="right" vertical="center"/>
    </xf>
    <xf numFmtId="0" fontId="79" fillId="0" borderId="0" xfId="0" applyFont="1" applyAlignment="1">
      <alignment horizontal="center" vertical="center"/>
    </xf>
    <xf numFmtId="0" fontId="79" fillId="0" borderId="0" xfId="0" applyFont="1" applyAlignment="1">
      <alignment horizontal="left" vertical="center"/>
    </xf>
    <xf numFmtId="0" fontId="79" fillId="0" borderId="0" xfId="0" applyFont="1" applyAlignment="1">
      <alignment horizontal="right" vertical="center"/>
    </xf>
    <xf numFmtId="0" fontId="79" fillId="0" borderId="27" xfId="0" applyFont="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28" borderId="0" xfId="0" applyFont="1" applyFill="1" applyAlignment="1">
      <alignment vertical="center" textRotation="255"/>
    </xf>
    <xf numFmtId="0" fontId="79" fillId="28" borderId="0" xfId="0" applyFont="1" applyFill="1" applyAlignment="1">
      <alignment vertical="top"/>
    </xf>
    <xf numFmtId="0" fontId="79" fillId="0" borderId="27" xfId="0" applyFont="1" applyBorder="1" applyAlignment="1">
      <alignment horizontal="center" vertical="center" wrapText="1"/>
    </xf>
    <xf numFmtId="0" fontId="79" fillId="26" borderId="27" xfId="0" applyFont="1" applyFill="1" applyBorder="1" applyAlignment="1">
      <alignment vertical="center" textRotation="255"/>
    </xf>
    <xf numFmtId="0" fontId="79" fillId="26" borderId="27" xfId="0" applyFont="1" applyFill="1" applyBorder="1" applyAlignment="1">
      <alignment horizontal="center" vertical="top"/>
    </xf>
    <xf numFmtId="0" fontId="79" fillId="26" borderId="27" xfId="0" applyFont="1" applyFill="1" applyBorder="1" applyAlignment="1">
      <alignment vertical="top"/>
    </xf>
    <xf numFmtId="0" fontId="79" fillId="0" borderId="27" xfId="0" applyFont="1" applyBorder="1" applyAlignment="1" applyProtection="1">
      <alignment horizontal="left" vertical="center"/>
      <protection locked="0"/>
    </xf>
    <xf numFmtId="0" fontId="79" fillId="0" borderId="0" xfId="0" applyFont="1" applyAlignment="1" applyProtection="1">
      <alignment horizontal="left" vertical="center"/>
      <protection locked="0"/>
    </xf>
    <xf numFmtId="0" fontId="10" fillId="0" borderId="47" xfId="43" applyFont="1" applyBorder="1" applyAlignment="1">
      <alignment horizontal="center" vertical="center"/>
    </xf>
    <xf numFmtId="0" fontId="80" fillId="0" borderId="0" xfId="0" applyFont="1" applyAlignment="1">
      <alignment horizontal="center" vertical="center"/>
    </xf>
    <xf numFmtId="49" fontId="87" fillId="0" borderId="0" xfId="0" applyNumberFormat="1" applyFont="1" applyAlignment="1">
      <alignment horizontal="center" vertical="center"/>
    </xf>
    <xf numFmtId="0" fontId="87" fillId="0" borderId="0" xfId="0" applyFont="1" applyAlignment="1">
      <alignment horizontal="center" vertical="center"/>
    </xf>
    <xf numFmtId="0" fontId="79" fillId="0" borderId="0" xfId="0" applyFont="1" applyAlignment="1">
      <alignment vertical="center"/>
    </xf>
    <xf numFmtId="177" fontId="79" fillId="0" borderId="0" xfId="0" applyNumberFormat="1" applyFont="1" applyAlignment="1">
      <alignment vertical="center"/>
    </xf>
    <xf numFmtId="0" fontId="88" fillId="0" borderId="27" xfId="44" applyFont="1" applyBorder="1" applyAlignment="1">
      <alignment vertical="center" textRotation="255"/>
    </xf>
    <xf numFmtId="0" fontId="88" fillId="0" borderId="0" xfId="44" applyFont="1" applyAlignment="1">
      <alignment vertical="center" textRotation="255"/>
    </xf>
    <xf numFmtId="0" fontId="88" fillId="0" borderId="27" xfId="44" applyFont="1" applyBorder="1">
      <alignment vertical="center"/>
    </xf>
    <xf numFmtId="0" fontId="88" fillId="0" borderId="0" xfId="44" applyFont="1">
      <alignment vertical="center"/>
    </xf>
    <xf numFmtId="0" fontId="8" fillId="27" borderId="27" xfId="43" applyFont="1" applyFill="1" applyBorder="1" applyAlignment="1">
      <alignment horizontal="left" vertical="center"/>
    </xf>
    <xf numFmtId="177" fontId="79" fillId="0" borderId="27" xfId="0" applyNumberFormat="1" applyFont="1" applyBorder="1" applyAlignment="1">
      <alignment horizontal="left" vertical="center"/>
    </xf>
    <xf numFmtId="0" fontId="11" fillId="27" borderId="27" xfId="43" applyFill="1" applyBorder="1" applyAlignment="1">
      <alignment horizontal="left" vertical="center"/>
    </xf>
    <xf numFmtId="194" fontId="88" fillId="0" borderId="27" xfId="44" applyNumberFormat="1" applyFont="1" applyBorder="1">
      <alignment vertical="center"/>
    </xf>
    <xf numFmtId="0" fontId="80" fillId="27" borderId="0" xfId="0" applyFont="1" applyFill="1" applyAlignment="1">
      <alignment horizontal="center" vertical="center"/>
    </xf>
    <xf numFmtId="0" fontId="79" fillId="27" borderId="0" xfId="0" applyFont="1" applyFill="1" applyAlignment="1">
      <alignment horizontal="center" vertical="center"/>
    </xf>
    <xf numFmtId="0" fontId="79" fillId="27" borderId="0" xfId="0" applyFont="1" applyFill="1" applyAlignment="1">
      <alignment vertical="center"/>
    </xf>
    <xf numFmtId="0" fontId="79" fillId="26" borderId="27" xfId="0" applyFont="1" applyFill="1" applyBorder="1" applyAlignment="1">
      <alignment vertical="center"/>
    </xf>
    <xf numFmtId="0" fontId="79" fillId="29" borderId="0" xfId="0" applyFont="1" applyFill="1" applyAlignment="1">
      <alignment vertical="center" textRotation="255"/>
    </xf>
    <xf numFmtId="49" fontId="24" fillId="26" borderId="0" xfId="0" applyNumberFormat="1" applyFont="1" applyFill="1" applyAlignment="1">
      <alignment horizontal="center" vertical="center"/>
    </xf>
    <xf numFmtId="0" fontId="90" fillId="26" borderId="0" xfId="28" applyNumberFormat="1" applyFont="1" applyFill="1" applyAlignment="1" applyProtection="1"/>
    <xf numFmtId="49" fontId="91" fillId="26" borderId="0" xfId="0" applyNumberFormat="1" applyFont="1" applyFill="1" applyAlignment="1">
      <alignment horizontal="center" vertical="center"/>
    </xf>
    <xf numFmtId="183" fontId="20" fillId="26" borderId="53" xfId="0" applyNumberFormat="1" applyFont="1" applyFill="1" applyBorder="1" applyAlignment="1">
      <alignment vertical="center" shrinkToFit="1"/>
    </xf>
    <xf numFmtId="183" fontId="27" fillId="26" borderId="54" xfId="0" applyNumberFormat="1" applyFont="1" applyFill="1" applyBorder="1" applyAlignment="1">
      <alignment horizontal="right" vertical="center" shrinkToFit="1"/>
    </xf>
    <xf numFmtId="183" fontId="32" fillId="26" borderId="54" xfId="0" applyNumberFormat="1" applyFont="1" applyFill="1" applyBorder="1" applyAlignment="1">
      <alignment vertical="center" shrinkToFit="1"/>
    </xf>
    <xf numFmtId="183" fontId="21" fillId="26" borderId="55" xfId="0" applyNumberFormat="1" applyFont="1" applyFill="1" applyBorder="1" applyAlignment="1">
      <alignment vertical="center" shrinkToFit="1"/>
    </xf>
    <xf numFmtId="183" fontId="27" fillId="26" borderId="54" xfId="0" applyNumberFormat="1" applyFont="1" applyFill="1" applyBorder="1" applyAlignment="1">
      <alignment vertical="center" shrinkToFit="1"/>
    </xf>
    <xf numFmtId="183" fontId="21" fillId="26" borderId="54" xfId="0" applyNumberFormat="1" applyFont="1" applyFill="1" applyBorder="1" applyAlignment="1">
      <alignment vertical="center" shrinkToFit="1"/>
    </xf>
    <xf numFmtId="183" fontId="27" fillId="26" borderId="53" xfId="0" applyNumberFormat="1" applyFont="1" applyFill="1" applyBorder="1" applyAlignment="1">
      <alignment vertical="center" shrinkToFit="1"/>
    </xf>
    <xf numFmtId="183" fontId="27" fillId="26" borderId="62" xfId="0" applyNumberFormat="1" applyFont="1" applyFill="1" applyBorder="1" applyAlignment="1">
      <alignment vertical="center" shrinkToFit="1"/>
    </xf>
    <xf numFmtId="183" fontId="20" fillId="26" borderId="55" xfId="0" applyNumberFormat="1" applyFont="1" applyFill="1" applyBorder="1" applyAlignment="1">
      <alignment vertical="center" shrinkToFit="1"/>
    </xf>
    <xf numFmtId="183" fontId="21" fillId="26" borderId="64" xfId="0" applyNumberFormat="1" applyFont="1" applyFill="1" applyBorder="1" applyAlignment="1">
      <alignment vertical="center" shrinkToFit="1"/>
    </xf>
    <xf numFmtId="3" fontId="20" fillId="26" borderId="29" xfId="0" applyNumberFormat="1" applyFont="1" applyFill="1" applyBorder="1" applyAlignment="1">
      <alignment vertical="center" shrinkToFit="1"/>
    </xf>
    <xf numFmtId="3" fontId="27" fillId="26" borderId="52" xfId="0" applyNumberFormat="1" applyFont="1" applyFill="1" applyBorder="1" applyAlignment="1">
      <alignment horizontal="right" vertical="center" shrinkToFit="1"/>
    </xf>
    <xf numFmtId="3" fontId="32" fillId="26" borderId="52" xfId="0" applyNumberFormat="1" applyFont="1" applyFill="1" applyBorder="1" applyAlignment="1">
      <alignment vertical="center" shrinkToFit="1"/>
    </xf>
    <xf numFmtId="3" fontId="20" fillId="26" borderId="49" xfId="0" applyNumberFormat="1" applyFont="1" applyFill="1" applyBorder="1" applyAlignment="1">
      <alignment vertical="center" shrinkToFit="1"/>
    </xf>
    <xf numFmtId="3" fontId="27" fillId="26" borderId="29" xfId="0" applyNumberFormat="1" applyFont="1" applyFill="1" applyBorder="1" applyAlignment="1">
      <alignment vertical="center" shrinkToFit="1"/>
    </xf>
    <xf numFmtId="3" fontId="17" fillId="26" borderId="52" xfId="0" applyNumberFormat="1" applyFont="1" applyFill="1" applyBorder="1" applyAlignment="1">
      <alignment vertical="center" shrinkToFit="1"/>
    </xf>
    <xf numFmtId="3" fontId="22" fillId="26" borderId="52" xfId="0" applyNumberFormat="1" applyFont="1" applyFill="1" applyBorder="1" applyAlignment="1">
      <alignment vertical="center" shrinkToFit="1"/>
    </xf>
    <xf numFmtId="3" fontId="27" fillId="26" borderId="52" xfId="0" applyNumberFormat="1" applyFont="1" applyFill="1" applyBorder="1" applyAlignment="1">
      <alignment vertical="center" shrinkToFit="1"/>
    </xf>
    <xf numFmtId="3" fontId="20" fillId="26" borderId="0" xfId="0" applyNumberFormat="1" applyFont="1" applyFill="1" applyAlignment="1">
      <alignment vertical="center" shrinkToFit="1"/>
    </xf>
    <xf numFmtId="3" fontId="27" fillId="26" borderId="58" xfId="0" applyNumberFormat="1" applyFont="1" applyFill="1" applyBorder="1" applyAlignment="1">
      <alignment vertical="center" shrinkToFit="1"/>
    </xf>
    <xf numFmtId="3" fontId="20" fillId="26" borderId="20" xfId="0" applyNumberFormat="1" applyFont="1" applyFill="1" applyBorder="1" applyAlignment="1">
      <alignment vertical="center" shrinkToFit="1"/>
    </xf>
    <xf numFmtId="3" fontId="27" fillId="26" borderId="20" xfId="0" applyNumberFormat="1" applyFont="1" applyFill="1" applyBorder="1" applyAlignment="1">
      <alignment horizontal="right" vertical="center" shrinkToFit="1"/>
    </xf>
    <xf numFmtId="3" fontId="17" fillId="26" borderId="21" xfId="0" applyNumberFormat="1" applyFont="1" applyFill="1" applyBorder="1" applyAlignment="1">
      <alignment vertical="center" shrinkToFit="1"/>
    </xf>
    <xf numFmtId="3" fontId="20" fillId="26" borderId="41" xfId="0" applyNumberFormat="1" applyFont="1" applyFill="1" applyBorder="1" applyAlignment="1">
      <alignment vertical="center" shrinkToFit="1"/>
    </xf>
    <xf numFmtId="3" fontId="27" fillId="26" borderId="20" xfId="0" applyNumberFormat="1" applyFont="1" applyFill="1" applyBorder="1" applyAlignment="1">
      <alignment vertical="center" shrinkToFit="1"/>
    </xf>
    <xf numFmtId="3" fontId="22" fillId="26" borderId="21" xfId="0" applyNumberFormat="1" applyFont="1" applyFill="1" applyBorder="1" applyAlignment="1">
      <alignment vertical="center" shrinkToFit="1"/>
    </xf>
    <xf numFmtId="3" fontId="27" fillId="26" borderId="21" xfId="0" applyNumberFormat="1" applyFont="1" applyFill="1" applyBorder="1" applyAlignment="1">
      <alignment vertical="center" shrinkToFit="1"/>
    </xf>
    <xf numFmtId="3" fontId="27" fillId="26" borderId="59" xfId="0" applyNumberFormat="1" applyFont="1" applyFill="1" applyBorder="1" applyAlignment="1">
      <alignment vertical="center" shrinkToFit="1"/>
    </xf>
    <xf numFmtId="0" fontId="79" fillId="0" borderId="27" xfId="0" applyFont="1" applyBorder="1" applyAlignment="1">
      <alignment horizontal="left" vertical="top"/>
    </xf>
    <xf numFmtId="0" fontId="79" fillId="0" borderId="0" xfId="0" applyFont="1" applyAlignment="1">
      <alignment horizontal="left" vertical="top"/>
    </xf>
    <xf numFmtId="3" fontId="22" fillId="26" borderId="44" xfId="0" applyNumberFormat="1" applyFont="1" applyFill="1" applyBorder="1" applyAlignment="1">
      <alignment vertical="center"/>
    </xf>
    <xf numFmtId="3" fontId="22" fillId="26" borderId="21" xfId="0" applyNumberFormat="1" applyFont="1" applyFill="1" applyBorder="1" applyAlignment="1">
      <alignment vertical="center"/>
    </xf>
    <xf numFmtId="0" fontId="7" fillId="0" borderId="47" xfId="43" applyFont="1" applyBorder="1" applyAlignment="1">
      <alignment horizontal="center" vertical="center"/>
    </xf>
    <xf numFmtId="0" fontId="7" fillId="0" borderId="16" xfId="43" applyFont="1" applyBorder="1" applyAlignment="1">
      <alignment horizontal="center" vertical="center"/>
    </xf>
    <xf numFmtId="0" fontId="79" fillId="0" borderId="47" xfId="0" applyFont="1" applyBorder="1" applyAlignment="1">
      <alignment horizontal="center" vertical="center" wrapText="1"/>
    </xf>
    <xf numFmtId="0" fontId="6" fillId="0" borderId="27" xfId="43" applyFont="1" applyBorder="1">
      <alignment vertical="center"/>
    </xf>
    <xf numFmtId="0" fontId="11" fillId="28" borderId="27" xfId="43" applyFill="1" applyBorder="1">
      <alignment vertical="center"/>
    </xf>
    <xf numFmtId="0" fontId="6" fillId="28" borderId="27" xfId="43" applyFont="1" applyFill="1" applyBorder="1">
      <alignment vertical="center"/>
    </xf>
    <xf numFmtId="0" fontId="94" fillId="26" borderId="27" xfId="0" applyFont="1" applyFill="1" applyBorder="1" applyAlignment="1">
      <alignment vertical="center" textRotation="255"/>
    </xf>
    <xf numFmtId="2" fontId="79" fillId="26" borderId="27" xfId="0" applyNumberFormat="1" applyFont="1" applyFill="1" applyBorder="1" applyAlignment="1">
      <alignment vertical="top"/>
    </xf>
    <xf numFmtId="49" fontId="87" fillId="30" borderId="0" xfId="0" applyNumberFormat="1" applyFont="1" applyFill="1" applyAlignment="1">
      <alignment horizontal="center" vertical="center"/>
    </xf>
    <xf numFmtId="0" fontId="87" fillId="30" borderId="0" xfId="0" applyFont="1" applyFill="1" applyAlignment="1">
      <alignment horizontal="center" vertical="center"/>
    </xf>
    <xf numFmtId="0" fontId="80" fillId="30" borderId="0" xfId="0" applyFont="1" applyFill="1" applyAlignment="1">
      <alignment horizontal="center" vertical="center"/>
    </xf>
    <xf numFmtId="0" fontId="95" fillId="0" borderId="27" xfId="0" applyFont="1" applyBorder="1" applyAlignment="1">
      <alignment horizontal="center" vertical="center"/>
    </xf>
    <xf numFmtId="0" fontId="96" fillId="0" borderId="27" xfId="0" applyFont="1" applyBorder="1" applyAlignment="1">
      <alignment vertical="center"/>
    </xf>
    <xf numFmtId="0" fontId="96" fillId="0" borderId="0" xfId="0" applyFont="1" applyAlignment="1">
      <alignment vertical="center"/>
    </xf>
    <xf numFmtId="0" fontId="95" fillId="30" borderId="27" xfId="0" applyFont="1" applyFill="1" applyBorder="1" applyAlignment="1">
      <alignment horizontal="center" vertical="center"/>
    </xf>
    <xf numFmtId="0" fontId="80" fillId="29" borderId="0" xfId="0" applyFont="1" applyFill="1" applyAlignment="1">
      <alignment horizontal="center" vertical="center"/>
    </xf>
    <xf numFmtId="0" fontId="79" fillId="29" borderId="0" xfId="0" applyFont="1" applyFill="1" applyAlignment="1">
      <alignment horizontal="center" vertical="center"/>
    </xf>
    <xf numFmtId="0" fontId="79" fillId="29" borderId="0" xfId="0" applyFont="1" applyFill="1" applyAlignment="1">
      <alignment vertical="center"/>
    </xf>
    <xf numFmtId="0" fontId="87" fillId="29" borderId="0" xfId="0" applyFont="1" applyFill="1" applyAlignment="1">
      <alignment horizontal="center" vertical="center"/>
    </xf>
    <xf numFmtId="177" fontId="79" fillId="29" borderId="0" xfId="0" applyNumberFormat="1" applyFont="1" applyFill="1" applyAlignment="1">
      <alignment vertical="center"/>
    </xf>
    <xf numFmtId="0" fontId="4" fillId="0" borderId="27" xfId="43" applyFont="1" applyBorder="1" applyAlignment="1">
      <alignment horizontal="center" vertical="center"/>
    </xf>
    <xf numFmtId="0" fontId="3" fillId="0" borderId="27" xfId="43" applyFont="1" applyBorder="1">
      <alignment vertical="center"/>
    </xf>
    <xf numFmtId="0" fontId="88" fillId="0" borderId="27" xfId="0" applyFont="1" applyBorder="1" applyAlignment="1">
      <alignment horizontal="center" vertical="center" textRotation="255"/>
    </xf>
    <xf numFmtId="0" fontId="88" fillId="0" borderId="27" xfId="0" applyFont="1" applyBorder="1" applyAlignment="1">
      <alignment vertical="center"/>
    </xf>
    <xf numFmtId="0" fontId="79" fillId="0" borderId="0" xfId="0" applyFont="1"/>
    <xf numFmtId="0" fontId="24" fillId="26" borderId="0" xfId="0" quotePrefix="1" applyFont="1" applyFill="1" applyAlignment="1">
      <alignment horizontal="center" vertical="center"/>
    </xf>
    <xf numFmtId="0" fontId="91" fillId="26" borderId="0" xfId="0" applyFont="1" applyFill="1" applyAlignment="1">
      <alignment horizontal="center" vertical="center"/>
    </xf>
    <xf numFmtId="3" fontId="27" fillId="0" borderId="34" xfId="0" applyNumberFormat="1" applyFont="1" applyBorder="1" applyAlignment="1">
      <alignment vertical="center"/>
    </xf>
    <xf numFmtId="3" fontId="27" fillId="0" borderId="65" xfId="0" applyNumberFormat="1" applyFont="1" applyBorder="1" applyAlignment="1">
      <alignment vertical="center"/>
    </xf>
    <xf numFmtId="0" fontId="79" fillId="0" borderId="27" xfId="0" applyFont="1" applyBorder="1"/>
    <xf numFmtId="0" fontId="2" fillId="0" borderId="47" xfId="43" applyFont="1" applyBorder="1" applyAlignment="1">
      <alignment horizontal="center" vertical="center"/>
    </xf>
    <xf numFmtId="0" fontId="2" fillId="0" borderId="16" xfId="43" applyFont="1" applyBorder="1" applyAlignment="1">
      <alignment horizontal="center" vertical="center"/>
    </xf>
    <xf numFmtId="176" fontId="79" fillId="0" borderId="27" xfId="0" applyNumberFormat="1" applyFont="1" applyBorder="1" applyAlignment="1">
      <alignment horizontal="center" vertical="center"/>
    </xf>
    <xf numFmtId="176" fontId="79" fillId="0" borderId="27" xfId="0" applyNumberFormat="1" applyFont="1" applyBorder="1" applyAlignment="1">
      <alignment horizontal="left" vertical="center"/>
    </xf>
    <xf numFmtId="0" fontId="88" fillId="31" borderId="27" xfId="44" applyFont="1" applyFill="1" applyBorder="1">
      <alignment vertical="center"/>
    </xf>
    <xf numFmtId="0" fontId="88" fillId="32" borderId="27" xfId="44" applyFont="1" applyFill="1" applyBorder="1">
      <alignment vertical="center"/>
    </xf>
    <xf numFmtId="0" fontId="88" fillId="33" borderId="27" xfId="44" applyFont="1" applyFill="1" applyBorder="1">
      <alignment vertical="center"/>
    </xf>
    <xf numFmtId="0" fontId="1" fillId="0" borderId="27" xfId="43" applyFont="1" applyBorder="1">
      <alignment vertical="center"/>
    </xf>
    <xf numFmtId="0" fontId="17" fillId="0" borderId="27" xfId="0" applyFont="1" applyBorder="1" applyAlignment="1">
      <alignment horizontal="center" vertical="center" wrapText="1"/>
    </xf>
    <xf numFmtId="0" fontId="17" fillId="0" borderId="61" xfId="0" applyFont="1" applyBorder="1" applyAlignment="1">
      <alignment horizontal="right" vertical="center"/>
    </xf>
    <xf numFmtId="0" fontId="17" fillId="0" borderId="52" xfId="0" applyFont="1" applyBorder="1" applyAlignment="1">
      <alignment horizontal="center" vertical="center"/>
    </xf>
    <xf numFmtId="0" fontId="17" fillId="0" borderId="27" xfId="0" applyFont="1" applyBorder="1" applyAlignment="1">
      <alignment vertical="center"/>
    </xf>
    <xf numFmtId="0" fontId="17" fillId="0" borderId="27" xfId="0" applyFont="1" applyBorder="1" applyAlignment="1">
      <alignment horizontal="right" vertical="center" wrapText="1"/>
    </xf>
    <xf numFmtId="0" fontId="17" fillId="0" borderId="27" xfId="0" quotePrefix="1" applyFont="1" applyBorder="1" applyAlignment="1">
      <alignment horizontal="right" vertical="center"/>
    </xf>
    <xf numFmtId="0" fontId="17" fillId="0" borderId="52" xfId="0" quotePrefix="1" applyFont="1" applyBorder="1" applyAlignment="1">
      <alignment horizontal="right" vertical="center"/>
    </xf>
    <xf numFmtId="0" fontId="17" fillId="0" borderId="27" xfId="0" applyFont="1" applyBorder="1" applyAlignment="1">
      <alignment horizontal="right" vertical="center"/>
    </xf>
    <xf numFmtId="0" fontId="17" fillId="0" borderId="0" xfId="0" applyFont="1" applyAlignment="1">
      <alignment horizontal="center" vertical="center"/>
    </xf>
    <xf numFmtId="0" fontId="17" fillId="0" borderId="0" xfId="0" quotePrefix="1" applyFont="1" applyAlignment="1">
      <alignment horizontal="center" vertical="center"/>
    </xf>
    <xf numFmtId="0" fontId="17" fillId="0" borderId="0" xfId="0" quotePrefix="1" applyFont="1" applyAlignment="1">
      <alignment vertical="center"/>
    </xf>
    <xf numFmtId="0" fontId="30" fillId="0" borderId="27" xfId="0" applyFont="1" applyBorder="1" applyAlignment="1">
      <alignment horizontal="center" vertical="center" wrapText="1"/>
    </xf>
    <xf numFmtId="0" fontId="30" fillId="0" borderId="52" xfId="0" quotePrefix="1" applyFont="1" applyBorder="1" applyAlignment="1">
      <alignment vertical="center"/>
    </xf>
    <xf numFmtId="0" fontId="17" fillId="0" borderId="63" xfId="0" applyFont="1" applyBorder="1" applyAlignment="1">
      <alignment vertical="center" wrapText="1"/>
    </xf>
    <xf numFmtId="184" fontId="17" fillId="0" borderId="63" xfId="0" quotePrefix="1" applyNumberFormat="1" applyFont="1" applyBorder="1" applyAlignment="1">
      <alignment vertical="center"/>
    </xf>
    <xf numFmtId="184" fontId="17" fillId="0" borderId="27" xfId="0" quotePrefix="1" applyNumberFormat="1" applyFont="1" applyBorder="1" applyAlignment="1">
      <alignment horizontal="center" vertical="center"/>
    </xf>
    <xf numFmtId="0" fontId="17" fillId="0" borderId="27" xfId="0" quotePrefix="1" applyFont="1" applyBorder="1" applyAlignment="1">
      <alignment horizontal="center" vertical="center"/>
    </xf>
    <xf numFmtId="0" fontId="30" fillId="0" borderId="63" xfId="0" applyFont="1" applyBorder="1" applyAlignment="1">
      <alignment vertical="center"/>
    </xf>
    <xf numFmtId="0" fontId="17" fillId="0" borderId="63" xfId="0" quotePrefix="1" applyFont="1" applyBorder="1" applyAlignment="1">
      <alignment vertical="center"/>
    </xf>
    <xf numFmtId="0" fontId="17" fillId="0" borderId="0" xfId="0" applyFont="1" applyAlignment="1">
      <alignment vertical="top" wrapText="1"/>
    </xf>
    <xf numFmtId="0" fontId="17" fillId="0" borderId="0" xfId="0" applyFont="1" applyAlignment="1">
      <alignment horizontal="center" vertical="top" wrapText="1"/>
    </xf>
    <xf numFmtId="0" fontId="17" fillId="0" borderId="0" xfId="0" applyFont="1" applyAlignment="1">
      <alignment vertical="center" wrapText="1"/>
    </xf>
    <xf numFmtId="0" fontId="30" fillId="0" borderId="0" xfId="0" applyFont="1" applyAlignment="1">
      <alignment vertical="center"/>
    </xf>
    <xf numFmtId="0" fontId="97" fillId="0" borderId="0" xfId="0" applyFont="1" applyAlignment="1">
      <alignment vertical="center" wrapText="1"/>
    </xf>
    <xf numFmtId="0" fontId="97" fillId="0" borderId="0" xfId="0" applyFont="1" applyAlignment="1">
      <alignment vertical="center"/>
    </xf>
    <xf numFmtId="0" fontId="0" fillId="0" borderId="0" xfId="0" applyAlignment="1">
      <alignment horizontal="left" vertical="top" wrapText="1"/>
    </xf>
    <xf numFmtId="0" fontId="56" fillId="0" borderId="0" xfId="0" applyFont="1" applyAlignment="1">
      <alignment horizontal="left" vertical="top" wrapText="1"/>
    </xf>
    <xf numFmtId="0" fontId="0" fillId="24" borderId="0" xfId="0" applyFill="1" applyAlignment="1">
      <alignment horizontal="left" vertical="center" wrapText="1"/>
    </xf>
    <xf numFmtId="0" fontId="56" fillId="0" borderId="0" xfId="0" applyFont="1" applyAlignment="1">
      <alignment horizontal="left" vertical="top"/>
    </xf>
    <xf numFmtId="0" fontId="17" fillId="0" borderId="0" xfId="0" applyFont="1" applyAlignment="1">
      <alignment horizontal="right" vertical="center" wrapText="1"/>
    </xf>
    <xf numFmtId="0" fontId="17" fillId="0" borderId="0" xfId="0" applyFont="1" applyAlignment="1">
      <alignment horizontal="left" vertical="center" wrapText="1"/>
    </xf>
    <xf numFmtId="0" fontId="17" fillId="0" borderId="18" xfId="0" applyFont="1" applyBorder="1" applyAlignment="1">
      <alignment horizontal="center" vertical="center"/>
    </xf>
    <xf numFmtId="0" fontId="17" fillId="0" borderId="60"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left" vertical="top" wrapText="1"/>
    </xf>
    <xf numFmtId="0" fontId="32" fillId="0" borderId="18" xfId="0" applyFont="1" applyBorder="1" applyAlignment="1">
      <alignment horizontal="center" vertical="center"/>
    </xf>
    <xf numFmtId="0" fontId="32" fillId="0" borderId="60" xfId="0" applyFont="1" applyBorder="1" applyAlignment="1">
      <alignment horizontal="center" vertical="center"/>
    </xf>
    <xf numFmtId="0" fontId="32" fillId="0" borderId="19" xfId="0" applyFont="1" applyBorder="1" applyAlignment="1">
      <alignment horizontal="center" vertical="center"/>
    </xf>
    <xf numFmtId="0" fontId="64" fillId="0" borderId="47" xfId="0" applyFont="1" applyBorder="1" applyAlignment="1">
      <alignment horizontal="center" vertical="center" wrapText="1"/>
    </xf>
    <xf numFmtId="0" fontId="64" fillId="0" borderId="29" xfId="0" applyFont="1" applyBorder="1" applyAlignment="1">
      <alignment horizontal="center" vertical="center" wrapText="1"/>
    </xf>
    <xf numFmtId="0" fontId="65" fillId="0" borderId="47"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16" xfId="0" applyFont="1" applyBorder="1" applyAlignment="1">
      <alignment horizontal="center" vertical="center" wrapText="1"/>
    </xf>
    <xf numFmtId="0" fontId="17" fillId="0" borderId="44" xfId="0" applyFont="1" applyBorder="1" applyAlignment="1">
      <alignment horizontal="center" vertical="center"/>
    </xf>
    <xf numFmtId="0" fontId="17" fillId="0" borderId="63" xfId="0" applyFont="1" applyBorder="1" applyAlignment="1">
      <alignment horizontal="center" vertical="center"/>
    </xf>
    <xf numFmtId="0" fontId="17" fillId="0" borderId="46" xfId="0" applyFont="1" applyBorder="1" applyAlignment="1">
      <alignment horizontal="center" vertical="center"/>
    </xf>
    <xf numFmtId="0" fontId="17" fillId="0" borderId="61" xfId="0" applyFont="1" applyBorder="1" applyAlignment="1">
      <alignment horizontal="left" vertical="center"/>
    </xf>
    <xf numFmtId="0" fontId="21" fillId="0" borderId="63" xfId="0" applyFont="1" applyBorder="1" applyAlignment="1">
      <alignment horizontal="left" vertical="center" wrapText="1"/>
    </xf>
    <xf numFmtId="0" fontId="21" fillId="0" borderId="0" xfId="0" applyFont="1" applyAlignment="1">
      <alignment horizontal="left" vertical="center" wrapText="1"/>
    </xf>
    <xf numFmtId="0" fontId="98" fillId="0" borderId="0" xfId="0" applyFont="1" applyAlignment="1">
      <alignment horizontal="center" vertical="center"/>
    </xf>
    <xf numFmtId="0" fontId="0" fillId="26" borderId="27" xfId="0" applyFill="1" applyBorder="1" applyAlignment="1">
      <alignment horizontal="center" vertical="center"/>
    </xf>
    <xf numFmtId="0" fontId="70" fillId="26" borderId="27" xfId="0" applyFont="1" applyFill="1" applyBorder="1" applyAlignment="1">
      <alignment horizontal="left" vertical="center"/>
    </xf>
    <xf numFmtId="0" fontId="71" fillId="26" borderId="0" xfId="0" applyFont="1" applyFill="1" applyAlignment="1">
      <alignment horizontal="left" vertical="top" wrapText="1"/>
    </xf>
    <xf numFmtId="0" fontId="70" fillId="0" borderId="27" xfId="0" applyFont="1" applyBorder="1" applyAlignment="1" applyProtection="1">
      <alignment horizontal="center" vertical="center"/>
      <protection locked="0"/>
    </xf>
    <xf numFmtId="0" fontId="70" fillId="0" borderId="34" xfId="0" applyFont="1" applyBorder="1" applyAlignment="1" applyProtection="1">
      <alignment horizontal="center" vertical="center"/>
      <protection locked="0"/>
    </xf>
    <xf numFmtId="3" fontId="92" fillId="26" borderId="16" xfId="0" applyNumberFormat="1" applyFont="1" applyFill="1" applyBorder="1" applyAlignment="1">
      <alignment horizontal="center" vertical="center"/>
    </xf>
    <xf numFmtId="3" fontId="92" fillId="26" borderId="27" xfId="0" applyNumberFormat="1" applyFont="1" applyFill="1" applyBorder="1" applyAlignment="1">
      <alignment horizontal="center" vertical="center"/>
    </xf>
    <xf numFmtId="0" fontId="69" fillId="26" borderId="73" xfId="0" applyFont="1" applyFill="1" applyBorder="1" applyAlignment="1">
      <alignment horizontal="distributed" vertical="center" indent="1"/>
    </xf>
    <xf numFmtId="0" fontId="69" fillId="26" borderId="43" xfId="0" applyFont="1" applyFill="1" applyBorder="1" applyAlignment="1">
      <alignment horizontal="distributed" vertical="center" wrapText="1" indent="1" shrinkToFit="1"/>
    </xf>
    <xf numFmtId="0" fontId="69" fillId="26" borderId="51" xfId="0" applyFont="1" applyFill="1" applyBorder="1" applyAlignment="1">
      <alignment horizontal="distributed" vertical="center" indent="1" shrinkToFit="1"/>
    </xf>
    <xf numFmtId="0" fontId="69" fillId="26" borderId="27" xfId="0" applyFont="1" applyFill="1" applyBorder="1" applyAlignment="1">
      <alignment horizontal="center" vertical="center"/>
    </xf>
    <xf numFmtId="0" fontId="72" fillId="26" borderId="44" xfId="0" applyFont="1" applyFill="1" applyBorder="1" applyAlignment="1">
      <alignment horizontal="center" vertical="center"/>
    </xf>
    <xf numFmtId="0" fontId="72" fillId="26" borderId="46" xfId="0" applyFont="1" applyFill="1" applyBorder="1" applyAlignment="1">
      <alignment horizontal="center" vertical="center"/>
    </xf>
    <xf numFmtId="0" fontId="72" fillId="26" borderId="17" xfId="0" applyFont="1" applyFill="1" applyBorder="1" applyAlignment="1">
      <alignment horizontal="center" vertical="center"/>
    </xf>
    <xf numFmtId="0" fontId="72" fillId="26" borderId="31" xfId="0" applyFont="1" applyFill="1" applyBorder="1" applyAlignment="1">
      <alignment horizontal="center" vertical="center"/>
    </xf>
    <xf numFmtId="193" fontId="70" fillId="26" borderId="44" xfId="0" applyNumberFormat="1" applyFont="1" applyFill="1" applyBorder="1" applyAlignment="1">
      <alignment horizontal="left" vertical="center"/>
    </xf>
    <xf numFmtId="193" fontId="70" fillId="26" borderId="63" xfId="0" applyNumberFormat="1" applyFont="1" applyFill="1" applyBorder="1" applyAlignment="1">
      <alignment horizontal="left" vertical="center"/>
    </xf>
    <xf numFmtId="193" fontId="70" fillId="26" borderId="46" xfId="0" applyNumberFormat="1" applyFont="1" applyFill="1" applyBorder="1" applyAlignment="1">
      <alignment horizontal="left" vertical="center"/>
    </xf>
    <xf numFmtId="193" fontId="70" fillId="26" borderId="17" xfId="0" applyNumberFormat="1" applyFont="1" applyFill="1" applyBorder="1" applyAlignment="1">
      <alignment horizontal="left" vertical="center"/>
    </xf>
    <xf numFmtId="193" fontId="70" fillId="26" borderId="61" xfId="0" applyNumberFormat="1" applyFont="1" applyFill="1" applyBorder="1" applyAlignment="1">
      <alignment horizontal="left" vertical="center"/>
    </xf>
    <xf numFmtId="193" fontId="70" fillId="26" borderId="31" xfId="0" applyNumberFormat="1" applyFont="1" applyFill="1" applyBorder="1" applyAlignment="1">
      <alignment horizontal="left" vertical="center"/>
    </xf>
    <xf numFmtId="0" fontId="69" fillId="26" borderId="43" xfId="0" applyFont="1" applyFill="1" applyBorder="1" applyAlignment="1">
      <alignment horizontal="center" vertical="center" wrapText="1"/>
    </xf>
    <xf numFmtId="0" fontId="69" fillId="26" borderId="36" xfId="0" applyFont="1" applyFill="1" applyBorder="1" applyAlignment="1">
      <alignment horizontal="center" vertical="center" wrapText="1"/>
    </xf>
    <xf numFmtId="0" fontId="69" fillId="26" borderId="51" xfId="0" applyFont="1" applyFill="1" applyBorder="1" applyAlignment="1">
      <alignment horizontal="center" vertical="center" wrapText="1"/>
    </xf>
    <xf numFmtId="0" fontId="70" fillId="0" borderId="17" xfId="0" applyFont="1" applyBorder="1" applyAlignment="1" applyProtection="1">
      <alignment horizontal="left" vertical="center"/>
      <protection locked="0"/>
    </xf>
    <xf numFmtId="0" fontId="70" fillId="0" borderId="61" xfId="0" applyFont="1" applyBorder="1" applyAlignment="1" applyProtection="1">
      <alignment horizontal="left" vertical="center"/>
      <protection locked="0"/>
    </xf>
    <xf numFmtId="0" fontId="70" fillId="0" borderId="56" xfId="0" applyFont="1" applyBorder="1" applyAlignment="1" applyProtection="1">
      <alignment horizontal="left" vertical="center"/>
      <protection locked="0"/>
    </xf>
    <xf numFmtId="0" fontId="70" fillId="0" borderId="92" xfId="0" applyFont="1" applyBorder="1" applyAlignment="1" applyProtection="1">
      <alignment horizontal="left" vertical="center"/>
      <protection locked="0"/>
    </xf>
    <xf numFmtId="0" fontId="70" fillId="0" borderId="18" xfId="0" applyFont="1" applyBorder="1" applyAlignment="1" applyProtection="1">
      <alignment horizontal="left" vertical="center"/>
      <protection locked="0"/>
    </xf>
    <xf numFmtId="0" fontId="70" fillId="0" borderId="60" xfId="0" applyFont="1" applyBorder="1" applyAlignment="1" applyProtection="1">
      <alignment horizontal="left" vertical="center"/>
      <protection locked="0"/>
    </xf>
    <xf numFmtId="0" fontId="70" fillId="0" borderId="93" xfId="0" applyFont="1" applyBorder="1" applyAlignment="1" applyProtection="1">
      <alignment horizontal="left" vertical="center"/>
      <protection locked="0"/>
    </xf>
    <xf numFmtId="0" fontId="69" fillId="26" borderId="75" xfId="0" applyFont="1" applyFill="1" applyBorder="1" applyAlignment="1">
      <alignment horizontal="center" vertical="center" wrapText="1"/>
    </xf>
    <xf numFmtId="0" fontId="69" fillId="26" borderId="75" xfId="0" applyFont="1" applyFill="1" applyBorder="1" applyAlignment="1">
      <alignment horizontal="center" vertical="center"/>
    </xf>
    <xf numFmtId="0" fontId="75" fillId="26" borderId="0" xfId="0" applyFont="1" applyFill="1" applyAlignment="1">
      <alignment horizontal="left"/>
    </xf>
    <xf numFmtId="0" fontId="75" fillId="26" borderId="42" xfId="0" applyFont="1" applyFill="1" applyBorder="1" applyAlignment="1">
      <alignment horizontal="left"/>
    </xf>
    <xf numFmtId="0" fontId="69" fillId="26" borderId="73" xfId="0" applyFont="1" applyFill="1" applyBorder="1" applyAlignment="1">
      <alignment vertical="center" wrapText="1" shrinkToFit="1"/>
    </xf>
    <xf numFmtId="0" fontId="69" fillId="26" borderId="74" xfId="0" applyFont="1" applyFill="1" applyBorder="1" applyAlignment="1">
      <alignment vertical="center" wrapText="1" shrinkToFit="1"/>
    </xf>
    <xf numFmtId="0" fontId="69" fillId="26" borderId="73" xfId="0" applyFont="1" applyFill="1" applyBorder="1" applyAlignment="1">
      <alignment horizontal="distributed" vertical="center" wrapText="1" indent="1"/>
    </xf>
    <xf numFmtId="185" fontId="0" fillId="26" borderId="0" xfId="0" applyNumberFormat="1" applyFill="1" applyAlignment="1">
      <alignment horizontal="center" vertical="center" shrinkToFit="1"/>
    </xf>
    <xf numFmtId="0" fontId="0" fillId="26" borderId="0" xfId="0" applyFill="1" applyAlignment="1">
      <alignment horizontal="center" vertical="center" shrinkToFit="1"/>
    </xf>
    <xf numFmtId="0" fontId="12" fillId="26" borderId="0" xfId="0" applyFont="1" applyFill="1" applyAlignment="1">
      <alignment horizontal="center" vertical="center" shrinkToFit="1"/>
    </xf>
    <xf numFmtId="0" fontId="69" fillId="26" borderId="48" xfId="0" applyFont="1" applyFill="1" applyBorder="1" applyAlignment="1">
      <alignment horizontal="distributed" vertical="center" indent="1"/>
    </xf>
    <xf numFmtId="186" fontId="70" fillId="0" borderId="30" xfId="0" applyNumberFormat="1" applyFont="1" applyBorder="1" applyAlignment="1" applyProtection="1">
      <alignment horizontal="left" vertical="center"/>
      <protection locked="0"/>
    </xf>
    <xf numFmtId="186" fontId="70" fillId="0" borderId="11" xfId="0" applyNumberFormat="1" applyFont="1" applyBorder="1" applyAlignment="1" applyProtection="1">
      <alignment horizontal="left" vertical="center"/>
      <protection locked="0"/>
    </xf>
    <xf numFmtId="186" fontId="70" fillId="0" borderId="88" xfId="0" applyNumberFormat="1" applyFont="1" applyBorder="1" applyAlignment="1" applyProtection="1">
      <alignment horizontal="left" vertical="center"/>
      <protection locked="0"/>
    </xf>
    <xf numFmtId="186" fontId="70" fillId="0" borderId="52" xfId="0" applyNumberFormat="1" applyFont="1" applyBorder="1" applyAlignment="1" applyProtection="1">
      <alignment horizontal="left" vertical="center"/>
      <protection locked="0"/>
    </xf>
    <xf numFmtId="186" fontId="70" fillId="0" borderId="0" xfId="0" applyNumberFormat="1" applyFont="1" applyAlignment="1" applyProtection="1">
      <alignment horizontal="left" vertical="center"/>
      <protection locked="0"/>
    </xf>
    <xf numFmtId="186" fontId="70" fillId="0" borderId="68" xfId="0" applyNumberFormat="1" applyFont="1" applyBorder="1" applyAlignment="1" applyProtection="1">
      <alignment horizontal="left" vertical="center"/>
      <protection locked="0"/>
    </xf>
    <xf numFmtId="186" fontId="70" fillId="0" borderId="17" xfId="0" applyNumberFormat="1" applyFont="1" applyBorder="1" applyAlignment="1" applyProtection="1">
      <alignment horizontal="left" vertical="center"/>
      <protection locked="0"/>
    </xf>
    <xf numFmtId="186" fontId="70" fillId="0" borderId="61" xfId="0" applyNumberFormat="1" applyFont="1" applyBorder="1" applyAlignment="1" applyProtection="1">
      <alignment horizontal="left" vertical="center"/>
      <protection locked="0"/>
    </xf>
    <xf numFmtId="186" fontId="70" fillId="0" borderId="91" xfId="0" applyNumberFormat="1" applyFont="1" applyBorder="1" applyAlignment="1" applyProtection="1">
      <alignment horizontal="left" vertical="center"/>
      <protection locked="0"/>
    </xf>
    <xf numFmtId="0" fontId="68" fillId="26" borderId="16" xfId="0" applyFont="1" applyFill="1" applyBorder="1" applyAlignment="1">
      <alignment horizontal="center" vertical="center"/>
    </xf>
    <xf numFmtId="0" fontId="68" fillId="26" borderId="27"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27" xfId="0" applyFont="1" applyFill="1" applyBorder="1" applyAlignment="1">
      <alignment horizontal="center" vertical="center"/>
    </xf>
    <xf numFmtId="0" fontId="70" fillId="0" borderId="47" xfId="0" applyFont="1"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70" fillId="0" borderId="44" xfId="0" applyFont="1" applyBorder="1" applyAlignment="1" applyProtection="1">
      <alignment horizontal="left" vertical="center"/>
      <protection locked="0"/>
    </xf>
    <xf numFmtId="0" fontId="70" fillId="0" borderId="63" xfId="0" applyFont="1" applyBorder="1" applyAlignment="1" applyProtection="1">
      <alignment horizontal="left" vertical="center"/>
      <protection locked="0"/>
    </xf>
    <xf numFmtId="0" fontId="70" fillId="0" borderId="90" xfId="0" applyFont="1" applyBorder="1" applyAlignment="1" applyProtection="1">
      <alignment horizontal="left" vertical="center"/>
      <protection locked="0"/>
    </xf>
    <xf numFmtId="0" fontId="70" fillId="0" borderId="52" xfId="0" applyFont="1" applyBorder="1" applyAlignment="1" applyProtection="1">
      <alignment horizontal="left" vertical="center"/>
      <protection locked="0"/>
    </xf>
    <xf numFmtId="0" fontId="70" fillId="0" borderId="0" xfId="0" applyFont="1" applyAlignment="1" applyProtection="1">
      <alignment horizontal="left" vertical="center"/>
      <protection locked="0"/>
    </xf>
    <xf numFmtId="0" fontId="70" fillId="0" borderId="68" xfId="0" applyFont="1" applyBorder="1" applyAlignment="1" applyProtection="1">
      <alignment horizontal="left" vertical="center"/>
      <protection locked="0"/>
    </xf>
    <xf numFmtId="0" fontId="70" fillId="0" borderId="91" xfId="0" applyFont="1" applyBorder="1" applyAlignment="1" applyProtection="1">
      <alignment horizontal="left" vertical="center"/>
      <protection locked="0"/>
    </xf>
    <xf numFmtId="0" fontId="70" fillId="26" borderId="44" xfId="0" applyFont="1" applyFill="1" applyBorder="1" applyAlignment="1">
      <alignment horizontal="left" vertical="center"/>
    </xf>
    <xf numFmtId="0" fontId="70" fillId="26" borderId="63" xfId="0" applyFont="1" applyFill="1" applyBorder="1" applyAlignment="1">
      <alignment horizontal="left" vertical="center"/>
    </xf>
    <xf numFmtId="0" fontId="70" fillId="26" borderId="46" xfId="0" applyFont="1" applyFill="1" applyBorder="1" applyAlignment="1">
      <alignment horizontal="left" vertical="center"/>
    </xf>
    <xf numFmtId="0" fontId="70" fillId="26" borderId="17" xfId="0" applyFont="1" applyFill="1" applyBorder="1" applyAlignment="1">
      <alignment horizontal="left" vertical="center"/>
    </xf>
    <xf numFmtId="0" fontId="70" fillId="26" borderId="61" xfId="0" applyFont="1" applyFill="1" applyBorder="1" applyAlignment="1">
      <alignment horizontal="left" vertical="center"/>
    </xf>
    <xf numFmtId="0" fontId="70" fillId="26" borderId="31" xfId="0" applyFont="1" applyFill="1" applyBorder="1" applyAlignment="1">
      <alignment horizontal="left" vertical="center"/>
    </xf>
    <xf numFmtId="0" fontId="70" fillId="0" borderId="21" xfId="0" applyFont="1" applyBorder="1" applyAlignment="1" applyProtection="1">
      <alignment horizontal="left" vertical="center"/>
      <protection locked="0"/>
    </xf>
    <xf numFmtId="0" fontId="70" fillId="0" borderId="42" xfId="0" applyFont="1" applyBorder="1" applyAlignment="1" applyProtection="1">
      <alignment horizontal="left" vertical="center"/>
      <protection locked="0"/>
    </xf>
    <xf numFmtId="0" fontId="70" fillId="0" borderId="89" xfId="0" applyFont="1" applyBorder="1" applyAlignment="1" applyProtection="1">
      <alignment horizontal="left" vertical="center"/>
      <protection locked="0"/>
    </xf>
    <xf numFmtId="192" fontId="70" fillId="26" borderId="56" xfId="0" applyNumberFormat="1" applyFont="1" applyFill="1" applyBorder="1" applyAlignment="1">
      <alignment horizontal="center" vertical="center"/>
    </xf>
    <xf numFmtId="192" fontId="70" fillId="26" borderId="63" xfId="0" applyNumberFormat="1" applyFont="1" applyFill="1" applyBorder="1" applyAlignment="1">
      <alignment horizontal="center" vertical="center"/>
    </xf>
    <xf numFmtId="0" fontId="69" fillId="26" borderId="11" xfId="0" applyFont="1" applyFill="1" applyBorder="1" applyAlignment="1">
      <alignment horizontal="left" vertical="center" wrapText="1"/>
    </xf>
    <xf numFmtId="0" fontId="69" fillId="26" borderId="11" xfId="0" applyFont="1" applyFill="1" applyBorder="1" applyAlignment="1">
      <alignment horizontal="left" vertical="center"/>
    </xf>
    <xf numFmtId="0" fontId="69" fillId="26" borderId="0" xfId="0" applyFont="1" applyFill="1" applyAlignment="1">
      <alignment horizontal="left" vertical="center"/>
    </xf>
    <xf numFmtId="0" fontId="69" fillId="26" borderId="11" xfId="0" applyFont="1" applyFill="1" applyBorder="1" applyAlignment="1">
      <alignment vertical="center" shrinkToFit="1"/>
    </xf>
    <xf numFmtId="0" fontId="69" fillId="26" borderId="0" xfId="0" applyFont="1" applyFill="1" applyAlignment="1">
      <alignment vertical="center" shrinkToFit="1"/>
    </xf>
    <xf numFmtId="0" fontId="20" fillId="26" borderId="18" xfId="0" applyFont="1" applyFill="1" applyBorder="1" applyAlignment="1">
      <alignment vertical="center"/>
    </xf>
    <xf numFmtId="0" fontId="20" fillId="26" borderId="19" xfId="0" applyFont="1" applyFill="1" applyBorder="1" applyAlignment="1">
      <alignment vertical="center"/>
    </xf>
    <xf numFmtId="3" fontId="20" fillId="26" borderId="38" xfId="0" applyNumberFormat="1" applyFont="1" applyFill="1" applyBorder="1" applyAlignment="1">
      <alignment horizontal="right" vertical="center"/>
    </xf>
    <xf numFmtId="0" fontId="20" fillId="26" borderId="39" xfId="0" applyFont="1" applyFill="1" applyBorder="1" applyAlignment="1">
      <alignment horizontal="right" vertical="center"/>
    </xf>
    <xf numFmtId="0" fontId="20" fillId="26" borderId="17" xfId="0" applyFont="1" applyFill="1" applyBorder="1" applyAlignment="1">
      <alignment horizontal="right" vertical="center"/>
    </xf>
    <xf numFmtId="0" fontId="20" fillId="26" borderId="31" xfId="0" applyFont="1" applyFill="1" applyBorder="1" applyAlignment="1">
      <alignment horizontal="right" vertical="center"/>
    </xf>
    <xf numFmtId="0" fontId="21" fillId="26" borderId="26" xfId="0" applyFont="1" applyFill="1" applyBorder="1" applyAlignment="1">
      <alignment horizontal="center" vertical="center"/>
    </xf>
    <xf numFmtId="0" fontId="21" fillId="26" borderId="38"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22" xfId="0" applyFont="1" applyFill="1" applyBorder="1" applyAlignment="1">
      <alignment horizontal="center" vertical="center"/>
    </xf>
    <xf numFmtId="3" fontId="20" fillId="26" borderId="18" xfId="0" applyNumberFormat="1" applyFont="1" applyFill="1" applyBorder="1" applyAlignment="1">
      <alignment vertical="center"/>
    </xf>
    <xf numFmtId="0" fontId="20" fillId="26" borderId="24" xfId="0" applyFont="1" applyFill="1" applyBorder="1" applyAlignment="1">
      <alignment vertical="center"/>
    </xf>
    <xf numFmtId="0" fontId="20" fillId="26" borderId="25" xfId="0" applyFont="1" applyFill="1" applyBorder="1" applyAlignment="1">
      <alignment vertical="center"/>
    </xf>
    <xf numFmtId="0" fontId="16" fillId="26" borderId="0" xfId="0" applyFont="1" applyFill="1" applyAlignment="1">
      <alignment horizontal="center" vertical="center"/>
    </xf>
    <xf numFmtId="177" fontId="20" fillId="26" borderId="0" xfId="0" applyNumberFormat="1" applyFont="1" applyFill="1" applyAlignment="1">
      <alignment horizontal="right" vertical="center"/>
    </xf>
    <xf numFmtId="0" fontId="17" fillId="26" borderId="32" xfId="0" applyFont="1" applyFill="1" applyBorder="1" applyAlignment="1">
      <alignment horizontal="left" vertical="center"/>
    </xf>
    <xf numFmtId="0" fontId="17" fillId="26" borderId="11" xfId="0" applyFont="1" applyFill="1" applyBorder="1" applyAlignment="1">
      <alignment horizontal="left" vertical="center"/>
    </xf>
    <xf numFmtId="0" fontId="17" fillId="26" borderId="12" xfId="0" applyFont="1" applyFill="1" applyBorder="1" applyAlignment="1">
      <alignment horizontal="left" vertical="center"/>
    </xf>
    <xf numFmtId="0" fontId="17" fillId="26" borderId="10" xfId="0" applyFont="1" applyFill="1" applyBorder="1" applyAlignment="1">
      <alignment horizontal="center" vertical="center"/>
    </xf>
    <xf numFmtId="0" fontId="17" fillId="26" borderId="20" xfId="0" applyFont="1" applyFill="1" applyBorder="1" applyAlignment="1">
      <alignment horizontal="center" vertical="center"/>
    </xf>
    <xf numFmtId="187" fontId="60" fillId="26" borderId="10" xfId="0" applyNumberFormat="1" applyFont="1" applyFill="1" applyBorder="1" applyAlignment="1">
      <alignment horizontal="center" vertical="center" wrapText="1"/>
    </xf>
    <xf numFmtId="187" fontId="60" fillId="26" borderId="20" xfId="0" applyNumberFormat="1" applyFont="1" applyFill="1" applyBorder="1" applyAlignment="1">
      <alignment horizontal="center" vertical="center" wrapText="1"/>
    </xf>
    <xf numFmtId="0" fontId="22" fillId="26" borderId="10" xfId="0" applyFont="1" applyFill="1" applyBorder="1" applyAlignment="1">
      <alignment horizontal="center" vertical="center"/>
    </xf>
    <xf numFmtId="0" fontId="22" fillId="26" borderId="20" xfId="0" applyFont="1" applyFill="1" applyBorder="1" applyAlignment="1">
      <alignment horizontal="center" vertical="center"/>
    </xf>
    <xf numFmtId="0" fontId="21" fillId="26" borderId="67" xfId="0" applyFont="1" applyFill="1" applyBorder="1" applyAlignment="1">
      <alignment horizontal="center" vertical="center"/>
    </xf>
    <xf numFmtId="187" fontId="58" fillId="26" borderId="37" xfId="0" applyNumberFormat="1" applyFont="1" applyFill="1" applyBorder="1" applyAlignment="1">
      <alignment horizontal="center" vertical="center" shrinkToFit="1"/>
    </xf>
    <xf numFmtId="187" fontId="58" fillId="26" borderId="42" xfId="0" applyNumberFormat="1" applyFont="1" applyFill="1" applyBorder="1" applyAlignment="1">
      <alignment horizontal="center" vertical="center" shrinkToFit="1"/>
    </xf>
    <xf numFmtId="187" fontId="58" fillId="26" borderId="41" xfId="0" applyNumberFormat="1" applyFont="1" applyFill="1" applyBorder="1" applyAlignment="1">
      <alignment horizontal="center" vertical="center" shrinkToFit="1"/>
    </xf>
    <xf numFmtId="0" fontId="13" fillId="26" borderId="33" xfId="28" applyFill="1" applyBorder="1" applyAlignment="1" applyProtection="1">
      <alignment horizontal="distributed" vertical="center"/>
    </xf>
    <xf numFmtId="0" fontId="13" fillId="26" borderId="31" xfId="28" applyFill="1" applyBorder="1" applyAlignment="1" applyProtection="1">
      <alignment horizontal="distributed" vertical="center"/>
    </xf>
    <xf numFmtId="187" fontId="58" fillId="26" borderId="21" xfId="0" applyNumberFormat="1" applyFont="1" applyFill="1" applyBorder="1" applyAlignment="1">
      <alignment horizontal="center" vertical="center" shrinkToFit="1"/>
    </xf>
    <xf numFmtId="0" fontId="20" fillId="26" borderId="38" xfId="0" applyFont="1" applyFill="1" applyBorder="1" applyAlignment="1">
      <alignment vertical="center"/>
    </xf>
    <xf numFmtId="0" fontId="20" fillId="26" borderId="39" xfId="0" applyFont="1" applyFill="1" applyBorder="1" applyAlignment="1">
      <alignment vertical="center"/>
    </xf>
    <xf numFmtId="3" fontId="59" fillId="26" borderId="10" xfId="0" applyNumberFormat="1" applyFont="1" applyFill="1" applyBorder="1" applyAlignment="1">
      <alignment horizontal="center" vertical="center"/>
    </xf>
    <xf numFmtId="3" fontId="59" fillId="26" borderId="20" xfId="0" applyNumberFormat="1" applyFont="1" applyFill="1" applyBorder="1" applyAlignment="1">
      <alignment horizontal="center" vertical="center"/>
    </xf>
    <xf numFmtId="188" fontId="58" fillId="26" borderId="11" xfId="0" applyNumberFormat="1" applyFont="1" applyFill="1" applyBorder="1" applyAlignment="1">
      <alignment horizontal="center" vertical="center"/>
    </xf>
    <xf numFmtId="188" fontId="58" fillId="26" borderId="88" xfId="0" applyNumberFormat="1" applyFont="1" applyFill="1" applyBorder="1" applyAlignment="1">
      <alignment horizontal="center" vertical="center"/>
    </xf>
    <xf numFmtId="188" fontId="58" fillId="26" borderId="42" xfId="0" applyNumberFormat="1" applyFont="1" applyFill="1" applyBorder="1" applyAlignment="1">
      <alignment horizontal="center" vertical="center"/>
    </xf>
    <xf numFmtId="188" fontId="58" fillId="26" borderId="89" xfId="0" applyNumberFormat="1" applyFont="1" applyFill="1" applyBorder="1" applyAlignment="1">
      <alignment horizontal="center" vertical="center"/>
    </xf>
    <xf numFmtId="0" fontId="17" fillId="26" borderId="30" xfId="0" applyFont="1" applyFill="1" applyBorder="1" applyAlignment="1">
      <alignment horizontal="center" vertical="center"/>
    </xf>
    <xf numFmtId="0" fontId="17" fillId="26" borderId="11" xfId="0" applyFont="1" applyFill="1" applyBorder="1" applyAlignment="1">
      <alignment horizontal="center" vertical="center"/>
    </xf>
    <xf numFmtId="0" fontId="17" fillId="26" borderId="21" xfId="0" applyFont="1" applyFill="1" applyBorder="1" applyAlignment="1">
      <alignment horizontal="center" vertical="center"/>
    </xf>
    <xf numFmtId="0" fontId="17" fillId="26" borderId="42" xfId="0" applyFont="1" applyFill="1" applyBorder="1" applyAlignment="1">
      <alignment horizontal="center" vertical="center"/>
    </xf>
    <xf numFmtId="0" fontId="21" fillId="26" borderId="30" xfId="0" applyFont="1" applyFill="1" applyBorder="1" applyAlignment="1">
      <alignment horizontal="center" vertical="center"/>
    </xf>
    <xf numFmtId="0" fontId="21" fillId="26" borderId="21" xfId="0" applyFont="1" applyFill="1" applyBorder="1" applyAlignment="1">
      <alignment horizontal="center" vertical="center"/>
    </xf>
    <xf numFmtId="0" fontId="21" fillId="26" borderId="32" xfId="0" applyFont="1" applyFill="1" applyBorder="1" applyAlignment="1">
      <alignment horizontal="center" vertical="center"/>
    </xf>
    <xf numFmtId="0" fontId="21" fillId="26" borderId="12" xfId="0" applyFont="1" applyFill="1" applyBorder="1" applyAlignment="1">
      <alignment horizontal="center" vertical="center"/>
    </xf>
    <xf numFmtId="0" fontId="21" fillId="26" borderId="37" xfId="0" applyFont="1" applyFill="1" applyBorder="1" applyAlignment="1">
      <alignment horizontal="center" vertical="center"/>
    </xf>
    <xf numFmtId="0" fontId="21" fillId="26" borderId="41" xfId="0" applyFont="1" applyFill="1" applyBorder="1" applyAlignment="1">
      <alignment horizontal="center" vertical="center"/>
    </xf>
    <xf numFmtId="0" fontId="13" fillId="26" borderId="57" xfId="28" applyFill="1" applyBorder="1" applyAlignment="1" applyProtection="1">
      <alignment horizontal="distributed" vertical="center"/>
    </xf>
    <xf numFmtId="0" fontId="13" fillId="26" borderId="46" xfId="28" applyFill="1" applyBorder="1" applyAlignment="1" applyProtection="1">
      <alignment horizontal="distributed" vertical="center"/>
    </xf>
    <xf numFmtId="0" fontId="20" fillId="26" borderId="71" xfId="0" applyFont="1" applyFill="1" applyBorder="1" applyAlignment="1">
      <alignment horizontal="distributed" vertical="center"/>
    </xf>
    <xf numFmtId="0" fontId="20" fillId="26" borderId="25" xfId="0" applyFont="1" applyFill="1" applyBorder="1" applyAlignment="1">
      <alignment horizontal="distributed" vertical="center"/>
    </xf>
    <xf numFmtId="0" fontId="13" fillId="26" borderId="87" xfId="28" applyFill="1" applyBorder="1" applyAlignment="1" applyProtection="1">
      <alignment horizontal="distributed" vertical="center"/>
    </xf>
    <xf numFmtId="0" fontId="13" fillId="26" borderId="39" xfId="28" applyFill="1" applyBorder="1" applyAlignment="1" applyProtection="1">
      <alignment horizontal="distributed" vertical="center"/>
    </xf>
    <xf numFmtId="0" fontId="13" fillId="26" borderId="75" xfId="28" applyFill="1" applyBorder="1" applyAlignment="1" applyProtection="1">
      <alignment horizontal="distributed" vertical="center"/>
    </xf>
    <xf numFmtId="0" fontId="13" fillId="26" borderId="19" xfId="28" applyFill="1" applyBorder="1" applyAlignment="1" applyProtection="1">
      <alignment horizontal="distributed" vertical="center"/>
    </xf>
    <xf numFmtId="0" fontId="13" fillId="26" borderId="32" xfId="28" applyFill="1" applyBorder="1" applyAlignment="1" applyProtection="1">
      <alignment horizontal="distributed" vertical="center"/>
    </xf>
    <xf numFmtId="0" fontId="13" fillId="26" borderId="12" xfId="28" applyFill="1" applyBorder="1" applyAlignment="1" applyProtection="1">
      <alignment horizontal="distributed" vertical="center"/>
    </xf>
    <xf numFmtId="0" fontId="13" fillId="26" borderId="37" xfId="28" applyFill="1" applyBorder="1" applyAlignment="1" applyProtection="1">
      <alignment horizontal="distributed" vertical="center"/>
    </xf>
    <xf numFmtId="0" fontId="13" fillId="26" borderId="41" xfId="28" applyFill="1" applyBorder="1" applyAlignment="1" applyProtection="1">
      <alignment horizontal="distributed" vertical="center"/>
    </xf>
    <xf numFmtId="0" fontId="20" fillId="26" borderId="43" xfId="0" applyFont="1" applyFill="1" applyBorder="1" applyAlignment="1">
      <alignment horizontal="center" vertical="center" wrapText="1"/>
    </xf>
    <xf numFmtId="0" fontId="20" fillId="26" borderId="36" xfId="0" applyFont="1" applyFill="1" applyBorder="1" applyAlignment="1">
      <alignment horizontal="center" vertical="center" wrapText="1"/>
    </xf>
    <xf numFmtId="0" fontId="20" fillId="26" borderId="40" xfId="0" applyFont="1" applyFill="1" applyBorder="1" applyAlignment="1">
      <alignment horizontal="center" vertical="center" wrapText="1"/>
    </xf>
    <xf numFmtId="0" fontId="20" fillId="26" borderId="71" xfId="0" applyFont="1" applyFill="1" applyBorder="1" applyAlignment="1">
      <alignment horizontal="distributed" vertical="center" wrapText="1"/>
    </xf>
    <xf numFmtId="0" fontId="20" fillId="26" borderId="25" xfId="0" applyFont="1" applyFill="1" applyBorder="1" applyAlignment="1">
      <alignment horizontal="distributed" vertical="center" wrapText="1"/>
    </xf>
    <xf numFmtId="0" fontId="20" fillId="26" borderId="24" xfId="0" applyFont="1" applyFill="1" applyBorder="1" applyAlignment="1">
      <alignment horizontal="right" vertical="center"/>
    </xf>
    <xf numFmtId="0" fontId="20" fillId="26" borderId="25" xfId="0" applyFont="1" applyFill="1" applyBorder="1" applyAlignment="1">
      <alignment horizontal="right" vertical="center"/>
    </xf>
    <xf numFmtId="3" fontId="20" fillId="26" borderId="20" xfId="0" applyNumberFormat="1" applyFont="1" applyFill="1" applyBorder="1" applyAlignment="1">
      <alignment horizontal="center" vertical="center"/>
    </xf>
    <xf numFmtId="3" fontId="20" fillId="26" borderId="17" xfId="0" applyNumberFormat="1" applyFont="1" applyFill="1" applyBorder="1" applyAlignment="1">
      <alignment vertical="center"/>
    </xf>
    <xf numFmtId="3" fontId="20" fillId="26" borderId="31" xfId="0" applyNumberFormat="1" applyFont="1" applyFill="1" applyBorder="1" applyAlignment="1">
      <alignment vertical="center"/>
    </xf>
    <xf numFmtId="3" fontId="20" fillId="26" borderId="14" xfId="0" applyNumberFormat="1" applyFont="1" applyFill="1" applyBorder="1" applyAlignment="1">
      <alignment vertical="center"/>
    </xf>
    <xf numFmtId="3" fontId="20" fillId="26" borderId="22" xfId="0" applyNumberFormat="1" applyFont="1" applyFill="1" applyBorder="1" applyAlignment="1">
      <alignment vertical="center"/>
    </xf>
    <xf numFmtId="3" fontId="20" fillId="26" borderId="24" xfId="0" applyNumberFormat="1" applyFont="1" applyFill="1" applyBorder="1" applyAlignment="1">
      <alignment vertical="center"/>
    </xf>
    <xf numFmtId="3" fontId="20" fillId="26" borderId="25" xfId="0" applyNumberFormat="1" applyFont="1" applyFill="1" applyBorder="1" applyAlignment="1">
      <alignment vertical="center"/>
    </xf>
    <xf numFmtId="3" fontId="20" fillId="26" borderId="19" xfId="0" applyNumberFormat="1" applyFont="1" applyFill="1" applyBorder="1" applyAlignment="1">
      <alignment vertical="center"/>
    </xf>
    <xf numFmtId="3" fontId="20" fillId="26" borderId="10" xfId="0" applyNumberFormat="1" applyFont="1" applyFill="1" applyBorder="1" applyAlignment="1">
      <alignment horizontal="right" vertical="center"/>
    </xf>
    <xf numFmtId="3" fontId="20" fillId="26" borderId="20" xfId="0" applyNumberFormat="1" applyFont="1" applyFill="1" applyBorder="1" applyAlignment="1">
      <alignment horizontal="right" vertical="center"/>
    </xf>
    <xf numFmtId="0" fontId="13" fillId="26" borderId="76" xfId="28" applyFill="1" applyBorder="1" applyAlignment="1" applyProtection="1">
      <alignment horizontal="distributed" vertical="center"/>
    </xf>
    <xf numFmtId="0" fontId="13" fillId="26" borderId="22" xfId="28" applyFill="1" applyBorder="1" applyAlignment="1" applyProtection="1">
      <alignment horizontal="distributed" vertical="center"/>
    </xf>
    <xf numFmtId="178" fontId="58" fillId="26" borderId="10" xfId="0" applyNumberFormat="1" applyFont="1" applyFill="1" applyBorder="1" applyAlignment="1">
      <alignment horizontal="right" vertical="center"/>
    </xf>
    <xf numFmtId="178" fontId="58" fillId="26" borderId="20" xfId="0" applyNumberFormat="1" applyFont="1" applyFill="1" applyBorder="1" applyAlignment="1">
      <alignment horizontal="right" vertical="center"/>
    </xf>
    <xf numFmtId="0" fontId="13" fillId="26" borderId="71" xfId="28" applyFill="1" applyBorder="1" applyAlignment="1" applyProtection="1">
      <alignment horizontal="distributed" vertical="center"/>
    </xf>
    <xf numFmtId="0" fontId="13" fillId="26" borderId="25" xfId="28" applyFill="1" applyBorder="1" applyAlignment="1" applyProtection="1">
      <alignment horizontal="distributed" vertical="center"/>
    </xf>
    <xf numFmtId="3" fontId="58" fillId="26" borderId="10" xfId="0" applyNumberFormat="1" applyFont="1" applyFill="1" applyBorder="1" applyAlignment="1">
      <alignment horizontal="right" vertical="center"/>
    </xf>
    <xf numFmtId="3" fontId="58" fillId="26" borderId="20" xfId="0" applyNumberFormat="1" applyFont="1" applyFill="1" applyBorder="1" applyAlignment="1">
      <alignment horizontal="right" vertical="center"/>
    </xf>
    <xf numFmtId="0" fontId="58" fillId="26" borderId="37" xfId="0" applyFont="1" applyFill="1" applyBorder="1" applyAlignment="1">
      <alignment horizontal="center" vertical="center" shrinkToFit="1"/>
    </xf>
    <xf numFmtId="0" fontId="58" fillId="26" borderId="42" xfId="0" applyFont="1" applyFill="1" applyBorder="1" applyAlignment="1">
      <alignment horizontal="center" vertical="center" shrinkToFit="1"/>
    </xf>
    <xf numFmtId="0" fontId="20" fillId="26" borderId="0" xfId="0" applyFont="1" applyFill="1" applyAlignment="1">
      <alignment horizontal="center" vertical="center"/>
    </xf>
    <xf numFmtId="0" fontId="20" fillId="26" borderId="26" xfId="0" applyFont="1" applyFill="1" applyBorder="1" applyAlignment="1">
      <alignment horizontal="center" vertical="center"/>
    </xf>
    <xf numFmtId="0" fontId="20" fillId="26" borderId="38" xfId="0" applyFont="1" applyFill="1" applyBorder="1" applyAlignment="1">
      <alignment horizontal="center" vertical="center"/>
    </xf>
    <xf numFmtId="0" fontId="20" fillId="26" borderId="56" xfId="0" applyFont="1" applyFill="1" applyBorder="1" applyAlignment="1">
      <alignment horizontal="center" vertical="center"/>
    </xf>
    <xf numFmtId="0" fontId="20" fillId="26" borderId="39" xfId="0" applyFont="1" applyFill="1" applyBorder="1" applyAlignment="1">
      <alignment horizontal="center" vertical="center"/>
    </xf>
    <xf numFmtId="0" fontId="20" fillId="26" borderId="32" xfId="0" applyFont="1" applyFill="1" applyBorder="1" applyAlignment="1">
      <alignment horizontal="left" vertical="center"/>
    </xf>
    <xf numFmtId="0" fontId="20" fillId="26" borderId="11" xfId="0" applyFont="1" applyFill="1" applyBorder="1" applyAlignment="1">
      <alignment horizontal="left" vertical="center"/>
    </xf>
    <xf numFmtId="0" fontId="20" fillId="26" borderId="30" xfId="0" applyFont="1" applyFill="1" applyBorder="1" applyAlignment="1">
      <alignment horizontal="center" vertical="center"/>
    </xf>
    <xf numFmtId="0" fontId="20" fillId="26" borderId="21" xfId="0" applyFont="1" applyFill="1" applyBorder="1" applyAlignment="1">
      <alignment horizontal="center" vertical="center"/>
    </xf>
    <xf numFmtId="0" fontId="58" fillId="26" borderId="11" xfId="0" applyFont="1" applyFill="1" applyBorder="1" applyAlignment="1">
      <alignment horizontal="center" vertical="center"/>
    </xf>
    <xf numFmtId="0" fontId="58" fillId="26" borderId="42" xfId="0" applyFont="1" applyFill="1" applyBorder="1" applyAlignment="1">
      <alignment horizontal="center" vertical="center"/>
    </xf>
    <xf numFmtId="0" fontId="58" fillId="26" borderId="21" xfId="0" applyFont="1" applyFill="1" applyBorder="1" applyAlignment="1">
      <alignment horizontal="center" vertical="center" shrinkToFit="1"/>
    </xf>
    <xf numFmtId="0" fontId="58" fillId="26" borderId="41" xfId="0" applyFont="1" applyFill="1" applyBorder="1" applyAlignment="1">
      <alignment horizontal="center" vertical="center" shrinkToFit="1"/>
    </xf>
    <xf numFmtId="0" fontId="20" fillId="26" borderId="92" xfId="0" applyFont="1" applyFill="1" applyBorder="1" applyAlignment="1">
      <alignment horizontal="center" vertical="center"/>
    </xf>
    <xf numFmtId="3" fontId="61" fillId="26" borderId="69" xfId="0" applyNumberFormat="1" applyFont="1" applyFill="1" applyBorder="1" applyAlignment="1">
      <alignment horizontal="center" vertical="center"/>
    </xf>
    <xf numFmtId="3" fontId="61" fillId="26" borderId="11" xfId="0" applyNumberFormat="1" applyFont="1" applyFill="1" applyBorder="1" applyAlignment="1">
      <alignment horizontal="center" vertical="center"/>
    </xf>
    <xf numFmtId="3" fontId="61" fillId="26" borderId="70" xfId="0" applyNumberFormat="1" applyFont="1" applyFill="1" applyBorder="1" applyAlignment="1">
      <alignment horizontal="center" vertical="center"/>
    </xf>
    <xf numFmtId="3" fontId="61" fillId="26" borderId="42" xfId="0" applyNumberFormat="1" applyFont="1" applyFill="1" applyBorder="1" applyAlignment="1">
      <alignment horizontal="center" vertical="center"/>
    </xf>
    <xf numFmtId="181" fontId="25" fillId="26" borderId="12" xfId="0" applyNumberFormat="1" applyFont="1" applyFill="1" applyBorder="1" applyAlignment="1">
      <alignment horizontal="left" vertical="center" shrinkToFit="1"/>
    </xf>
    <xf numFmtId="181" fontId="25" fillId="26" borderId="41" xfId="0" applyNumberFormat="1" applyFont="1" applyFill="1" applyBorder="1" applyAlignment="1">
      <alignment horizontal="left" vertical="center" shrinkToFit="1"/>
    </xf>
    <xf numFmtId="0" fontId="20" fillId="26" borderId="11" xfId="0" applyFont="1" applyFill="1" applyBorder="1" applyAlignment="1">
      <alignment horizontal="center" vertical="center"/>
    </xf>
    <xf numFmtId="0" fontId="20" fillId="26" borderId="42" xfId="0" applyFont="1" applyFill="1" applyBorder="1" applyAlignment="1">
      <alignment horizontal="center" vertical="center"/>
    </xf>
    <xf numFmtId="0" fontId="20" fillId="26" borderId="94" xfId="0" applyFont="1" applyFill="1" applyBorder="1" applyAlignment="1">
      <alignment horizontal="center" vertical="center"/>
    </xf>
    <xf numFmtId="0" fontId="20" fillId="26" borderId="95" xfId="0" applyFont="1" applyFill="1" applyBorder="1" applyAlignment="1">
      <alignment horizontal="center" vertical="center"/>
    </xf>
    <xf numFmtId="182" fontId="29" fillId="26" borderId="11" xfId="0" applyNumberFormat="1" applyFont="1" applyFill="1" applyBorder="1" applyAlignment="1">
      <alignment horizontal="center" vertical="center"/>
    </xf>
    <xf numFmtId="182" fontId="29" fillId="26" borderId="88" xfId="0" applyNumberFormat="1" applyFont="1" applyFill="1" applyBorder="1" applyAlignment="1">
      <alignment horizontal="center" vertical="center"/>
    </xf>
    <xf numFmtId="182" fontId="29" fillId="26" borderId="42" xfId="0" applyNumberFormat="1" applyFont="1" applyFill="1" applyBorder="1" applyAlignment="1">
      <alignment horizontal="center" vertical="center"/>
    </xf>
    <xf numFmtId="182" fontId="29" fillId="26" borderId="89" xfId="0" applyNumberFormat="1" applyFont="1" applyFill="1" applyBorder="1" applyAlignment="1">
      <alignment horizontal="center" vertical="center"/>
    </xf>
    <xf numFmtId="0" fontId="20" fillId="26" borderId="27" xfId="0" applyFont="1" applyFill="1" applyBorder="1" applyAlignment="1">
      <alignment horizontal="center" vertical="center"/>
    </xf>
    <xf numFmtId="0" fontId="20" fillId="26" borderId="18" xfId="0" applyFont="1" applyFill="1" applyBorder="1" applyAlignment="1">
      <alignment horizontal="center" vertical="center"/>
    </xf>
    <xf numFmtId="0" fontId="20" fillId="26" borderId="60" xfId="0" applyFont="1" applyFill="1" applyBorder="1" applyAlignment="1">
      <alignment horizontal="center" vertical="center"/>
    </xf>
    <xf numFmtId="0" fontId="20" fillId="26" borderId="19" xfId="0" applyFont="1" applyFill="1" applyBorder="1" applyAlignment="1">
      <alignment horizontal="center" vertical="center"/>
    </xf>
    <xf numFmtId="0" fontId="21" fillId="26" borderId="39" xfId="0" applyFont="1" applyFill="1" applyBorder="1" applyAlignment="1">
      <alignment horizontal="center" vertical="center"/>
    </xf>
    <xf numFmtId="0" fontId="20" fillId="26" borderId="0" xfId="0" applyFont="1" applyFill="1" applyAlignment="1">
      <alignment horizontal="right" vertical="center"/>
    </xf>
    <xf numFmtId="0" fontId="21" fillId="26" borderId="56" xfId="0" applyFont="1" applyFill="1" applyBorder="1" applyAlignment="1">
      <alignment horizontal="center" vertical="center"/>
    </xf>
    <xf numFmtId="0" fontId="21" fillId="26" borderId="92"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19" xfId="0" applyFont="1" applyFill="1" applyBorder="1" applyAlignment="1">
      <alignment horizontal="center" vertical="center"/>
    </xf>
    <xf numFmtId="0" fontId="58" fillId="26" borderId="69" xfId="0" applyFont="1" applyFill="1" applyBorder="1" applyAlignment="1">
      <alignment horizontal="center" vertical="center"/>
    </xf>
    <xf numFmtId="0" fontId="58" fillId="26" borderId="70" xfId="0" applyFont="1" applyFill="1" applyBorder="1" applyAlignment="1">
      <alignment horizontal="center" vertical="center"/>
    </xf>
    <xf numFmtId="0" fontId="17" fillId="26" borderId="94" xfId="0" applyFont="1" applyFill="1" applyBorder="1" applyAlignment="1">
      <alignment horizontal="center" vertical="center"/>
    </xf>
    <xf numFmtId="0" fontId="17" fillId="26" borderId="95" xfId="0" applyFont="1" applyFill="1" applyBorder="1" applyAlignment="1">
      <alignment horizontal="center" vertical="center"/>
    </xf>
    <xf numFmtId="3" fontId="33" fillId="26" borderId="69" xfId="0" applyNumberFormat="1" applyFont="1" applyFill="1" applyBorder="1" applyAlignment="1">
      <alignment horizontal="center" vertical="center"/>
    </xf>
    <xf numFmtId="3" fontId="33" fillId="26" borderId="11" xfId="0" applyNumberFormat="1" applyFont="1" applyFill="1" applyBorder="1" applyAlignment="1">
      <alignment horizontal="center" vertical="center"/>
    </xf>
    <xf numFmtId="3" fontId="33" fillId="26" borderId="70" xfId="0" applyNumberFormat="1" applyFont="1" applyFill="1" applyBorder="1" applyAlignment="1">
      <alignment horizontal="center" vertical="center"/>
    </xf>
    <xf numFmtId="3" fontId="33" fillId="26" borderId="42" xfId="0" applyNumberFormat="1" applyFont="1" applyFill="1" applyBorder="1" applyAlignment="1">
      <alignment horizontal="center" vertical="center"/>
    </xf>
    <xf numFmtId="181" fontId="28" fillId="26" borderId="12" xfId="0" applyNumberFormat="1" applyFont="1" applyFill="1" applyBorder="1" applyAlignment="1">
      <alignment horizontal="left" vertical="center" shrinkToFit="1"/>
    </xf>
    <xf numFmtId="181" fontId="28" fillId="26" borderId="41" xfId="0" applyNumberFormat="1" applyFont="1" applyFill="1" applyBorder="1" applyAlignment="1">
      <alignment horizontal="left" vertical="center" shrinkToFit="1"/>
    </xf>
    <xf numFmtId="3" fontId="27" fillId="0" borderId="47" xfId="0" applyNumberFormat="1" applyFont="1" applyBorder="1" applyAlignment="1" applyProtection="1">
      <alignment horizontal="right" vertical="center"/>
      <protection locked="0"/>
    </xf>
    <xf numFmtId="3" fontId="27" fillId="0" borderId="16" xfId="0" applyNumberFormat="1" applyFont="1" applyBorder="1" applyAlignment="1" applyProtection="1">
      <alignment horizontal="right" vertical="center"/>
      <protection locked="0"/>
    </xf>
    <xf numFmtId="3" fontId="20" fillId="26" borderId="47" xfId="0" applyNumberFormat="1" applyFont="1" applyFill="1" applyBorder="1" applyAlignment="1">
      <alignment horizontal="right" vertical="center"/>
    </xf>
    <xf numFmtId="3" fontId="20" fillId="26" borderId="16" xfId="0" applyNumberFormat="1" applyFont="1" applyFill="1" applyBorder="1" applyAlignment="1">
      <alignment horizontal="right" vertical="center"/>
    </xf>
    <xf numFmtId="3" fontId="20" fillId="26" borderId="46" xfId="0" applyNumberFormat="1" applyFont="1" applyFill="1" applyBorder="1" applyAlignment="1">
      <alignment horizontal="right" vertical="center"/>
    </xf>
    <xf numFmtId="3" fontId="20" fillId="26" borderId="31" xfId="0" applyNumberFormat="1" applyFont="1" applyFill="1" applyBorder="1" applyAlignment="1">
      <alignment horizontal="right" vertical="center"/>
    </xf>
    <xf numFmtId="0" fontId="21" fillId="26" borderId="0" xfId="0" applyFont="1" applyFill="1" applyAlignment="1">
      <alignment horizontal="center" vertical="center"/>
    </xf>
    <xf numFmtId="181" fontId="28" fillId="26" borderId="12" xfId="0" applyNumberFormat="1" applyFont="1" applyFill="1" applyBorder="1" applyAlignment="1">
      <alignment horizontal="center" vertical="center" shrinkToFit="1"/>
    </xf>
    <xf numFmtId="181" fontId="28" fillId="26" borderId="41" xfId="0" applyNumberFormat="1" applyFont="1" applyFill="1" applyBorder="1" applyAlignment="1">
      <alignment horizontal="center" vertical="center" shrinkToFit="1"/>
    </xf>
    <xf numFmtId="0" fontId="17" fillId="26" borderId="30" xfId="0" applyFont="1" applyFill="1" applyBorder="1" applyAlignment="1">
      <alignment horizontal="left" vertical="center"/>
    </xf>
    <xf numFmtId="0" fontId="79" fillId="25" borderId="52" xfId="0" applyFont="1" applyFill="1" applyBorder="1" applyAlignment="1">
      <alignment horizontal="left" vertical="center"/>
    </xf>
    <xf numFmtId="0" fontId="79" fillId="25" borderId="49" xfId="0" applyFont="1" applyFill="1" applyBorder="1" applyAlignment="1">
      <alignment horizontal="left" vertical="center"/>
    </xf>
    <xf numFmtId="0" fontId="79" fillId="25" borderId="44" xfId="0" applyFont="1" applyFill="1" applyBorder="1" applyAlignment="1">
      <alignment horizontal="left" vertical="center"/>
    </xf>
    <xf numFmtId="0" fontId="79" fillId="25" borderId="46" xfId="0" applyFont="1" applyFill="1" applyBorder="1" applyAlignment="1">
      <alignment horizontal="left" vertical="center"/>
    </xf>
    <xf numFmtId="0" fontId="79" fillId="25" borderId="61" xfId="0" applyFont="1" applyFill="1" applyBorder="1" applyAlignment="1">
      <alignment horizontal="left" vertical="center"/>
    </xf>
    <xf numFmtId="0" fontId="79" fillId="25" borderId="27" xfId="0" applyFont="1" applyFill="1" applyBorder="1" applyAlignment="1">
      <alignment horizontal="center" vertical="center"/>
    </xf>
    <xf numFmtId="0" fontId="11" fillId="0" borderId="47" xfId="43" applyBorder="1" applyAlignment="1">
      <alignment horizontal="center" vertical="center"/>
    </xf>
    <xf numFmtId="0" fontId="11" fillId="0" borderId="16" xfId="43" applyBorder="1" applyAlignment="1">
      <alignment horizontal="center" vertical="center"/>
    </xf>
    <xf numFmtId="0" fontId="11" fillId="0" borderId="29" xfId="43" applyBorder="1" applyAlignment="1">
      <alignment horizontal="center" vertical="center"/>
    </xf>
    <xf numFmtId="0" fontId="11" fillId="0" borderId="18" xfId="43" applyBorder="1" applyAlignment="1">
      <alignment horizontal="center" vertical="center" wrapText="1"/>
    </xf>
    <xf numFmtId="0" fontId="11" fillId="0" borderId="60" xfId="43" applyBorder="1" applyAlignment="1">
      <alignment horizontal="center" vertical="center" wrapText="1"/>
    </xf>
    <xf numFmtId="0" fontId="11" fillId="0" borderId="19" xfId="43" applyBorder="1" applyAlignment="1">
      <alignment horizontal="center" vertical="center" wrapText="1"/>
    </xf>
    <xf numFmtId="0" fontId="11" fillId="0" borderId="27" xfId="43" applyBorder="1" applyAlignment="1">
      <alignment horizontal="center" vertical="center"/>
    </xf>
    <xf numFmtId="0" fontId="11" fillId="27" borderId="27" xfId="43" applyFill="1" applyBorder="1" applyAlignment="1">
      <alignment horizontal="center" vertical="center"/>
    </xf>
    <xf numFmtId="0" fontId="5" fillId="0" borderId="27" xfId="43" applyFont="1" applyBorder="1" applyAlignment="1">
      <alignment horizontal="center" vertical="center" wrapText="1"/>
    </xf>
    <xf numFmtId="0" fontId="11" fillId="0" borderId="44" xfId="43" applyBorder="1" applyAlignment="1">
      <alignment horizontal="center" vertical="center"/>
    </xf>
    <xf numFmtId="0" fontId="11" fillId="0" borderId="46" xfId="43" applyBorder="1" applyAlignment="1">
      <alignment horizontal="center" vertical="center"/>
    </xf>
    <xf numFmtId="0" fontId="11" fillId="0" borderId="17" xfId="43" applyBorder="1" applyAlignment="1">
      <alignment horizontal="center" vertical="center"/>
    </xf>
    <xf numFmtId="0" fontId="11" fillId="0" borderId="31" xfId="43" applyBorder="1" applyAlignment="1">
      <alignment horizontal="center" vertical="center"/>
    </xf>
    <xf numFmtId="0" fontId="6" fillId="0" borderId="47" xfId="43" applyFont="1" applyBorder="1" applyAlignment="1">
      <alignment horizontal="center" vertical="center"/>
    </xf>
    <xf numFmtId="0" fontId="11" fillId="0" borderId="27" xfId="43" applyBorder="1" applyAlignment="1">
      <alignment horizontal="left" vertical="center"/>
    </xf>
    <xf numFmtId="0" fontId="79" fillId="0" borderId="47" xfId="0" applyFont="1" applyBorder="1" applyAlignment="1">
      <alignment horizontal="center" vertical="center" textRotation="255"/>
    </xf>
    <xf numFmtId="0" fontId="79" fillId="0" borderId="29" xfId="0" applyFont="1" applyBorder="1" applyAlignment="1">
      <alignment horizontal="center" vertical="center" textRotation="255"/>
    </xf>
    <xf numFmtId="0" fontId="79" fillId="0" borderId="16" xfId="0" applyFont="1" applyBorder="1" applyAlignment="1">
      <alignment horizontal="center" vertical="center" textRotation="255"/>
    </xf>
    <xf numFmtId="0" fontId="79" fillId="0" borderId="27" xfId="0" applyFont="1" applyBorder="1" applyAlignment="1">
      <alignment horizontal="center" vertical="center" textRotation="255"/>
    </xf>
    <xf numFmtId="0" fontId="79" fillId="0" borderId="47" xfId="0" applyFont="1" applyBorder="1" applyAlignment="1">
      <alignment horizontal="center" vertical="center"/>
    </xf>
    <xf numFmtId="0" fontId="79" fillId="0" borderId="29" xfId="0" applyFont="1" applyBorder="1" applyAlignment="1">
      <alignment horizontal="center" vertical="center"/>
    </xf>
    <xf numFmtId="0" fontId="79" fillId="0" borderId="16" xfId="0" applyFont="1" applyBorder="1" applyAlignment="1">
      <alignment horizontal="center" vertical="center"/>
    </xf>
    <xf numFmtId="0" fontId="79" fillId="26" borderId="47" xfId="0" applyFont="1" applyFill="1" applyBorder="1" applyAlignment="1">
      <alignment horizontal="center" vertical="center"/>
    </xf>
    <xf numFmtId="0" fontId="79" fillId="26" borderId="29" xfId="0" applyFont="1" applyFill="1" applyBorder="1" applyAlignment="1">
      <alignment horizontal="center" vertical="center"/>
    </xf>
    <xf numFmtId="0" fontId="79" fillId="26" borderId="16" xfId="0" applyFont="1" applyFill="1" applyBorder="1" applyAlignment="1">
      <alignment horizontal="center" vertical="center"/>
    </xf>
    <xf numFmtId="0" fontId="79" fillId="0" borderId="44" xfId="0" applyFont="1" applyBorder="1" applyAlignment="1">
      <alignment horizontal="center" vertical="center"/>
    </xf>
    <xf numFmtId="0" fontId="79" fillId="0" borderId="46" xfId="0" applyFont="1" applyBorder="1" applyAlignment="1">
      <alignment horizontal="center" vertical="center"/>
    </xf>
    <xf numFmtId="0" fontId="79" fillId="0" borderId="52" xfId="0" applyFont="1" applyBorder="1" applyAlignment="1">
      <alignment horizontal="center" vertical="center"/>
    </xf>
    <xf numFmtId="0" fontId="79" fillId="0" borderId="49" xfId="0" applyFont="1" applyBorder="1" applyAlignment="1">
      <alignment horizontal="center" vertical="center"/>
    </xf>
    <xf numFmtId="0" fontId="79" fillId="0" borderId="17" xfId="0" applyFont="1" applyBorder="1" applyAlignment="1">
      <alignment horizontal="center" vertical="center"/>
    </xf>
    <xf numFmtId="0" fontId="79" fillId="0" borderId="31" xfId="0" applyFont="1" applyBorder="1" applyAlignment="1">
      <alignment horizontal="center" vertical="center"/>
    </xf>
    <xf numFmtId="0" fontId="79" fillId="26" borderId="27" xfId="0" applyFont="1" applyFill="1" applyBorder="1" applyAlignment="1">
      <alignment horizontal="center" vertical="center" wrapText="1"/>
    </xf>
    <xf numFmtId="0" fontId="79" fillId="26" borderId="27"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3292706F-A406-442D-891B-20DA05F88147}"/>
    <cellStyle name="標準 3" xfId="44" xr:uid="{D750E595-2F6A-493A-B225-C5D99FF6AB25}"/>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1</xdr:row>
          <xdr:rowOff>19050</xdr:rowOff>
        </xdr:from>
        <xdr:to>
          <xdr:col>5</xdr:col>
          <xdr:colOff>495300</xdr:colOff>
          <xdr:row>9</xdr:row>
          <xdr:rowOff>209550</xdr:rowOff>
        </xdr:to>
        <xdr:sp macro="" textlink="">
          <xdr:nvSpPr>
            <xdr:cNvPr id="15379" name="Group Box 19" hidden="1">
              <a:extLst>
                <a:ext uri="{63B3BB69-23CF-44E3-9099-C40C66FF867C}">
                  <a14:compatExt spid="_x0000_s15379"/>
                </a:ext>
                <a:ext uri="{FF2B5EF4-FFF2-40B4-BE49-F238E27FC236}">
                  <a16:creationId xmlns:a16="http://schemas.microsoft.com/office/drawing/2014/main" id="{00000000-0008-0000-0E00-000013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シート保護制御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xdr:row>
          <xdr:rowOff>0</xdr:rowOff>
        </xdr:from>
        <xdr:to>
          <xdr:col>4</xdr:col>
          <xdr:colOff>276225</xdr:colOff>
          <xdr:row>7</xdr:row>
          <xdr:rowOff>133350</xdr:rowOff>
        </xdr:to>
        <xdr:sp macro="" textlink="">
          <xdr:nvSpPr>
            <xdr:cNvPr id="15380" name="Button 20" hidden="1">
              <a:extLst>
                <a:ext uri="{63B3BB69-23CF-44E3-9099-C40C66FF867C}">
                  <a14:compatExt spid="_x0000_s15380"/>
                </a:ext>
                <a:ext uri="{FF2B5EF4-FFF2-40B4-BE49-F238E27FC236}">
                  <a16:creationId xmlns:a16="http://schemas.microsoft.com/office/drawing/2014/main" id="{00000000-0008-0000-0E00-000014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設定解除</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3</xdr:row>
          <xdr:rowOff>171450</xdr:rowOff>
        </xdr:from>
        <xdr:to>
          <xdr:col>4</xdr:col>
          <xdr:colOff>266700</xdr:colOff>
          <xdr:row>5</xdr:row>
          <xdr:rowOff>66675</xdr:rowOff>
        </xdr:to>
        <xdr:sp macro="" textlink="">
          <xdr:nvSpPr>
            <xdr:cNvPr id="15381" name="Button 21" hidden="1">
              <a:extLst>
                <a:ext uri="{63B3BB69-23CF-44E3-9099-C40C66FF867C}">
                  <a14:compatExt spid="_x0000_s15381"/>
                </a:ext>
                <a:ext uri="{FF2B5EF4-FFF2-40B4-BE49-F238E27FC236}">
                  <a16:creationId xmlns:a16="http://schemas.microsoft.com/office/drawing/2014/main" id="{00000000-0008-0000-0E00-000015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HP添付設定</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159384</xdr:colOff>
      <xdr:row>0</xdr:row>
      <xdr:rowOff>320675</xdr:rowOff>
    </xdr:from>
    <xdr:to>
      <xdr:col>37</xdr:col>
      <xdr:colOff>444499</xdr:colOff>
      <xdr:row>0</xdr:row>
      <xdr:rowOff>936625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1927184" y="320675"/>
          <a:ext cx="1605915" cy="6159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t>インポート追加</a:t>
          </a:r>
          <a:endParaRPr kumimoji="1" lang="en-US" altLang="ja-JP" sz="1100"/>
        </a:p>
        <a:p>
          <a:pPr algn="ctr"/>
          <a:r>
            <a:rPr kumimoji="1" lang="ja-JP" altLang="en-US" sz="1100"/>
            <a:t>予備項目使用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533400</xdr:colOff>
      <xdr:row>5</xdr:row>
      <xdr:rowOff>114300</xdr:rowOff>
    </xdr:from>
    <xdr:to>
      <xdr:col>6</xdr:col>
      <xdr:colOff>2413000</xdr:colOff>
      <xdr:row>18</xdr:row>
      <xdr:rowOff>101600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8509000" y="1257300"/>
          <a:ext cx="1879600" cy="29591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原価商品の単価及び原価は、</a:t>
          </a:r>
          <a:r>
            <a:rPr kumimoji="1" lang="ja-JP" altLang="ja-JP" sz="1100">
              <a:solidFill>
                <a:schemeClr val="dk1"/>
              </a:solidFill>
              <a:effectLst/>
              <a:latin typeface="+mn-lt"/>
              <a:ea typeface="+mn-ea"/>
              <a:cs typeface="+mn-cs"/>
            </a:rPr>
            <a:t>配送先ごとに</a:t>
          </a:r>
          <a:r>
            <a:rPr kumimoji="1" lang="ja-JP" altLang="en-US" sz="1100">
              <a:latin typeface="游ゴシック" panose="020B0400000000000000" pitchFamily="50" charset="-128"/>
              <a:ea typeface="游ゴシック" panose="020B0400000000000000" pitchFamily="50" charset="-128"/>
            </a:rPr>
            <a:t>異なるため、設定しない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36"/>
  <sheetViews>
    <sheetView zoomScaleNormal="100" zoomScaleSheetLayoutView="90" workbookViewId="0">
      <selection activeCell="W1" sqref="W1"/>
    </sheetView>
  </sheetViews>
  <sheetFormatPr defaultColWidth="9" defaultRowHeight="13.5"/>
  <cols>
    <col min="1" max="2" width="2.625" style="11" customWidth="1"/>
    <col min="3" max="10" width="9" style="11"/>
    <col min="11" max="11" width="3.625" style="11" customWidth="1"/>
    <col min="12" max="12" width="2.625" style="11" customWidth="1"/>
    <col min="13" max="13" width="3.625" style="11" customWidth="1"/>
    <col min="14" max="14" width="3" style="11" customWidth="1"/>
    <col min="15" max="21" width="9" style="11"/>
    <col min="22" max="22" width="10.375" style="11" customWidth="1"/>
    <col min="23" max="16384" width="9" style="11"/>
  </cols>
  <sheetData>
    <row r="1" spans="1:33" ht="18" customHeight="1">
      <c r="A1" s="10" t="s">
        <v>184</v>
      </c>
      <c r="B1" s="12"/>
      <c r="C1" s="12"/>
      <c r="D1" s="12"/>
      <c r="E1" s="12"/>
    </row>
    <row r="2" spans="1:33" ht="18" customHeight="1"/>
    <row r="3" spans="1:33" ht="18" customHeight="1">
      <c r="B3" s="586" t="s">
        <v>185</v>
      </c>
      <c r="C3" s="586"/>
      <c r="D3" s="586"/>
      <c r="E3" s="586"/>
      <c r="F3" s="586"/>
      <c r="G3" s="586"/>
      <c r="H3" s="586"/>
      <c r="I3" s="586"/>
      <c r="J3" s="586"/>
    </row>
    <row r="4" spans="1:33" ht="18" customHeight="1">
      <c r="B4" s="586"/>
      <c r="C4" s="586"/>
      <c r="D4" s="586"/>
      <c r="E4" s="586"/>
      <c r="F4" s="586"/>
      <c r="G4" s="586"/>
      <c r="H4" s="586"/>
      <c r="I4" s="586"/>
      <c r="J4" s="586"/>
    </row>
    <row r="5" spans="1:33" ht="18" customHeight="1">
      <c r="B5" s="586"/>
      <c r="C5" s="586"/>
      <c r="D5" s="586"/>
      <c r="E5" s="586"/>
      <c r="F5" s="586"/>
      <c r="G5" s="586"/>
      <c r="H5" s="586"/>
      <c r="I5" s="586"/>
      <c r="J5" s="586"/>
    </row>
    <row r="6" spans="1:33" ht="18" customHeight="1">
      <c r="K6" s="384"/>
    </row>
    <row r="7" spans="1:33" ht="18" customHeight="1">
      <c r="B7" s="13" t="s">
        <v>186</v>
      </c>
      <c r="C7" s="11" t="s">
        <v>187</v>
      </c>
      <c r="K7" s="384"/>
      <c r="M7" s="13" t="s">
        <v>203</v>
      </c>
      <c r="N7" s="585" t="s">
        <v>220</v>
      </c>
      <c r="O7" s="584"/>
      <c r="P7" s="584"/>
      <c r="Q7" s="584"/>
      <c r="R7" s="584"/>
      <c r="S7" s="584"/>
      <c r="T7" s="584"/>
      <c r="U7" s="584"/>
      <c r="V7" s="584"/>
    </row>
    <row r="8" spans="1:33" ht="18" customHeight="1">
      <c r="B8" s="13" t="s">
        <v>188</v>
      </c>
      <c r="C8" s="585" t="s">
        <v>189</v>
      </c>
      <c r="D8" s="584"/>
      <c r="E8" s="584"/>
      <c r="F8" s="584"/>
      <c r="G8" s="584"/>
      <c r="H8" s="584"/>
      <c r="I8" s="584"/>
      <c r="J8" s="584"/>
      <c r="K8" s="384"/>
      <c r="M8" s="13"/>
      <c r="N8" s="584"/>
      <c r="O8" s="584"/>
      <c r="P8" s="584"/>
      <c r="Q8" s="584"/>
      <c r="R8" s="584"/>
      <c r="S8" s="584"/>
      <c r="T8" s="584"/>
      <c r="U8" s="584"/>
      <c r="V8" s="584"/>
    </row>
    <row r="9" spans="1:33" ht="18" customHeight="1">
      <c r="B9" s="13"/>
      <c r="C9" s="584"/>
      <c r="D9" s="584"/>
      <c r="E9" s="584"/>
      <c r="F9" s="584"/>
      <c r="G9" s="584"/>
      <c r="H9" s="584"/>
      <c r="I9" s="584"/>
      <c r="J9" s="584"/>
      <c r="K9" s="384"/>
      <c r="M9" s="13" t="s">
        <v>205</v>
      </c>
      <c r="N9" s="584" t="s">
        <v>207</v>
      </c>
      <c r="O9" s="584"/>
      <c r="P9" s="584"/>
      <c r="Q9" s="584"/>
      <c r="R9" s="584"/>
      <c r="S9" s="584"/>
      <c r="T9" s="584"/>
      <c r="U9" s="584"/>
      <c r="V9" s="584"/>
    </row>
    <row r="10" spans="1:33" ht="18" customHeight="1">
      <c r="B10" s="13"/>
      <c r="C10" s="584"/>
      <c r="D10" s="584"/>
      <c r="E10" s="584"/>
      <c r="F10" s="584"/>
      <c r="G10" s="584"/>
      <c r="H10" s="584"/>
      <c r="I10" s="584"/>
      <c r="J10" s="584"/>
      <c r="K10" s="384"/>
      <c r="M10" s="13"/>
      <c r="N10" s="584"/>
      <c r="O10" s="584"/>
      <c r="P10" s="584"/>
      <c r="Q10" s="584"/>
      <c r="R10" s="584"/>
      <c r="S10" s="584"/>
      <c r="T10" s="584"/>
      <c r="U10" s="584"/>
      <c r="V10" s="584"/>
    </row>
    <row r="11" spans="1:33" ht="18" customHeight="1">
      <c r="B11" s="13" t="s">
        <v>190</v>
      </c>
      <c r="C11" s="585" t="s">
        <v>191</v>
      </c>
      <c r="D11" s="585"/>
      <c r="E11" s="585"/>
      <c r="F11" s="585"/>
      <c r="G11" s="585"/>
      <c r="H11" s="585"/>
      <c r="I11" s="585"/>
      <c r="J11" s="585"/>
      <c r="K11" s="384"/>
      <c r="M11" s="13" t="s">
        <v>206</v>
      </c>
      <c r="N11" s="587" t="s">
        <v>209</v>
      </c>
      <c r="O11" s="587"/>
      <c r="P11" s="587"/>
      <c r="Q11" s="587"/>
      <c r="R11" s="587"/>
      <c r="S11" s="587"/>
      <c r="T11" s="587"/>
      <c r="U11" s="587"/>
      <c r="V11" s="587"/>
    </row>
    <row r="12" spans="1:33" ht="18" customHeight="1">
      <c r="B12" s="13"/>
      <c r="C12" s="585"/>
      <c r="D12" s="585"/>
      <c r="E12" s="585"/>
      <c r="F12" s="585"/>
      <c r="G12" s="585"/>
      <c r="H12" s="585"/>
      <c r="I12" s="585"/>
      <c r="J12" s="585"/>
      <c r="K12" s="384"/>
      <c r="N12" s="14" t="s">
        <v>211</v>
      </c>
      <c r="O12" s="584" t="s">
        <v>210</v>
      </c>
      <c r="P12" s="584"/>
      <c r="Q12" s="584"/>
      <c r="R12" s="584"/>
      <c r="S12" s="584"/>
      <c r="T12" s="584"/>
      <c r="U12" s="584"/>
      <c r="V12" s="584"/>
    </row>
    <row r="13" spans="1:33" ht="18" customHeight="1">
      <c r="B13" s="13"/>
      <c r="C13" s="585"/>
      <c r="D13" s="585"/>
      <c r="E13" s="585"/>
      <c r="F13" s="585"/>
      <c r="G13" s="585"/>
      <c r="H13" s="585"/>
      <c r="I13" s="585"/>
      <c r="J13" s="585"/>
      <c r="K13" s="384"/>
      <c r="N13" s="15"/>
      <c r="O13" s="584"/>
      <c r="P13" s="584"/>
      <c r="Q13" s="584"/>
      <c r="R13" s="584"/>
      <c r="S13" s="584"/>
      <c r="T13" s="584"/>
      <c r="U13" s="584"/>
      <c r="V13" s="584"/>
    </row>
    <row r="14" spans="1:33" ht="18" customHeight="1">
      <c r="C14" s="585"/>
      <c r="D14" s="585"/>
      <c r="E14" s="585"/>
      <c r="F14" s="585"/>
      <c r="G14" s="585"/>
      <c r="H14" s="585"/>
      <c r="I14" s="585"/>
      <c r="J14" s="585"/>
      <c r="K14" s="384"/>
      <c r="N14" s="16" t="s">
        <v>218</v>
      </c>
      <c r="O14" s="584" t="s">
        <v>212</v>
      </c>
      <c r="P14" s="584"/>
      <c r="Q14" s="584"/>
      <c r="R14" s="584"/>
      <c r="S14" s="584"/>
      <c r="T14" s="584"/>
      <c r="U14" s="584"/>
      <c r="V14" s="584"/>
    </row>
    <row r="15" spans="1:33" ht="18" customHeight="1">
      <c r="B15" s="13" t="s">
        <v>192</v>
      </c>
      <c r="C15" s="585" t="s">
        <v>193</v>
      </c>
      <c r="D15" s="584"/>
      <c r="E15" s="584"/>
      <c r="F15" s="584"/>
      <c r="G15" s="584"/>
      <c r="H15" s="584"/>
      <c r="I15" s="584"/>
      <c r="J15" s="584"/>
      <c r="K15" s="384"/>
      <c r="O15" s="584"/>
      <c r="P15" s="584"/>
      <c r="Q15" s="584"/>
      <c r="R15" s="584"/>
      <c r="S15" s="584"/>
      <c r="T15" s="584"/>
      <c r="U15" s="584"/>
      <c r="V15" s="584"/>
    </row>
    <row r="16" spans="1:33" ht="18" customHeight="1">
      <c r="B16" s="13"/>
      <c r="C16" s="584"/>
      <c r="D16" s="584"/>
      <c r="E16" s="584"/>
      <c r="F16" s="584"/>
      <c r="G16" s="584"/>
      <c r="H16" s="584"/>
      <c r="I16" s="584"/>
      <c r="J16" s="584"/>
      <c r="K16" s="384"/>
      <c r="N16" s="16" t="s">
        <v>214</v>
      </c>
      <c r="O16" s="584" t="s">
        <v>213</v>
      </c>
      <c r="P16" s="584"/>
      <c r="Q16" s="584"/>
      <c r="R16" s="584"/>
      <c r="S16" s="584"/>
      <c r="T16" s="584"/>
      <c r="U16" s="584"/>
      <c r="V16" s="584"/>
      <c r="X16" s="13"/>
      <c r="Y16" s="585"/>
      <c r="Z16" s="584"/>
      <c r="AA16" s="584"/>
      <c r="AB16" s="584"/>
      <c r="AC16" s="584"/>
      <c r="AD16" s="584"/>
      <c r="AE16" s="584"/>
      <c r="AF16" s="584"/>
      <c r="AG16" s="584"/>
    </row>
    <row r="17" spans="2:33" ht="18" customHeight="1">
      <c r="B17" s="13" t="s">
        <v>194</v>
      </c>
      <c r="C17" s="585" t="s">
        <v>219</v>
      </c>
      <c r="D17" s="584"/>
      <c r="E17" s="584"/>
      <c r="F17" s="584"/>
      <c r="G17" s="584"/>
      <c r="H17" s="584"/>
      <c r="I17" s="584"/>
      <c r="J17" s="584"/>
      <c r="L17" s="25"/>
      <c r="O17" s="584"/>
      <c r="P17" s="584"/>
      <c r="Q17" s="584"/>
      <c r="R17" s="584"/>
      <c r="S17" s="584"/>
      <c r="T17" s="584"/>
      <c r="U17" s="584"/>
      <c r="V17" s="584"/>
      <c r="X17" s="13"/>
      <c r="Y17" s="584"/>
      <c r="Z17" s="584"/>
      <c r="AA17" s="584"/>
      <c r="AB17" s="584"/>
      <c r="AC17" s="584"/>
      <c r="AD17" s="584"/>
      <c r="AE17" s="584"/>
      <c r="AF17" s="584"/>
      <c r="AG17" s="584"/>
    </row>
    <row r="18" spans="2:33" ht="18" customHeight="1">
      <c r="B18" s="13"/>
      <c r="C18" s="584"/>
      <c r="D18" s="584"/>
      <c r="E18" s="584"/>
      <c r="F18" s="584"/>
      <c r="G18" s="584"/>
      <c r="H18" s="584"/>
      <c r="I18" s="584"/>
      <c r="J18" s="584"/>
      <c r="K18" s="384"/>
      <c r="M18" s="13" t="s">
        <v>208</v>
      </c>
      <c r="N18" s="11" t="s">
        <v>215</v>
      </c>
      <c r="X18" s="13"/>
      <c r="Y18" s="584"/>
      <c r="Z18" s="584"/>
      <c r="AA18" s="584"/>
      <c r="AB18" s="584"/>
      <c r="AC18" s="584"/>
      <c r="AD18" s="584"/>
      <c r="AE18" s="584"/>
      <c r="AF18" s="584"/>
      <c r="AG18" s="584"/>
    </row>
    <row r="19" spans="2:33" ht="18" customHeight="1">
      <c r="B19" s="13"/>
      <c r="C19" s="584"/>
      <c r="D19" s="584"/>
      <c r="E19" s="584"/>
      <c r="F19" s="584"/>
      <c r="G19" s="584"/>
      <c r="H19" s="584"/>
      <c r="I19" s="584"/>
      <c r="J19" s="584"/>
      <c r="K19" s="384"/>
      <c r="X19" s="13"/>
      <c r="Y19" s="584"/>
      <c r="Z19" s="584"/>
      <c r="AA19" s="584"/>
      <c r="AB19" s="584"/>
      <c r="AC19" s="584"/>
      <c r="AD19" s="584"/>
      <c r="AE19" s="584"/>
      <c r="AF19" s="584"/>
      <c r="AG19" s="584"/>
    </row>
    <row r="20" spans="2:33" ht="18" customHeight="1">
      <c r="B20" s="13" t="s">
        <v>195</v>
      </c>
      <c r="C20" s="585" t="s">
        <v>240</v>
      </c>
      <c r="D20" s="587"/>
      <c r="E20" s="587"/>
      <c r="F20" s="587"/>
      <c r="G20" s="587"/>
      <c r="H20" s="587"/>
      <c r="I20" s="587"/>
      <c r="J20" s="587"/>
      <c r="K20" s="384"/>
      <c r="M20" s="13" t="s">
        <v>216</v>
      </c>
      <c r="N20" s="584" t="s">
        <v>221</v>
      </c>
      <c r="O20" s="584"/>
      <c r="P20" s="584"/>
      <c r="Q20" s="584"/>
      <c r="R20" s="584"/>
      <c r="S20" s="584"/>
      <c r="T20" s="584"/>
      <c r="U20" s="584"/>
      <c r="V20" s="584"/>
      <c r="X20" s="13"/>
      <c r="Y20" s="587"/>
      <c r="Z20" s="587"/>
      <c r="AA20" s="587"/>
      <c r="AB20" s="587"/>
      <c r="AC20" s="587"/>
      <c r="AD20" s="587"/>
      <c r="AE20" s="587"/>
      <c r="AF20" s="587"/>
      <c r="AG20" s="587"/>
    </row>
    <row r="21" spans="2:33" ht="18" customHeight="1">
      <c r="B21" s="13"/>
      <c r="C21" s="587"/>
      <c r="D21" s="587"/>
      <c r="E21" s="587"/>
      <c r="F21" s="587"/>
      <c r="G21" s="587"/>
      <c r="H21" s="587"/>
      <c r="I21" s="587"/>
      <c r="J21" s="587"/>
      <c r="K21" s="384"/>
      <c r="N21" s="584"/>
      <c r="O21" s="584"/>
      <c r="P21" s="584"/>
      <c r="Q21" s="584"/>
      <c r="R21" s="584"/>
      <c r="S21" s="584"/>
      <c r="T21" s="584"/>
      <c r="U21" s="584"/>
      <c r="V21" s="584"/>
      <c r="Y21" s="14"/>
      <c r="Z21" s="584"/>
      <c r="AA21" s="584"/>
      <c r="AB21" s="584"/>
      <c r="AC21" s="584"/>
      <c r="AD21" s="584"/>
      <c r="AE21" s="584"/>
      <c r="AF21" s="584"/>
      <c r="AG21" s="584"/>
    </row>
    <row r="22" spans="2:33" ht="18" customHeight="1">
      <c r="B22" s="13"/>
      <c r="C22" s="15"/>
      <c r="D22" s="15"/>
      <c r="E22" s="15"/>
      <c r="F22" s="15"/>
      <c r="G22" s="15"/>
      <c r="H22" s="15"/>
      <c r="I22" s="15"/>
      <c r="J22" s="15"/>
      <c r="K22" s="384"/>
      <c r="M22" s="17"/>
      <c r="N22" s="15"/>
      <c r="O22" s="15"/>
      <c r="P22" s="15"/>
      <c r="Q22" s="15"/>
      <c r="R22" s="15"/>
      <c r="S22" s="15"/>
      <c r="T22" s="15"/>
      <c r="U22" s="15"/>
      <c r="V22" s="15"/>
      <c r="Y22" s="15"/>
      <c r="Z22" s="584"/>
      <c r="AA22" s="584"/>
      <c r="AB22" s="584"/>
      <c r="AC22" s="584"/>
      <c r="AD22" s="584"/>
      <c r="AE22" s="584"/>
      <c r="AF22" s="584"/>
      <c r="AG22" s="584"/>
    </row>
    <row r="23" spans="2:33" ht="18" customHeight="1">
      <c r="B23" s="13" t="s">
        <v>196</v>
      </c>
      <c r="C23" s="585" t="s">
        <v>198</v>
      </c>
      <c r="D23" s="584"/>
      <c r="E23" s="584"/>
      <c r="F23" s="584"/>
      <c r="G23" s="584"/>
      <c r="H23" s="584"/>
      <c r="I23" s="584"/>
      <c r="J23" s="584"/>
      <c r="K23" s="384"/>
      <c r="M23" s="13"/>
      <c r="N23" s="15"/>
      <c r="O23" s="15"/>
      <c r="P23" s="15"/>
      <c r="Q23" s="15"/>
      <c r="R23" s="15"/>
      <c r="S23" s="15"/>
      <c r="T23" s="15"/>
      <c r="U23" s="15"/>
      <c r="V23" s="15"/>
      <c r="Y23" s="16"/>
      <c r="Z23" s="584"/>
      <c r="AA23" s="584"/>
      <c r="AB23" s="584"/>
      <c r="AC23" s="584"/>
      <c r="AD23" s="584"/>
      <c r="AE23" s="584"/>
      <c r="AF23" s="584"/>
      <c r="AG23" s="584"/>
    </row>
    <row r="24" spans="2:33" ht="18" customHeight="1">
      <c r="B24" s="13"/>
      <c r="C24" s="584"/>
      <c r="D24" s="584"/>
      <c r="E24" s="584"/>
      <c r="F24" s="584"/>
      <c r="G24" s="584"/>
      <c r="H24" s="584"/>
      <c r="I24" s="584"/>
      <c r="J24" s="584"/>
      <c r="K24" s="384"/>
      <c r="M24" s="17"/>
      <c r="N24" s="15"/>
      <c r="O24" s="15"/>
      <c r="P24" s="15"/>
      <c r="Q24" s="15"/>
      <c r="R24" s="15"/>
      <c r="S24" s="15"/>
      <c r="T24" s="15"/>
      <c r="U24" s="15"/>
      <c r="V24" s="15"/>
      <c r="Z24" s="584"/>
      <c r="AA24" s="584"/>
      <c r="AB24" s="584"/>
      <c r="AC24" s="584"/>
      <c r="AD24" s="584"/>
      <c r="AE24" s="584"/>
      <c r="AF24" s="584"/>
      <c r="AG24" s="584"/>
    </row>
    <row r="25" spans="2:33" ht="18" customHeight="1">
      <c r="B25" s="13"/>
      <c r="C25" s="584"/>
      <c r="D25" s="584"/>
      <c r="E25" s="584"/>
      <c r="F25" s="584"/>
      <c r="G25" s="584"/>
      <c r="H25" s="584"/>
      <c r="I25" s="584"/>
      <c r="J25" s="584"/>
      <c r="K25" s="384"/>
      <c r="M25" s="13"/>
      <c r="N25" s="15"/>
      <c r="O25" s="15"/>
      <c r="P25" s="15"/>
      <c r="Q25" s="15"/>
      <c r="R25" s="15"/>
      <c r="S25" s="15"/>
      <c r="T25" s="15"/>
      <c r="U25" s="15"/>
      <c r="V25" s="15"/>
      <c r="Y25" s="16"/>
      <c r="Z25" s="584"/>
      <c r="AA25" s="584"/>
      <c r="AB25" s="584"/>
      <c r="AC25" s="584"/>
      <c r="AD25" s="584"/>
      <c r="AE25" s="584"/>
      <c r="AF25" s="584"/>
      <c r="AG25" s="584"/>
    </row>
    <row r="26" spans="2:33" ht="18" customHeight="1">
      <c r="B26" s="13" t="s">
        <v>197</v>
      </c>
      <c r="C26" s="585" t="s">
        <v>200</v>
      </c>
      <c r="D26" s="585"/>
      <c r="E26" s="585"/>
      <c r="F26" s="585"/>
      <c r="G26" s="585"/>
      <c r="H26" s="585"/>
      <c r="I26" s="585"/>
      <c r="J26" s="585"/>
      <c r="K26" s="384"/>
      <c r="M26" s="17"/>
      <c r="N26" s="15"/>
      <c r="O26" s="15"/>
      <c r="P26" s="15"/>
      <c r="Q26" s="15"/>
      <c r="R26" s="15"/>
      <c r="S26" s="15"/>
      <c r="T26" s="15"/>
      <c r="U26" s="15"/>
      <c r="V26" s="15"/>
      <c r="Z26" s="584"/>
      <c r="AA26" s="584"/>
      <c r="AB26" s="584"/>
      <c r="AC26" s="584"/>
      <c r="AD26" s="584"/>
      <c r="AE26" s="584"/>
      <c r="AF26" s="584"/>
      <c r="AG26" s="584"/>
    </row>
    <row r="27" spans="2:33" ht="18" customHeight="1">
      <c r="B27" s="13"/>
      <c r="C27" s="585"/>
      <c r="D27" s="585"/>
      <c r="E27" s="585"/>
      <c r="F27" s="585"/>
      <c r="G27" s="585"/>
      <c r="H27" s="585"/>
      <c r="I27" s="585"/>
      <c r="J27" s="585"/>
      <c r="K27" s="384"/>
      <c r="M27" s="13"/>
      <c r="N27" s="15"/>
      <c r="O27" s="15"/>
      <c r="P27" s="15"/>
      <c r="Q27" s="15"/>
      <c r="R27" s="15"/>
      <c r="S27" s="15"/>
      <c r="T27" s="15"/>
      <c r="U27" s="15"/>
      <c r="V27" s="15"/>
      <c r="X27" s="13"/>
    </row>
    <row r="28" spans="2:33" ht="18" customHeight="1">
      <c r="C28" s="585"/>
      <c r="D28" s="585"/>
      <c r="E28" s="585"/>
      <c r="F28" s="585"/>
      <c r="G28" s="585"/>
      <c r="H28" s="585"/>
      <c r="I28" s="585"/>
      <c r="J28" s="585"/>
      <c r="K28" s="384"/>
      <c r="M28" s="17"/>
      <c r="V28" s="15"/>
    </row>
    <row r="29" spans="2:33" ht="18" customHeight="1">
      <c r="B29" s="13" t="s">
        <v>199</v>
      </c>
      <c r="C29" s="584" t="s">
        <v>202</v>
      </c>
      <c r="D29" s="584"/>
      <c r="E29" s="584"/>
      <c r="F29" s="584"/>
      <c r="G29" s="584"/>
      <c r="H29" s="584"/>
      <c r="I29" s="584"/>
      <c r="J29" s="584"/>
      <c r="M29" s="17"/>
      <c r="V29" s="15"/>
      <c r="X29" s="13"/>
      <c r="Y29" s="584"/>
      <c r="Z29" s="584"/>
      <c r="AA29" s="584"/>
      <c r="AB29" s="584"/>
      <c r="AC29" s="584"/>
      <c r="AD29" s="584"/>
      <c r="AE29" s="584"/>
      <c r="AF29" s="584"/>
      <c r="AG29" s="584"/>
    </row>
    <row r="30" spans="2:33" ht="18" customHeight="1">
      <c r="B30" s="13"/>
      <c r="C30" s="584"/>
      <c r="D30" s="584"/>
      <c r="E30" s="584"/>
      <c r="F30" s="584"/>
      <c r="G30" s="584"/>
      <c r="H30" s="584"/>
      <c r="I30" s="584"/>
      <c r="J30" s="584"/>
      <c r="M30" s="17"/>
      <c r="Y30" s="584"/>
      <c r="Z30" s="584"/>
      <c r="AA30" s="584"/>
      <c r="AB30" s="584"/>
      <c r="AC30" s="584"/>
      <c r="AD30" s="584"/>
      <c r="AE30" s="584"/>
      <c r="AF30" s="584"/>
      <c r="AG30" s="584"/>
    </row>
    <row r="31" spans="2:33" ht="18" customHeight="1">
      <c r="B31" s="13" t="s">
        <v>201</v>
      </c>
      <c r="C31" s="584" t="s">
        <v>204</v>
      </c>
      <c r="D31" s="584"/>
      <c r="E31" s="584"/>
      <c r="F31" s="584"/>
      <c r="G31" s="584"/>
      <c r="H31" s="584"/>
      <c r="I31" s="584"/>
      <c r="J31" s="584"/>
      <c r="M31" s="17"/>
    </row>
    <row r="32" spans="2:33" ht="18" customHeight="1">
      <c r="B32" s="13"/>
      <c r="C32" s="584"/>
      <c r="D32" s="584"/>
      <c r="E32" s="584"/>
      <c r="F32" s="584"/>
      <c r="G32" s="584"/>
      <c r="H32" s="584"/>
      <c r="I32" s="584"/>
      <c r="J32" s="584"/>
    </row>
    <row r="33" ht="15" customHeight="1"/>
    <row r="34" ht="15" customHeight="1"/>
    <row r="35" ht="15" customHeight="1"/>
    <row r="36" ht="15" customHeight="1"/>
  </sheetData>
  <sheetProtection algorithmName="SHA-512" hashValue="n5YJBmAFfj02tnck7+TtkRAPO3v1d8hrSefvTBeoKvaiP8sjC01l6w8yQv9gSJ7TVakMDqQ8TVvin9NBuSxKoA==" saltValue="ZkgwL9TVmi55vaDix6Ys6A==" spinCount="100000" sheet="1" objects="1" scenarios="1"/>
  <mergeCells count="24">
    <mergeCell ref="B3:J5"/>
    <mergeCell ref="Y18:AG19"/>
    <mergeCell ref="Y20:AG20"/>
    <mergeCell ref="Z21:AG22"/>
    <mergeCell ref="C8:J10"/>
    <mergeCell ref="N20:V21"/>
    <mergeCell ref="C20:J21"/>
    <mergeCell ref="N7:V8"/>
    <mergeCell ref="N9:V10"/>
    <mergeCell ref="N11:V11"/>
    <mergeCell ref="Y16:AG17"/>
    <mergeCell ref="C11:J14"/>
    <mergeCell ref="O12:V13"/>
    <mergeCell ref="O14:V15"/>
    <mergeCell ref="O16:V17"/>
    <mergeCell ref="C31:J32"/>
    <mergeCell ref="C15:J16"/>
    <mergeCell ref="C17:J19"/>
    <mergeCell ref="Z25:AG26"/>
    <mergeCell ref="C29:J30"/>
    <mergeCell ref="Y29:AG30"/>
    <mergeCell ref="C23:J25"/>
    <mergeCell ref="C26:J28"/>
    <mergeCell ref="Z23:AG24"/>
  </mergeCells>
  <phoneticPr fontId="15"/>
  <printOptions horizontalCentered="1" verticalCentered="1"/>
  <pageMargins left="0.59055118110236227" right="0.39370078740157483" top="0.59055118110236227"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view="pageBreakPreview" zoomScale="70" zoomScaleNormal="100" zoomScaleSheetLayoutView="70" workbookViewId="0">
      <selection activeCell="L17" sqref="L17:Q17"/>
    </sheetView>
  </sheetViews>
  <sheetFormatPr defaultColWidth="9" defaultRowHeight="13.5"/>
  <cols>
    <col min="1" max="2" width="2.625" style="1" customWidth="1"/>
    <col min="3" max="3" width="3.625" style="1" customWidth="1"/>
    <col min="4" max="5" width="10.125" style="1" customWidth="1"/>
    <col min="6" max="7" width="10.625" style="1" customWidth="1"/>
    <col min="8" max="9" width="10.125" style="1" customWidth="1"/>
    <col min="10" max="10" width="4.75" style="1" customWidth="1"/>
    <col min="11" max="11" width="9" style="1"/>
    <col min="12" max="12" width="18.75" style="1" customWidth="1"/>
    <col min="13" max="13" width="18.25" style="1" customWidth="1"/>
    <col min="14" max="22" width="15.75" style="1" customWidth="1"/>
    <col min="23" max="16384" width="9" style="1"/>
  </cols>
  <sheetData>
    <row r="1" spans="1:22" ht="18.75">
      <c r="A1" s="5" t="s">
        <v>153</v>
      </c>
      <c r="B1" s="6"/>
      <c r="C1" s="6"/>
      <c r="D1" s="6"/>
      <c r="E1" s="6"/>
      <c r="F1" s="6"/>
      <c r="G1" s="6"/>
      <c r="L1" s="608" t="s">
        <v>1684</v>
      </c>
      <c r="M1" s="608"/>
      <c r="N1" s="608"/>
      <c r="O1" s="608"/>
      <c r="P1" s="608"/>
      <c r="Q1" s="608"/>
      <c r="R1" s="608"/>
      <c r="S1" s="608"/>
      <c r="T1" s="608"/>
      <c r="U1" s="608"/>
    </row>
    <row r="2" spans="1:22" ht="30" customHeight="1">
      <c r="B2" s="7" t="s">
        <v>154</v>
      </c>
      <c r="L2" s="7"/>
    </row>
    <row r="3" spans="1:22" ht="15" customHeight="1">
      <c r="C3" s="1" t="s">
        <v>155</v>
      </c>
      <c r="L3" s="605" t="s">
        <v>156</v>
      </c>
      <c r="M3" s="605"/>
      <c r="N3" s="9"/>
      <c r="O3" s="560" t="s">
        <v>1626</v>
      </c>
      <c r="R3" s="1" t="s">
        <v>1627</v>
      </c>
      <c r="V3" s="2" t="s">
        <v>1628</v>
      </c>
    </row>
    <row r="4" spans="1:22" ht="15" customHeight="1">
      <c r="C4" s="1" t="s">
        <v>157</v>
      </c>
      <c r="L4" s="559" t="s">
        <v>1629</v>
      </c>
      <c r="M4" s="559" t="s">
        <v>1630</v>
      </c>
      <c r="N4" s="559" t="s">
        <v>1631</v>
      </c>
      <c r="O4" s="559" t="s">
        <v>1632</v>
      </c>
      <c r="P4" s="561"/>
      <c r="R4" s="562"/>
      <c r="S4" s="559" t="s">
        <v>1633</v>
      </c>
      <c r="T4" s="559" t="s">
        <v>1634</v>
      </c>
      <c r="U4" s="559" t="s">
        <v>1635</v>
      </c>
      <c r="V4" s="559" t="s">
        <v>1636</v>
      </c>
    </row>
    <row r="5" spans="1:22" ht="20.100000000000001" customHeight="1">
      <c r="C5" s="1" t="s">
        <v>159</v>
      </c>
      <c r="L5" s="563" t="s">
        <v>1637</v>
      </c>
      <c r="M5" s="564" t="s">
        <v>1638</v>
      </c>
      <c r="N5" s="564" t="s">
        <v>1639</v>
      </c>
      <c r="O5" s="564" t="s">
        <v>1640</v>
      </c>
      <c r="P5" s="565"/>
      <c r="R5" s="385" t="s">
        <v>158</v>
      </c>
      <c r="S5" s="566" t="s">
        <v>1641</v>
      </c>
      <c r="T5" s="566" t="s">
        <v>1642</v>
      </c>
      <c r="U5" s="566" t="s">
        <v>1643</v>
      </c>
      <c r="V5" s="566" t="s">
        <v>1644</v>
      </c>
    </row>
    <row r="6" spans="1:22" ht="20.100000000000001" customHeight="1">
      <c r="L6" s="567"/>
      <c r="M6" s="568"/>
      <c r="N6" s="569"/>
      <c r="O6" s="569"/>
      <c r="P6" s="569"/>
      <c r="R6" s="385" t="s">
        <v>1645</v>
      </c>
      <c r="S6" s="566" t="s">
        <v>1641</v>
      </c>
      <c r="T6" s="566" t="s">
        <v>1646</v>
      </c>
      <c r="U6" s="566" t="s">
        <v>1647</v>
      </c>
      <c r="V6" s="566" t="s">
        <v>1648</v>
      </c>
    </row>
    <row r="7" spans="1:22" ht="20.100000000000001" customHeight="1">
      <c r="B7" s="7" t="s">
        <v>160</v>
      </c>
      <c r="L7" s="570" t="s">
        <v>1649</v>
      </c>
      <c r="M7" s="570" t="s">
        <v>1650</v>
      </c>
      <c r="N7" s="571" t="s">
        <v>1651</v>
      </c>
      <c r="O7" s="568"/>
      <c r="P7" s="569"/>
      <c r="R7" s="385" t="s">
        <v>38</v>
      </c>
      <c r="S7" s="566" t="s">
        <v>1641</v>
      </c>
      <c r="T7" s="566" t="s">
        <v>1643</v>
      </c>
      <c r="U7" s="566" t="s">
        <v>1652</v>
      </c>
      <c r="V7" s="566" t="s">
        <v>1653</v>
      </c>
    </row>
    <row r="8" spans="1:22" ht="20.100000000000001" customHeight="1">
      <c r="C8" s="593" t="s">
        <v>161</v>
      </c>
      <c r="D8" s="593"/>
      <c r="E8" s="593"/>
      <c r="F8" s="593"/>
      <c r="G8" s="593"/>
      <c r="H8" s="593"/>
      <c r="I8" s="593"/>
      <c r="L8" s="566" t="s">
        <v>1654</v>
      </c>
      <c r="M8" s="564" t="s">
        <v>1655</v>
      </c>
      <c r="N8" s="571" t="s">
        <v>1656</v>
      </c>
      <c r="O8" s="569"/>
      <c r="P8" s="569"/>
      <c r="R8" s="1" t="s">
        <v>1657</v>
      </c>
      <c r="S8" s="1" t="s">
        <v>1658</v>
      </c>
      <c r="T8" s="1" t="s">
        <v>1659</v>
      </c>
    </row>
    <row r="9" spans="1:22" ht="20.100000000000001" customHeight="1">
      <c r="C9" s="593"/>
      <c r="D9" s="593"/>
      <c r="E9" s="593"/>
      <c r="F9" s="593"/>
      <c r="G9" s="593"/>
      <c r="H9" s="593"/>
      <c r="I9" s="593"/>
      <c r="L9" s="572"/>
      <c r="M9" s="573"/>
      <c r="N9" s="569"/>
      <c r="O9" s="569"/>
      <c r="P9" s="569"/>
      <c r="Q9" s="569"/>
    </row>
    <row r="10" spans="1:22" ht="20.100000000000001" customHeight="1">
      <c r="C10" s="593"/>
      <c r="D10" s="593"/>
      <c r="E10" s="593"/>
      <c r="F10" s="593"/>
      <c r="G10" s="593"/>
      <c r="H10" s="593"/>
      <c r="I10" s="593"/>
      <c r="L10" s="385" t="s">
        <v>1660</v>
      </c>
      <c r="M10" s="574" t="s">
        <v>1661</v>
      </c>
      <c r="N10" s="575" t="s">
        <v>1662</v>
      </c>
      <c r="O10" s="575" t="s">
        <v>1663</v>
      </c>
      <c r="P10" s="575" t="s">
        <v>1664</v>
      </c>
      <c r="Q10" s="569"/>
      <c r="R10" s="1" t="s">
        <v>1665</v>
      </c>
      <c r="U10" s="2" t="s">
        <v>1628</v>
      </c>
    </row>
    <row r="11" spans="1:22" ht="20.100000000000001" customHeight="1">
      <c r="C11" s="593"/>
      <c r="D11" s="593"/>
      <c r="E11" s="593"/>
      <c r="F11" s="593"/>
      <c r="G11" s="593"/>
      <c r="H11" s="593"/>
      <c r="I11" s="593"/>
      <c r="L11" s="563" t="s">
        <v>1666</v>
      </c>
      <c r="M11" s="564" t="s">
        <v>1638</v>
      </c>
      <c r="N11" s="564" t="s">
        <v>1667</v>
      </c>
      <c r="O11" s="564" t="s">
        <v>1667</v>
      </c>
      <c r="P11" s="564" t="s">
        <v>1639</v>
      </c>
      <c r="Q11" s="569"/>
      <c r="R11" s="559" t="s">
        <v>1633</v>
      </c>
      <c r="S11" s="559" t="s">
        <v>1634</v>
      </c>
      <c r="T11" s="559" t="s">
        <v>1635</v>
      </c>
      <c r="U11" s="559" t="s">
        <v>1636</v>
      </c>
    </row>
    <row r="12" spans="1:22" ht="20.100000000000001" customHeight="1">
      <c r="D12" s="594" t="s">
        <v>162</v>
      </c>
      <c r="E12" s="595"/>
      <c r="F12" s="596"/>
      <c r="G12" s="594" t="s">
        <v>163</v>
      </c>
      <c r="H12" s="595"/>
      <c r="I12" s="596"/>
      <c r="L12" s="576" t="s">
        <v>1668</v>
      </c>
      <c r="M12" s="577"/>
      <c r="N12" s="577"/>
      <c r="O12" s="577"/>
      <c r="P12" s="569"/>
      <c r="Q12" s="569"/>
      <c r="R12" s="563" t="s">
        <v>1637</v>
      </c>
      <c r="S12" s="564" t="s">
        <v>1638</v>
      </c>
      <c r="T12" s="564" t="s">
        <v>1669</v>
      </c>
      <c r="U12" s="564" t="s">
        <v>1670</v>
      </c>
    </row>
    <row r="13" spans="1:22" ht="20.100000000000001" customHeight="1">
      <c r="C13" s="597" t="s">
        <v>164</v>
      </c>
      <c r="D13" s="8" t="s">
        <v>165</v>
      </c>
      <c r="E13" s="8"/>
      <c r="F13" s="8"/>
      <c r="G13" s="590" t="s">
        <v>166</v>
      </c>
      <c r="H13" s="591"/>
      <c r="I13" s="592"/>
      <c r="M13" s="569"/>
      <c r="N13" s="569"/>
      <c r="O13" s="569"/>
      <c r="P13" s="569"/>
      <c r="Q13" s="569"/>
    </row>
    <row r="14" spans="1:22" ht="35.25" customHeight="1">
      <c r="C14" s="598"/>
      <c r="D14" s="8" t="s">
        <v>167</v>
      </c>
      <c r="E14" s="8"/>
      <c r="F14" s="8"/>
      <c r="G14" s="590" t="s">
        <v>168</v>
      </c>
      <c r="H14" s="591"/>
      <c r="I14" s="592"/>
      <c r="L14" s="589" t="s">
        <v>1671</v>
      </c>
      <c r="M14" s="589"/>
      <c r="N14" s="589"/>
      <c r="O14" s="589"/>
      <c r="P14" s="589"/>
      <c r="Q14" s="589"/>
      <c r="R14" s="1" t="s">
        <v>1672</v>
      </c>
    </row>
    <row r="15" spans="1:22" ht="29.25" customHeight="1">
      <c r="C15" s="598"/>
      <c r="D15" s="8" t="s">
        <v>169</v>
      </c>
      <c r="E15" s="8"/>
      <c r="F15" s="8"/>
      <c r="G15" s="602" t="s">
        <v>170</v>
      </c>
      <c r="H15" s="603"/>
      <c r="I15" s="604"/>
      <c r="L15" s="1" t="s">
        <v>1673</v>
      </c>
      <c r="N15" s="578"/>
      <c r="O15" s="579"/>
      <c r="R15" s="559" t="s">
        <v>1633</v>
      </c>
      <c r="S15" s="559" t="s">
        <v>1634</v>
      </c>
      <c r="T15" s="559" t="s">
        <v>1635</v>
      </c>
      <c r="U15" s="559" t="s">
        <v>1636</v>
      </c>
    </row>
    <row r="16" spans="1:22" ht="21.95" customHeight="1">
      <c r="C16" s="599" t="s">
        <v>171</v>
      </c>
      <c r="D16" s="9" t="s">
        <v>172</v>
      </c>
      <c r="E16" s="9"/>
      <c r="F16" s="9"/>
      <c r="G16" s="590" t="s">
        <v>166</v>
      </c>
      <c r="H16" s="591"/>
      <c r="I16" s="592"/>
      <c r="L16" s="1" t="s">
        <v>1674</v>
      </c>
      <c r="M16" s="580"/>
      <c r="N16" s="580"/>
      <c r="O16" s="580"/>
      <c r="R16" s="563" t="s">
        <v>1675</v>
      </c>
      <c r="S16" s="564" t="s">
        <v>1676</v>
      </c>
      <c r="T16" s="564" t="s">
        <v>1677</v>
      </c>
      <c r="U16" s="564" t="s">
        <v>1670</v>
      </c>
    </row>
    <row r="17" spans="3:21" ht="21.95" customHeight="1">
      <c r="C17" s="600"/>
      <c r="D17" s="8" t="s">
        <v>173</v>
      </c>
      <c r="E17" s="8"/>
      <c r="F17" s="8"/>
      <c r="G17" s="590" t="s">
        <v>168</v>
      </c>
      <c r="H17" s="591"/>
      <c r="I17" s="592"/>
      <c r="L17" s="589" t="s">
        <v>1678</v>
      </c>
      <c r="M17" s="589"/>
      <c r="N17" s="589"/>
      <c r="O17" s="589"/>
      <c r="P17" s="589"/>
      <c r="Q17" s="589"/>
      <c r="R17" s="606" t="s">
        <v>1679</v>
      </c>
      <c r="S17" s="606"/>
      <c r="T17" s="606"/>
      <c r="U17" s="606"/>
    </row>
    <row r="18" spans="3:21" ht="25.5" customHeight="1">
      <c r="C18" s="600"/>
      <c r="D18" s="8" t="s">
        <v>169</v>
      </c>
      <c r="E18" s="8"/>
      <c r="F18" s="8"/>
      <c r="G18" s="590" t="s">
        <v>174</v>
      </c>
      <c r="H18" s="591"/>
      <c r="I18" s="592"/>
      <c r="L18" s="1" t="s">
        <v>1680</v>
      </c>
      <c r="R18" s="607"/>
      <c r="S18" s="607"/>
      <c r="T18" s="607"/>
      <c r="U18" s="607"/>
    </row>
    <row r="19" spans="3:21" ht="21.95" customHeight="1">
      <c r="C19" s="601"/>
      <c r="D19" s="8" t="s">
        <v>175</v>
      </c>
      <c r="E19" s="8"/>
      <c r="F19" s="8"/>
      <c r="G19" s="590" t="s">
        <v>170</v>
      </c>
      <c r="H19" s="591"/>
      <c r="I19" s="592"/>
      <c r="L19" s="1" t="s">
        <v>1681</v>
      </c>
    </row>
    <row r="20" spans="3:21" ht="21.95" customHeight="1">
      <c r="C20" s="23"/>
      <c r="D20" s="24"/>
      <c r="R20" s="581" t="s">
        <v>1682</v>
      </c>
    </row>
    <row r="21" spans="3:21" ht="21.95" customHeight="1">
      <c r="C21" s="588" t="s">
        <v>181</v>
      </c>
      <c r="D21" s="589" t="s">
        <v>176</v>
      </c>
      <c r="E21" s="589"/>
      <c r="F21" s="589"/>
      <c r="G21" s="589"/>
      <c r="H21" s="589"/>
      <c r="I21" s="589"/>
      <c r="L21" s="582"/>
      <c r="M21" s="582"/>
      <c r="N21" s="582"/>
    </row>
    <row r="22" spans="3:21" ht="21.95" customHeight="1">
      <c r="C22" s="588"/>
      <c r="D22" s="589"/>
      <c r="E22" s="589"/>
      <c r="F22" s="589"/>
      <c r="G22" s="589"/>
      <c r="H22" s="589"/>
      <c r="I22" s="589"/>
      <c r="L22" s="583" t="s">
        <v>1683</v>
      </c>
      <c r="M22" s="582"/>
      <c r="N22" s="582"/>
    </row>
    <row r="23" spans="3:21" ht="21.95" customHeight="1">
      <c r="C23" s="588"/>
      <c r="D23" s="589"/>
      <c r="E23" s="589"/>
      <c r="F23" s="589"/>
      <c r="G23" s="589"/>
      <c r="H23" s="589"/>
      <c r="I23" s="589"/>
    </row>
    <row r="24" spans="3:21" ht="21.95" customHeight="1">
      <c r="C24" s="2" t="s">
        <v>182</v>
      </c>
      <c r="D24" s="1" t="s">
        <v>177</v>
      </c>
    </row>
    <row r="25" spans="3:21" ht="21.95" customHeight="1">
      <c r="D25" s="1" t="s">
        <v>178</v>
      </c>
    </row>
    <row r="26" spans="3:21" ht="21.95" customHeight="1"/>
    <row r="27" spans="3:21" ht="21.95" customHeight="1">
      <c r="C27" s="2" t="s">
        <v>182</v>
      </c>
      <c r="D27" s="1" t="s">
        <v>179</v>
      </c>
    </row>
    <row r="28" spans="3:21">
      <c r="D28" s="1" t="s">
        <v>180</v>
      </c>
    </row>
  </sheetData>
  <sheetProtection sheet="1" objects="1" scenarios="1"/>
  <mergeCells count="19">
    <mergeCell ref="L3:M3"/>
    <mergeCell ref="L14:Q14"/>
    <mergeCell ref="L17:Q17"/>
    <mergeCell ref="R17:U18"/>
    <mergeCell ref="L1:U1"/>
    <mergeCell ref="C21:C23"/>
    <mergeCell ref="D21:I23"/>
    <mergeCell ref="G18:I18"/>
    <mergeCell ref="G19:I19"/>
    <mergeCell ref="C8:I11"/>
    <mergeCell ref="D12:F12"/>
    <mergeCell ref="G12:I12"/>
    <mergeCell ref="C13:C15"/>
    <mergeCell ref="C16:C19"/>
    <mergeCell ref="G17:I17"/>
    <mergeCell ref="G14:I14"/>
    <mergeCell ref="G15:I15"/>
    <mergeCell ref="G16:I16"/>
    <mergeCell ref="G13:I13"/>
  </mergeCells>
  <phoneticPr fontId="15"/>
  <printOptions horizontalCentered="1" verticalCentered="1"/>
  <pageMargins left="0.39370078740157483" right="0" top="0.59055118110236227" bottom="0.59055118110236227" header="0.51181102362204722" footer="0.31496062992125984"/>
  <pageSetup paperSize="9" scale="55" orientation="landscape" r:id="rId1"/>
  <headerFooter alignWithMargins="0">
    <oddFooter xml:space="preserve">&amp;C日本海折込センター&amp;R2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R42"/>
  <sheetViews>
    <sheetView zoomScaleNormal="100" workbookViewId="0">
      <selection activeCell="B12" sqref="B12:I13"/>
    </sheetView>
  </sheetViews>
  <sheetFormatPr defaultColWidth="8.875" defaultRowHeight="13.5"/>
  <cols>
    <col min="1" max="1" width="14.75" style="88" customWidth="1"/>
    <col min="2" max="16384" width="8.875" style="88"/>
  </cols>
  <sheetData>
    <row r="1" spans="1:18">
      <c r="A1" s="642" t="s">
        <v>264</v>
      </c>
      <c r="B1" s="642"/>
      <c r="C1" s="642"/>
      <c r="D1" s="642"/>
    </row>
    <row r="2" spans="1:18" ht="14.25" thickBot="1">
      <c r="A2" s="643"/>
      <c r="B2" s="643"/>
      <c r="C2" s="643"/>
      <c r="D2" s="643"/>
    </row>
    <row r="3" spans="1:18" ht="14.25" thickBot="1">
      <c r="A3" s="86"/>
      <c r="B3" s="647"/>
      <c r="C3" s="647"/>
      <c r="D3" s="87"/>
      <c r="E3" s="648"/>
      <c r="F3" s="649"/>
      <c r="G3" s="87"/>
      <c r="H3" s="648"/>
      <c r="I3" s="649"/>
      <c r="K3" s="389" t="s">
        <v>217</v>
      </c>
      <c r="L3" s="390"/>
      <c r="M3" s="390"/>
      <c r="N3" s="390"/>
      <c r="O3" s="390"/>
      <c r="P3" s="391"/>
      <c r="Q3" s="391"/>
    </row>
    <row r="4" spans="1:18">
      <c r="A4" s="86"/>
      <c r="B4" s="392"/>
      <c r="C4" s="392"/>
      <c r="D4" s="87"/>
      <c r="E4" s="393"/>
      <c r="F4" s="87"/>
      <c r="G4" s="87"/>
      <c r="H4" s="393"/>
      <c r="I4" s="87"/>
      <c r="K4" s="394"/>
      <c r="L4" s="391"/>
      <c r="M4" s="391"/>
      <c r="N4" s="391"/>
      <c r="O4" s="391"/>
      <c r="P4" s="391"/>
      <c r="Q4" s="391"/>
    </row>
    <row r="5" spans="1:18" ht="15.75" customHeight="1" thickBot="1">
      <c r="A5" s="89"/>
      <c r="B5" s="89"/>
      <c r="C5" s="89"/>
      <c r="D5" s="90"/>
      <c r="E5" s="90"/>
      <c r="F5" s="90"/>
      <c r="G5" s="90"/>
      <c r="H5" s="90"/>
      <c r="I5" s="90"/>
      <c r="K5" s="395" t="s">
        <v>245</v>
      </c>
      <c r="L5" s="396"/>
      <c r="M5" s="397"/>
      <c r="N5" s="395"/>
      <c r="O5" s="395"/>
      <c r="P5" s="395"/>
      <c r="Q5" s="395"/>
    </row>
    <row r="6" spans="1:18" ht="14.25" customHeight="1">
      <c r="A6" s="650" t="s">
        <v>4</v>
      </c>
      <c r="B6" s="651"/>
      <c r="C6" s="652"/>
      <c r="D6" s="652"/>
      <c r="E6" s="653"/>
      <c r="F6" s="398"/>
      <c r="G6" s="399"/>
      <c r="H6" s="399"/>
      <c r="I6" s="399"/>
      <c r="K6" s="611" t="s">
        <v>257</v>
      </c>
      <c r="L6" s="611"/>
      <c r="M6" s="611"/>
      <c r="N6" s="611"/>
      <c r="O6" s="611"/>
      <c r="P6" s="611"/>
      <c r="Q6" s="611"/>
    </row>
    <row r="7" spans="1:18" ht="21.75" customHeight="1">
      <c r="A7" s="616"/>
      <c r="B7" s="654"/>
      <c r="C7" s="655"/>
      <c r="D7" s="655"/>
      <c r="E7" s="656"/>
      <c r="F7" s="398"/>
      <c r="G7" s="399"/>
      <c r="H7" s="399"/>
      <c r="I7" s="399"/>
      <c r="K7" s="611"/>
      <c r="L7" s="611"/>
      <c r="M7" s="611"/>
      <c r="N7" s="611"/>
      <c r="O7" s="611"/>
      <c r="P7" s="611"/>
      <c r="Q7" s="611"/>
    </row>
    <row r="8" spans="1:18" ht="13.5" customHeight="1" thickBot="1">
      <c r="A8" s="616"/>
      <c r="B8" s="657"/>
      <c r="C8" s="658"/>
      <c r="D8" s="658"/>
      <c r="E8" s="659"/>
      <c r="F8" s="398"/>
      <c r="G8" s="399"/>
      <c r="H8" s="399"/>
      <c r="I8" s="399"/>
      <c r="K8" s="611" t="s">
        <v>258</v>
      </c>
      <c r="L8" s="611"/>
      <c r="M8" s="611"/>
      <c r="N8" s="611"/>
      <c r="O8" s="611"/>
      <c r="P8" s="611"/>
      <c r="Q8" s="611"/>
    </row>
    <row r="9" spans="1:18" ht="19.5" customHeight="1">
      <c r="A9" s="630" t="s">
        <v>302</v>
      </c>
      <c r="B9" s="633"/>
      <c r="C9" s="634"/>
      <c r="D9" s="634"/>
      <c r="E9" s="634"/>
      <c r="F9" s="635"/>
      <c r="G9" s="635"/>
      <c r="H9" s="635"/>
      <c r="I9" s="636"/>
      <c r="K9" s="611"/>
      <c r="L9" s="611"/>
      <c r="M9" s="611"/>
      <c r="N9" s="611"/>
      <c r="O9" s="611"/>
      <c r="P9" s="611"/>
      <c r="Q9" s="611"/>
    </row>
    <row r="10" spans="1:18" ht="13.5" customHeight="1">
      <c r="A10" s="631"/>
      <c r="B10" s="637"/>
      <c r="C10" s="638"/>
      <c r="D10" s="638"/>
      <c r="E10" s="638"/>
      <c r="F10" s="638"/>
      <c r="G10" s="638"/>
      <c r="H10" s="638"/>
      <c r="I10" s="639"/>
      <c r="K10" s="611" t="s">
        <v>259</v>
      </c>
      <c r="L10" s="611"/>
      <c r="M10" s="611"/>
      <c r="N10" s="611"/>
      <c r="O10" s="611"/>
      <c r="P10" s="611"/>
      <c r="Q10" s="611"/>
      <c r="R10" s="91"/>
    </row>
    <row r="11" spans="1:18" ht="20.25" customHeight="1">
      <c r="A11" s="632"/>
      <c r="B11" s="637"/>
      <c r="C11" s="638"/>
      <c r="D11" s="638"/>
      <c r="E11" s="638"/>
      <c r="F11" s="638"/>
      <c r="G11" s="638"/>
      <c r="H11" s="638"/>
      <c r="I11" s="639"/>
      <c r="K11" s="611"/>
      <c r="L11" s="611"/>
      <c r="M11" s="611"/>
      <c r="N11" s="611"/>
      <c r="O11" s="611"/>
      <c r="P11" s="611"/>
      <c r="Q11" s="611"/>
      <c r="R11" s="91"/>
    </row>
    <row r="12" spans="1:18" ht="13.5" customHeight="1">
      <c r="A12" s="640" t="s">
        <v>241</v>
      </c>
      <c r="B12" s="637"/>
      <c r="C12" s="638"/>
      <c r="D12" s="638"/>
      <c r="E12" s="638"/>
      <c r="F12" s="638"/>
      <c r="G12" s="638"/>
      <c r="H12" s="638"/>
      <c r="I12" s="639"/>
      <c r="K12" s="611" t="s">
        <v>246</v>
      </c>
      <c r="L12" s="611"/>
      <c r="M12" s="611"/>
      <c r="N12" s="611"/>
      <c r="O12" s="611"/>
      <c r="P12" s="611"/>
      <c r="Q12" s="611"/>
      <c r="R12" s="91"/>
    </row>
    <row r="13" spans="1:18" ht="18.75" customHeight="1">
      <c r="A13" s="641"/>
      <c r="B13" s="637"/>
      <c r="C13" s="638"/>
      <c r="D13" s="638"/>
      <c r="E13" s="638"/>
      <c r="F13" s="638"/>
      <c r="G13" s="638"/>
      <c r="H13" s="638"/>
      <c r="I13" s="639"/>
      <c r="K13" s="611"/>
      <c r="L13" s="611"/>
      <c r="M13" s="611"/>
      <c r="N13" s="611"/>
      <c r="O13" s="611"/>
      <c r="P13" s="611"/>
      <c r="Q13" s="611"/>
      <c r="R13" s="91"/>
    </row>
    <row r="14" spans="1:18" ht="13.5" customHeight="1">
      <c r="A14" s="616" t="s">
        <v>242</v>
      </c>
      <c r="B14" s="614" t="str">
        <f>①総合計!L3</f>
        <v xml:space="preserve"> </v>
      </c>
      <c r="C14" s="614"/>
      <c r="D14" s="614"/>
      <c r="E14" s="660" t="s">
        <v>243</v>
      </c>
      <c r="F14" s="662" t="s">
        <v>145</v>
      </c>
      <c r="G14" s="662"/>
      <c r="H14" s="612"/>
      <c r="I14" s="613"/>
      <c r="K14" s="611" t="s">
        <v>260</v>
      </c>
      <c r="L14" s="611"/>
      <c r="M14" s="611"/>
      <c r="N14" s="611"/>
      <c r="O14" s="611"/>
      <c r="P14" s="611"/>
      <c r="Q14" s="611"/>
      <c r="R14" s="91"/>
    </row>
    <row r="15" spans="1:18" ht="16.5" customHeight="1">
      <c r="A15" s="616"/>
      <c r="B15" s="615"/>
      <c r="C15" s="615"/>
      <c r="D15" s="615"/>
      <c r="E15" s="661"/>
      <c r="F15" s="663"/>
      <c r="G15" s="663"/>
      <c r="H15" s="612"/>
      <c r="I15" s="613"/>
      <c r="K15" s="611"/>
      <c r="L15" s="611"/>
      <c r="M15" s="611"/>
      <c r="N15" s="611"/>
      <c r="O15" s="611"/>
      <c r="P15" s="611"/>
      <c r="Q15" s="611"/>
      <c r="R15" s="91"/>
    </row>
    <row r="16" spans="1:18" ht="13.5" customHeight="1">
      <c r="A16" s="646" t="s">
        <v>263</v>
      </c>
      <c r="B16" s="664"/>
      <c r="C16" s="665"/>
      <c r="D16" s="665"/>
      <c r="E16" s="665"/>
      <c r="F16" s="620" t="s">
        <v>265</v>
      </c>
      <c r="G16" s="621"/>
      <c r="H16" s="612"/>
      <c r="I16" s="613"/>
      <c r="K16" s="611" t="s">
        <v>247</v>
      </c>
      <c r="L16" s="611"/>
      <c r="M16" s="611"/>
      <c r="N16" s="611"/>
      <c r="O16" s="611"/>
      <c r="P16" s="611"/>
      <c r="Q16" s="611"/>
    </row>
    <row r="17" spans="1:18" ht="17.25" customHeight="1">
      <c r="A17" s="616"/>
      <c r="B17" s="666"/>
      <c r="C17" s="666"/>
      <c r="D17" s="666"/>
      <c r="E17" s="666"/>
      <c r="F17" s="622"/>
      <c r="G17" s="623"/>
      <c r="H17" s="612"/>
      <c r="I17" s="613"/>
      <c r="J17" s="92" t="str">
        <f>IF(COUNTA(B17:H17)=1,IF(COUNTA(E17)=1,E16,IF(COUNTA(C35)=1,B16,IF(COUNTA(F17)=1,F16,IF(COUNTA(H17)=1,H16&amp;" "&amp;I17,"Ｂ４まで")))),"")</f>
        <v/>
      </c>
      <c r="K17" s="611"/>
      <c r="L17" s="611"/>
      <c r="M17" s="611"/>
      <c r="N17" s="611"/>
      <c r="O17" s="611"/>
      <c r="P17" s="611"/>
      <c r="Q17" s="611"/>
    </row>
    <row r="18" spans="1:18" ht="14.25" customHeight="1">
      <c r="A18" s="616" t="s">
        <v>244</v>
      </c>
      <c r="B18" s="667"/>
      <c r="C18" s="668"/>
      <c r="D18" s="668"/>
      <c r="E18" s="668"/>
      <c r="F18" s="668"/>
      <c r="G18" s="668"/>
      <c r="H18" s="668"/>
      <c r="I18" s="669"/>
      <c r="K18" s="611" t="s">
        <v>261</v>
      </c>
      <c r="L18" s="611"/>
      <c r="M18" s="611"/>
      <c r="N18" s="611"/>
      <c r="O18" s="611"/>
      <c r="P18" s="611"/>
      <c r="Q18" s="611"/>
    </row>
    <row r="19" spans="1:18" ht="17.25" customHeight="1">
      <c r="A19" s="616"/>
      <c r="B19" s="670"/>
      <c r="C19" s="671"/>
      <c r="D19" s="671"/>
      <c r="E19" s="671"/>
      <c r="F19" s="671"/>
      <c r="G19" s="671"/>
      <c r="H19" s="671"/>
      <c r="I19" s="672"/>
      <c r="K19" s="611"/>
      <c r="L19" s="611"/>
      <c r="M19" s="611"/>
      <c r="N19" s="611"/>
      <c r="O19" s="611"/>
      <c r="P19" s="611"/>
      <c r="Q19" s="611"/>
    </row>
    <row r="20" spans="1:18" ht="13.5" customHeight="1">
      <c r="A20" s="616"/>
      <c r="B20" s="633"/>
      <c r="C20" s="634"/>
      <c r="D20" s="634"/>
      <c r="E20" s="634"/>
      <c r="F20" s="634"/>
      <c r="G20" s="634"/>
      <c r="H20" s="634"/>
      <c r="I20" s="673"/>
      <c r="K20" s="394"/>
      <c r="L20" s="391"/>
      <c r="M20" s="391"/>
      <c r="N20" s="391"/>
      <c r="O20" s="391"/>
      <c r="P20" s="391"/>
      <c r="Q20" s="391"/>
    </row>
    <row r="21" spans="1:18" ht="21" customHeight="1">
      <c r="A21" s="616" t="s">
        <v>255</v>
      </c>
      <c r="B21" s="612"/>
      <c r="C21" s="612"/>
      <c r="D21" s="612"/>
      <c r="E21" s="619" t="s">
        <v>256</v>
      </c>
      <c r="F21" s="619"/>
      <c r="G21" s="612"/>
      <c r="H21" s="612"/>
      <c r="I21" s="613"/>
    </row>
    <row r="22" spans="1:18" ht="18" customHeight="1">
      <c r="A22" s="616"/>
      <c r="B22" s="612"/>
      <c r="C22" s="612"/>
      <c r="D22" s="612"/>
      <c r="E22" s="619"/>
      <c r="F22" s="619"/>
      <c r="G22" s="612"/>
      <c r="H22" s="612"/>
      <c r="I22" s="613"/>
      <c r="K22" s="400" t="s">
        <v>254</v>
      </c>
      <c r="L22" s="93"/>
      <c r="M22" s="93"/>
      <c r="N22" s="93"/>
      <c r="O22" s="93"/>
      <c r="P22" s="93"/>
    </row>
    <row r="23" spans="1:18" ht="21" customHeight="1">
      <c r="A23" s="617" t="s">
        <v>315</v>
      </c>
      <c r="B23" s="612"/>
      <c r="C23" s="612"/>
      <c r="D23" s="612"/>
      <c r="E23" s="609" t="s">
        <v>248</v>
      </c>
      <c r="F23" s="609"/>
      <c r="G23" s="612"/>
      <c r="H23" s="612"/>
      <c r="I23" s="613"/>
      <c r="K23" s="93" t="s">
        <v>250</v>
      </c>
      <c r="L23" s="90"/>
      <c r="M23" s="90"/>
      <c r="N23" s="90"/>
      <c r="O23" s="90"/>
      <c r="P23" s="90"/>
    </row>
    <row r="24" spans="1:18" ht="18" customHeight="1">
      <c r="A24" s="618"/>
      <c r="B24" s="612"/>
      <c r="C24" s="612"/>
      <c r="D24" s="612"/>
      <c r="E24" s="609"/>
      <c r="F24" s="609"/>
      <c r="G24" s="612"/>
      <c r="H24" s="612"/>
      <c r="I24" s="613"/>
      <c r="K24" s="94" t="s">
        <v>249</v>
      </c>
      <c r="L24" s="93"/>
      <c r="M24" s="93"/>
      <c r="N24" s="93"/>
      <c r="O24" s="90"/>
      <c r="P24" s="90"/>
    </row>
    <row r="25" spans="1:18" ht="17.25">
      <c r="A25" s="644" t="s">
        <v>262</v>
      </c>
      <c r="B25" s="667"/>
      <c r="C25" s="668"/>
      <c r="D25" s="668"/>
      <c r="E25" s="668"/>
      <c r="F25" s="668"/>
      <c r="G25" s="668"/>
      <c r="H25" s="668"/>
      <c r="I25" s="669"/>
      <c r="K25" s="93" t="s">
        <v>266</v>
      </c>
      <c r="L25" s="95"/>
      <c r="M25" s="95"/>
      <c r="N25" s="95"/>
      <c r="R25" s="96"/>
    </row>
    <row r="26" spans="1:18" ht="16.149999999999999" customHeight="1" thickBot="1">
      <c r="A26" s="645"/>
      <c r="B26" s="680"/>
      <c r="C26" s="681"/>
      <c r="D26" s="681"/>
      <c r="E26" s="681"/>
      <c r="F26" s="681"/>
      <c r="G26" s="681"/>
      <c r="H26" s="681"/>
      <c r="I26" s="682"/>
      <c r="K26" s="94" t="s">
        <v>251</v>
      </c>
      <c r="L26" s="93"/>
      <c r="M26" s="93"/>
      <c r="N26" s="93"/>
      <c r="R26" s="96"/>
    </row>
    <row r="27" spans="1:18" ht="20.25" customHeight="1">
      <c r="A27" s="688"/>
      <c r="B27" s="683"/>
      <c r="C27" s="683"/>
      <c r="D27" s="683"/>
      <c r="E27" s="685"/>
      <c r="F27" s="686"/>
      <c r="G27" s="686"/>
      <c r="H27" s="686"/>
      <c r="I27" s="686"/>
      <c r="K27" s="93" t="s">
        <v>252</v>
      </c>
      <c r="L27" s="93"/>
      <c r="M27" s="93"/>
      <c r="N27" s="93"/>
      <c r="R27" s="96"/>
    </row>
    <row r="28" spans="1:18" ht="21" customHeight="1">
      <c r="A28" s="689"/>
      <c r="B28" s="684"/>
      <c r="C28" s="684"/>
      <c r="D28" s="684"/>
      <c r="E28" s="687"/>
      <c r="F28" s="687"/>
      <c r="G28" s="687"/>
      <c r="H28" s="687"/>
      <c r="I28" s="687"/>
      <c r="K28" s="94" t="s">
        <v>253</v>
      </c>
      <c r="L28" s="93"/>
      <c r="M28" s="93"/>
      <c r="N28" s="93"/>
      <c r="Q28" s="90"/>
      <c r="R28" s="90"/>
    </row>
    <row r="29" spans="1:18" hidden="1"/>
    <row r="30" spans="1:18" ht="13.15" hidden="1" customHeight="1">
      <c r="A30" s="609" t="s">
        <v>554</v>
      </c>
      <c r="B30" s="609"/>
      <c r="C30" s="610" t="s">
        <v>1367</v>
      </c>
      <c r="D30" s="610"/>
      <c r="E30" s="610"/>
      <c r="F30" s="610"/>
      <c r="G30" s="610"/>
      <c r="H30" s="610"/>
      <c r="I30" s="610"/>
    </row>
    <row r="31" spans="1:18" ht="13.15" hidden="1" customHeight="1">
      <c r="A31" s="609"/>
      <c r="B31" s="609"/>
      <c r="C31" s="610"/>
      <c r="D31" s="610"/>
      <c r="E31" s="610"/>
      <c r="F31" s="610"/>
      <c r="G31" s="610"/>
      <c r="H31" s="610"/>
      <c r="I31" s="610"/>
    </row>
    <row r="32" spans="1:18" ht="13.15" hidden="1" customHeight="1">
      <c r="A32" s="609" t="s">
        <v>596</v>
      </c>
      <c r="B32" s="609"/>
      <c r="C32" s="610" t="s">
        <v>948</v>
      </c>
      <c r="D32" s="610"/>
      <c r="E32" s="610"/>
      <c r="F32" s="610"/>
      <c r="G32" s="610"/>
      <c r="H32" s="610"/>
      <c r="I32" s="610"/>
    </row>
    <row r="33" spans="1:9" ht="13.15" hidden="1" customHeight="1">
      <c r="A33" s="609"/>
      <c r="B33" s="609"/>
      <c r="C33" s="610"/>
      <c r="D33" s="610"/>
      <c r="E33" s="610"/>
      <c r="F33" s="610"/>
      <c r="G33" s="610"/>
      <c r="H33" s="610"/>
      <c r="I33" s="610"/>
    </row>
    <row r="34" spans="1:9" ht="13.15" hidden="1" customHeight="1">
      <c r="A34" s="609" t="s">
        <v>988</v>
      </c>
      <c r="B34" s="609"/>
      <c r="C34" s="624">
        <v>1000040</v>
      </c>
      <c r="D34" s="625"/>
      <c r="E34" s="625"/>
      <c r="F34" s="625"/>
      <c r="G34" s="625"/>
      <c r="H34" s="625"/>
      <c r="I34" s="626"/>
    </row>
    <row r="35" spans="1:9" ht="13.15" hidden="1" customHeight="1">
      <c r="A35" s="609"/>
      <c r="B35" s="609"/>
      <c r="C35" s="627"/>
      <c r="D35" s="628"/>
      <c r="E35" s="628"/>
      <c r="F35" s="628"/>
      <c r="G35" s="628"/>
      <c r="H35" s="628"/>
      <c r="I35" s="629"/>
    </row>
    <row r="36" spans="1:9" hidden="1">
      <c r="A36" s="609" t="s">
        <v>555</v>
      </c>
      <c r="B36" s="609"/>
      <c r="C36" s="610" t="s">
        <v>1625</v>
      </c>
      <c r="D36" s="610"/>
      <c r="E36" s="610"/>
      <c r="F36" s="610"/>
      <c r="G36" s="610"/>
      <c r="H36" s="610"/>
      <c r="I36" s="610"/>
    </row>
    <row r="37" spans="1:9" hidden="1">
      <c r="A37" s="609"/>
      <c r="B37" s="609"/>
      <c r="C37" s="610"/>
      <c r="D37" s="610"/>
      <c r="E37" s="610"/>
      <c r="F37" s="610"/>
      <c r="G37" s="610"/>
      <c r="H37" s="610"/>
      <c r="I37" s="610"/>
    </row>
    <row r="38" spans="1:9" ht="13.15" hidden="1" customHeight="1">
      <c r="A38" s="609" t="s">
        <v>1615</v>
      </c>
      <c r="B38" s="609"/>
      <c r="C38" s="674"/>
      <c r="D38" s="675"/>
      <c r="E38" s="675"/>
      <c r="F38" s="675"/>
      <c r="G38" s="675"/>
      <c r="H38" s="675"/>
      <c r="I38" s="676"/>
    </row>
    <row r="39" spans="1:9" ht="13.15" hidden="1" customHeight="1">
      <c r="A39" s="609"/>
      <c r="B39" s="609"/>
      <c r="C39" s="677"/>
      <c r="D39" s="678"/>
      <c r="E39" s="678"/>
      <c r="F39" s="678"/>
      <c r="G39" s="678"/>
      <c r="H39" s="678"/>
      <c r="I39" s="679"/>
    </row>
    <row r="40" spans="1:9" hidden="1">
      <c r="A40" s="609" t="s">
        <v>1154</v>
      </c>
      <c r="B40" s="609"/>
      <c r="C40" s="610" t="s">
        <v>275</v>
      </c>
      <c r="D40" s="610"/>
      <c r="E40" s="610"/>
      <c r="F40" s="610"/>
      <c r="G40" s="610"/>
      <c r="H40" s="610"/>
      <c r="I40" s="610"/>
    </row>
    <row r="41" spans="1:9" hidden="1">
      <c r="A41" s="609"/>
      <c r="B41" s="609"/>
      <c r="C41" s="610"/>
      <c r="D41" s="610"/>
      <c r="E41" s="610"/>
      <c r="F41" s="610"/>
      <c r="G41" s="610"/>
      <c r="H41" s="610"/>
      <c r="I41" s="610"/>
    </row>
    <row r="42" spans="1:9" hidden="1"/>
  </sheetData>
  <sheetProtection algorithmName="SHA-512" hashValue="wEYaWqhTlJ9+3x+V8xtER8t5PRA0klYTsso8SUuCgl2QXttGANMH0XDAyZ66KCT9MOr2rM5XubVwsthaoxL9DQ==" saltValue="99Prjs5eM6LAZBiqBT0RRw==" spinCount="100000" sheet="1" objects="1" scenarios="1"/>
  <mergeCells count="53">
    <mergeCell ref="A38:B39"/>
    <mergeCell ref="C38:I39"/>
    <mergeCell ref="B25:I26"/>
    <mergeCell ref="A30:B31"/>
    <mergeCell ref="A32:B33"/>
    <mergeCell ref="B27:D28"/>
    <mergeCell ref="C30:I31"/>
    <mergeCell ref="C32:I33"/>
    <mergeCell ref="E27:I28"/>
    <mergeCell ref="A36:B37"/>
    <mergeCell ref="C36:I37"/>
    <mergeCell ref="A27:A28"/>
    <mergeCell ref="A34:B35"/>
    <mergeCell ref="A1:D2"/>
    <mergeCell ref="A25:A26"/>
    <mergeCell ref="A16:A17"/>
    <mergeCell ref="G23:I24"/>
    <mergeCell ref="B3:C3"/>
    <mergeCell ref="E3:F3"/>
    <mergeCell ref="H3:I3"/>
    <mergeCell ref="A6:A8"/>
    <mergeCell ref="A14:A15"/>
    <mergeCell ref="B6:E8"/>
    <mergeCell ref="G21:I22"/>
    <mergeCell ref="E14:E15"/>
    <mergeCell ref="F14:G15"/>
    <mergeCell ref="B16:E17"/>
    <mergeCell ref="B18:I20"/>
    <mergeCell ref="H14:I15"/>
    <mergeCell ref="K6:Q7"/>
    <mergeCell ref="A9:A11"/>
    <mergeCell ref="B9:I11"/>
    <mergeCell ref="K8:Q9"/>
    <mergeCell ref="A12:A13"/>
    <mergeCell ref="B12:I13"/>
    <mergeCell ref="K10:Q11"/>
    <mergeCell ref="K12:Q13"/>
    <mergeCell ref="A40:B41"/>
    <mergeCell ref="C40:I41"/>
    <mergeCell ref="K14:Q15"/>
    <mergeCell ref="K16:Q17"/>
    <mergeCell ref="K18:Q19"/>
    <mergeCell ref="H16:I17"/>
    <mergeCell ref="B14:D15"/>
    <mergeCell ref="E23:F24"/>
    <mergeCell ref="A18:A20"/>
    <mergeCell ref="A21:A22"/>
    <mergeCell ref="B21:D22"/>
    <mergeCell ref="A23:A24"/>
    <mergeCell ref="B23:D24"/>
    <mergeCell ref="E21:F22"/>
    <mergeCell ref="F16:G17"/>
    <mergeCell ref="C34:I35"/>
  </mergeCells>
  <phoneticPr fontId="15"/>
  <dataValidations count="1">
    <dataValidation type="list" allowBlank="1" showInputMessage="1" showErrorMessage="1" sqref="C36:I37" xr:uid="{3276150D-F2CB-43D4-A864-69DD6A56D2D8}">
      <formula1>"　,◎"</formula1>
    </dataValidation>
  </dataValidations>
  <pageMargins left="0.25" right="0.25" top="0.75" bottom="0.75" header="0.3" footer="0.3"/>
  <pageSetup paperSize="9" scale="9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2C48954-0FA1-49AF-B0B7-0FD30FA8771D}">
          <x14:formula1>
            <xm:f>★業種!$F$2:$F$87</xm:f>
          </x14:formula1>
          <xm:sqref>C30</xm:sqref>
        </x14:dataValidation>
        <x14:dataValidation type="list" allowBlank="1" showInputMessage="1" showErrorMessage="1" xr:uid="{91963194-8D1E-430D-AB84-89DF2A5A1AEC}">
          <x14:formula1>
            <xm:f>★サイズ表記!$D$4:$D$55</xm:f>
          </x14:formula1>
          <xm:sqref>C32:I33</xm:sqref>
        </x14:dataValidation>
        <x14:dataValidation type="list" allowBlank="1" showInputMessage="1" showErrorMessage="1" xr:uid="{9FCEB442-5264-40BD-8E35-1104A66B4F73}">
          <x14:formula1>
            <xm:f>★営業所!$A$2:$A$5</xm:f>
          </x14:formula1>
          <xm:sqref>C40:I41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P40"/>
  <sheetViews>
    <sheetView tabSelected="1" view="pageBreakPreview" zoomScale="75" zoomScaleNormal="75" workbookViewId="0">
      <selection activeCell="AS11" sqref="AS11"/>
    </sheetView>
  </sheetViews>
  <sheetFormatPr defaultColWidth="9" defaultRowHeight="13.5"/>
  <cols>
    <col min="1" max="1" width="3.125" style="98" customWidth="1"/>
    <col min="2" max="2" width="15.125" style="98" bestFit="1" customWidth="1"/>
    <col min="3" max="3" width="8.125" style="98" customWidth="1"/>
    <col min="4" max="4" width="13.125" style="98" bestFit="1" customWidth="1"/>
    <col min="5" max="5" width="8.125" style="98" customWidth="1"/>
    <col min="6" max="6" width="12.625" style="98" customWidth="1"/>
    <col min="7" max="7" width="8.125" style="98" customWidth="1"/>
    <col min="8" max="8" width="10.625" style="98" customWidth="1"/>
    <col min="9" max="9" width="8.125" style="98" customWidth="1"/>
    <col min="10" max="10" width="10.625" style="98" customWidth="1"/>
    <col min="11" max="11" width="8.125" style="98" customWidth="1"/>
    <col min="12" max="12" width="10.625" style="98" customWidth="1"/>
    <col min="13" max="13" width="8.125" style="98" customWidth="1"/>
    <col min="14" max="14" width="10.625" style="98" customWidth="1"/>
    <col min="15" max="15" width="2.625" style="98" customWidth="1"/>
    <col min="16" max="16" width="6.125" style="98" customWidth="1"/>
    <col min="17" max="17" width="10.625" style="98" customWidth="1"/>
    <col min="18" max="18" width="8.125" style="98" customWidth="1"/>
    <col min="19" max="19" width="12.125" style="98" customWidth="1"/>
    <col min="20" max="20" width="9" style="98" hidden="1" customWidth="1"/>
    <col min="21" max="21" width="3.125" style="98" hidden="1" customWidth="1"/>
    <col min="22" max="22" width="15.125" style="98" hidden="1" customWidth="1"/>
    <col min="23" max="23" width="13.125" style="98" hidden="1" customWidth="1"/>
    <col min="24" max="24" width="9" style="98" hidden="1" customWidth="1"/>
    <col min="25" max="25" width="14.5" style="98" hidden="1" customWidth="1"/>
    <col min="26" max="26" width="9.25" style="98" hidden="1" customWidth="1"/>
    <col min="27" max="32" width="9" style="98" hidden="1" customWidth="1"/>
    <col min="33" max="33" width="21.5" style="98" hidden="1" customWidth="1"/>
    <col min="34" max="34" width="6.5" style="98" hidden="1" customWidth="1"/>
    <col min="35" max="35" width="6" style="98" hidden="1" customWidth="1"/>
    <col min="36" max="36" width="7" style="98" hidden="1" customWidth="1"/>
    <col min="37" max="37" width="6.625" style="98" hidden="1" customWidth="1"/>
    <col min="38" max="38" width="21.5" style="98" hidden="1" customWidth="1"/>
    <col min="39" max="40" width="6" style="98" hidden="1" customWidth="1"/>
    <col min="41" max="41" width="7.5" style="98" hidden="1" customWidth="1"/>
    <col min="42" max="42" width="9" style="98" hidden="1" customWidth="1"/>
    <col min="43" max="16384" width="9" style="98"/>
  </cols>
  <sheetData>
    <row r="1" spans="1:41" ht="17.25">
      <c r="A1" s="703" t="s">
        <v>0</v>
      </c>
      <c r="B1" s="703"/>
      <c r="C1" s="703"/>
      <c r="D1" s="703"/>
      <c r="E1" s="703"/>
      <c r="F1" s="703"/>
      <c r="G1" s="703"/>
      <c r="H1" s="703"/>
      <c r="I1" s="703"/>
      <c r="J1" s="703"/>
      <c r="K1" s="703"/>
      <c r="L1" s="703"/>
      <c r="M1" s="703"/>
      <c r="N1" s="703"/>
      <c r="O1" s="703"/>
      <c r="P1" s="703"/>
      <c r="Q1" s="703"/>
      <c r="R1" s="704">
        <v>2023.1</v>
      </c>
      <c r="S1" s="704"/>
    </row>
    <row r="2" spans="1:41" ht="14.25" thickBot="1">
      <c r="A2" s="99"/>
      <c r="B2" s="99"/>
      <c r="C2" s="99"/>
      <c r="D2" s="99"/>
      <c r="E2" s="99"/>
      <c r="F2" s="99"/>
      <c r="G2" s="99"/>
      <c r="H2" s="99"/>
      <c r="I2" s="99"/>
      <c r="J2" s="99"/>
      <c r="K2" s="99"/>
      <c r="L2" s="99"/>
      <c r="M2" s="99"/>
      <c r="N2" s="99"/>
      <c r="O2" s="99"/>
      <c r="P2" s="99"/>
      <c r="Q2" s="99"/>
      <c r="R2" s="99"/>
      <c r="S2" s="100" t="s">
        <v>28</v>
      </c>
      <c r="U2" s="99"/>
      <c r="V2" s="99"/>
      <c r="W2" s="99"/>
    </row>
    <row r="3" spans="1:41" ht="20.100000000000001" customHeight="1">
      <c r="A3" s="705" t="s">
        <v>1</v>
      </c>
      <c r="B3" s="706"/>
      <c r="C3" s="706"/>
      <c r="D3" s="707"/>
      <c r="E3" s="101" t="s">
        <v>2</v>
      </c>
      <c r="F3" s="102"/>
      <c r="G3" s="103"/>
      <c r="H3" s="708" t="s">
        <v>145</v>
      </c>
      <c r="I3" s="710">
        <f>申込書!H14</f>
        <v>0</v>
      </c>
      <c r="J3" s="710"/>
      <c r="K3" s="708" t="s">
        <v>3</v>
      </c>
      <c r="L3" s="723" t="str">
        <f>IF(SUM(D24,D30,D32:D35)=0," ",SUM(D24,D30,D32:D35))</f>
        <v xml:space="preserve"> </v>
      </c>
      <c r="M3" s="723"/>
      <c r="N3" s="723"/>
      <c r="O3" s="729" t="s">
        <v>4</v>
      </c>
      <c r="P3" s="730"/>
      <c r="Q3" s="725">
        <f>申込書!B6</f>
        <v>0</v>
      </c>
      <c r="R3" s="725"/>
      <c r="S3" s="726"/>
    </row>
    <row r="4" spans="1:41" ht="20.100000000000001" customHeight="1" thickBot="1">
      <c r="A4" s="715">
        <f>申込書!B9</f>
        <v>0</v>
      </c>
      <c r="B4" s="716"/>
      <c r="C4" s="716"/>
      <c r="D4" s="717"/>
      <c r="E4" s="720">
        <f>申込書!B16</f>
        <v>0</v>
      </c>
      <c r="F4" s="716"/>
      <c r="G4" s="717"/>
      <c r="H4" s="709"/>
      <c r="I4" s="711"/>
      <c r="J4" s="711"/>
      <c r="K4" s="709"/>
      <c r="L4" s="724"/>
      <c r="M4" s="724"/>
      <c r="N4" s="724"/>
      <c r="O4" s="731"/>
      <c r="P4" s="732"/>
      <c r="Q4" s="727"/>
      <c r="R4" s="727"/>
      <c r="S4" s="728"/>
    </row>
    <row r="5" spans="1:41" ht="14.25" thickBot="1">
      <c r="A5" s="99"/>
      <c r="B5" s="99"/>
      <c r="C5" s="99"/>
      <c r="D5" s="99"/>
      <c r="E5" s="99"/>
      <c r="F5" s="99"/>
      <c r="G5" s="99"/>
      <c r="H5" s="99"/>
      <c r="I5" s="99"/>
      <c r="J5" s="99"/>
      <c r="K5" s="99"/>
      <c r="L5" s="99"/>
      <c r="M5" s="99"/>
      <c r="N5" s="99"/>
      <c r="O5" s="99"/>
      <c r="P5" s="99"/>
      <c r="Q5" s="99"/>
      <c r="R5" s="99"/>
      <c r="S5" s="99"/>
      <c r="U5" s="99"/>
      <c r="V5" s="99"/>
      <c r="W5" s="99"/>
    </row>
    <row r="6" spans="1:41" ht="14.25" thickBot="1">
      <c r="A6" s="735" t="s">
        <v>5</v>
      </c>
      <c r="B6" s="736"/>
      <c r="C6" s="733" t="s">
        <v>12</v>
      </c>
      <c r="D6" s="712" t="s">
        <v>13</v>
      </c>
      <c r="E6" s="696" t="s">
        <v>6</v>
      </c>
      <c r="F6" s="697"/>
      <c r="G6" s="696" t="s">
        <v>7</v>
      </c>
      <c r="H6" s="696"/>
      <c r="I6" s="696" t="s">
        <v>8</v>
      </c>
      <c r="J6" s="696"/>
      <c r="K6" s="696" t="s">
        <v>9</v>
      </c>
      <c r="L6" s="696"/>
      <c r="M6" s="696" t="s">
        <v>228</v>
      </c>
      <c r="N6" s="696"/>
      <c r="O6" s="696" t="s">
        <v>10</v>
      </c>
      <c r="P6" s="696"/>
      <c r="Q6" s="696"/>
      <c r="R6" s="696" t="s">
        <v>11</v>
      </c>
      <c r="S6" s="714"/>
      <c r="U6" s="735" t="s">
        <v>5</v>
      </c>
      <c r="V6" s="736"/>
      <c r="W6" s="712" t="s">
        <v>13</v>
      </c>
      <c r="AD6" s="98" t="s">
        <v>303</v>
      </c>
      <c r="AE6" s="88"/>
      <c r="AF6" s="88"/>
      <c r="AG6" s="98" t="s">
        <v>304</v>
      </c>
      <c r="AH6" s="88"/>
      <c r="AI6" s="88"/>
      <c r="AJ6" s="88"/>
      <c r="AL6" s="98" t="s">
        <v>305</v>
      </c>
      <c r="AM6" s="88"/>
      <c r="AN6" s="88"/>
      <c r="AO6" s="88"/>
    </row>
    <row r="7" spans="1:41" ht="15" thickTop="1" thickBot="1">
      <c r="A7" s="737"/>
      <c r="B7" s="738"/>
      <c r="C7" s="734"/>
      <c r="D7" s="713"/>
      <c r="E7" s="105" t="s">
        <v>14</v>
      </c>
      <c r="F7" s="106" t="s">
        <v>15</v>
      </c>
      <c r="G7" s="105" t="s">
        <v>14</v>
      </c>
      <c r="H7" s="105" t="s">
        <v>15</v>
      </c>
      <c r="I7" s="105" t="s">
        <v>14</v>
      </c>
      <c r="J7" s="105" t="s">
        <v>15</v>
      </c>
      <c r="K7" s="105" t="s">
        <v>14</v>
      </c>
      <c r="L7" s="105" t="s">
        <v>15</v>
      </c>
      <c r="M7" s="105" t="s">
        <v>14</v>
      </c>
      <c r="N7" s="105" t="s">
        <v>15</v>
      </c>
      <c r="O7" s="698" t="s">
        <v>14</v>
      </c>
      <c r="P7" s="699"/>
      <c r="Q7" s="105" t="s">
        <v>15</v>
      </c>
      <c r="R7" s="105" t="s">
        <v>14</v>
      </c>
      <c r="S7" s="107" t="s">
        <v>15</v>
      </c>
      <c r="U7" s="737"/>
      <c r="V7" s="738"/>
      <c r="W7" s="713"/>
      <c r="Y7" s="108"/>
      <c r="Z7" s="109" t="s">
        <v>15</v>
      </c>
      <c r="AA7" s="109" t="s">
        <v>301</v>
      </c>
      <c r="AB7" s="110" t="s">
        <v>281</v>
      </c>
      <c r="AD7" s="111" t="s">
        <v>306</v>
      </c>
      <c r="AE7" s="110" t="s">
        <v>301</v>
      </c>
      <c r="AF7" s="88"/>
      <c r="AG7" s="112" t="s">
        <v>307</v>
      </c>
      <c r="AH7" s="113" t="s">
        <v>308</v>
      </c>
      <c r="AI7" s="113" t="s">
        <v>301</v>
      </c>
      <c r="AJ7" s="114" t="s">
        <v>309</v>
      </c>
      <c r="AK7" s="115"/>
      <c r="AL7" s="112" t="s">
        <v>307</v>
      </c>
      <c r="AM7" s="113" t="s">
        <v>308</v>
      </c>
      <c r="AN7" s="113" t="s">
        <v>301</v>
      </c>
      <c r="AO7" s="114" t="s">
        <v>309</v>
      </c>
    </row>
    <row r="8" spans="1:41" ht="23.1" customHeight="1">
      <c r="A8" s="718" t="s">
        <v>29</v>
      </c>
      <c r="B8" s="719"/>
      <c r="C8" s="48">
        <f>SUM(E8,G8,I8,K8,M8,O8,R8)</f>
        <v>55975</v>
      </c>
      <c r="D8" s="116" t="str">
        <f t="shared" ref="D8:D14" si="0">IF(SUM(F8,H8,J8,L8,N8,Q8,S8)=0," ",SUM(F8,H8,J8,L8,N8,Q8,S8))</f>
        <v xml:space="preserve"> </v>
      </c>
      <c r="E8" s="48">
        <f>②旧鳥取市!C31</f>
        <v>40450</v>
      </c>
      <c r="F8" s="116" t="str">
        <f>IF(②旧鳥取市!D31=0," ",②旧鳥取市!D31)</f>
        <v xml:space="preserve"> </v>
      </c>
      <c r="G8" s="117">
        <f>②旧鳥取市!F31</f>
        <v>4470</v>
      </c>
      <c r="H8" s="116" t="str">
        <f>IF(②旧鳥取市!G31=0," ",②旧鳥取市!G31)</f>
        <v xml:space="preserve"> </v>
      </c>
      <c r="I8" s="117">
        <f>②旧鳥取市!I31</f>
        <v>5560</v>
      </c>
      <c r="J8" s="116" t="str">
        <f>IF(②旧鳥取市!J31=0," ",②旧鳥取市!J31)</f>
        <v xml:space="preserve"> </v>
      </c>
      <c r="K8" s="117">
        <f>②旧鳥取市!L31</f>
        <v>1525</v>
      </c>
      <c r="L8" s="116" t="str">
        <f>IF(②旧鳥取市!M31=0," ",②旧鳥取市!M31)</f>
        <v xml:space="preserve"> </v>
      </c>
      <c r="M8" s="117">
        <f>②旧鳥取市!O31</f>
        <v>515</v>
      </c>
      <c r="N8" s="116" t="str">
        <f>IF(②旧鳥取市!P31=0," ",②旧鳥取市!P31)</f>
        <v xml:space="preserve"> </v>
      </c>
      <c r="O8" s="721">
        <f>②旧鳥取市!R31</f>
        <v>1420</v>
      </c>
      <c r="P8" s="722"/>
      <c r="Q8" s="116" t="str">
        <f>IF(②旧鳥取市!S31=0," ",②旧鳥取市!S31)</f>
        <v xml:space="preserve"> </v>
      </c>
      <c r="R8" s="48">
        <f>②旧鳥取市!U31</f>
        <v>2035</v>
      </c>
      <c r="S8" s="119" t="str">
        <f>IF(②旧鳥取市!V31=0," ",②旧鳥取市!V31)</f>
        <v xml:space="preserve"> </v>
      </c>
      <c r="U8" s="743" t="s">
        <v>29</v>
      </c>
      <c r="V8" s="744"/>
      <c r="W8" s="120" t="str">
        <f t="shared" ref="W8:W14" si="1">IF(SUM(F8,H8,J8,L8,N8,Q8,S8)=0,"0",SUM(F8,H8,J8,L8,N8,Q8,S8))</f>
        <v>0</v>
      </c>
      <c r="Y8" s="121" t="s">
        <v>282</v>
      </c>
      <c r="Z8" s="122" t="str">
        <f>W15</f>
        <v>0</v>
      </c>
      <c r="AA8" s="123">
        <v>0</v>
      </c>
      <c r="AB8" s="124">
        <f>AA15+AA16+AA17+AA18+AA19</f>
        <v>0</v>
      </c>
      <c r="AD8" s="121" t="s">
        <v>310</v>
      </c>
      <c r="AE8" s="125">
        <v>2.8</v>
      </c>
      <c r="AF8" s="88"/>
      <c r="AG8" s="126" t="str">
        <f>申込書!B9 &amp; "　" &amp; Y8</f>
        <v>　鳥取</v>
      </c>
      <c r="AH8" s="122" t="str">
        <f>Z8</f>
        <v>0</v>
      </c>
      <c r="AI8" s="123">
        <f>IF(申込書!C32=AD8,AE8,IF(申込書!C32=AD9,AE9,IF(申込書!C32=AD10,AE10,IF(申込書!C32=AD11,AE11,IF(申込書!C32=AD12,AE12,0)))))</f>
        <v>0</v>
      </c>
      <c r="AJ8" s="127">
        <f>ROUNDDOWN(AH8*AI8,0)</f>
        <v>0</v>
      </c>
      <c r="AK8" s="100"/>
      <c r="AL8" s="126" t="str">
        <f>IF(AJ8&gt;0,AG8,"")</f>
        <v/>
      </c>
      <c r="AM8" s="128" t="str">
        <f>IF(AJ8&gt;0,AH8,"")</f>
        <v/>
      </c>
      <c r="AN8" s="123" t="str">
        <f>IF(AJ8&gt;0,AI8,"")</f>
        <v/>
      </c>
      <c r="AO8" s="129" t="str">
        <f>IF(AJ8&gt;0,AJ8,"")</f>
        <v/>
      </c>
    </row>
    <row r="9" spans="1:41" ht="23.1" customHeight="1">
      <c r="A9" s="751" t="s">
        <v>30</v>
      </c>
      <c r="B9" s="130" t="s">
        <v>31</v>
      </c>
      <c r="C9" s="48">
        <f>SUM(E9,G9,I9,K9,M9,O9,R9)</f>
        <v>5720</v>
      </c>
      <c r="D9" s="116" t="str">
        <f t="shared" si="0"/>
        <v xml:space="preserve"> </v>
      </c>
      <c r="E9" s="48">
        <f>③郡部!C36</f>
        <v>4900</v>
      </c>
      <c r="F9" s="116" t="str">
        <f>IF(③郡部!D36=0," ",③郡部!D36)</f>
        <v xml:space="preserve"> </v>
      </c>
      <c r="G9" s="48">
        <f>③郡部!F36</f>
        <v>245</v>
      </c>
      <c r="H9" s="116" t="str">
        <f>IF(③郡部!G36=0," ",③郡部!G36)</f>
        <v xml:space="preserve"> </v>
      </c>
      <c r="I9" s="48">
        <f>③郡部!I36</f>
        <v>400</v>
      </c>
      <c r="J9" s="116" t="str">
        <f>IF(③郡部!J36=0," ",③郡部!J36)</f>
        <v xml:space="preserve"> </v>
      </c>
      <c r="K9" s="48">
        <f>③郡部!L36</f>
        <v>65</v>
      </c>
      <c r="L9" s="116" t="str">
        <f>IF(③郡部!M36=0," ",③郡部!M36)</f>
        <v xml:space="preserve"> </v>
      </c>
      <c r="M9" s="48">
        <f>③郡部!O36</f>
        <v>35</v>
      </c>
      <c r="N9" s="116" t="str">
        <f>IF(③郡部!P36=0," ",③郡部!P36)</f>
        <v xml:space="preserve"> </v>
      </c>
      <c r="O9" s="690">
        <f>③郡部!R36</f>
        <v>20</v>
      </c>
      <c r="P9" s="691"/>
      <c r="Q9" s="116" t="str">
        <f>IF(③郡部!S36=0," ",③郡部!S36)</f>
        <v xml:space="preserve"> </v>
      </c>
      <c r="R9" s="48">
        <f>③郡部!U36</f>
        <v>55</v>
      </c>
      <c r="S9" s="119" t="str">
        <f>IF(③郡部!V36=0," ",③郡部!V36)</f>
        <v xml:space="preserve"> </v>
      </c>
      <c r="U9" s="751" t="s">
        <v>30</v>
      </c>
      <c r="V9" s="130" t="s">
        <v>31</v>
      </c>
      <c r="W9" s="120" t="str">
        <f t="shared" si="1"/>
        <v>0</v>
      </c>
      <c r="Y9" s="121" t="s">
        <v>283</v>
      </c>
      <c r="Z9" s="122" t="str">
        <f>W18</f>
        <v>0</v>
      </c>
      <c r="AA9" s="123">
        <v>0.2</v>
      </c>
      <c r="AB9" s="124">
        <f>AA20</f>
        <v>0</v>
      </c>
      <c r="AD9" s="121" t="s">
        <v>316</v>
      </c>
      <c r="AE9" s="125">
        <v>3.9</v>
      </c>
      <c r="AF9" s="88"/>
      <c r="AG9" s="126" t="s">
        <v>281</v>
      </c>
      <c r="AH9" s="122" t="s">
        <v>311</v>
      </c>
      <c r="AI9" s="123" t="s">
        <v>311</v>
      </c>
      <c r="AJ9" s="129">
        <f>AB8</f>
        <v>0</v>
      </c>
      <c r="AK9" s="132"/>
      <c r="AL9" s="126" t="str">
        <f t="shared" ref="AL9:AL19" si="2">IF(AJ9&gt;0,AG9,"")</f>
        <v/>
      </c>
      <c r="AM9" s="128" t="str">
        <f t="shared" ref="AM9:AM19" si="3">IF(AJ9&gt;0,AH9,"")</f>
        <v/>
      </c>
      <c r="AN9" s="123" t="str">
        <f t="shared" ref="AN9:AN19" si="4">IF(AJ9&gt;0,AI9,"")</f>
        <v/>
      </c>
      <c r="AO9" s="129" t="str">
        <f t="shared" ref="AO9:AO19" si="5">IF(AJ9&gt;0,AJ9,"")</f>
        <v/>
      </c>
    </row>
    <row r="10" spans="1:41" ht="23.1" customHeight="1">
      <c r="A10" s="752"/>
      <c r="B10" s="130" t="s">
        <v>32</v>
      </c>
      <c r="C10" s="48">
        <f>SUM(E10,G10,I10,K10,M10,R10)</f>
        <v>860</v>
      </c>
      <c r="D10" s="116" t="str">
        <f t="shared" si="0"/>
        <v xml:space="preserve"> </v>
      </c>
      <c r="E10" s="48">
        <f>③郡部!C25</f>
        <v>800</v>
      </c>
      <c r="F10" s="116" t="str">
        <f>IF(③郡部!D25=0," ",③郡部!D25)</f>
        <v xml:space="preserve"> </v>
      </c>
      <c r="G10" s="48">
        <f>③郡部!F25</f>
        <v>20</v>
      </c>
      <c r="H10" s="116" t="str">
        <f>IF(③郡部!G25=0," ",③郡部!G25)</f>
        <v xml:space="preserve"> </v>
      </c>
      <c r="I10" s="48">
        <f>③郡部!I25</f>
        <v>20</v>
      </c>
      <c r="J10" s="116" t="str">
        <f>IF(③郡部!J25=0," ",③郡部!J25)</f>
        <v xml:space="preserve"> </v>
      </c>
      <c r="K10" s="48">
        <f>③郡部!L25</f>
        <v>5</v>
      </c>
      <c r="L10" s="116" t="str">
        <f>IF(③郡部!M25=0," ",③郡部!M25)</f>
        <v xml:space="preserve"> </v>
      </c>
      <c r="M10" s="48">
        <f>③郡部!O25</f>
        <v>5</v>
      </c>
      <c r="N10" s="116" t="str">
        <f>IF(③郡部!P25=0," ",③郡部!P25)</f>
        <v xml:space="preserve"> </v>
      </c>
      <c r="O10" s="700"/>
      <c r="P10" s="691"/>
      <c r="Q10" s="116" t="str">
        <f>IF(③郡部!S25=0," ",③郡部!S25)</f>
        <v xml:space="preserve"> </v>
      </c>
      <c r="R10" s="48">
        <f>③郡部!U25</f>
        <v>10</v>
      </c>
      <c r="S10" s="119" t="str">
        <f>IF(③郡部!V25=0," ",③郡部!V25)</f>
        <v xml:space="preserve"> </v>
      </c>
      <c r="U10" s="752"/>
      <c r="V10" s="130" t="s">
        <v>32</v>
      </c>
      <c r="W10" s="120" t="str">
        <f t="shared" si="1"/>
        <v>0</v>
      </c>
      <c r="Y10" s="121" t="s">
        <v>42</v>
      </c>
      <c r="Z10" s="122" t="str">
        <f>W34</f>
        <v>0</v>
      </c>
      <c r="AA10" s="123">
        <v>0</v>
      </c>
      <c r="AB10" s="124">
        <f>AA21</f>
        <v>0</v>
      </c>
      <c r="AD10" s="121" t="s">
        <v>312</v>
      </c>
      <c r="AE10" s="125">
        <v>7</v>
      </c>
      <c r="AF10" s="88"/>
      <c r="AG10" s="126" t="str">
        <f>申込書!B9 &amp; "　" &amp; Y9</f>
        <v>　倉吉</v>
      </c>
      <c r="AH10" s="122" t="str">
        <f>Z9</f>
        <v>0</v>
      </c>
      <c r="AI10" s="123">
        <f>IF(申込書!C32=AD8,AE8,IF(申込書!C32=AD9,AE9,IF(申込書!C32=AD10,AE10,IF(申込書!C32=AD11,AE11,IF(申込書!C32=AD12,AE12,0)))))</f>
        <v>0</v>
      </c>
      <c r="AJ10" s="127">
        <f>ROUNDDOWN(AH10*AI10,0)</f>
        <v>0</v>
      </c>
      <c r="AK10" s="100"/>
      <c r="AL10" s="126" t="str">
        <f t="shared" si="2"/>
        <v/>
      </c>
      <c r="AM10" s="128" t="str">
        <f t="shared" si="3"/>
        <v/>
      </c>
      <c r="AN10" s="123" t="str">
        <f t="shared" si="4"/>
        <v/>
      </c>
      <c r="AO10" s="129" t="str">
        <f t="shared" si="5"/>
        <v/>
      </c>
    </row>
    <row r="11" spans="1:41" ht="23.1" customHeight="1" thickBot="1">
      <c r="A11" s="753"/>
      <c r="B11" s="133" t="s">
        <v>33</v>
      </c>
      <c r="C11" s="48">
        <f>SUM(E11,G11,I11,K11,M11,R11)</f>
        <v>4030</v>
      </c>
      <c r="D11" s="134" t="str">
        <f t="shared" si="0"/>
        <v xml:space="preserve"> </v>
      </c>
      <c r="E11" s="135">
        <f>SUM(③郡部!C14:C17)</f>
        <v>3320</v>
      </c>
      <c r="F11" s="134" t="str">
        <f>IF(SUM(③郡部!D14:D17)=0," ",SUM(③郡部!D14:D17))</f>
        <v xml:space="preserve"> </v>
      </c>
      <c r="G11" s="135">
        <f>SUM(③郡部!F14:F17)</f>
        <v>170</v>
      </c>
      <c r="H11" s="134" t="str">
        <f>IF(SUM(③郡部!G14:G17)=0," ",SUM(③郡部!G14:G17))</f>
        <v xml:space="preserve"> </v>
      </c>
      <c r="I11" s="135">
        <f>SUM(③郡部!I14:I17)</f>
        <v>390</v>
      </c>
      <c r="J11" s="134" t="str">
        <f>IF(SUM(③郡部!J14:J17)=0," ",SUM(③郡部!J14:J17))</f>
        <v xml:space="preserve"> </v>
      </c>
      <c r="K11" s="135">
        <f>SUM(③郡部!L14:L17)</f>
        <v>35</v>
      </c>
      <c r="L11" s="134" t="str">
        <f>IF(SUM(③郡部!M14:M17)=0," ",SUM(③郡部!M14:M17))</f>
        <v xml:space="preserve"> </v>
      </c>
      <c r="M11" s="135">
        <f>SUM(③郡部!O14:O17)</f>
        <v>40</v>
      </c>
      <c r="N11" s="134" t="str">
        <f>IF(SUM(③郡部!P14:P17)=0," ",SUM(③郡部!P14:P17))</f>
        <v xml:space="preserve"> </v>
      </c>
      <c r="O11" s="690"/>
      <c r="P11" s="691"/>
      <c r="Q11" s="134" t="str">
        <f>IF(SUM(③郡部!S14:S17)=0," ",SUM(③郡部!S14:S17))</f>
        <v xml:space="preserve"> </v>
      </c>
      <c r="R11" s="135">
        <f>SUM(③郡部!U14:U17)</f>
        <v>75</v>
      </c>
      <c r="S11" s="136" t="str">
        <f>IF(SUM(③郡部!V14:V17)=0," ",SUM(③郡部!V14:V17))</f>
        <v xml:space="preserve"> </v>
      </c>
      <c r="U11" s="753"/>
      <c r="V11" s="133" t="s">
        <v>33</v>
      </c>
      <c r="W11" s="137" t="str">
        <f t="shared" si="1"/>
        <v>0</v>
      </c>
      <c r="Y11" s="121" t="s">
        <v>284</v>
      </c>
      <c r="Z11" s="122" t="str">
        <f>W23</f>
        <v>0</v>
      </c>
      <c r="AA11" s="123">
        <v>0.3</v>
      </c>
      <c r="AB11" s="124">
        <f>AA23</f>
        <v>0</v>
      </c>
      <c r="AD11" s="121" t="s">
        <v>313</v>
      </c>
      <c r="AE11" s="125"/>
      <c r="AF11" s="88"/>
      <c r="AG11" s="126" t="s">
        <v>281</v>
      </c>
      <c r="AH11" s="122" t="str">
        <f>Z9</f>
        <v>0</v>
      </c>
      <c r="AI11" s="123">
        <f>AA9</f>
        <v>0.2</v>
      </c>
      <c r="AJ11" s="129">
        <f>AB9</f>
        <v>0</v>
      </c>
      <c r="AK11" s="132"/>
      <c r="AL11" s="126" t="str">
        <f t="shared" si="2"/>
        <v/>
      </c>
      <c r="AM11" s="128" t="str">
        <f t="shared" si="3"/>
        <v/>
      </c>
      <c r="AN11" s="123" t="str">
        <f t="shared" si="4"/>
        <v/>
      </c>
      <c r="AO11" s="129" t="str">
        <f t="shared" si="5"/>
        <v/>
      </c>
    </row>
    <row r="12" spans="1:41" ht="23.1" customHeight="1" thickBot="1">
      <c r="A12" s="754" t="s">
        <v>34</v>
      </c>
      <c r="B12" s="755"/>
      <c r="C12" s="138">
        <f>SUM(C8:C11)</f>
        <v>66585</v>
      </c>
      <c r="D12" s="139" t="str">
        <f t="shared" si="0"/>
        <v xml:space="preserve"> </v>
      </c>
      <c r="E12" s="138">
        <f>SUM(E8:E11)</f>
        <v>49470</v>
      </c>
      <c r="F12" s="139" t="str">
        <f>IF(SUM(F8:F11)=0," ",SUM(F8:F11))</f>
        <v xml:space="preserve"> </v>
      </c>
      <c r="G12" s="140">
        <f t="shared" ref="G12:M12" si="6">SUM(G8:G11)</f>
        <v>4905</v>
      </c>
      <c r="H12" s="139" t="str">
        <f>IF(SUM(H8:H11)=0," ",SUM(H8:H11))</f>
        <v xml:space="preserve"> </v>
      </c>
      <c r="I12" s="140">
        <f t="shared" si="6"/>
        <v>6370</v>
      </c>
      <c r="J12" s="139" t="str">
        <f>IF(SUM(J8:J11)=0," ",SUM(J8:J11))</f>
        <v xml:space="preserve"> </v>
      </c>
      <c r="K12" s="140">
        <f t="shared" si="6"/>
        <v>1630</v>
      </c>
      <c r="L12" s="139" t="str">
        <f>IF(SUM(L8:L11)=0," ",SUM(L8:L11))</f>
        <v xml:space="preserve"> </v>
      </c>
      <c r="M12" s="140">
        <f t="shared" si="6"/>
        <v>595</v>
      </c>
      <c r="N12" s="139" t="str">
        <f>IF(SUM(N8:N11)=0," ",SUM(N8:N11))</f>
        <v xml:space="preserve"> </v>
      </c>
      <c r="O12" s="701">
        <f>SUM(O8:P11)</f>
        <v>1440</v>
      </c>
      <c r="P12" s="702"/>
      <c r="Q12" s="139" t="str">
        <f>IF(SUM(Q8:Q11)=0," ",SUM(Q8:Q11))</f>
        <v xml:space="preserve"> </v>
      </c>
      <c r="R12" s="138">
        <f>SUM(R8:R11)</f>
        <v>2175</v>
      </c>
      <c r="S12" s="141" t="str">
        <f>IF(SUM(S8:S11)=0," ",SUM(S8:S11))</f>
        <v xml:space="preserve"> </v>
      </c>
      <c r="U12" s="754" t="s">
        <v>34</v>
      </c>
      <c r="V12" s="755"/>
      <c r="W12" s="142" t="str">
        <f t="shared" si="1"/>
        <v>0</v>
      </c>
      <c r="Y12" s="121" t="s">
        <v>41</v>
      </c>
      <c r="Z12" s="122" t="str">
        <f>W32</f>
        <v>0</v>
      </c>
      <c r="AA12" s="123">
        <v>0.25</v>
      </c>
      <c r="AB12" s="124">
        <f>AA26</f>
        <v>0</v>
      </c>
      <c r="AD12" s="143" t="s">
        <v>314</v>
      </c>
      <c r="AE12" s="144">
        <v>15</v>
      </c>
      <c r="AF12" s="88"/>
      <c r="AG12" s="126" t="str">
        <f>申込書!B9 &amp; "　" &amp; Y10</f>
        <v>　岡山</v>
      </c>
      <c r="AH12" s="122" t="str">
        <f>Z10</f>
        <v>0</v>
      </c>
      <c r="AI12" s="123">
        <f>IF(申込書!C32=AD8,AE8,IF(申込書!C32=AD9,AE9,IF(申込書!C32=AD10,AE10,IF(申込書!C32=AD11,AE11,IF(申込書!C32=AD12,AE12,0)))))</f>
        <v>0</v>
      </c>
      <c r="AJ12" s="127">
        <f>ROUNDDOWN(AH12*AI12,0)</f>
        <v>0</v>
      </c>
      <c r="AK12" s="100"/>
      <c r="AL12" s="126" t="str">
        <f t="shared" si="2"/>
        <v/>
      </c>
      <c r="AM12" s="128" t="str">
        <f t="shared" si="3"/>
        <v/>
      </c>
      <c r="AN12" s="123" t="str">
        <f t="shared" si="4"/>
        <v/>
      </c>
      <c r="AO12" s="129" t="str">
        <f t="shared" si="5"/>
        <v/>
      </c>
    </row>
    <row r="13" spans="1:41" ht="23.1" customHeight="1" thickBot="1">
      <c r="A13" s="718" t="s">
        <v>16</v>
      </c>
      <c r="B13" s="719"/>
      <c r="C13" s="48">
        <f>SUM(E13,G13,I13,K13,M13,O13,R13)</f>
        <v>8595</v>
      </c>
      <c r="D13" s="116" t="str">
        <f t="shared" si="0"/>
        <v xml:space="preserve"> </v>
      </c>
      <c r="E13" s="48">
        <f>SUM(③郡部!C8:C11,③郡部!C18:C19)</f>
        <v>6980</v>
      </c>
      <c r="F13" s="116" t="str">
        <f>IF(SUM(③郡部!D8:D11,③郡部!D18:D19)=0," ",SUM(③郡部!D8:D11,③郡部!D18:D19))</f>
        <v xml:space="preserve"> </v>
      </c>
      <c r="G13" s="48">
        <f>SUM(③郡部!F8:F11,③郡部!F18:F19)</f>
        <v>470</v>
      </c>
      <c r="H13" s="116" t="str">
        <f>IF(SUM(③郡部!G8:G11,③郡部!G18:G19)=0," ",SUM(③郡部!G8:G11,③郡部!G18:G19))</f>
        <v xml:space="preserve"> </v>
      </c>
      <c r="I13" s="48">
        <f>SUM(③郡部!I8:I11,③郡部!I18:I19)</f>
        <v>810</v>
      </c>
      <c r="J13" s="116" t="str">
        <f>IF(SUM(③郡部!J8:J11,③郡部!J18:J19)=0," ",SUM(③郡部!J8:J11,③郡部!J18:J19))</f>
        <v xml:space="preserve"> </v>
      </c>
      <c r="K13" s="48">
        <f>SUM(③郡部!L8:L11,③郡部!L18:L19)</f>
        <v>80</v>
      </c>
      <c r="L13" s="116" t="str">
        <f>IF(SUM(③郡部!M8:M11,③郡部!M18:M19)=0," ",SUM(③郡部!M8:M11,③郡部!M18:M19))</f>
        <v xml:space="preserve"> </v>
      </c>
      <c r="M13" s="48">
        <f>SUM(③郡部!O8:O11,③郡部!O18:O19)</f>
        <v>65</v>
      </c>
      <c r="N13" s="116" t="str">
        <f>IF(SUM(③郡部!P8:P11,③郡部!P18:P19)=0," ",SUM(③郡部!P8:P11,③郡部!P18:P19))</f>
        <v xml:space="preserve"> </v>
      </c>
      <c r="O13" s="692">
        <f>SUM(③郡部!R8:R11,③郡部!R18:R19)</f>
        <v>30</v>
      </c>
      <c r="P13" s="693"/>
      <c r="Q13" s="116" t="str">
        <f>IF(SUM(③郡部!S8:S11,③郡部!S18:S19)=0," ",SUM(③郡部!S8:S11,③郡部!S18:S19))</f>
        <v xml:space="preserve"> </v>
      </c>
      <c r="R13" s="48">
        <f>SUM(③郡部!U8:U11,③郡部!U18:U19)</f>
        <v>160</v>
      </c>
      <c r="S13" s="119" t="str">
        <f>IF(SUM(③郡部!V8:V11,③郡部!V18:V19)=0," ",SUM(③郡部!V8:V11,③郡部!V18:V19))</f>
        <v xml:space="preserve"> </v>
      </c>
      <c r="U13" s="743" t="s">
        <v>16</v>
      </c>
      <c r="V13" s="744"/>
      <c r="W13" s="120" t="str">
        <f t="shared" si="1"/>
        <v>0</v>
      </c>
      <c r="Y13" s="143" t="s">
        <v>293</v>
      </c>
      <c r="Z13" s="145" t="str">
        <f>W30</f>
        <v>0</v>
      </c>
      <c r="AA13" s="146">
        <v>0</v>
      </c>
      <c r="AB13" s="147">
        <f>AA27</f>
        <v>0</v>
      </c>
      <c r="AD13" s="88"/>
      <c r="AE13" s="88"/>
      <c r="AF13" s="88"/>
      <c r="AG13" s="126" t="s">
        <v>281</v>
      </c>
      <c r="AH13" s="122" t="s">
        <v>311</v>
      </c>
      <c r="AI13" s="123" t="s">
        <v>311</v>
      </c>
      <c r="AJ13" s="129">
        <f>AB10</f>
        <v>0</v>
      </c>
      <c r="AK13" s="132"/>
      <c r="AL13" s="126" t="str">
        <f t="shared" si="2"/>
        <v/>
      </c>
      <c r="AM13" s="128" t="str">
        <f t="shared" si="3"/>
        <v/>
      </c>
      <c r="AN13" s="123" t="str">
        <f t="shared" si="4"/>
        <v/>
      </c>
      <c r="AO13" s="129" t="str">
        <f t="shared" si="5"/>
        <v/>
      </c>
    </row>
    <row r="14" spans="1:41" ht="23.1" customHeight="1" thickBot="1">
      <c r="A14" s="739" t="s">
        <v>17</v>
      </c>
      <c r="B14" s="740"/>
      <c r="C14" s="48">
        <f>SUM(E14,G14,I14,K14,M14,R14)</f>
        <v>3725</v>
      </c>
      <c r="D14" s="134" t="str">
        <f t="shared" si="0"/>
        <v xml:space="preserve"> </v>
      </c>
      <c r="E14" s="135">
        <f>SUM(③郡部!C26:C27)</f>
        <v>3200</v>
      </c>
      <c r="F14" s="134" t="str">
        <f>IF(SUM(③郡部!D26:D27)=0," ",SUM(③郡部!D26:D27))</f>
        <v xml:space="preserve"> </v>
      </c>
      <c r="G14" s="135">
        <f>SUM(③郡部!F26:F27)</f>
        <v>100</v>
      </c>
      <c r="H14" s="134" t="str">
        <f>IF(SUM(③郡部!G26:G27)=0," ",SUM(③郡部!G26:G27))</f>
        <v xml:space="preserve"> </v>
      </c>
      <c r="I14" s="135">
        <f>SUM(③郡部!I26:I27)</f>
        <v>320</v>
      </c>
      <c r="J14" s="134" t="str">
        <f>IF(SUM(③郡部!J26:J27)=0," ",SUM(③郡部!J26:J27))</f>
        <v xml:space="preserve"> </v>
      </c>
      <c r="K14" s="135">
        <f>SUM(③郡部!L26:L27)</f>
        <v>30</v>
      </c>
      <c r="L14" s="134" t="str">
        <f>IF(SUM(③郡部!M26:M27)=0," ",SUM(③郡部!M26:M27))</f>
        <v xml:space="preserve"> </v>
      </c>
      <c r="M14" s="135">
        <f>SUM(③郡部!O26:O27)</f>
        <v>25</v>
      </c>
      <c r="N14" s="134" t="str">
        <f>IF(SUM(③郡部!P26:P27)=0," ",SUM(③郡部!P26:P27))</f>
        <v xml:space="preserve"> </v>
      </c>
      <c r="O14" s="694"/>
      <c r="P14" s="695"/>
      <c r="Q14" s="134" t="str">
        <f>IF(SUM(③郡部!S26:S27)=0," ",SUM(③郡部!S26:S27))</f>
        <v xml:space="preserve"> </v>
      </c>
      <c r="R14" s="135">
        <f>SUM(③郡部!U26:U27)</f>
        <v>50</v>
      </c>
      <c r="S14" s="136" t="str">
        <f>IF(SUM(③郡部!V26:V27)=0," ",SUM(③郡部!V26:V27))</f>
        <v xml:space="preserve"> </v>
      </c>
      <c r="U14" s="768" t="s">
        <v>17</v>
      </c>
      <c r="V14" s="769"/>
      <c r="W14" s="137" t="str">
        <f t="shared" si="1"/>
        <v>0</v>
      </c>
      <c r="Y14" s="148"/>
      <c r="Z14" s="149"/>
      <c r="AA14" s="150" t="s">
        <v>281</v>
      </c>
      <c r="AD14" s="88"/>
      <c r="AE14" s="88"/>
      <c r="AF14" s="88"/>
      <c r="AG14" s="126" t="str">
        <f>申込書!B9 &amp; "　" &amp; Y11</f>
        <v>　米子</v>
      </c>
      <c r="AH14" s="122" t="str">
        <f>Z11</f>
        <v>0</v>
      </c>
      <c r="AI14" s="123">
        <f>IF(申込書!C32=AD8,AE8,IF(申込書!C32=AD9,AE9,IF(申込書!C32=AD10,AE10,IF(申込書!C32=AD11,AE11,IF(申込書!C32=AD12,AE12,0)))))</f>
        <v>0</v>
      </c>
      <c r="AJ14" s="127">
        <f>ROUNDDOWN(AH14*AI14,0)</f>
        <v>0</v>
      </c>
      <c r="AK14" s="100"/>
      <c r="AL14" s="126" t="str">
        <f t="shared" si="2"/>
        <v/>
      </c>
      <c r="AM14" s="128" t="str">
        <f t="shared" si="3"/>
        <v/>
      </c>
      <c r="AN14" s="123" t="str">
        <f t="shared" si="4"/>
        <v/>
      </c>
      <c r="AO14" s="129" t="str">
        <f t="shared" si="5"/>
        <v/>
      </c>
    </row>
    <row r="15" spans="1:41" ht="23.1" customHeight="1" thickBot="1">
      <c r="A15" s="741" t="s">
        <v>18</v>
      </c>
      <c r="B15" s="742"/>
      <c r="C15" s="138">
        <f>SUM(C12,C13,C14)</f>
        <v>78905</v>
      </c>
      <c r="D15" s="139" t="str">
        <f>IF(SUM(D12,D13:D14)=0," ",SUM(D12,D13:D14))</f>
        <v xml:space="preserve"> </v>
      </c>
      <c r="E15" s="138">
        <f t="shared" ref="E15:M15" si="7">SUM(E8:E11,E13:E14)</f>
        <v>59650</v>
      </c>
      <c r="F15" s="139" t="str">
        <f>IF(SUM(F12,F13:F14)=0," ",SUM(F12,F13:F14))</f>
        <v xml:space="preserve"> </v>
      </c>
      <c r="G15" s="138">
        <f t="shared" si="7"/>
        <v>5475</v>
      </c>
      <c r="H15" s="139" t="str">
        <f>IF(SUM(H12,H13:H14)=0," ",SUM(H12,H13:H14))</f>
        <v xml:space="preserve"> </v>
      </c>
      <c r="I15" s="138">
        <f t="shared" si="7"/>
        <v>7500</v>
      </c>
      <c r="J15" s="139" t="str">
        <f>IF(SUM(J12,J13:J14)=0," ",SUM(J12,J13:J14))</f>
        <v xml:space="preserve"> </v>
      </c>
      <c r="K15" s="138">
        <f t="shared" si="7"/>
        <v>1740</v>
      </c>
      <c r="L15" s="139" t="str">
        <f>IF(SUM(L12,L13:L14)=0," ",SUM(L12,L13:L14))</f>
        <v xml:space="preserve"> </v>
      </c>
      <c r="M15" s="138">
        <f t="shared" si="7"/>
        <v>685</v>
      </c>
      <c r="N15" s="139" t="str">
        <f>IF(SUM(N12,N13:N14)=0," ",SUM(N12,N13:N14))</f>
        <v xml:space="preserve"> </v>
      </c>
      <c r="O15" s="756">
        <f>SUM(O8:P11,O13:P14)</f>
        <v>1470</v>
      </c>
      <c r="P15" s="757"/>
      <c r="Q15" s="139" t="str">
        <f>IF(SUM(Q12,Q13:Q14)=0," ",SUM(Q12,Q13:Q14))</f>
        <v xml:space="preserve"> </v>
      </c>
      <c r="R15" s="138">
        <f>SUM(R8:R11,R13:R14)</f>
        <v>2385</v>
      </c>
      <c r="S15" s="141" t="str">
        <f>IF(SUM(S12,S13:S14)=0," ",SUM(S12,S13:S14))</f>
        <v xml:space="preserve"> </v>
      </c>
      <c r="U15" s="741" t="s">
        <v>18</v>
      </c>
      <c r="V15" s="742"/>
      <c r="W15" s="142" t="str">
        <f>IF(SUM(D12,D13:D14)=0,"0",SUM(D12,D13:D14))</f>
        <v>0</v>
      </c>
      <c r="Y15" s="151" t="s">
        <v>29</v>
      </c>
      <c r="Z15" s="152"/>
      <c r="AA15" s="124">
        <v>0</v>
      </c>
      <c r="AB15" s="153" t="s">
        <v>297</v>
      </c>
      <c r="AD15" s="88"/>
      <c r="AE15" s="88"/>
      <c r="AF15" s="88"/>
      <c r="AG15" s="126" t="s">
        <v>281</v>
      </c>
      <c r="AH15" s="122" t="str">
        <f>Z11</f>
        <v>0</v>
      </c>
      <c r="AI15" s="123">
        <f>AA11</f>
        <v>0.3</v>
      </c>
      <c r="AJ15" s="129">
        <f>AB11</f>
        <v>0</v>
      </c>
      <c r="AK15" s="132"/>
      <c r="AL15" s="126" t="str">
        <f t="shared" si="2"/>
        <v/>
      </c>
      <c r="AM15" s="128" t="str">
        <f t="shared" si="3"/>
        <v/>
      </c>
      <c r="AN15" s="123" t="str">
        <f t="shared" si="4"/>
        <v/>
      </c>
      <c r="AO15" s="129" t="str">
        <f t="shared" si="5"/>
        <v/>
      </c>
    </row>
    <row r="16" spans="1:41" ht="23.1" customHeight="1">
      <c r="A16" s="743" t="s">
        <v>19</v>
      </c>
      <c r="B16" s="744"/>
      <c r="C16" s="48">
        <f>SUM(E16,R16,O16,M16,K16,I16,G16)</f>
        <v>18185</v>
      </c>
      <c r="D16" s="116" t="str">
        <f>IF(SUM(F16,H16,J16,L16,N16,Q16,S16)=0," ",SUM(F16,H16,J16,L16,N16,Q16,S16))</f>
        <v xml:space="preserve"> </v>
      </c>
      <c r="E16" s="48">
        <f>④中部!C16</f>
        <v>13580</v>
      </c>
      <c r="F16" s="116" t="str">
        <f>IF(SUM(④中部!D16,④中部・トップ折込センター!D16)=0," ",SUM(④中部!D16,④中部・トップ折込センター!D16))</f>
        <v xml:space="preserve"> </v>
      </c>
      <c r="G16" s="48">
        <f>④中部!F16</f>
        <v>1390</v>
      </c>
      <c r="H16" s="116" t="str">
        <f>IF(SUM(④中部!G16,④中部・トップ折込センター!G16)=0," ",SUM(④中部!G16,④中部・トップ折込センター!G16))</f>
        <v xml:space="preserve"> </v>
      </c>
      <c r="I16" s="48">
        <f>④中部!I16</f>
        <v>1470</v>
      </c>
      <c r="J16" s="116" t="str">
        <f>IF(SUM(④中部!J16,④中部・トップ折込センター!J16)=0," ",SUM(④中部!J16,④中部・トップ折込センター!J16))</f>
        <v xml:space="preserve"> </v>
      </c>
      <c r="K16" s="48">
        <f>④中部!L16</f>
        <v>400</v>
      </c>
      <c r="L16" s="116" t="str">
        <f>IF(SUM(④中部!M16,④中部・トップ折込センター!M16)=0," ",SUM(④中部!M16,④中部・トップ折込センター!M16))</f>
        <v xml:space="preserve"> </v>
      </c>
      <c r="M16" s="48">
        <f>④中部!O16</f>
        <v>215</v>
      </c>
      <c r="N16" s="116" t="str">
        <f>IF(SUM(④中部!P16,④中部・トップ折込センター!P16)=0," ",SUM(④中部!P16,④中部・トップ折込センター!P16))</f>
        <v xml:space="preserve"> </v>
      </c>
      <c r="O16" s="759">
        <f>④中部!R16</f>
        <v>460</v>
      </c>
      <c r="P16" s="760"/>
      <c r="Q16" s="116" t="str">
        <f>IF(SUM(④中部!S16,④中部・トップ折込センター!S16)=0," ",SUM(④中部!S16,④中部・トップ折込センター!S16))</f>
        <v xml:space="preserve"> </v>
      </c>
      <c r="R16" s="48">
        <f>④中部!U16</f>
        <v>670</v>
      </c>
      <c r="S16" s="119" t="str">
        <f>IF(SUM(④中部!V16,④中部・トップ折込センター!V16)=0," ",SUM(④中部!V16,④中部・トップ折込センター!V16))</f>
        <v xml:space="preserve"> </v>
      </c>
      <c r="U16" s="743" t="s">
        <v>19</v>
      </c>
      <c r="V16" s="744"/>
      <c r="W16" s="120" t="str">
        <f>IF(SUM(F16,H16,J16,L16,N16,Q16,S16)=0,"0",SUM(F16,H16,J16,L16,N16,Q16,S16))</f>
        <v>0</v>
      </c>
      <c r="Y16" s="156" t="s">
        <v>294</v>
      </c>
      <c r="Z16" s="157" t="s">
        <v>286</v>
      </c>
      <c r="AA16" s="124">
        <f>IF(③郡部!B13&gt;0,1500,0)</f>
        <v>0</v>
      </c>
      <c r="AB16" s="153" t="s">
        <v>288</v>
      </c>
      <c r="AD16" s="88"/>
      <c r="AE16" s="88"/>
      <c r="AF16" s="88"/>
      <c r="AG16" s="126" t="str">
        <f>申込書!B9 &amp; "　" &amp; Y12</f>
        <v>　島根</v>
      </c>
      <c r="AH16" s="122" t="str">
        <f>Z12</f>
        <v>0</v>
      </c>
      <c r="AI16" s="123">
        <f>IF(申込書!C32=AD8,AE8,IF(申込書!C32=AD9,AE9,IF(申込書!C32=AD10,AE10,IF(申込書!C32=AD11,AE11,IF(申込書!C32=AD12,AE12,0)))))</f>
        <v>0</v>
      </c>
      <c r="AJ16" s="127">
        <f>ROUNDDOWN(AH16*AI16,0)</f>
        <v>0</v>
      </c>
      <c r="AK16" s="100"/>
      <c r="AL16" s="126" t="str">
        <f t="shared" si="2"/>
        <v/>
      </c>
      <c r="AM16" s="128" t="str">
        <f t="shared" si="3"/>
        <v/>
      </c>
      <c r="AN16" s="123" t="str">
        <f t="shared" si="4"/>
        <v/>
      </c>
      <c r="AO16" s="129" t="str">
        <f t="shared" si="5"/>
        <v/>
      </c>
    </row>
    <row r="17" spans="1:41" ht="23.1" customHeight="1" thickBot="1">
      <c r="A17" s="739" t="s">
        <v>20</v>
      </c>
      <c r="B17" s="740"/>
      <c r="C17" s="48">
        <f>SUM(E17,R17,O17,M17,K17,I17,G17)</f>
        <v>18290</v>
      </c>
      <c r="D17" s="134" t="str">
        <f>IF(SUM(F17,H17,J17,L17,N17,Q17,S17)=0," ",SUM(F17,H17,J17,L17,N17,Q17,S17))</f>
        <v xml:space="preserve"> </v>
      </c>
      <c r="E17" s="135">
        <f>④中部!C29</f>
        <v>14760</v>
      </c>
      <c r="F17" s="134" t="str">
        <f>IF(SUM(④中部!D29,④中部・トップ折込センター!D29)=0," ",SUM(④中部!D29,④中部・トップ折込センター!D29))</f>
        <v xml:space="preserve"> </v>
      </c>
      <c r="G17" s="135">
        <f>④中部!F29</f>
        <v>810</v>
      </c>
      <c r="H17" s="134" t="str">
        <f>IF(SUM(④中部!G29,④中部・トップ折込センター!G29)=0," ",SUM(④中部!G29,④中部・トップ折込センター!G29))</f>
        <v xml:space="preserve"> </v>
      </c>
      <c r="I17" s="135">
        <f>④中部!I29</f>
        <v>1870</v>
      </c>
      <c r="J17" s="134" t="str">
        <f>IF(SUM(④中部!J29,④中部・トップ折込センター!J29)=0," ",SUM(④中部!J29,④中部・トップ折込センター!J29))</f>
        <v xml:space="preserve"> </v>
      </c>
      <c r="K17" s="135">
        <f>④中部!L29</f>
        <v>340</v>
      </c>
      <c r="L17" s="134" t="str">
        <f>IF(SUM(④中部!M29,④中部・トップ折込センター!M29)=0," ",SUM(④中部!M29,④中部・トップ折込センター!M29))</f>
        <v xml:space="preserve"> </v>
      </c>
      <c r="M17" s="135">
        <f>④中部!O29</f>
        <v>135</v>
      </c>
      <c r="N17" s="134" t="str">
        <f>IF(SUM(④中部!P29,④中部・トップ折込センター!P29)=0," ",SUM(④中部!P29,④中部・トップ折込センター!P29))</f>
        <v xml:space="preserve"> </v>
      </c>
      <c r="O17" s="761">
        <f>④中部!R29</f>
        <v>160</v>
      </c>
      <c r="P17" s="762"/>
      <c r="Q17" s="134" t="str">
        <f>IF(SUM(④中部!S29,④中部・トップ折込センター!S29)=0," ",SUM(④中部!S29,④中部・トップ折込センター!S29))</f>
        <v xml:space="preserve"> </v>
      </c>
      <c r="R17" s="135">
        <f>④中部!U29</f>
        <v>215</v>
      </c>
      <c r="S17" s="136" t="str">
        <f>IF(SUM(④中部!V29,④中部・トップ折込センター!V29)=0," ",SUM(④中部!V29,④中部・トップ折込センター!V29))</f>
        <v xml:space="preserve"> </v>
      </c>
      <c r="U17" s="768" t="s">
        <v>20</v>
      </c>
      <c r="V17" s="769"/>
      <c r="W17" s="137" t="str">
        <f>IF(SUM(F17,H17,J17,L17,N17,Q17,S17)=0,"0",SUM(F17,H17,J17,L17,N17,Q17,S17))</f>
        <v>0</v>
      </c>
      <c r="Y17" s="158"/>
      <c r="Z17" s="157" t="s">
        <v>239</v>
      </c>
      <c r="AA17" s="124">
        <f>IF(③郡部!B21&gt;0,1500,0)</f>
        <v>0</v>
      </c>
      <c r="AB17" s="153" t="s">
        <v>288</v>
      </c>
      <c r="AD17" s="88"/>
      <c r="AE17" s="88"/>
      <c r="AF17" s="88"/>
      <c r="AG17" s="126" t="s">
        <v>281</v>
      </c>
      <c r="AH17" s="122" t="str">
        <f>Z12</f>
        <v>0</v>
      </c>
      <c r="AI17" s="123">
        <f>AA12</f>
        <v>0.25</v>
      </c>
      <c r="AJ17" s="129">
        <f>AB12</f>
        <v>0</v>
      </c>
      <c r="AK17" s="132"/>
      <c r="AL17" s="126" t="str">
        <f t="shared" si="2"/>
        <v/>
      </c>
      <c r="AM17" s="128" t="str">
        <f t="shared" si="3"/>
        <v/>
      </c>
      <c r="AN17" s="123" t="str">
        <f t="shared" si="4"/>
        <v/>
      </c>
      <c r="AO17" s="129" t="str">
        <f t="shared" si="5"/>
        <v/>
      </c>
    </row>
    <row r="18" spans="1:41" ht="23.1" customHeight="1" thickBot="1">
      <c r="A18" s="741" t="s">
        <v>21</v>
      </c>
      <c r="B18" s="742"/>
      <c r="C18" s="138">
        <f>SUM(C16:C17)</f>
        <v>36475</v>
      </c>
      <c r="D18" s="139" t="str">
        <f>IF(SUM(D16:D17)=0," ",SUM(D16:D17))</f>
        <v xml:space="preserve"> </v>
      </c>
      <c r="E18" s="138">
        <f t="shared" ref="E18:M18" si="8">SUM(E16:E17)</f>
        <v>28340</v>
      </c>
      <c r="F18" s="139" t="str">
        <f>IF(SUM(F16:F17)=0," ",SUM(F16:F17))</f>
        <v xml:space="preserve"> </v>
      </c>
      <c r="G18" s="138">
        <f t="shared" si="8"/>
        <v>2200</v>
      </c>
      <c r="H18" s="139" t="str">
        <f>IF(SUM(H16:H17)=0," ",SUM(H16:H17))</f>
        <v xml:space="preserve"> </v>
      </c>
      <c r="I18" s="138">
        <f t="shared" si="8"/>
        <v>3340</v>
      </c>
      <c r="J18" s="139" t="str">
        <f>IF(SUM(J16:J17)=0," ",SUM(J16:J17))</f>
        <v xml:space="preserve"> </v>
      </c>
      <c r="K18" s="138">
        <f t="shared" si="8"/>
        <v>740</v>
      </c>
      <c r="L18" s="139" t="str">
        <f>IF(SUM(L16:L17)=0," ",SUM(L16:L17))</f>
        <v xml:space="preserve"> </v>
      </c>
      <c r="M18" s="138">
        <f t="shared" si="8"/>
        <v>350</v>
      </c>
      <c r="N18" s="139" t="str">
        <f>IF(SUM(N16:N17)=0," ",SUM(N16:N17))</f>
        <v xml:space="preserve"> </v>
      </c>
      <c r="O18" s="763">
        <f>SUM(O16:P17)</f>
        <v>620</v>
      </c>
      <c r="P18" s="764"/>
      <c r="Q18" s="139" t="str">
        <f>IF(SUM(Q16:Q17)=0," ",SUM(Q16:Q17))</f>
        <v xml:space="preserve"> </v>
      </c>
      <c r="R18" s="138">
        <f>SUM(R16:R17)</f>
        <v>885</v>
      </c>
      <c r="S18" s="141" t="str">
        <f>IF(SUM(S16:S17)=0," ",SUM(S16:S17))</f>
        <v xml:space="preserve"> </v>
      </c>
      <c r="U18" s="741" t="s">
        <v>21</v>
      </c>
      <c r="V18" s="742"/>
      <c r="W18" s="142" t="str">
        <f>IF(SUM(D16:D17)=0,"0",SUM(D16:D17))</f>
        <v>0</v>
      </c>
      <c r="Y18" s="158"/>
      <c r="Z18" s="157" t="s">
        <v>17</v>
      </c>
      <c r="AA18" s="124">
        <f>IF(③郡部!B29&gt;0,1500,0)</f>
        <v>0</v>
      </c>
      <c r="AB18" s="153" t="s">
        <v>288</v>
      </c>
      <c r="AD18" s="88"/>
      <c r="AE18" s="88"/>
      <c r="AF18" s="88"/>
      <c r="AG18" s="126" t="str">
        <f>申込書!B9 &amp; "　" &amp; Y13</f>
        <v>　兵庫</v>
      </c>
      <c r="AH18" s="122" t="str">
        <f>Z13</f>
        <v>0</v>
      </c>
      <c r="AI18" s="123">
        <f>IF(申込書!C32=AD8,AE8,IF(申込書!C32=AD9,AE9,IF(申込書!C32=AD10,AE10,IF(申込書!C32=AD11,AE11,IF(申込書!C32=AD12,AE12,0)))))</f>
        <v>0</v>
      </c>
      <c r="AJ18" s="127">
        <f>ROUNDDOWN(AH18*AI18,0)</f>
        <v>0</v>
      </c>
      <c r="AK18" s="100"/>
      <c r="AL18" s="126" t="str">
        <f t="shared" si="2"/>
        <v/>
      </c>
      <c r="AM18" s="128" t="str">
        <f t="shared" si="3"/>
        <v/>
      </c>
      <c r="AN18" s="123" t="str">
        <f t="shared" si="4"/>
        <v/>
      </c>
      <c r="AO18" s="129" t="str">
        <f t="shared" si="5"/>
        <v/>
      </c>
    </row>
    <row r="19" spans="1:41" ht="23.1" customHeight="1" thickBot="1">
      <c r="A19" s="743" t="s">
        <v>22</v>
      </c>
      <c r="B19" s="744"/>
      <c r="C19" s="154">
        <f>SUM(E19,G19,I19,K19,M19,O19,R19)</f>
        <v>54940</v>
      </c>
      <c r="D19" s="116" t="str">
        <f>IF(SUM(F19,H19,J19,L19,N19,Q19,S19)=0," ",SUM(F19,H19,J19,L19,N19,Q19,S19))</f>
        <v xml:space="preserve"> </v>
      </c>
      <c r="E19" s="48">
        <f>⑤米子市!C32</f>
        <v>36110</v>
      </c>
      <c r="F19" s="116" t="str">
        <f>IF(⑤米子市!D32=0," ",⑤米子市!D32)</f>
        <v xml:space="preserve"> </v>
      </c>
      <c r="G19" s="48">
        <f>⑤米子市!F32</f>
        <v>3550</v>
      </c>
      <c r="H19" s="116" t="str">
        <f>IF(⑤米子市!G32=0," ",⑤米子市!G32)</f>
        <v xml:space="preserve"> </v>
      </c>
      <c r="I19" s="48">
        <f>⑤米子市!I32</f>
        <v>7230</v>
      </c>
      <c r="J19" s="116" t="str">
        <f>IF(⑤米子市!J32=0," ",⑤米子市!J32)</f>
        <v xml:space="preserve"> </v>
      </c>
      <c r="K19" s="48">
        <f>⑤米子市!L32</f>
        <v>900</v>
      </c>
      <c r="L19" s="116" t="str">
        <f>IF(⑤米子市!M32=0," ",⑤米子市!M32)</f>
        <v xml:space="preserve"> </v>
      </c>
      <c r="M19" s="48">
        <f>⑤米子市!O32</f>
        <v>420</v>
      </c>
      <c r="N19" s="116" t="str">
        <f>IF(⑤米子市!P32=0," ",⑤米子市!P32)</f>
        <v xml:space="preserve"> </v>
      </c>
      <c r="O19" s="759">
        <f>⑤米子市!R32</f>
        <v>5110</v>
      </c>
      <c r="P19" s="760"/>
      <c r="Q19" s="116" t="str">
        <f>IF(⑤米子市!S32=0," ",⑤米子市!S32)</f>
        <v xml:space="preserve"> </v>
      </c>
      <c r="R19" s="48">
        <f>⑤米子市!U32</f>
        <v>1620</v>
      </c>
      <c r="S19" s="119" t="str">
        <f>IF(⑤米子市!V32=0," ",⑤米子市!V32)</f>
        <v xml:space="preserve"> </v>
      </c>
      <c r="U19" s="743" t="s">
        <v>22</v>
      </c>
      <c r="V19" s="744"/>
      <c r="W19" s="120" t="str">
        <f>IF(SUM(F19,H19,J19,L19,N19,Q19,S19)=0,"0",SUM(F19,H19,J19,L19,N19,Q19,S19))</f>
        <v>0</v>
      </c>
      <c r="Y19" s="159"/>
      <c r="Z19" s="157" t="s">
        <v>287</v>
      </c>
      <c r="AA19" s="124">
        <f>IF(③郡部!B36&gt;0,1500,0)</f>
        <v>0</v>
      </c>
      <c r="AB19" s="160" t="s">
        <v>288</v>
      </c>
      <c r="AD19" s="88"/>
      <c r="AE19" s="88"/>
      <c r="AF19" s="88"/>
      <c r="AG19" s="161" t="s">
        <v>281</v>
      </c>
      <c r="AH19" s="162" t="s">
        <v>311</v>
      </c>
      <c r="AI19" s="163" t="s">
        <v>311</v>
      </c>
      <c r="AJ19" s="164">
        <f>AB13</f>
        <v>0</v>
      </c>
      <c r="AK19" s="132"/>
      <c r="AL19" s="165" t="str">
        <f t="shared" si="2"/>
        <v/>
      </c>
      <c r="AM19" s="166" t="str">
        <f t="shared" si="3"/>
        <v/>
      </c>
      <c r="AN19" s="146" t="str">
        <f t="shared" si="4"/>
        <v/>
      </c>
      <c r="AO19" s="167" t="str">
        <f t="shared" si="5"/>
        <v/>
      </c>
    </row>
    <row r="20" spans="1:41" ht="23.1" customHeight="1" thickTop="1">
      <c r="A20" s="745" t="s">
        <v>23</v>
      </c>
      <c r="B20" s="746"/>
      <c r="C20" s="58">
        <f>SUM(E20,G20,I20,K20,M20,O20,R20)</f>
        <v>11225</v>
      </c>
      <c r="D20" s="116" t="str">
        <f>IF(SUM(F20,H20,J20,L20,N20,Q20,S20)=0," ",SUM(F20,H20,J20,L20,N20,Q20,S20))</f>
        <v xml:space="preserve"> </v>
      </c>
      <c r="E20" s="58">
        <f>⑥西伯・日野郡!C18</f>
        <v>8970</v>
      </c>
      <c r="F20" s="116" t="str">
        <f>IF(⑥西伯・日野郡!D18=0," ",⑥西伯・日野郡!D18)</f>
        <v xml:space="preserve"> </v>
      </c>
      <c r="G20" s="58">
        <f>⑥西伯・日野郡!F18</f>
        <v>380</v>
      </c>
      <c r="H20" s="116" t="str">
        <f>IF(⑥西伯・日野郡!G18=0," ",⑥西伯・日野郡!G18)</f>
        <v xml:space="preserve"> </v>
      </c>
      <c r="I20" s="58">
        <f>⑥西伯・日野郡!I18</f>
        <v>890</v>
      </c>
      <c r="J20" s="116" t="str">
        <f>IF(⑥西伯・日野郡!J18=0," ",⑥西伯・日野郡!J18)</f>
        <v xml:space="preserve"> </v>
      </c>
      <c r="K20" s="58">
        <f>⑥西伯・日野郡!L18</f>
        <v>230</v>
      </c>
      <c r="L20" s="116" t="str">
        <f>IF(⑥西伯・日野郡!M18=0," ",⑥西伯・日野郡!M18)</f>
        <v xml:space="preserve"> </v>
      </c>
      <c r="M20" s="58">
        <f>⑥西伯・日野郡!O18</f>
        <v>95</v>
      </c>
      <c r="N20" s="116" t="str">
        <f>IF(⑥西伯・日野郡!P18=0," ",⑥西伯・日野郡!P18)</f>
        <v xml:space="preserve"> </v>
      </c>
      <c r="O20" s="700">
        <f>⑥西伯・日野郡!R18</f>
        <v>420</v>
      </c>
      <c r="P20" s="765"/>
      <c r="Q20" s="116" t="str">
        <f>IF(⑥西伯・日野郡!S18=0," ",⑥西伯・日野郡!S18)</f>
        <v xml:space="preserve"> </v>
      </c>
      <c r="R20" s="58">
        <f>⑥西伯・日野郡!U18</f>
        <v>240</v>
      </c>
      <c r="S20" s="119" t="str">
        <f>IF(⑥西伯・日野郡!V18=0," ",⑥西伯・日野郡!V18)</f>
        <v xml:space="preserve"> </v>
      </c>
      <c r="U20" s="745" t="s">
        <v>23</v>
      </c>
      <c r="V20" s="746"/>
      <c r="W20" s="120" t="str">
        <f>IF(SUM(F20,H20,J20,L20,N20,Q20,S20)=0,"0",SUM(F20,H20,J20,L20,N20,Q20,S20))</f>
        <v>0</v>
      </c>
      <c r="Y20" s="156" t="s">
        <v>116</v>
      </c>
      <c r="Z20" s="157" t="s">
        <v>285</v>
      </c>
      <c r="AA20" s="124">
        <f>ROUNDDOWN((④中部!B16+④中部!B29)*0.2,0)</f>
        <v>0</v>
      </c>
      <c r="AB20" s="160" t="s">
        <v>289</v>
      </c>
      <c r="AD20" s="88"/>
      <c r="AE20" s="88"/>
      <c r="AF20" s="88"/>
      <c r="AG20" s="88"/>
      <c r="AH20" s="88"/>
      <c r="AI20" s="88"/>
      <c r="AJ20" s="88"/>
      <c r="AL20" s="88"/>
      <c r="AM20" s="88"/>
      <c r="AN20" s="88"/>
      <c r="AO20" s="88"/>
    </row>
    <row r="21" spans="1:41" ht="23.1" customHeight="1">
      <c r="A21" s="745" t="s">
        <v>24</v>
      </c>
      <c r="B21" s="746"/>
      <c r="C21" s="58">
        <f>SUM(E21,G21,I21,K21,M21,O21,R21)</f>
        <v>4170</v>
      </c>
      <c r="D21" s="116" t="str">
        <f>IF(SUM(F21,H21,J21,L21,N21,Q21,S21)=0," ",SUM(F21,H21,J21,L21,N21,Q21,S21))</f>
        <v xml:space="preserve"> </v>
      </c>
      <c r="E21" s="58">
        <f>⑥西伯・日野郡!C31</f>
        <v>2950</v>
      </c>
      <c r="F21" s="116" t="str">
        <f>IF(⑥西伯・日野郡!D31=0," ",⑥西伯・日野郡!D31)</f>
        <v xml:space="preserve"> </v>
      </c>
      <c r="G21" s="58">
        <f>⑥西伯・日野郡!F31</f>
        <v>155</v>
      </c>
      <c r="H21" s="116" t="str">
        <f>IF(⑥西伯・日野郡!G31=0," ",⑥西伯・日野郡!G31)</f>
        <v xml:space="preserve"> </v>
      </c>
      <c r="I21" s="58">
        <f>⑥西伯・日野郡!I31</f>
        <v>610</v>
      </c>
      <c r="J21" s="116" t="str">
        <f>IF(⑥西伯・日野郡!J31=0," ",⑥西伯・日野郡!J31)</f>
        <v xml:space="preserve"> </v>
      </c>
      <c r="K21" s="58">
        <f>⑥西伯・日野郡!L31</f>
        <v>60</v>
      </c>
      <c r="L21" s="116" t="str">
        <f>IF(⑥西伯・日野郡!M31=0," ",⑥西伯・日野郡!M31)</f>
        <v xml:space="preserve"> </v>
      </c>
      <c r="M21" s="58">
        <f>⑥西伯・日野郡!O31</f>
        <v>45</v>
      </c>
      <c r="N21" s="116" t="str">
        <f>IF(⑥西伯・日野郡!P31=0," ",⑥西伯・日野郡!P31)</f>
        <v xml:space="preserve"> </v>
      </c>
      <c r="O21" s="700">
        <f>⑥西伯・日野郡!R31</f>
        <v>295</v>
      </c>
      <c r="P21" s="765"/>
      <c r="Q21" s="116" t="str">
        <f>IF(⑥西伯・日野郡!S31=0," ",⑥西伯・日野郡!S31)</f>
        <v xml:space="preserve"> </v>
      </c>
      <c r="R21" s="58">
        <f>⑥西伯・日野郡!U31</f>
        <v>55</v>
      </c>
      <c r="S21" s="119" t="str">
        <f>IF(⑥西伯・日野郡!V31=0," ",⑥西伯・日野郡!V31)</f>
        <v xml:space="preserve"> </v>
      </c>
      <c r="U21" s="745" t="s">
        <v>24</v>
      </c>
      <c r="V21" s="746"/>
      <c r="W21" s="120" t="str">
        <f>IF(SUM(F21,H21,J21,L21,N21,Q21,S21)=0,"0",SUM(F21,H21,J21,L21,N21,Q21,S21))</f>
        <v>0</v>
      </c>
      <c r="Y21" s="159"/>
      <c r="Z21" s="157" t="s">
        <v>42</v>
      </c>
      <c r="AA21" s="124">
        <f>IF(COUNTIF(④中部!D31:'④中部'!D33,"&gt;0")=0,0,IF(COUNTIF(④中部!D31:'④中部'!D33,"&gt;0")=1,1000,IF(COUNTIF(④中部!D31:'④中部'!D33,"&gt;0")=2,1200,IF(COUNTIF(④中部!D31:'④中部'!D33,"&gt;0")=3,1500,1500))))</f>
        <v>0</v>
      </c>
      <c r="AB21" s="160" t="s">
        <v>290</v>
      </c>
    </row>
    <row r="22" spans="1:41" ht="23.1" customHeight="1" thickBot="1">
      <c r="A22" s="739" t="s">
        <v>25</v>
      </c>
      <c r="B22" s="740"/>
      <c r="C22" s="48">
        <f>SUM(E22,G22,I22,K22,M22,O22,R22)</f>
        <v>12940</v>
      </c>
      <c r="D22" s="134" t="str">
        <f>IF(SUM(F22,H22,J22,L22,N22,Q22,S22)=0," ",SUM(F22,H22,J22,L22,N22,Q22,S22))</f>
        <v xml:space="preserve"> </v>
      </c>
      <c r="E22" s="135">
        <f>⑦境・島根!C15</f>
        <v>8700</v>
      </c>
      <c r="F22" s="134" t="str">
        <f>IF(⑦境・島根!D15=0," ",⑦境・島根!D15)</f>
        <v xml:space="preserve"> </v>
      </c>
      <c r="G22" s="135">
        <f>⑦境・島根!F15</f>
        <v>350</v>
      </c>
      <c r="H22" s="134" t="str">
        <f>IF(⑦境・島根!G15=0," ",⑦境・島根!G15)</f>
        <v xml:space="preserve"> </v>
      </c>
      <c r="I22" s="135">
        <f>⑦境・島根!I15</f>
        <v>1100</v>
      </c>
      <c r="J22" s="134" t="str">
        <f>IF(⑦境・島根!J15=0," ",⑦境・島根!J15)</f>
        <v xml:space="preserve"> </v>
      </c>
      <c r="K22" s="135">
        <f>⑦境・島根!L15</f>
        <v>330</v>
      </c>
      <c r="L22" s="134" t="str">
        <f>IF(⑦境・島根!M15=0," ",⑦境・島根!M15)</f>
        <v xml:space="preserve"> </v>
      </c>
      <c r="M22" s="135">
        <f>⑦境・島根!O15</f>
        <v>120</v>
      </c>
      <c r="N22" s="134" t="str">
        <f>IF(⑦境・島根!P15=0," ",⑦境・島根!P15)</f>
        <v xml:space="preserve"> </v>
      </c>
      <c r="O22" s="761">
        <f>⑦境・島根!R15</f>
        <v>2140</v>
      </c>
      <c r="P22" s="762"/>
      <c r="Q22" s="134" t="str">
        <f>IF(⑦境・島根!S15=0," ",⑦境・島根!S15)</f>
        <v xml:space="preserve"> </v>
      </c>
      <c r="R22" s="135">
        <f>⑦境・島根!U15</f>
        <v>200</v>
      </c>
      <c r="S22" s="136" t="str">
        <f>IF(⑦境・島根!V15=0," ",⑦境・島根!V15)</f>
        <v xml:space="preserve"> </v>
      </c>
      <c r="U22" s="768" t="s">
        <v>25</v>
      </c>
      <c r="V22" s="769"/>
      <c r="W22" s="137" t="str">
        <f>IF(SUM(F22,H22,J22,L22,N22,Q22,S22)=0,"0",SUM(F22,H22,J22,L22,N22,Q22,S22))</f>
        <v>0</v>
      </c>
      <c r="Y22" s="151" t="s">
        <v>299</v>
      </c>
      <c r="Z22" s="152"/>
      <c r="AA22" s="124">
        <v>0</v>
      </c>
      <c r="AB22" s="153" t="s">
        <v>298</v>
      </c>
    </row>
    <row r="23" spans="1:41" ht="23.1" customHeight="1" thickBot="1">
      <c r="A23" s="741" t="s">
        <v>26</v>
      </c>
      <c r="B23" s="742"/>
      <c r="C23" s="138">
        <f>SUM(C19:C22)</f>
        <v>83275</v>
      </c>
      <c r="D23" s="139" t="str">
        <f>IF(SUM(D19:D22)=0," ",SUM(D19:D22))</f>
        <v xml:space="preserve"> </v>
      </c>
      <c r="E23" s="138">
        <f t="shared" ref="E23:M23" si="9">SUM(E19:E22)</f>
        <v>56730</v>
      </c>
      <c r="F23" s="139" t="str">
        <f>IF(SUM(F19:F22)=0," ",SUM(F19:F22))</f>
        <v xml:space="preserve"> </v>
      </c>
      <c r="G23" s="138">
        <f t="shared" si="9"/>
        <v>4435</v>
      </c>
      <c r="H23" s="139" t="str">
        <f>IF(SUM(H19:H22)=0," ",SUM(H19:H22))</f>
        <v xml:space="preserve"> </v>
      </c>
      <c r="I23" s="138">
        <f t="shared" si="9"/>
        <v>9830</v>
      </c>
      <c r="J23" s="139" t="str">
        <f>IF(SUM(J19:J22)=0," ",SUM(J19:J22))</f>
        <v xml:space="preserve"> </v>
      </c>
      <c r="K23" s="138">
        <f t="shared" si="9"/>
        <v>1520</v>
      </c>
      <c r="L23" s="139" t="str">
        <f>IF(SUM(L19:L22)=0," ",SUM(L19:L22))</f>
        <v xml:space="preserve"> </v>
      </c>
      <c r="M23" s="138">
        <f t="shared" si="9"/>
        <v>680</v>
      </c>
      <c r="N23" s="139" t="str">
        <f>IF(SUM(N19:N22)=0," ",SUM(N19:N22))</f>
        <v xml:space="preserve"> </v>
      </c>
      <c r="O23" s="763">
        <f>SUM(O19:P22)</f>
        <v>7965</v>
      </c>
      <c r="P23" s="764"/>
      <c r="Q23" s="139" t="str">
        <f>IF(SUM(Q19:Q22)=0," ",SUM(Q19:Q22))</f>
        <v xml:space="preserve"> </v>
      </c>
      <c r="R23" s="138">
        <f>SUM(R19:R22)</f>
        <v>2115</v>
      </c>
      <c r="S23" s="141" t="str">
        <f>IF(SUM(S19:S22)=0," ",SUM(S19:S22))</f>
        <v xml:space="preserve"> </v>
      </c>
      <c r="U23" s="741" t="s">
        <v>26</v>
      </c>
      <c r="V23" s="742"/>
      <c r="W23" s="142" t="str">
        <f>IF(SUM(D19:D22)=0,"0",SUM(D19:D22))</f>
        <v>0</v>
      </c>
      <c r="Y23" s="168" t="s">
        <v>295</v>
      </c>
      <c r="Z23" s="169"/>
      <c r="AA23" s="170">
        <f>ROUNDDOWN(W23*0.3,0)</f>
        <v>0</v>
      </c>
      <c r="AB23" s="153" t="s">
        <v>300</v>
      </c>
    </row>
    <row r="24" spans="1:41" ht="23.1" customHeight="1" thickBot="1">
      <c r="A24" s="741" t="s">
        <v>27</v>
      </c>
      <c r="B24" s="742"/>
      <c r="C24" s="201">
        <f>SUM(C15,C18,C23)</f>
        <v>198655</v>
      </c>
      <c r="D24" s="139" t="str">
        <f>IF(SUM(D15,D18,D23)=0, " ",SUM(D15,D18,D23))</f>
        <v xml:space="preserve"> </v>
      </c>
      <c r="E24" s="201">
        <f>SUM(E15,E18,E23)</f>
        <v>144720</v>
      </c>
      <c r="F24" s="139" t="str">
        <f>IF(SUM(F15,F18,F23)=0," ",SUM(F15,F18,F23))</f>
        <v xml:space="preserve"> </v>
      </c>
      <c r="G24" s="138">
        <f>SUM(G15,G18,G23)</f>
        <v>12110</v>
      </c>
      <c r="H24" s="139" t="str">
        <f>IF(SUM(H15,H18,H23)=0," ",SUM(H15,H18,H23))</f>
        <v xml:space="preserve"> </v>
      </c>
      <c r="I24" s="138">
        <f>I15+I18+I23</f>
        <v>20670</v>
      </c>
      <c r="J24" s="139" t="str">
        <f>IF(SUM(J15,J18,J23)=0," ",SUM(J15,J18,J23))</f>
        <v xml:space="preserve"> </v>
      </c>
      <c r="K24" s="138">
        <f>K15+K18+K23</f>
        <v>4000</v>
      </c>
      <c r="L24" s="139" t="str">
        <f>IF(SUM(L15,L18,L23)=0," ",SUM(L15,L18,L23))</f>
        <v xml:space="preserve"> </v>
      </c>
      <c r="M24" s="138">
        <f>SUM(M15,M18,M23)</f>
        <v>1715</v>
      </c>
      <c r="N24" s="139" t="str">
        <f>IF(SUM(N15,N18,N23)=0, " ",SUM(N15,N18,N23))</f>
        <v xml:space="preserve"> </v>
      </c>
      <c r="O24" s="763">
        <f>SUM(O15,O18,O23)</f>
        <v>10055</v>
      </c>
      <c r="P24" s="764"/>
      <c r="Q24" s="139" t="str">
        <f>IF(SUM(Q15,Q18,Q23)=0, " ",SUM(Q15,Q18,Q23))</f>
        <v xml:space="preserve"> </v>
      </c>
      <c r="R24" s="138">
        <f>R15+R18+R23</f>
        <v>5385</v>
      </c>
      <c r="S24" s="141" t="str">
        <f>IF(SUM(S15,S18,S23)=0, " ",SUM(S15,S18,S23))</f>
        <v xml:space="preserve"> </v>
      </c>
      <c r="U24" s="741" t="s">
        <v>27</v>
      </c>
      <c r="V24" s="742"/>
      <c r="W24" s="142" t="str">
        <f>IF(SUM(D15,D18,D23)=0, "0",SUM(D15,D18,D23))</f>
        <v>0</v>
      </c>
      <c r="Y24" s="171" t="s">
        <v>296</v>
      </c>
      <c r="Z24" s="172"/>
      <c r="AA24" s="173"/>
      <c r="AB24" s="160"/>
    </row>
    <row r="25" spans="1:41" ht="15" thickBot="1">
      <c r="A25" s="32"/>
      <c r="B25" s="32"/>
      <c r="C25" s="174"/>
      <c r="D25" s="139"/>
      <c r="E25" s="174"/>
      <c r="F25" s="139"/>
      <c r="G25" s="174"/>
      <c r="H25" s="139"/>
      <c r="I25" s="174"/>
      <c r="J25" s="139"/>
      <c r="K25" s="174"/>
      <c r="L25" s="139"/>
      <c r="M25" s="174"/>
      <c r="N25" s="139"/>
      <c r="O25" s="174"/>
      <c r="P25" s="174"/>
      <c r="Q25" s="139"/>
      <c r="R25" s="174"/>
      <c r="S25" s="139"/>
      <c r="U25" s="32"/>
      <c r="V25" s="32"/>
      <c r="W25" s="142"/>
      <c r="Y25" s="175" t="s">
        <v>132</v>
      </c>
      <c r="Z25" s="176"/>
      <c r="AA25" s="177"/>
      <c r="AB25" s="160"/>
    </row>
    <row r="26" spans="1:41" ht="23.1" customHeight="1" thickBot="1">
      <c r="A26" s="743" t="s">
        <v>40</v>
      </c>
      <c r="B26" s="744"/>
      <c r="C26" s="154">
        <f>SUM(E26,G26,I26,K26,M26,P26)</f>
        <v>5150</v>
      </c>
      <c r="D26" s="178" t="str">
        <f>IF(SUM(F26,H26,J26,L26,N26,Q26,S26)=0," ",SUM(F26,H26,J26,L26,N26,Q26,S26))</f>
        <v xml:space="preserve"> </v>
      </c>
      <c r="E26" s="154">
        <f>SUM(⑧兵庫!C8:C9)</f>
        <v>3650</v>
      </c>
      <c r="F26" s="178" t="str">
        <f>IF(SUM(⑧兵庫!D8:D9)=0," ",SUM(⑧兵庫!D8:D9))</f>
        <v xml:space="preserve"> </v>
      </c>
      <c r="G26" s="154">
        <f>SUM(⑧兵庫!F8:F9)</f>
        <v>0</v>
      </c>
      <c r="H26" s="178" t="str">
        <f>IF(SUM(⑧兵庫!G8:G9)=0," ",SUM(⑧兵庫!G8:G9))</f>
        <v xml:space="preserve"> </v>
      </c>
      <c r="I26" s="154">
        <f>SUM(⑧兵庫!I8:I9)</f>
        <v>650</v>
      </c>
      <c r="J26" s="178" t="str">
        <f>IF(SUM(⑧兵庫!J8:J9)=0," ",SUM(⑧兵庫!J8:J9))</f>
        <v xml:space="preserve"> </v>
      </c>
      <c r="K26" s="154">
        <f>SUM(⑧兵庫!L8:L9)</f>
        <v>0</v>
      </c>
      <c r="L26" s="178" t="str">
        <f>IF(SUM(⑧兵庫!M8:M9)=0," ",SUM(⑧兵庫!M8:M9))</f>
        <v xml:space="preserve"> </v>
      </c>
      <c r="M26" s="154">
        <f>SUM(⑧兵庫!O8:O9)</f>
        <v>0</v>
      </c>
      <c r="N26" s="178" t="str">
        <f>IF(SUM(⑧兵庫!P8:P9)=0," ",SUM(⑧兵庫!P8:P9))</f>
        <v xml:space="preserve"> </v>
      </c>
      <c r="O26" s="179" t="s">
        <v>238</v>
      </c>
      <c r="P26" s="180">
        <f>SUM(⑧兵庫!R8:R9)</f>
        <v>850</v>
      </c>
      <c r="Q26" s="178" t="str">
        <f>IF(SUM(⑧兵庫!S8:S9)=0," ",SUM(⑧兵庫!S8:S9))</f>
        <v xml:space="preserve"> </v>
      </c>
      <c r="R26" s="154"/>
      <c r="S26" s="181"/>
      <c r="U26" s="743" t="s">
        <v>40</v>
      </c>
      <c r="V26" s="744"/>
      <c r="W26" s="182" t="str">
        <f>IF(SUM(F26,H26,J26,L26,N26,Q26,S26)=0,"0",SUM(F26,H26,J26,L26,N26,Q26,S26))</f>
        <v>0</v>
      </c>
      <c r="Y26" s="151" t="s">
        <v>41</v>
      </c>
      <c r="Z26" s="152"/>
      <c r="AA26" s="124">
        <f>IF(COUNT(⑦境・島根!B31)=1,ROUNDDOWN(⑦境・島根!B31*0.25,0),0)</f>
        <v>0</v>
      </c>
      <c r="AB26" s="160" t="s">
        <v>291</v>
      </c>
    </row>
    <row r="27" spans="1:41" ht="23.1" customHeight="1" thickBot="1">
      <c r="A27" s="751" t="s">
        <v>35</v>
      </c>
      <c r="B27" s="130" t="s">
        <v>36</v>
      </c>
      <c r="C27" s="58">
        <f>SUM(E27,G27,I27,K27,M27,P27)</f>
        <v>750</v>
      </c>
      <c r="D27" s="116" t="str">
        <f>IF(SUM(F27,H27,J27,L27,N27,Q27,S27)=0," ",SUM(F27,H27,J27,L27,N27,Q27,S27))</f>
        <v xml:space="preserve"> </v>
      </c>
      <c r="E27" s="48">
        <f>⑧兵庫!C13</f>
        <v>450</v>
      </c>
      <c r="F27" s="116" t="str">
        <f>IF(⑧兵庫!D13=0," ",⑧兵庫!D13)</f>
        <v xml:space="preserve"> </v>
      </c>
      <c r="G27" s="48">
        <f>⑧兵庫!F13</f>
        <v>0</v>
      </c>
      <c r="H27" s="116" t="str">
        <f>IF(⑧兵庫!G13=0," ",⑧兵庫!G13)</f>
        <v xml:space="preserve"> </v>
      </c>
      <c r="I27" s="48">
        <f>⑧兵庫!I13</f>
        <v>100</v>
      </c>
      <c r="J27" s="116" t="str">
        <f>IF(⑧兵庫!J13=0," ",⑧兵庫!J13)</f>
        <v xml:space="preserve"> </v>
      </c>
      <c r="K27" s="48">
        <f>⑧兵庫!L13</f>
        <v>0</v>
      </c>
      <c r="L27" s="116" t="str">
        <f>IF(⑧兵庫!M13=0," ",⑧兵庫!M13)</f>
        <v xml:space="preserve"> </v>
      </c>
      <c r="M27" s="48">
        <f>⑧兵庫!O13</f>
        <v>0</v>
      </c>
      <c r="N27" s="116" t="str">
        <f>IF(⑧兵庫!P13=0," ",⑧兵庫!P13)</f>
        <v xml:space="preserve"> </v>
      </c>
      <c r="O27" s="179" t="s">
        <v>238</v>
      </c>
      <c r="P27" s="50">
        <f>⑧兵庫!R13</f>
        <v>200</v>
      </c>
      <c r="Q27" s="116" t="str">
        <f>IF(⑧兵庫!S13=0," ",⑧兵庫!S13)</f>
        <v xml:space="preserve"> </v>
      </c>
      <c r="R27" s="48"/>
      <c r="S27" s="119" t="str">
        <f>IF(SUM(⑧兵庫!V13)=0," ",SUM(⑧兵庫!V13))</f>
        <v xml:space="preserve"> </v>
      </c>
      <c r="U27" s="751" t="s">
        <v>35</v>
      </c>
      <c r="V27" s="130" t="s">
        <v>36</v>
      </c>
      <c r="W27" s="120" t="str">
        <f>IF(SUM(F27,H27,J27,L27,N27,Q27,S27)=0,"0",SUM(F27,H27,J27,L27,N27,Q27,S27))</f>
        <v>0</v>
      </c>
      <c r="Y27" s="183" t="s">
        <v>293</v>
      </c>
      <c r="Z27" s="184"/>
      <c r="AA27" s="147">
        <f>IF(⑧兵庫!B16&gt;0,6000,0)</f>
        <v>0</v>
      </c>
      <c r="AB27" s="153" t="s">
        <v>292</v>
      </c>
    </row>
    <row r="28" spans="1:41" ht="23.1" customHeight="1">
      <c r="A28" s="752"/>
      <c r="B28" s="130" t="s">
        <v>37</v>
      </c>
      <c r="C28" s="58">
        <f>SUM(E28,G28,I28,K28,M28,P28)</f>
        <v>1900</v>
      </c>
      <c r="D28" s="116" t="str">
        <f>IF(SUM(F28,H28,J28,L28,N28,Q28,S28)=0," ",SUM(F28,H28,J28,L28,N28,Q28,S28))</f>
        <v xml:space="preserve"> </v>
      </c>
      <c r="E28" s="48">
        <f>⑧兵庫!C10</f>
        <v>600</v>
      </c>
      <c r="F28" s="116" t="str">
        <f>IF(⑧兵庫!D10=0," ",⑧兵庫!D10)</f>
        <v xml:space="preserve"> </v>
      </c>
      <c r="G28" s="48">
        <f>⑧兵庫!F10</f>
        <v>0</v>
      </c>
      <c r="H28" s="116" t="str">
        <f>IF(⑧兵庫!G10=0," ",⑧兵庫!G10)</f>
        <v xml:space="preserve"> </v>
      </c>
      <c r="I28" s="48">
        <f>SUM(⑧兵庫!I10:I12)</f>
        <v>500</v>
      </c>
      <c r="J28" s="116" t="str">
        <f>IF(SUM(⑧兵庫!J10:J12)=0," ",SUM(⑧兵庫!J10:J12))</f>
        <v xml:space="preserve"> </v>
      </c>
      <c r="K28" s="48">
        <f>⑧兵庫!L10</f>
        <v>0</v>
      </c>
      <c r="L28" s="116" t="str">
        <f>IF(⑧兵庫!M10=0," ",⑧兵庫!M10)</f>
        <v xml:space="preserve"> </v>
      </c>
      <c r="M28" s="48">
        <f>⑧兵庫!O10</f>
        <v>0</v>
      </c>
      <c r="N28" s="116" t="str">
        <f>IF(⑧兵庫!P10=0," ",⑧兵庫!P10)</f>
        <v xml:space="preserve"> </v>
      </c>
      <c r="O28" s="179" t="s">
        <v>238</v>
      </c>
      <c r="P28" s="50">
        <f>SUM(⑧兵庫!R10:R12)</f>
        <v>800</v>
      </c>
      <c r="Q28" s="116" t="str">
        <f>IF(SUM(⑧兵庫!S10:S12)=0," ",SUM(⑧兵庫!S10:S12))</f>
        <v xml:space="preserve"> </v>
      </c>
      <c r="R28" s="48"/>
      <c r="S28" s="119"/>
      <c r="U28" s="752"/>
      <c r="V28" s="130" t="s">
        <v>37</v>
      </c>
      <c r="W28" s="120" t="str">
        <f>IF(SUM(F28,H28,J28,L28,N28,Q28,S28)=0,"0",SUM(F28,H28,J28,L28,N28,Q28,S28))</f>
        <v>0</v>
      </c>
    </row>
    <row r="29" spans="1:41" ht="23.1" customHeight="1" thickBot="1">
      <c r="A29" s="752"/>
      <c r="B29" s="185" t="s">
        <v>38</v>
      </c>
      <c r="C29" s="135">
        <f>SUM(E29,G29,I29,K29,M29,P29)</f>
        <v>2900</v>
      </c>
      <c r="D29" s="134" t="str">
        <f>IF(SUM(F29,H29,J29,L29,N29,Q29,S29)=0," ",SUM(F29,H29,J29,L29,N29,Q29,S29))</f>
        <v xml:space="preserve"> </v>
      </c>
      <c r="E29" s="135">
        <f>⑧兵庫!C14</f>
        <v>1150</v>
      </c>
      <c r="F29" s="134" t="str">
        <f>IF(⑧兵庫!D14=0," ",⑧兵庫!D14)</f>
        <v xml:space="preserve"> </v>
      </c>
      <c r="G29" s="135">
        <f>⑧兵庫!F14</f>
        <v>250</v>
      </c>
      <c r="H29" s="134" t="str">
        <f>IF(⑧兵庫!G14=0," ",⑧兵庫!G14)</f>
        <v xml:space="preserve"> </v>
      </c>
      <c r="I29" s="135">
        <f>⑧兵庫!I14</f>
        <v>400</v>
      </c>
      <c r="J29" s="134" t="str">
        <f>IF(⑧兵庫!J14=0," ",⑧兵庫!J14)</f>
        <v xml:space="preserve"> </v>
      </c>
      <c r="K29" s="135">
        <f>⑧兵庫!L14</f>
        <v>250</v>
      </c>
      <c r="L29" s="134" t="str">
        <f>IF(⑧兵庫!M14=0," ",⑧兵庫!M14)</f>
        <v xml:space="preserve"> </v>
      </c>
      <c r="M29" s="135">
        <f>⑧兵庫!O14</f>
        <v>0</v>
      </c>
      <c r="N29" s="134" t="str">
        <f>IF(⑧兵庫!P14=0," ",⑧兵庫!P14)</f>
        <v xml:space="preserve"> </v>
      </c>
      <c r="O29" s="186" t="s">
        <v>43</v>
      </c>
      <c r="P29" s="74">
        <f>⑧兵庫!R14</f>
        <v>850</v>
      </c>
      <c r="Q29" s="134" t="str">
        <f>IF(⑧兵庫!S14=0," ",⑧兵庫!S14)</f>
        <v xml:space="preserve"> </v>
      </c>
      <c r="R29" s="135"/>
      <c r="S29" s="136" t="str">
        <f>IF(SUM(⑧兵庫!V14)=0," ",SUM(⑧兵庫!V14))</f>
        <v xml:space="preserve"> </v>
      </c>
      <c r="U29" s="753"/>
      <c r="V29" s="185" t="s">
        <v>38</v>
      </c>
      <c r="W29" s="137" t="str">
        <f>IF(SUM(F29,H29,J29,L29,N29,Q29,S29)=0,"0",SUM(F29,H29,J29,L29,N29,Q29,S29))</f>
        <v>0</v>
      </c>
    </row>
    <row r="30" spans="1:41" ht="23.1" customHeight="1" thickBot="1">
      <c r="A30" s="754" t="s">
        <v>39</v>
      </c>
      <c r="B30" s="755"/>
      <c r="C30" s="71">
        <f t="shared" ref="C30:M30" si="10">SUM(C26:C29)</f>
        <v>10700</v>
      </c>
      <c r="D30" s="139" t="str">
        <f>IF(SUM(D26:D29)=0," ",SUM(D26:D29))</f>
        <v xml:space="preserve"> </v>
      </c>
      <c r="E30" s="138">
        <f t="shared" si="10"/>
        <v>5850</v>
      </c>
      <c r="F30" s="139" t="str">
        <f>IF(SUM(F26:F29)=0," ",SUM(F26:F29))</f>
        <v xml:space="preserve"> </v>
      </c>
      <c r="G30" s="138">
        <f t="shared" si="10"/>
        <v>250</v>
      </c>
      <c r="H30" s="139" t="str">
        <f>IF(SUM(H26:H29)=0," ",SUM(H26:H29))</f>
        <v xml:space="preserve"> </v>
      </c>
      <c r="I30" s="138">
        <f t="shared" si="10"/>
        <v>1650</v>
      </c>
      <c r="J30" s="139" t="str">
        <f>IF(SUM(J26:J29)=0," ",SUM(J26:J29))</f>
        <v xml:space="preserve"> </v>
      </c>
      <c r="K30" s="138">
        <f t="shared" si="10"/>
        <v>250</v>
      </c>
      <c r="L30" s="139" t="str">
        <f>IF(SUM(L26:L29)=0," ",SUM(L26:L29))</f>
        <v xml:space="preserve"> </v>
      </c>
      <c r="M30" s="138">
        <f t="shared" si="10"/>
        <v>0</v>
      </c>
      <c r="N30" s="139" t="str">
        <f>IF(SUM(N26:N29)=0," ",SUM(N26:N29))</f>
        <v xml:space="preserve"> </v>
      </c>
      <c r="O30" s="187" t="s">
        <v>43</v>
      </c>
      <c r="P30" s="202">
        <f>SUM(P26:P29)</f>
        <v>2700</v>
      </c>
      <c r="Q30" s="139" t="str">
        <f>IF(SUM(Q26:Q29)=0," ",SUM(Q26:Q29))</f>
        <v xml:space="preserve"> </v>
      </c>
      <c r="R30" s="138"/>
      <c r="S30" s="141"/>
      <c r="U30" s="754" t="s">
        <v>39</v>
      </c>
      <c r="V30" s="755"/>
      <c r="W30" s="142" t="str">
        <f>IF(SUM(D26:D29)=0,"0",SUM(D26:D29))</f>
        <v>0</v>
      </c>
    </row>
    <row r="31" spans="1:41" ht="15" thickBot="1">
      <c r="A31" s="32"/>
      <c r="B31" s="32"/>
      <c r="C31" s="32"/>
      <c r="D31" s="188"/>
      <c r="E31" s="174"/>
      <c r="F31" s="188"/>
      <c r="G31" s="174"/>
      <c r="H31" s="188"/>
      <c r="I31" s="174"/>
      <c r="J31" s="188"/>
      <c r="K31" s="174"/>
      <c r="L31" s="188"/>
      <c r="M31" s="174"/>
      <c r="N31" s="188"/>
      <c r="O31" s="174"/>
      <c r="P31" s="174"/>
      <c r="Q31" s="188"/>
      <c r="R31" s="174"/>
      <c r="S31" s="188"/>
      <c r="U31" s="32"/>
      <c r="V31" s="32"/>
      <c r="W31" s="188"/>
    </row>
    <row r="32" spans="1:41" ht="9.9499999999999993" customHeight="1">
      <c r="A32" s="747" t="s">
        <v>41</v>
      </c>
      <c r="B32" s="748"/>
      <c r="C32" s="766">
        <f>⑦境・島根!C31</f>
        <v>760</v>
      </c>
      <c r="D32" s="774" t="str">
        <f>IF(SUM(F33)=0," ",SUM(F33))</f>
        <v xml:space="preserve"> </v>
      </c>
      <c r="E32" s="189" t="s">
        <v>44</v>
      </c>
      <c r="F32" s="190"/>
      <c r="G32" s="191"/>
      <c r="H32" s="192"/>
      <c r="I32" s="191"/>
      <c r="J32" s="192"/>
      <c r="K32" s="191"/>
      <c r="L32" s="192"/>
      <c r="M32" s="191"/>
      <c r="N32" s="192"/>
      <c r="O32" s="193"/>
      <c r="P32" s="34"/>
      <c r="Q32" s="192"/>
      <c r="R32" s="191"/>
      <c r="S32" s="194"/>
      <c r="U32" s="747" t="s">
        <v>41</v>
      </c>
      <c r="V32" s="748"/>
      <c r="W32" s="770" t="str">
        <f>IF(SUM(F33)=0,"0",SUM(F33))</f>
        <v>0</v>
      </c>
    </row>
    <row r="33" spans="1:23" ht="15" customHeight="1" thickBot="1">
      <c r="A33" s="749"/>
      <c r="B33" s="750"/>
      <c r="C33" s="767"/>
      <c r="D33" s="775"/>
      <c r="E33" s="71">
        <f>⑦境・島根!C31</f>
        <v>760</v>
      </c>
      <c r="F33" s="83" t="str">
        <f>IF(⑦境・島根!D31=0," ",⑦境・島根!D31)</f>
        <v xml:space="preserve"> </v>
      </c>
      <c r="G33" s="71"/>
      <c r="H33" s="83"/>
      <c r="I33" s="71"/>
      <c r="J33" s="83"/>
      <c r="K33" s="71"/>
      <c r="L33" s="83"/>
      <c r="M33" s="71"/>
      <c r="N33" s="83"/>
      <c r="O33" s="758"/>
      <c r="P33" s="758"/>
      <c r="Q33" s="83"/>
      <c r="R33" s="71"/>
      <c r="S33" s="84"/>
      <c r="U33" s="749"/>
      <c r="V33" s="750"/>
      <c r="W33" s="771"/>
    </row>
    <row r="34" spans="1:23" ht="23.1" customHeight="1" thickBot="1">
      <c r="A34" s="772" t="s">
        <v>42</v>
      </c>
      <c r="B34" s="773"/>
      <c r="C34" s="195">
        <f>④中部!C35</f>
        <v>1300</v>
      </c>
      <c r="D34" s="72" t="str">
        <f>IF(SUM(F34)=0," ",SUM(F34))</f>
        <v xml:space="preserve"> </v>
      </c>
      <c r="E34" s="71">
        <f>④中部!C35</f>
        <v>1300</v>
      </c>
      <c r="F34" s="83" t="str">
        <f>IF(SUM(④中部!D35,④中部・トップ折込センター!D35)=0," ",SUM(④中部!D35,④中部・トップ折込センター!D35))</f>
        <v xml:space="preserve"> </v>
      </c>
      <c r="G34" s="71"/>
      <c r="H34" s="83"/>
      <c r="I34" s="71"/>
      <c r="J34" s="83"/>
      <c r="K34" s="71"/>
      <c r="L34" s="83"/>
      <c r="M34" s="71"/>
      <c r="N34" s="83"/>
      <c r="O34" s="758"/>
      <c r="P34" s="758"/>
      <c r="Q34" s="83"/>
      <c r="R34" s="71"/>
      <c r="S34" s="84"/>
      <c r="U34" s="772" t="s">
        <v>42</v>
      </c>
      <c r="V34" s="773"/>
      <c r="W34" s="196" t="str">
        <f>IF(SUM(F34)=0,"0",SUM(F34))</f>
        <v>0</v>
      </c>
    </row>
    <row r="35" spans="1:23" ht="23.1" hidden="1" customHeight="1" thickBot="1">
      <c r="A35" s="772" t="s">
        <v>1157</v>
      </c>
      <c r="B35" s="773"/>
      <c r="C35" s="195">
        <f>⑨大阪!A92</f>
        <v>0</v>
      </c>
      <c r="D35" s="72" t="str">
        <f>IF(SUM(F35)=0," ",SUM(F35))</f>
        <v xml:space="preserve"> </v>
      </c>
      <c r="E35" s="71">
        <f>⑨大阪!C92</f>
        <v>0</v>
      </c>
      <c r="F35" s="83" t="str">
        <f>IF(⑨大阪!D92=0," ",⑨大阪!D92)</f>
        <v xml:space="preserve"> </v>
      </c>
      <c r="G35" s="71"/>
      <c r="H35" s="83"/>
      <c r="I35" s="71"/>
      <c r="J35" s="83"/>
      <c r="K35" s="71"/>
      <c r="L35" s="83"/>
      <c r="M35" s="71"/>
      <c r="N35" s="83"/>
      <c r="O35" s="758"/>
      <c r="P35" s="758"/>
      <c r="Q35" s="83"/>
      <c r="R35" s="71"/>
      <c r="S35" s="84"/>
      <c r="U35" s="772" t="s">
        <v>1157</v>
      </c>
      <c r="V35" s="773"/>
      <c r="W35" s="196" t="str">
        <f>IF(SUM(F35)=0,"0",SUM(F35))</f>
        <v>0</v>
      </c>
    </row>
    <row r="36" spans="1:23">
      <c r="A36" s="99"/>
      <c r="B36" s="99"/>
      <c r="C36" s="99"/>
      <c r="D36" s="99"/>
      <c r="E36" s="99"/>
      <c r="F36" s="99"/>
      <c r="G36" s="99"/>
      <c r="H36" s="99"/>
      <c r="I36" s="99"/>
      <c r="J36" s="99"/>
      <c r="K36" s="99"/>
      <c r="L36" s="99"/>
      <c r="M36" s="99"/>
      <c r="N36" s="99"/>
      <c r="O36" s="99"/>
      <c r="P36" s="99"/>
      <c r="Q36" s="99"/>
      <c r="R36" s="99"/>
      <c r="S36" s="99"/>
      <c r="U36" s="99"/>
      <c r="V36" s="99"/>
      <c r="W36" s="99"/>
    </row>
    <row r="37" spans="1:23" ht="24">
      <c r="A37" s="99"/>
      <c r="B37" s="197"/>
      <c r="C37" s="99"/>
      <c r="D37" s="99"/>
      <c r="E37" s="99"/>
      <c r="F37" s="99"/>
      <c r="G37" s="99"/>
      <c r="H37" s="99"/>
      <c r="I37" s="99"/>
      <c r="J37" s="99"/>
      <c r="K37" s="99"/>
      <c r="L37" s="99"/>
      <c r="M37" s="99"/>
      <c r="N37" s="99"/>
      <c r="O37" s="99"/>
      <c r="P37" s="99"/>
      <c r="Q37" s="99"/>
      <c r="R37" s="99"/>
      <c r="S37" s="99"/>
      <c r="U37" s="99"/>
      <c r="V37" s="197"/>
      <c r="W37" s="99"/>
    </row>
    <row r="38" spans="1:23" ht="24">
      <c r="A38" s="99"/>
      <c r="B38" s="197"/>
      <c r="C38" s="99"/>
      <c r="D38" s="198"/>
      <c r="E38" s="99"/>
      <c r="F38" s="99"/>
      <c r="G38" s="99"/>
      <c r="H38" s="99"/>
      <c r="I38" s="99"/>
      <c r="J38" s="99"/>
      <c r="K38" s="99"/>
      <c r="L38" s="99"/>
      <c r="M38" s="99"/>
      <c r="N38" s="99"/>
      <c r="O38" s="99"/>
      <c r="P38" s="99"/>
      <c r="Q38" s="99"/>
      <c r="R38" s="99"/>
      <c r="S38" s="99"/>
      <c r="U38" s="99"/>
      <c r="V38" s="197"/>
      <c r="W38" s="198"/>
    </row>
    <row r="39" spans="1:23" ht="24">
      <c r="B39" s="199"/>
      <c r="V39" s="199"/>
    </row>
    <row r="40" spans="1:23" ht="24">
      <c r="B40" s="199"/>
      <c r="D40" s="200"/>
      <c r="V40" s="199"/>
      <c r="W40" s="200"/>
    </row>
  </sheetData>
  <sheetProtection sheet="1" objects="1" scenarios="1"/>
  <mergeCells count="89">
    <mergeCell ref="A35:B35"/>
    <mergeCell ref="O35:P35"/>
    <mergeCell ref="U35:V35"/>
    <mergeCell ref="U34:V34"/>
    <mergeCell ref="U23:V23"/>
    <mergeCell ref="U24:V24"/>
    <mergeCell ref="U26:V26"/>
    <mergeCell ref="U27:U29"/>
    <mergeCell ref="U30:V30"/>
    <mergeCell ref="U32:V33"/>
    <mergeCell ref="D32:D33"/>
    <mergeCell ref="A27:A29"/>
    <mergeCell ref="A24:B24"/>
    <mergeCell ref="A30:B30"/>
    <mergeCell ref="A34:B34"/>
    <mergeCell ref="U22:V22"/>
    <mergeCell ref="W6:W7"/>
    <mergeCell ref="W32:W33"/>
    <mergeCell ref="U6:V7"/>
    <mergeCell ref="U8:V8"/>
    <mergeCell ref="U9:U11"/>
    <mergeCell ref="U12:V12"/>
    <mergeCell ref="U13:V13"/>
    <mergeCell ref="U14:V14"/>
    <mergeCell ref="U15:V15"/>
    <mergeCell ref="U16:V16"/>
    <mergeCell ref="U17:V17"/>
    <mergeCell ref="U18:V18"/>
    <mergeCell ref="U19:V19"/>
    <mergeCell ref="U20:V20"/>
    <mergeCell ref="U21:V21"/>
    <mergeCell ref="A9:A11"/>
    <mergeCell ref="A12:B12"/>
    <mergeCell ref="O15:P15"/>
    <mergeCell ref="O34:P34"/>
    <mergeCell ref="O16:P16"/>
    <mergeCell ref="O17:P17"/>
    <mergeCell ref="O18:P18"/>
    <mergeCell ref="O19:P19"/>
    <mergeCell ref="O21:P21"/>
    <mergeCell ref="O33:P33"/>
    <mergeCell ref="O20:P20"/>
    <mergeCell ref="O22:P22"/>
    <mergeCell ref="O23:P23"/>
    <mergeCell ref="O24:P24"/>
    <mergeCell ref="A13:B13"/>
    <mergeCell ref="C32:C33"/>
    <mergeCell ref="A19:B19"/>
    <mergeCell ref="A20:B20"/>
    <mergeCell ref="A26:B26"/>
    <mergeCell ref="A32:B33"/>
    <mergeCell ref="A21:B21"/>
    <mergeCell ref="A22:B22"/>
    <mergeCell ref="A23:B23"/>
    <mergeCell ref="A14:B14"/>
    <mergeCell ref="A15:B15"/>
    <mergeCell ref="A16:B16"/>
    <mergeCell ref="A17:B17"/>
    <mergeCell ref="A18:B18"/>
    <mergeCell ref="D6:D7"/>
    <mergeCell ref="R6:S6"/>
    <mergeCell ref="A4:D4"/>
    <mergeCell ref="A8:B8"/>
    <mergeCell ref="O6:Q6"/>
    <mergeCell ref="E4:G4"/>
    <mergeCell ref="I6:J6"/>
    <mergeCell ref="K6:L6"/>
    <mergeCell ref="M6:N6"/>
    <mergeCell ref="O8:P8"/>
    <mergeCell ref="L3:N4"/>
    <mergeCell ref="Q3:S4"/>
    <mergeCell ref="O3:P4"/>
    <mergeCell ref="C6:C7"/>
    <mergeCell ref="A6:B7"/>
    <mergeCell ref="A1:Q1"/>
    <mergeCell ref="R1:S1"/>
    <mergeCell ref="A3:D3"/>
    <mergeCell ref="H3:H4"/>
    <mergeCell ref="I3:J4"/>
    <mergeCell ref="K3:K4"/>
    <mergeCell ref="O11:P11"/>
    <mergeCell ref="O13:P13"/>
    <mergeCell ref="O14:P14"/>
    <mergeCell ref="E6:F6"/>
    <mergeCell ref="G6:H6"/>
    <mergeCell ref="O7:P7"/>
    <mergeCell ref="O9:P9"/>
    <mergeCell ref="O10:P10"/>
    <mergeCell ref="O12:P12"/>
  </mergeCells>
  <phoneticPr fontId="15"/>
  <hyperlinks>
    <hyperlink ref="B9" location="③郡部!D32" display="旧気高郡" xr:uid="{00000000-0004-0000-0200-000000000000}"/>
    <hyperlink ref="B10" location="③郡部!D25" display="旧岩美郡（福部）" xr:uid="{00000000-0004-0000-0200-000001000000}"/>
    <hyperlink ref="B11" location="③郡部!D14" display="旧八頭郡" xr:uid="{00000000-0004-0000-0200-000002000000}"/>
    <hyperlink ref="A13:B13" location="③郡部!D8" display="八頭郡" xr:uid="{00000000-0004-0000-0200-000003000000}"/>
    <hyperlink ref="A14:B14" location="③郡部!D26" display="岩美郡" xr:uid="{00000000-0004-0000-0200-000004000000}"/>
    <hyperlink ref="A16:B16" location="④中部!D8" display="倉吉市" xr:uid="{00000000-0004-0000-0200-000005000000}"/>
    <hyperlink ref="A17:B17" location="④中部!D20" display="東伯郡" xr:uid="{00000000-0004-0000-0200-000006000000}"/>
    <hyperlink ref="A19:B19" location="⑤米子市!D8" display="米子市" xr:uid="{00000000-0004-0000-0200-000007000000}"/>
    <hyperlink ref="A20:B20" location="⑥西伯・日野郡!D8" display="西伯郡" xr:uid="{00000000-0004-0000-0200-000008000000}"/>
    <hyperlink ref="A21:B21" location="⑥西伯・日野郡!D20" display="日野郡" xr:uid="{00000000-0004-0000-0200-000009000000}"/>
    <hyperlink ref="A22:B22" location="⑦境・島根!D8" display="境港市" xr:uid="{00000000-0004-0000-0200-00000A000000}"/>
    <hyperlink ref="A32:B33" location="⑦境・島根!D20" display="島根" xr:uid="{00000000-0004-0000-0200-00000B000000}"/>
    <hyperlink ref="A34:B34" location="④中部!D33" display="岡山" xr:uid="{00000000-0004-0000-0200-00000C000000}"/>
    <hyperlink ref="A26:B26" location="⑧兵庫!D8" display="浜坂温泉町" xr:uid="{00000000-0004-0000-0200-00000D000000}"/>
    <hyperlink ref="B27" location="⑧兵庫!D27" display="美方" xr:uid="{00000000-0004-0000-0200-00000E000000}"/>
    <hyperlink ref="B29" location="⑧兵庫!D26" display="香住" xr:uid="{00000000-0004-0000-0200-00000F000000}"/>
    <hyperlink ref="B28" location="⑧兵庫!D12" display="村岡" xr:uid="{00000000-0004-0000-0200-000010000000}"/>
    <hyperlink ref="A8:B8" location="②旧鳥取市!D8" display="旧鳥取市" xr:uid="{00000000-0004-0000-0200-000011000000}"/>
    <hyperlink ref="U8:V8" location="②旧鳥取市!D8" display="旧鳥取市" xr:uid="{00000000-0004-0000-0200-000012000000}"/>
    <hyperlink ref="V28" location="⑧兵庫!D12" display="村岡" xr:uid="{00000000-0004-0000-0200-000013000000}"/>
    <hyperlink ref="V29" location="⑧兵庫!D26" display="香住" xr:uid="{00000000-0004-0000-0200-000014000000}"/>
    <hyperlink ref="V27" location="⑧兵庫!D27" display="美方" xr:uid="{00000000-0004-0000-0200-000015000000}"/>
    <hyperlink ref="U26:V26" location="⑧兵庫!D8" display="浜坂温泉町" xr:uid="{00000000-0004-0000-0200-000016000000}"/>
    <hyperlink ref="U34:V34" location="④中部!D33" display="岡山" xr:uid="{00000000-0004-0000-0200-000017000000}"/>
    <hyperlink ref="U32:V33" location="⑦境・島根!D20" display="島根" xr:uid="{00000000-0004-0000-0200-000018000000}"/>
    <hyperlink ref="U22:V22" location="⑦境・島根!D8" display="境港市" xr:uid="{00000000-0004-0000-0200-000019000000}"/>
    <hyperlink ref="U21:V21" location="⑥西伯・日野郡!D20" display="日野郡" xr:uid="{00000000-0004-0000-0200-00001A000000}"/>
    <hyperlink ref="U20:V20" location="⑥西伯・日野郡!D8" display="西伯郡" xr:uid="{00000000-0004-0000-0200-00001B000000}"/>
    <hyperlink ref="U19:V19" location="⑤米子市!D8" display="米子市" xr:uid="{00000000-0004-0000-0200-00001C000000}"/>
    <hyperlink ref="U17:V17" location="④中部!D20" display="東伯郡" xr:uid="{00000000-0004-0000-0200-00001D000000}"/>
    <hyperlink ref="U16:V16" location="④中部!D8" display="倉吉市" xr:uid="{00000000-0004-0000-0200-00001E000000}"/>
    <hyperlink ref="U14:V14" location="③郡部!D26" display="岩美郡" xr:uid="{00000000-0004-0000-0200-00001F000000}"/>
    <hyperlink ref="U13:V13" location="③郡部!D8" display="八頭郡" xr:uid="{00000000-0004-0000-0200-000020000000}"/>
    <hyperlink ref="V11" location="③郡部!D14" display="旧八頭郡" xr:uid="{00000000-0004-0000-0200-000021000000}"/>
    <hyperlink ref="V10" location="③郡部!D25" display="旧岩美郡（福部）" xr:uid="{00000000-0004-0000-0200-000022000000}"/>
    <hyperlink ref="V9" location="③郡部!D32" display="旧気高郡" xr:uid="{00000000-0004-0000-0200-000023000000}"/>
    <hyperlink ref="A35:B35" location="⑨大阪!D33" display="大阪" xr:uid="{EDE53A25-B3C6-4352-BC13-B102B087D113}"/>
    <hyperlink ref="U35:V35" location="⑨大阪!D33" display="大阪" xr:uid="{EDA807AA-5156-44B4-A6D8-3701D0317BA1}"/>
  </hyperlinks>
  <printOptions horizontalCentered="1" verticalCentered="1"/>
  <pageMargins left="0.39370078740157483" right="0" top="0.59055118110236227" bottom="0.59055118110236227" header="0.59055118110236227" footer="0.31496062992125984"/>
  <pageSetup paperSize="9" scale="76" orientation="landscape" r:id="rId1"/>
  <headerFooter alignWithMargins="0">
    <oddHeader xml:space="preserve">&amp;R
</oddHeader>
    <oddFooter xml:space="preserve">&amp;C&amp;"ＭＳ Ｐゴシック,太字"日本海折込センター&amp;R&amp;"ＭＳ Ｐゴシック,太字"4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AU34"/>
  <sheetViews>
    <sheetView zoomScale="70" zoomScaleNormal="70" zoomScaleSheetLayoutView="75" workbookViewId="0">
      <pane xSplit="2" ySplit="7" topLeftCell="C8" activePane="bottomRight" state="frozen"/>
      <selection activeCell="I18" sqref="I18"/>
      <selection pane="topRight" activeCell="I18" sqref="I18"/>
      <selection pane="bottomLeft" activeCell="I18" sqref="I18"/>
      <selection pane="bottomRight" activeCell="BA26" sqref="BA26"/>
    </sheetView>
  </sheetViews>
  <sheetFormatPr defaultColWidth="9" defaultRowHeight="14.25"/>
  <cols>
    <col min="1" max="1" width="15.875" style="30" customWidth="1"/>
    <col min="2" max="2" width="11.625" style="30" customWidth="1"/>
    <col min="3" max="3" width="11.125" style="30" customWidth="1"/>
    <col min="4" max="4" width="13.125" style="30" bestFit="1" customWidth="1"/>
    <col min="5" max="5" width="2.125" style="30" customWidth="1"/>
    <col min="6" max="6" width="8.125" style="30" customWidth="1"/>
    <col min="7" max="7" width="9.625" style="30" customWidth="1"/>
    <col min="8" max="8" width="2.125" style="30" customWidth="1"/>
    <col min="9" max="9" width="8.125" style="30" customWidth="1"/>
    <col min="10" max="10" width="9.625" style="30" customWidth="1"/>
    <col min="11" max="11" width="2.125" style="30" customWidth="1"/>
    <col min="12" max="12" width="8.125" style="30" customWidth="1"/>
    <col min="13" max="13" width="9.625" style="30" customWidth="1"/>
    <col min="14" max="14" width="2.125" style="30" customWidth="1"/>
    <col min="15" max="15" width="8.125" style="30" customWidth="1"/>
    <col min="16" max="16" width="9.625" style="30" customWidth="1"/>
    <col min="17" max="17" width="2.125" style="30" customWidth="1"/>
    <col min="18" max="18" width="8.125" style="30" customWidth="1"/>
    <col min="19" max="19" width="9.625" style="30" customWidth="1"/>
    <col min="20" max="20" width="2.125" style="30" customWidth="1"/>
    <col min="21" max="21" width="8.125" style="30" customWidth="1"/>
    <col min="22" max="22" width="9.625" style="30" customWidth="1"/>
    <col min="23" max="23" width="9" style="30" hidden="1" customWidth="1"/>
    <col min="24" max="44" width="9" style="212" hidden="1" customWidth="1"/>
    <col min="45" max="45" width="9" style="31" hidden="1" customWidth="1"/>
    <col min="46" max="46" width="9" style="31" customWidth="1"/>
    <col min="47" max="47" width="9" style="31"/>
    <col min="48" max="16384" width="9" style="30"/>
  </cols>
  <sheetData>
    <row r="1" spans="1:47">
      <c r="A1" s="778" t="s">
        <v>0</v>
      </c>
      <c r="B1" s="778"/>
      <c r="C1" s="778"/>
      <c r="D1" s="778"/>
      <c r="E1" s="778"/>
      <c r="F1" s="778"/>
      <c r="G1" s="778"/>
      <c r="H1" s="778"/>
      <c r="I1" s="778"/>
      <c r="J1" s="778"/>
      <c r="K1" s="778"/>
      <c r="L1" s="778"/>
      <c r="M1" s="778"/>
      <c r="N1" s="778"/>
      <c r="O1" s="778"/>
      <c r="P1" s="778"/>
      <c r="Q1" s="778"/>
      <c r="R1" s="778"/>
      <c r="S1" s="778"/>
      <c r="T1" s="212"/>
      <c r="U1" s="704">
        <f>①総合計!R1</f>
        <v>2023.1</v>
      </c>
      <c r="V1" s="704"/>
    </row>
    <row r="2" spans="1:47" ht="15" thickBot="1">
      <c r="A2" s="32"/>
      <c r="B2" s="32"/>
      <c r="C2" s="32"/>
      <c r="D2" s="32"/>
      <c r="E2" s="32"/>
      <c r="F2" s="32"/>
      <c r="G2" s="32"/>
      <c r="H2" s="32"/>
      <c r="I2" s="32"/>
      <c r="J2" s="32"/>
      <c r="K2" s="32"/>
      <c r="L2" s="32"/>
      <c r="M2" s="32"/>
      <c r="N2" s="32"/>
      <c r="O2" s="32"/>
      <c r="P2" s="32"/>
      <c r="Q2" s="32"/>
      <c r="R2" s="32"/>
      <c r="S2" s="32"/>
      <c r="T2" s="32"/>
      <c r="U2" s="32"/>
      <c r="V2" s="208" t="s">
        <v>45</v>
      </c>
    </row>
    <row r="3" spans="1:47" ht="20.100000000000001" customHeight="1">
      <c r="A3" s="783" t="s">
        <v>1</v>
      </c>
      <c r="B3" s="784"/>
      <c r="C3" s="33" t="s">
        <v>2</v>
      </c>
      <c r="D3" s="34"/>
      <c r="E3" s="34"/>
      <c r="F3" s="35"/>
      <c r="G3" s="785" t="s">
        <v>145</v>
      </c>
      <c r="H3" s="36"/>
      <c r="I3" s="787" t="str">
        <f>IF(①総合計!I3= 0," ",①総合計!I3)</f>
        <v xml:space="preserve"> </v>
      </c>
      <c r="J3" s="787"/>
      <c r="K3" s="785" t="s">
        <v>3</v>
      </c>
      <c r="L3" s="800"/>
      <c r="M3" s="792" t="str">
        <f>IF(B31=0," ",B31)</f>
        <v xml:space="preserve"> </v>
      </c>
      <c r="N3" s="793"/>
      <c r="O3" s="793"/>
      <c r="P3" s="796" t="str">
        <f>①総合計!L3</f>
        <v xml:space="preserve"> </v>
      </c>
      <c r="Q3" s="785" t="s">
        <v>4</v>
      </c>
      <c r="R3" s="798"/>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86"/>
      <c r="H4" s="37"/>
      <c r="I4" s="788"/>
      <c r="J4" s="788"/>
      <c r="K4" s="786"/>
      <c r="L4" s="801"/>
      <c r="M4" s="794"/>
      <c r="N4" s="795"/>
      <c r="O4" s="795"/>
      <c r="P4" s="797"/>
      <c r="Q4" s="786"/>
      <c r="R4" s="799"/>
      <c r="S4" s="804"/>
      <c r="T4" s="804"/>
      <c r="U4" s="804"/>
      <c r="V4" s="805"/>
      <c r="X4" s="487"/>
      <c r="Y4" s="487"/>
      <c r="Z4" s="487"/>
      <c r="AA4" s="487"/>
      <c r="AB4" s="487"/>
      <c r="AC4" s="487"/>
      <c r="AD4" s="487"/>
      <c r="AE4" s="487"/>
      <c r="AF4" s="487"/>
      <c r="AG4" s="487"/>
      <c r="AH4" s="487"/>
      <c r="AI4" s="487"/>
      <c r="AJ4" s="487"/>
      <c r="AK4" s="487"/>
      <c r="AL4" s="487"/>
      <c r="AM4" s="487"/>
      <c r="AN4" s="487"/>
      <c r="AO4" s="487"/>
      <c r="AP4" s="487"/>
      <c r="AQ4" s="487"/>
      <c r="AR4" s="487"/>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10</v>
      </c>
      <c r="AN5" s="609"/>
      <c r="AO5" s="609"/>
      <c r="AP5" s="806" t="s">
        <v>280</v>
      </c>
      <c r="AQ5" s="609"/>
      <c r="AR5" s="609"/>
    </row>
    <row r="6" spans="1:47" ht="14.25" customHeight="1">
      <c r="A6" s="38" t="s">
        <v>46</v>
      </c>
      <c r="B6" s="39"/>
      <c r="C6" s="779" t="s">
        <v>6</v>
      </c>
      <c r="D6" s="780"/>
      <c r="E6" s="780" t="s">
        <v>7</v>
      </c>
      <c r="F6" s="781"/>
      <c r="G6" s="781"/>
      <c r="H6" s="780" t="s">
        <v>8</v>
      </c>
      <c r="I6" s="781"/>
      <c r="J6" s="782"/>
      <c r="K6" s="780" t="s">
        <v>9</v>
      </c>
      <c r="L6" s="781"/>
      <c r="M6" s="781"/>
      <c r="N6" s="780" t="s">
        <v>228</v>
      </c>
      <c r="O6" s="781"/>
      <c r="P6" s="781"/>
      <c r="Q6" s="780" t="s">
        <v>10</v>
      </c>
      <c r="R6" s="781"/>
      <c r="S6" s="782"/>
      <c r="T6" s="780" t="s">
        <v>11</v>
      </c>
      <c r="U6" s="781"/>
      <c r="V6" s="791"/>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40" t="s">
        <v>47</v>
      </c>
      <c r="B7" s="41" t="s">
        <v>232</v>
      </c>
      <c r="C7" s="42" t="s">
        <v>14</v>
      </c>
      <c r="D7" s="43" t="s">
        <v>15</v>
      </c>
      <c r="E7" s="43"/>
      <c r="F7" s="44" t="s">
        <v>14</v>
      </c>
      <c r="G7" s="43" t="s">
        <v>15</v>
      </c>
      <c r="H7" s="43"/>
      <c r="I7" s="44" t="s">
        <v>14</v>
      </c>
      <c r="J7" s="42" t="s">
        <v>15</v>
      </c>
      <c r="K7" s="43"/>
      <c r="L7" s="44" t="s">
        <v>14</v>
      </c>
      <c r="M7" s="43" t="s">
        <v>15</v>
      </c>
      <c r="N7" s="43"/>
      <c r="O7" s="44" t="s">
        <v>14</v>
      </c>
      <c r="P7" s="43" t="s">
        <v>15</v>
      </c>
      <c r="Q7" s="43"/>
      <c r="R7" s="44" t="s">
        <v>14</v>
      </c>
      <c r="S7" s="42" t="s">
        <v>15</v>
      </c>
      <c r="T7" s="43"/>
      <c r="U7" s="44" t="s">
        <v>14</v>
      </c>
      <c r="V7" s="45" t="s">
        <v>15</v>
      </c>
      <c r="W7" s="26"/>
      <c r="X7" s="42">
        <v>1</v>
      </c>
      <c r="Y7" s="42">
        <v>1</v>
      </c>
      <c r="Z7" s="42">
        <v>1</v>
      </c>
      <c r="AA7" s="42">
        <v>3</v>
      </c>
      <c r="AB7" s="42">
        <v>3</v>
      </c>
      <c r="AC7" s="42">
        <v>3</v>
      </c>
      <c r="AD7" s="42">
        <v>2</v>
      </c>
      <c r="AE7" s="42">
        <v>2</v>
      </c>
      <c r="AF7" s="42">
        <v>2</v>
      </c>
      <c r="AG7" s="42">
        <v>4</v>
      </c>
      <c r="AH7" s="42">
        <v>4</v>
      </c>
      <c r="AI7" s="42">
        <v>4</v>
      </c>
      <c r="AJ7" s="42">
        <v>5</v>
      </c>
      <c r="AK7" s="42">
        <v>5</v>
      </c>
      <c r="AL7" s="42">
        <v>5</v>
      </c>
      <c r="AM7" s="42">
        <v>6</v>
      </c>
      <c r="AN7" s="42">
        <v>6</v>
      </c>
      <c r="AO7" s="42">
        <v>6</v>
      </c>
      <c r="AP7" s="42">
        <v>7</v>
      </c>
      <c r="AQ7" s="42">
        <v>7</v>
      </c>
      <c r="AR7" s="42">
        <v>7</v>
      </c>
    </row>
    <row r="8" spans="1:47" ht="23.1" customHeight="1">
      <c r="A8" s="46"/>
      <c r="B8" s="47" t="s">
        <v>50</v>
      </c>
      <c r="C8" s="48">
        <v>2000</v>
      </c>
      <c r="D8" s="19"/>
      <c r="E8" s="49" t="s">
        <v>49</v>
      </c>
      <c r="F8" s="155">
        <v>1750</v>
      </c>
      <c r="G8" s="19"/>
      <c r="H8" s="49" t="s">
        <v>49</v>
      </c>
      <c r="I8" s="155">
        <v>2800</v>
      </c>
      <c r="J8" s="19"/>
      <c r="K8" s="49" t="s">
        <v>49</v>
      </c>
      <c r="L8" s="155">
        <v>1000</v>
      </c>
      <c r="M8" s="19"/>
      <c r="N8" s="49" t="s">
        <v>49</v>
      </c>
      <c r="O8" s="155">
        <v>250</v>
      </c>
      <c r="P8" s="19"/>
      <c r="Q8" s="49" t="s">
        <v>49</v>
      </c>
      <c r="R8" s="50">
        <v>900</v>
      </c>
      <c r="S8" s="19"/>
      <c r="T8" s="49" t="s">
        <v>49</v>
      </c>
      <c r="U8" s="155">
        <v>1700</v>
      </c>
      <c r="V8" s="28"/>
      <c r="X8" s="402">
        <f>★仕入先!$A$2</f>
        <v>10002</v>
      </c>
      <c r="Y8" s="402">
        <f>★仕入先!$A$208</f>
        <v>30101</v>
      </c>
      <c r="Z8" s="402">
        <f>★仕入先!$A$170</f>
        <v>20351</v>
      </c>
      <c r="AA8" s="402">
        <f>★仕入先!$A$33</f>
        <v>10111</v>
      </c>
      <c r="AB8" s="402">
        <f>★仕入先!$A$208</f>
        <v>30101</v>
      </c>
      <c r="AC8" s="402">
        <f>★仕入先!$A$170</f>
        <v>20351</v>
      </c>
      <c r="AD8" s="402">
        <f>★仕入先!$A$29</f>
        <v>10101</v>
      </c>
      <c r="AE8" s="402">
        <f>★仕入先!$A$208</f>
        <v>30101</v>
      </c>
      <c r="AF8" s="402">
        <f>★仕入先!$A$170</f>
        <v>20351</v>
      </c>
      <c r="AG8" s="402">
        <f>★仕入先!$A$36</f>
        <v>10121</v>
      </c>
      <c r="AH8" s="402">
        <f>★仕入先!$A$208</f>
        <v>30101</v>
      </c>
      <c r="AI8" s="402">
        <f>★仕入先!$A$170</f>
        <v>20351</v>
      </c>
      <c r="AJ8" s="402">
        <f>★仕入先!$A$33</f>
        <v>10111</v>
      </c>
      <c r="AK8" s="402">
        <f>★仕入先!$A$208</f>
        <v>30101</v>
      </c>
      <c r="AL8" s="402">
        <f>★仕入先!$A$170</f>
        <v>20351</v>
      </c>
      <c r="AM8" s="402">
        <f>★仕入先!$A$38</f>
        <v>10141</v>
      </c>
      <c r="AN8" s="402">
        <f>★仕入先!$A$208</f>
        <v>30101</v>
      </c>
      <c r="AO8" s="402">
        <f>★仕入先!$A$170</f>
        <v>20351</v>
      </c>
      <c r="AP8" s="402">
        <f>★仕入先!$A$29</f>
        <v>10101</v>
      </c>
      <c r="AQ8" s="402">
        <f>★仕入先!$A$208</f>
        <v>30101</v>
      </c>
      <c r="AR8" s="402">
        <f>★仕入先!$A$170</f>
        <v>20351</v>
      </c>
    </row>
    <row r="9" spans="1:47" ht="23.1" customHeight="1">
      <c r="A9" s="51"/>
      <c r="B9" s="52" t="s">
        <v>51</v>
      </c>
      <c r="C9" s="48">
        <v>2050</v>
      </c>
      <c r="D9" s="19"/>
      <c r="E9" s="53"/>
      <c r="F9" s="155"/>
      <c r="G9" s="53"/>
      <c r="H9" s="53"/>
      <c r="I9" s="155"/>
      <c r="J9" s="53"/>
      <c r="K9" s="53"/>
      <c r="L9" s="155"/>
      <c r="M9" s="53"/>
      <c r="N9" s="53"/>
      <c r="O9" s="155"/>
      <c r="P9" s="53"/>
      <c r="Q9" s="53"/>
      <c r="R9" s="50"/>
      <c r="S9" s="53"/>
      <c r="T9" s="53"/>
      <c r="U9" s="155"/>
      <c r="V9" s="28"/>
      <c r="X9" s="402">
        <f>★仕入先!$A$3</f>
        <v>10003</v>
      </c>
      <c r="Y9" s="402">
        <f>★仕入先!$A$208</f>
        <v>30101</v>
      </c>
      <c r="Z9" s="402">
        <f>★仕入先!$A$170</f>
        <v>20351</v>
      </c>
      <c r="AP9" s="402">
        <f>★仕入先!$A$33</f>
        <v>10111</v>
      </c>
      <c r="AQ9" s="402">
        <f>★仕入先!$A$208</f>
        <v>30101</v>
      </c>
      <c r="AR9" s="402">
        <f>★仕入先!$A$170</f>
        <v>20351</v>
      </c>
    </row>
    <row r="10" spans="1:47" ht="23.1" customHeight="1">
      <c r="A10" s="51"/>
      <c r="B10" s="52" t="s">
        <v>52</v>
      </c>
      <c r="C10" s="48">
        <v>2400</v>
      </c>
      <c r="D10" s="19"/>
      <c r="E10" s="53"/>
      <c r="F10" s="155"/>
      <c r="G10" s="53"/>
      <c r="H10" s="53"/>
      <c r="I10" s="155"/>
      <c r="J10" s="53"/>
      <c r="K10" s="53"/>
      <c r="L10" s="155"/>
      <c r="M10" s="53"/>
      <c r="N10" s="53"/>
      <c r="O10" s="155"/>
      <c r="P10" s="53"/>
      <c r="Q10" s="53"/>
      <c r="R10" s="50"/>
      <c r="S10" s="53"/>
      <c r="T10" s="53"/>
      <c r="U10" s="155"/>
      <c r="V10" s="28"/>
      <c r="X10" s="402">
        <f>★仕入先!$A$4</f>
        <v>10004</v>
      </c>
      <c r="Y10" s="402">
        <f>★仕入先!$A$208</f>
        <v>30101</v>
      </c>
      <c r="Z10" s="402">
        <f>★仕入先!$A$170</f>
        <v>20351</v>
      </c>
      <c r="AP10" s="402">
        <f>★仕入先!$A$34</f>
        <v>10113</v>
      </c>
      <c r="AQ10" s="402">
        <f>★仕入先!$A$208</f>
        <v>30101</v>
      </c>
      <c r="AR10" s="402">
        <f>★仕入先!$A$170</f>
        <v>20351</v>
      </c>
    </row>
    <row r="11" spans="1:47" ht="23.1" customHeight="1">
      <c r="A11" s="51"/>
      <c r="B11" s="52" t="s">
        <v>53</v>
      </c>
      <c r="C11" s="48">
        <v>1350</v>
      </c>
      <c r="D11" s="19"/>
      <c r="E11" s="53"/>
      <c r="F11" s="155"/>
      <c r="G11" s="53"/>
      <c r="H11" s="53"/>
      <c r="I11" s="155"/>
      <c r="J11" s="53"/>
      <c r="K11" s="53"/>
      <c r="L11" s="155"/>
      <c r="M11" s="53"/>
      <c r="N11" s="53"/>
      <c r="O11" s="155"/>
      <c r="P11" s="53"/>
      <c r="Q11" s="53"/>
      <c r="R11" s="50"/>
      <c r="S11" s="53"/>
      <c r="T11" s="53"/>
      <c r="U11" s="155"/>
      <c r="V11" s="28"/>
      <c r="X11" s="402">
        <f>★仕入先!$A$9</f>
        <v>10012</v>
      </c>
      <c r="Y11" s="402">
        <f>★仕入先!$A$208</f>
        <v>30101</v>
      </c>
      <c r="Z11" s="402">
        <f>★仕入先!$A$170</f>
        <v>20351</v>
      </c>
      <c r="AP11" s="402">
        <f>★仕入先!$A$35</f>
        <v>10114</v>
      </c>
      <c r="AQ11" s="402">
        <f>★仕入先!$A$208</f>
        <v>30101</v>
      </c>
      <c r="AR11" s="402">
        <f>★仕入先!$A$170</f>
        <v>20351</v>
      </c>
    </row>
    <row r="12" spans="1:47" ht="23.1" customHeight="1">
      <c r="A12" s="51"/>
      <c r="B12" s="52" t="s">
        <v>54</v>
      </c>
      <c r="C12" s="48">
        <v>2800</v>
      </c>
      <c r="D12" s="19"/>
      <c r="E12" s="53"/>
      <c r="F12" s="155"/>
      <c r="G12" s="53"/>
      <c r="H12" s="54"/>
      <c r="I12" s="55"/>
      <c r="J12" s="53"/>
      <c r="K12" s="53"/>
      <c r="L12" s="155"/>
      <c r="M12" s="53"/>
      <c r="N12" s="53"/>
      <c r="O12" s="155"/>
      <c r="P12" s="53"/>
      <c r="Q12" s="53"/>
      <c r="R12" s="50"/>
      <c r="S12" s="53"/>
      <c r="T12" s="53"/>
      <c r="U12" s="155"/>
      <c r="V12" s="28"/>
      <c r="X12" s="402">
        <f>★仕入先!$A$5</f>
        <v>10006</v>
      </c>
      <c r="Y12" s="402">
        <f>★仕入先!$A$208</f>
        <v>30101</v>
      </c>
      <c r="Z12" s="402">
        <f>★仕入先!$A$170</f>
        <v>20351</v>
      </c>
      <c r="AP12" s="402">
        <f>★仕入先!$A$41</f>
        <v>10201</v>
      </c>
      <c r="AQ12" s="402">
        <f>★仕入先!$A$208</f>
        <v>30101</v>
      </c>
      <c r="AR12" s="402">
        <f>★仕入先!$A$170</f>
        <v>20351</v>
      </c>
    </row>
    <row r="13" spans="1:47" ht="23.1" customHeight="1">
      <c r="A13" s="51"/>
      <c r="B13" s="52" t="s">
        <v>55</v>
      </c>
      <c r="C13" s="48">
        <v>1600</v>
      </c>
      <c r="D13" s="19"/>
      <c r="E13" s="53"/>
      <c r="F13" s="155"/>
      <c r="G13" s="53"/>
      <c r="H13" s="53"/>
      <c r="I13" s="155"/>
      <c r="J13" s="53"/>
      <c r="K13" s="53"/>
      <c r="L13" s="155"/>
      <c r="M13" s="53"/>
      <c r="N13" s="53"/>
      <c r="O13" s="155"/>
      <c r="P13" s="53"/>
      <c r="Q13" s="53"/>
      <c r="R13" s="50"/>
      <c r="S13" s="53"/>
      <c r="T13" s="53"/>
      <c r="U13" s="155"/>
      <c r="V13" s="119"/>
      <c r="X13" s="402">
        <f>★仕入先!$A$6</f>
        <v>10009</v>
      </c>
      <c r="Y13" s="402">
        <f>★仕入先!$A$208</f>
        <v>30101</v>
      </c>
      <c r="Z13" s="402">
        <f>★仕入先!$A$170</f>
        <v>20351</v>
      </c>
    </row>
    <row r="14" spans="1:47" ht="23.1" customHeight="1">
      <c r="A14" s="51"/>
      <c r="B14" s="52" t="s">
        <v>56</v>
      </c>
      <c r="C14" s="48">
        <v>2050</v>
      </c>
      <c r="D14" s="19"/>
      <c r="E14" s="53"/>
      <c r="F14" s="155"/>
      <c r="G14" s="53"/>
      <c r="H14" s="53"/>
      <c r="I14" s="155"/>
      <c r="J14" s="53"/>
      <c r="K14" s="53"/>
      <c r="L14" s="155"/>
      <c r="M14" s="53"/>
      <c r="N14" s="53"/>
      <c r="O14" s="155"/>
      <c r="P14" s="53"/>
      <c r="Q14" s="53"/>
      <c r="R14" s="50"/>
      <c r="S14" s="53"/>
      <c r="T14" s="53"/>
      <c r="U14" s="155"/>
      <c r="V14" s="119"/>
      <c r="X14" s="402">
        <f>★仕入先!$A$7</f>
        <v>10010</v>
      </c>
      <c r="Y14" s="402">
        <f>★仕入先!$A$208</f>
        <v>30101</v>
      </c>
      <c r="Z14" s="402">
        <f>★仕入先!$A$170</f>
        <v>20351</v>
      </c>
    </row>
    <row r="15" spans="1:47" ht="23.1" customHeight="1">
      <c r="A15" s="46"/>
      <c r="B15" s="52" t="s">
        <v>57</v>
      </c>
      <c r="C15" s="48">
        <v>2400</v>
      </c>
      <c r="D15" s="19"/>
      <c r="E15" s="53"/>
      <c r="F15" s="155"/>
      <c r="G15" s="53"/>
      <c r="H15" s="54"/>
      <c r="I15" s="55"/>
      <c r="J15" s="53"/>
      <c r="K15" s="53"/>
      <c r="L15" s="155"/>
      <c r="M15" s="53"/>
      <c r="N15" s="53"/>
      <c r="O15" s="155"/>
      <c r="P15" s="53"/>
      <c r="Q15" s="53"/>
      <c r="R15" s="155">
        <v>440</v>
      </c>
      <c r="S15" s="19"/>
      <c r="T15" s="53"/>
      <c r="U15" s="155"/>
      <c r="V15" s="119"/>
      <c r="X15" s="402">
        <f>★仕入先!$A$8</f>
        <v>10011</v>
      </c>
      <c r="Y15" s="402">
        <f>★仕入先!$A$208</f>
        <v>30101</v>
      </c>
      <c r="Z15" s="402">
        <f>★仕入先!$A$170</f>
        <v>20351</v>
      </c>
      <c r="AM15" s="402">
        <f>★仕入先!$A$40</f>
        <v>10143</v>
      </c>
      <c r="AN15" s="402">
        <f>★仕入先!$A$208</f>
        <v>30101</v>
      </c>
      <c r="AO15" s="402">
        <f>★仕入先!$A$170</f>
        <v>20351</v>
      </c>
    </row>
    <row r="16" spans="1:47" ht="23.1" customHeight="1">
      <c r="A16" s="56"/>
      <c r="B16" s="57" t="s">
        <v>58</v>
      </c>
      <c r="C16" s="58">
        <v>2200</v>
      </c>
      <c r="D16" s="19"/>
      <c r="E16" s="53"/>
      <c r="F16" s="50">
        <v>1700</v>
      </c>
      <c r="G16" s="19"/>
      <c r="H16" s="59"/>
      <c r="I16" s="50">
        <v>1250</v>
      </c>
      <c r="J16" s="19"/>
      <c r="K16" s="53"/>
      <c r="L16" s="50">
        <v>290</v>
      </c>
      <c r="M16" s="19"/>
      <c r="N16" s="53"/>
      <c r="O16" s="50">
        <v>130</v>
      </c>
      <c r="P16" s="19"/>
      <c r="Q16" s="53"/>
      <c r="R16" s="50"/>
      <c r="S16" s="53"/>
      <c r="T16" s="53"/>
      <c r="U16" s="50"/>
      <c r="V16" s="119"/>
      <c r="X16" s="402">
        <f>★仕入先!$A$11</f>
        <v>10014</v>
      </c>
      <c r="Y16" s="402">
        <f>★仕入先!$A$208</f>
        <v>30101</v>
      </c>
      <c r="Z16" s="402">
        <f>★仕入先!$A$170</f>
        <v>20351</v>
      </c>
      <c r="AA16" s="402">
        <f>★仕入先!$A$35</f>
        <v>10114</v>
      </c>
      <c r="AB16" s="402">
        <f>★仕入先!$A$208</f>
        <v>30101</v>
      </c>
      <c r="AC16" s="402">
        <f>★仕入先!$A$170</f>
        <v>20351</v>
      </c>
      <c r="AD16" s="402">
        <f>★仕入先!$A$31</f>
        <v>10103</v>
      </c>
      <c r="AE16" s="402">
        <f>★仕入先!$A$208</f>
        <v>30101</v>
      </c>
      <c r="AF16" s="402">
        <f>★仕入先!$A$170</f>
        <v>20351</v>
      </c>
      <c r="AG16" s="402">
        <f>★仕入先!$A$37</f>
        <v>10122</v>
      </c>
      <c r="AH16" s="402">
        <f>★仕入先!$A$208</f>
        <v>30101</v>
      </c>
      <c r="AI16" s="402">
        <f>★仕入先!$A$170</f>
        <v>20351</v>
      </c>
      <c r="AJ16" s="402">
        <f>★仕入先!$A$35</f>
        <v>10114</v>
      </c>
      <c r="AK16" s="402">
        <f>★仕入先!$A$208</f>
        <v>30101</v>
      </c>
      <c r="AL16" s="402">
        <f>★仕入先!$A$170</f>
        <v>20351</v>
      </c>
    </row>
    <row r="17" spans="1:44" ht="23.1" customHeight="1">
      <c r="A17" s="60"/>
      <c r="B17" s="57" t="s">
        <v>59</v>
      </c>
      <c r="C17" s="58">
        <v>3150</v>
      </c>
      <c r="D17" s="19"/>
      <c r="E17" s="53"/>
      <c r="F17" s="61"/>
      <c r="G17" s="53"/>
      <c r="H17" s="53"/>
      <c r="I17" s="50"/>
      <c r="J17" s="53"/>
      <c r="K17" s="53"/>
      <c r="L17" s="50"/>
      <c r="M17" s="53"/>
      <c r="N17" s="53"/>
      <c r="O17" s="50"/>
      <c r="P17" s="53"/>
      <c r="Q17" s="53"/>
      <c r="R17" s="50"/>
      <c r="S17" s="53"/>
      <c r="T17" s="53"/>
      <c r="U17" s="50"/>
      <c r="V17" s="119"/>
      <c r="X17" s="402">
        <f>★仕入先!$A$12</f>
        <v>10017</v>
      </c>
      <c r="Y17" s="402">
        <f>★仕入先!$A$208</f>
        <v>30101</v>
      </c>
      <c r="Z17" s="402">
        <f>★仕入先!$A$170</f>
        <v>20351</v>
      </c>
    </row>
    <row r="18" spans="1:44" ht="23.1" customHeight="1">
      <c r="A18" s="56"/>
      <c r="B18" s="57" t="s">
        <v>321</v>
      </c>
      <c r="C18" s="58">
        <v>350</v>
      </c>
      <c r="D18" s="19"/>
      <c r="E18" s="53"/>
      <c r="F18" s="50"/>
      <c r="G18" s="53"/>
      <c r="H18" s="62"/>
      <c r="I18" s="63"/>
      <c r="J18" s="53"/>
      <c r="K18" s="53"/>
      <c r="L18" s="50"/>
      <c r="M18" s="53"/>
      <c r="N18" s="53"/>
      <c r="O18" s="50"/>
      <c r="P18" s="53"/>
      <c r="Q18" s="53"/>
      <c r="R18" s="50"/>
      <c r="S18" s="53"/>
      <c r="T18" s="53"/>
      <c r="U18" s="50"/>
      <c r="V18" s="119"/>
      <c r="X18" s="402">
        <f>★仕入先!$A$10</f>
        <v>10013</v>
      </c>
      <c r="Y18" s="402">
        <f>★仕入先!$A$208</f>
        <v>30101</v>
      </c>
      <c r="Z18" s="402">
        <f>★仕入先!$A$170</f>
        <v>20351</v>
      </c>
      <c r="AG18" s="486"/>
      <c r="AH18" s="402"/>
      <c r="AI18" s="402"/>
    </row>
    <row r="19" spans="1:44" ht="23.1" customHeight="1">
      <c r="A19" s="56"/>
      <c r="B19" s="57" t="s">
        <v>60</v>
      </c>
      <c r="C19" s="58">
        <v>2400</v>
      </c>
      <c r="D19" s="19"/>
      <c r="E19" s="53"/>
      <c r="F19" s="50"/>
      <c r="G19" s="53"/>
      <c r="H19" s="53"/>
      <c r="I19" s="50"/>
      <c r="J19" s="53"/>
      <c r="K19" s="53"/>
      <c r="L19" s="50">
        <v>60</v>
      </c>
      <c r="M19" s="19"/>
      <c r="N19" s="53"/>
      <c r="O19" s="50"/>
      <c r="P19" s="53"/>
      <c r="Q19" s="53"/>
      <c r="R19" s="50"/>
      <c r="S19" s="53"/>
      <c r="T19" s="53"/>
      <c r="U19" s="50"/>
      <c r="V19" s="119"/>
      <c r="X19" s="402">
        <f>★仕入先!$A$66</f>
        <v>10475</v>
      </c>
      <c r="Y19" s="402">
        <f>★仕入先!$A$208</f>
        <v>30101</v>
      </c>
      <c r="Z19" s="402">
        <f>★仕入先!$A$170</f>
        <v>20351</v>
      </c>
      <c r="AG19" s="402">
        <f>★仕入先!$A$35</f>
        <v>10114</v>
      </c>
      <c r="AH19" s="402">
        <f>★仕入先!$A$208</f>
        <v>30101</v>
      </c>
      <c r="AI19" s="402">
        <f>★仕入先!$A$170</f>
        <v>20351</v>
      </c>
    </row>
    <row r="20" spans="1:44" ht="23.1" customHeight="1">
      <c r="A20" s="56"/>
      <c r="B20" s="57" t="s">
        <v>61</v>
      </c>
      <c r="C20" s="58">
        <v>2350</v>
      </c>
      <c r="D20" s="19"/>
      <c r="E20" s="53"/>
      <c r="F20" s="50"/>
      <c r="G20" s="53"/>
      <c r="H20" s="64"/>
      <c r="I20" s="63"/>
      <c r="J20" s="53"/>
      <c r="K20" s="53"/>
      <c r="L20" s="50"/>
      <c r="M20" s="53"/>
      <c r="N20" s="53"/>
      <c r="O20" s="50"/>
      <c r="P20" s="53"/>
      <c r="Q20" s="53"/>
      <c r="R20" s="50"/>
      <c r="S20" s="53"/>
      <c r="T20" s="53"/>
      <c r="U20" s="50"/>
      <c r="V20" s="119"/>
      <c r="X20" s="402">
        <f>★仕入先!$A$68</f>
        <v>10478</v>
      </c>
      <c r="Y20" s="402">
        <f>★仕入先!$A$208</f>
        <v>30101</v>
      </c>
      <c r="Z20" s="402">
        <f>★仕入先!$A$170</f>
        <v>20351</v>
      </c>
    </row>
    <row r="21" spans="1:44" ht="23.1" customHeight="1">
      <c r="A21" s="56"/>
      <c r="B21" s="57" t="s">
        <v>62</v>
      </c>
      <c r="C21" s="58">
        <v>1250</v>
      </c>
      <c r="D21" s="19"/>
      <c r="E21" s="53"/>
      <c r="F21" s="50">
        <v>55</v>
      </c>
      <c r="G21" s="19"/>
      <c r="H21" s="53"/>
      <c r="I21" s="50">
        <v>130</v>
      </c>
      <c r="J21" s="19"/>
      <c r="K21" s="53"/>
      <c r="L21" s="50">
        <v>10</v>
      </c>
      <c r="M21" s="19"/>
      <c r="N21" s="53"/>
      <c r="O21" s="50"/>
      <c r="P21" s="53"/>
      <c r="Q21" s="53"/>
      <c r="R21" s="50"/>
      <c r="S21" s="53"/>
      <c r="T21" s="53"/>
      <c r="U21" s="50"/>
      <c r="V21" s="119"/>
      <c r="X21" s="402">
        <f>★仕入先!$A$13</f>
        <v>10020</v>
      </c>
      <c r="Y21" s="402">
        <f>★仕入先!$A$208</f>
        <v>30101</v>
      </c>
      <c r="Z21" s="402">
        <f>★仕入先!$A$170</f>
        <v>20351</v>
      </c>
      <c r="AA21" s="402">
        <f>★仕入先!$A$34</f>
        <v>10113</v>
      </c>
      <c r="AB21" s="402">
        <f>★仕入先!$A$208</f>
        <v>30101</v>
      </c>
      <c r="AC21" s="402">
        <f>★仕入先!$A$170</f>
        <v>20351</v>
      </c>
      <c r="AD21" s="402">
        <f>★仕入先!$A$30</f>
        <v>10102</v>
      </c>
      <c r="AE21" s="402">
        <f>★仕入先!$A$208</f>
        <v>30101</v>
      </c>
      <c r="AF21" s="402">
        <f>★仕入先!$A$170</f>
        <v>20351</v>
      </c>
      <c r="AG21" s="402">
        <f>★仕入先!$A$34</f>
        <v>10113</v>
      </c>
      <c r="AH21" s="402">
        <f>★仕入先!$A$208</f>
        <v>30101</v>
      </c>
      <c r="AI21" s="402">
        <f>★仕入先!$A$170</f>
        <v>20351</v>
      </c>
    </row>
    <row r="22" spans="1:44" ht="23.1" customHeight="1">
      <c r="A22" s="56"/>
      <c r="B22" s="57" t="s">
        <v>63</v>
      </c>
      <c r="C22" s="58">
        <v>2000</v>
      </c>
      <c r="D22" s="19"/>
      <c r="E22" s="53"/>
      <c r="F22" s="50">
        <v>750</v>
      </c>
      <c r="G22" s="19"/>
      <c r="H22" s="53"/>
      <c r="I22" s="50">
        <v>1230</v>
      </c>
      <c r="J22" s="19"/>
      <c r="K22" s="53"/>
      <c r="L22" s="50">
        <v>110</v>
      </c>
      <c r="M22" s="19"/>
      <c r="N22" s="53"/>
      <c r="O22" s="50">
        <v>105</v>
      </c>
      <c r="P22" s="19"/>
      <c r="Q22" s="53"/>
      <c r="R22" s="50">
        <v>80</v>
      </c>
      <c r="S22" s="19"/>
      <c r="T22" s="53"/>
      <c r="U22" s="50">
        <v>250</v>
      </c>
      <c r="V22" s="28"/>
      <c r="X22" s="402">
        <f>★仕入先!$A$14</f>
        <v>10022</v>
      </c>
      <c r="Y22" s="402">
        <f>★仕入先!$A$208</f>
        <v>30101</v>
      </c>
      <c r="Z22" s="402">
        <f>★仕入先!$A$170</f>
        <v>20351</v>
      </c>
      <c r="AA22" s="402">
        <f>★仕入先!$A$34</f>
        <v>10113</v>
      </c>
      <c r="AB22" s="402">
        <f>★仕入先!$A$208</f>
        <v>30101</v>
      </c>
      <c r="AC22" s="402">
        <f>★仕入先!$A$170</f>
        <v>20351</v>
      </c>
      <c r="AD22" s="402">
        <f>★仕入先!$A$30</f>
        <v>10102</v>
      </c>
      <c r="AE22" s="402">
        <f>★仕入先!$A$208</f>
        <v>30101</v>
      </c>
      <c r="AF22" s="402">
        <f>★仕入先!$A$170</f>
        <v>20351</v>
      </c>
      <c r="AG22" s="402">
        <f>★仕入先!$A$34</f>
        <v>10113</v>
      </c>
      <c r="AH22" s="402">
        <f>★仕入先!$A$208</f>
        <v>30101</v>
      </c>
      <c r="AI22" s="402">
        <f>★仕入先!$A$170</f>
        <v>20351</v>
      </c>
      <c r="AJ22" s="402">
        <f>★仕入先!$A$34</f>
        <v>10113</v>
      </c>
      <c r="AK22" s="402">
        <f>★仕入先!$A$208</f>
        <v>30101</v>
      </c>
      <c r="AL22" s="402">
        <f>★仕入先!$A$170</f>
        <v>20351</v>
      </c>
      <c r="AM22" s="402">
        <f>★仕入先!$A$39</f>
        <v>10142</v>
      </c>
      <c r="AN22" s="402">
        <f>★仕入先!$A$208</f>
        <v>30101</v>
      </c>
      <c r="AO22" s="402">
        <f>★仕入先!$A$170</f>
        <v>20351</v>
      </c>
      <c r="AP22" s="402">
        <f>★仕入先!$A$34</f>
        <v>10113</v>
      </c>
      <c r="AQ22" s="402">
        <f>★仕入先!$A$208</f>
        <v>30101</v>
      </c>
      <c r="AR22" s="402">
        <f>★仕入先!$A$170</f>
        <v>20351</v>
      </c>
    </row>
    <row r="23" spans="1:44" ht="23.1" customHeight="1">
      <c r="A23" s="56"/>
      <c r="B23" s="57" t="s">
        <v>64</v>
      </c>
      <c r="C23" s="58">
        <v>2200</v>
      </c>
      <c r="D23" s="19"/>
      <c r="E23" s="53"/>
      <c r="F23" s="50"/>
      <c r="G23" s="53"/>
      <c r="H23" s="53"/>
      <c r="I23" s="50"/>
      <c r="J23" s="53"/>
      <c r="K23" s="53"/>
      <c r="L23" s="50"/>
      <c r="M23" s="53"/>
      <c r="N23" s="53"/>
      <c r="O23" s="50"/>
      <c r="P23" s="53"/>
      <c r="Q23" s="53"/>
      <c r="R23" s="50"/>
      <c r="S23" s="53"/>
      <c r="T23" s="53"/>
      <c r="U23" s="50"/>
      <c r="V23" s="119"/>
      <c r="X23" s="402">
        <f>★仕入先!$A$15</f>
        <v>10024</v>
      </c>
      <c r="Y23" s="402">
        <f>★仕入先!$A$208</f>
        <v>30101</v>
      </c>
      <c r="Z23" s="402">
        <f>★仕入先!$A$170</f>
        <v>20351</v>
      </c>
    </row>
    <row r="24" spans="1:44" ht="23.1" customHeight="1">
      <c r="A24" s="56"/>
      <c r="B24" s="57" t="s">
        <v>65</v>
      </c>
      <c r="C24" s="58">
        <v>1350</v>
      </c>
      <c r="D24" s="19"/>
      <c r="E24" s="53"/>
      <c r="F24" s="50">
        <v>70</v>
      </c>
      <c r="G24" s="19"/>
      <c r="H24" s="53"/>
      <c r="I24" s="50">
        <v>100</v>
      </c>
      <c r="J24" s="19"/>
      <c r="K24" s="53"/>
      <c r="L24" s="50">
        <v>15</v>
      </c>
      <c r="M24" s="19"/>
      <c r="N24" s="65" t="s">
        <v>65</v>
      </c>
      <c r="O24" s="66"/>
      <c r="P24" s="53"/>
      <c r="Q24" s="53"/>
      <c r="R24" s="50"/>
      <c r="S24" s="53"/>
      <c r="T24" s="53"/>
      <c r="U24" s="50">
        <v>30</v>
      </c>
      <c r="V24" s="28"/>
      <c r="X24" s="402">
        <f>★仕入先!$A$16</f>
        <v>10027</v>
      </c>
      <c r="Y24" s="402">
        <f>★仕入先!$A$208</f>
        <v>30101</v>
      </c>
      <c r="Z24" s="402">
        <f>★仕入先!$A$170</f>
        <v>20351</v>
      </c>
      <c r="AA24" s="402">
        <f>★仕入先!$A$34</f>
        <v>10113</v>
      </c>
      <c r="AB24" s="402">
        <f>★仕入先!$A$208</f>
        <v>30101</v>
      </c>
      <c r="AC24" s="402">
        <f>★仕入先!$A$170</f>
        <v>20351</v>
      </c>
      <c r="AD24" s="402">
        <f>★仕入先!$A$32</f>
        <v>10104</v>
      </c>
      <c r="AE24" s="402">
        <f>★仕入先!$A$208</f>
        <v>30101</v>
      </c>
      <c r="AF24" s="402">
        <f>★仕入先!$A$170</f>
        <v>20351</v>
      </c>
      <c r="AG24" s="402">
        <f>★仕入先!$A$34</f>
        <v>10113</v>
      </c>
      <c r="AH24" s="402">
        <f>★仕入先!$A$208</f>
        <v>30101</v>
      </c>
      <c r="AI24" s="402">
        <f>★仕入先!$A$170</f>
        <v>20351</v>
      </c>
      <c r="AP24" s="402">
        <f>★仕入先!$A$34</f>
        <v>10113</v>
      </c>
      <c r="AQ24" s="402">
        <f>★仕入先!$A$208</f>
        <v>30101</v>
      </c>
      <c r="AR24" s="402">
        <f>★仕入先!$A$170</f>
        <v>20351</v>
      </c>
    </row>
    <row r="25" spans="1:44" ht="23.1" customHeight="1">
      <c r="A25" s="56"/>
      <c r="B25" s="57" t="s">
        <v>66</v>
      </c>
      <c r="C25" s="58">
        <v>800</v>
      </c>
      <c r="D25" s="19"/>
      <c r="E25" s="53"/>
      <c r="F25" s="50">
        <v>45</v>
      </c>
      <c r="G25" s="19"/>
      <c r="H25" s="53"/>
      <c r="I25" s="50">
        <v>50</v>
      </c>
      <c r="J25" s="19"/>
      <c r="K25" s="53"/>
      <c r="L25" s="50">
        <v>10</v>
      </c>
      <c r="M25" s="19"/>
      <c r="N25" s="53"/>
      <c r="O25" s="50"/>
      <c r="P25" s="53"/>
      <c r="Q25" s="53"/>
      <c r="R25" s="50"/>
      <c r="S25" s="53"/>
      <c r="T25" s="53"/>
      <c r="U25" s="50"/>
      <c r="V25" s="119"/>
      <c r="X25" s="402">
        <f>★仕入先!$A$17</f>
        <v>10028</v>
      </c>
      <c r="Y25" s="402">
        <f>★仕入先!$A$208</f>
        <v>30101</v>
      </c>
      <c r="Z25" s="402">
        <f>★仕入先!$A$170</f>
        <v>20351</v>
      </c>
      <c r="AA25" s="402">
        <f>★仕入先!$A$34</f>
        <v>10113</v>
      </c>
      <c r="AB25" s="402">
        <f>★仕入先!$A$208</f>
        <v>30101</v>
      </c>
      <c r="AC25" s="402">
        <f>★仕入先!$A$170</f>
        <v>20351</v>
      </c>
      <c r="AD25" s="402">
        <f>★仕入先!$A$30</f>
        <v>10102</v>
      </c>
      <c r="AE25" s="402">
        <f>★仕入先!$A$208</f>
        <v>30101</v>
      </c>
      <c r="AF25" s="402">
        <f>★仕入先!$A$170</f>
        <v>20351</v>
      </c>
      <c r="AG25" s="402">
        <f>★仕入先!$A$34</f>
        <v>10113</v>
      </c>
      <c r="AH25" s="402">
        <f>★仕入先!$A$208</f>
        <v>30101</v>
      </c>
      <c r="AI25" s="402">
        <f>★仕入先!$A$170</f>
        <v>20351</v>
      </c>
    </row>
    <row r="26" spans="1:44" ht="23.1" customHeight="1">
      <c r="A26" s="56"/>
      <c r="B26" s="67" t="s">
        <v>67</v>
      </c>
      <c r="C26" s="48">
        <v>1700</v>
      </c>
      <c r="D26" s="19"/>
      <c r="E26" s="53"/>
      <c r="F26" s="155">
        <v>30</v>
      </c>
      <c r="G26" s="19"/>
      <c r="H26" s="62"/>
      <c r="I26" s="55"/>
      <c r="J26" s="53"/>
      <c r="K26" s="53"/>
      <c r="L26" s="155">
        <v>10</v>
      </c>
      <c r="M26" s="19"/>
      <c r="N26" s="53"/>
      <c r="O26" s="155">
        <v>5</v>
      </c>
      <c r="P26" s="19"/>
      <c r="Q26" s="53"/>
      <c r="R26" s="155"/>
      <c r="S26" s="53"/>
      <c r="T26" s="53"/>
      <c r="U26" s="155">
        <v>15</v>
      </c>
      <c r="V26" s="28"/>
      <c r="X26" s="402">
        <f>★仕入先!$A$18</f>
        <v>10029</v>
      </c>
      <c r="Y26" s="402">
        <f>★仕入先!$A$208</f>
        <v>30101</v>
      </c>
      <c r="Z26" s="402">
        <f>★仕入先!$A$170</f>
        <v>20351</v>
      </c>
      <c r="AA26" s="402">
        <f>★仕入先!$A$18</f>
        <v>10029</v>
      </c>
      <c r="AB26" s="402">
        <f>★仕入先!$A$208</f>
        <v>30101</v>
      </c>
      <c r="AC26" s="402">
        <f>★仕入先!$A$170</f>
        <v>20351</v>
      </c>
      <c r="AG26" s="402">
        <f>★仕入先!$A$18</f>
        <v>10029</v>
      </c>
      <c r="AH26" s="402">
        <f>★仕入先!$A$208</f>
        <v>30101</v>
      </c>
      <c r="AI26" s="402">
        <f>★仕入先!$A$170</f>
        <v>20351</v>
      </c>
      <c r="AJ26" s="402">
        <f>★仕入先!$A$18</f>
        <v>10029</v>
      </c>
      <c r="AK26" s="402">
        <f>★仕入先!$A$208</f>
        <v>30101</v>
      </c>
      <c r="AL26" s="402">
        <f>★仕入先!$A$170</f>
        <v>20351</v>
      </c>
      <c r="AP26" s="402">
        <f>★仕入先!$A$18</f>
        <v>10029</v>
      </c>
      <c r="AQ26" s="402">
        <f>★仕入先!$A$208</f>
        <v>30101</v>
      </c>
      <c r="AR26" s="402">
        <f>★仕入先!$A$170</f>
        <v>20351</v>
      </c>
    </row>
    <row r="27" spans="1:44" ht="23.1" customHeight="1">
      <c r="A27" s="56"/>
      <c r="B27" s="67" t="s">
        <v>68</v>
      </c>
      <c r="C27" s="48">
        <v>2000</v>
      </c>
      <c r="D27" s="19"/>
      <c r="E27" s="53"/>
      <c r="F27" s="155">
        <v>60</v>
      </c>
      <c r="G27" s="19"/>
      <c r="H27" s="62"/>
      <c r="I27" s="55"/>
      <c r="J27" s="53"/>
      <c r="K27" s="53"/>
      <c r="L27" s="155">
        <v>20</v>
      </c>
      <c r="M27" s="19"/>
      <c r="N27" s="53"/>
      <c r="O27" s="155">
        <v>20</v>
      </c>
      <c r="P27" s="19"/>
      <c r="Q27" s="53"/>
      <c r="R27" s="155"/>
      <c r="S27" s="53"/>
      <c r="T27" s="53"/>
      <c r="U27" s="155">
        <v>35</v>
      </c>
      <c r="V27" s="28"/>
      <c r="X27" s="402">
        <f>★仕入先!$A$19</f>
        <v>10033</v>
      </c>
      <c r="Y27" s="402">
        <f>★仕入先!$A$208</f>
        <v>30101</v>
      </c>
      <c r="Z27" s="402">
        <f>★仕入先!$A$170</f>
        <v>20351</v>
      </c>
      <c r="AA27" s="402">
        <f>★仕入先!$A$19</f>
        <v>10033</v>
      </c>
      <c r="AB27" s="402">
        <f>★仕入先!$A$208</f>
        <v>30101</v>
      </c>
      <c r="AC27" s="402">
        <f>★仕入先!$A$170</f>
        <v>20351</v>
      </c>
      <c r="AG27" s="402">
        <f>★仕入先!$A$19</f>
        <v>10033</v>
      </c>
      <c r="AH27" s="402">
        <f>★仕入先!$A$208</f>
        <v>30101</v>
      </c>
      <c r="AI27" s="402">
        <f>★仕入先!$A$170</f>
        <v>20351</v>
      </c>
      <c r="AJ27" s="402">
        <f>★仕入先!$A$19</f>
        <v>10033</v>
      </c>
      <c r="AK27" s="402">
        <f>★仕入先!$A$208</f>
        <v>30101</v>
      </c>
      <c r="AL27" s="402">
        <f>★仕入先!$A$170</f>
        <v>20351</v>
      </c>
      <c r="AP27" s="402">
        <f>★仕入先!$A$19</f>
        <v>10033</v>
      </c>
      <c r="AQ27" s="402">
        <f>★仕入先!$A$208</f>
        <v>30101</v>
      </c>
      <c r="AR27" s="402">
        <f>★仕入先!$A$170</f>
        <v>20351</v>
      </c>
    </row>
    <row r="28" spans="1:44" ht="23.1" customHeight="1">
      <c r="A28" s="51"/>
      <c r="B28" s="67" t="s">
        <v>43</v>
      </c>
      <c r="C28" s="48">
        <v>200</v>
      </c>
      <c r="D28" s="19"/>
      <c r="E28" s="68"/>
      <c r="F28" s="50">
        <v>10</v>
      </c>
      <c r="G28" s="20"/>
      <c r="H28" s="68"/>
      <c r="I28" s="50"/>
      <c r="J28" s="68"/>
      <c r="K28" s="68"/>
      <c r="L28" s="50"/>
      <c r="M28" s="68"/>
      <c r="N28" s="68"/>
      <c r="O28" s="50">
        <v>5</v>
      </c>
      <c r="P28" s="20"/>
      <c r="Q28" s="68"/>
      <c r="R28" s="50"/>
      <c r="S28" s="68"/>
      <c r="T28" s="68"/>
      <c r="U28" s="50">
        <v>5</v>
      </c>
      <c r="V28" s="29"/>
      <c r="X28" s="402">
        <f>★仕入先!$A$20</f>
        <v>10036</v>
      </c>
      <c r="Y28" s="402">
        <f>★仕入先!$A$208</f>
        <v>30101</v>
      </c>
      <c r="Z28" s="402">
        <f>★仕入先!$A$170</f>
        <v>20351</v>
      </c>
      <c r="AA28" s="402">
        <f>★仕入先!$A$20</f>
        <v>10036</v>
      </c>
      <c r="AB28" s="402">
        <f>★仕入先!$A$208</f>
        <v>30101</v>
      </c>
      <c r="AC28" s="402">
        <f>★仕入先!$A$170</f>
        <v>20351</v>
      </c>
      <c r="AG28" s="402">
        <f>★仕入先!$A$20</f>
        <v>10036</v>
      </c>
      <c r="AH28" s="402">
        <f>★仕入先!$A$208</f>
        <v>30101</v>
      </c>
      <c r="AI28" s="402">
        <f>★仕入先!$A$170</f>
        <v>20351</v>
      </c>
      <c r="AJ28" s="402">
        <f>★仕入先!$A$20</f>
        <v>10036</v>
      </c>
      <c r="AK28" s="402">
        <f>★仕入先!$A$208</f>
        <v>30101</v>
      </c>
      <c r="AL28" s="402">
        <f>★仕入先!$A$170</f>
        <v>20351</v>
      </c>
      <c r="AP28" s="402">
        <f>★仕入先!$A$20</f>
        <v>10036</v>
      </c>
      <c r="AQ28" s="402">
        <f>★仕入先!$A$208</f>
        <v>30101</v>
      </c>
      <c r="AR28" s="402">
        <f>★仕入先!$A$170</f>
        <v>20351</v>
      </c>
    </row>
    <row r="29" spans="1:44" ht="23.1" customHeight="1" thickBot="1">
      <c r="A29" s="69"/>
      <c r="B29" s="70" t="s">
        <v>69</v>
      </c>
      <c r="C29" s="71">
        <v>1850</v>
      </c>
      <c r="D29" s="27"/>
      <c r="E29" s="72"/>
      <c r="F29" s="73"/>
      <c r="G29" s="72"/>
      <c r="H29" s="72"/>
      <c r="I29" s="73"/>
      <c r="J29" s="72"/>
      <c r="K29" s="72"/>
      <c r="L29" s="73"/>
      <c r="M29" s="72"/>
      <c r="N29" s="72"/>
      <c r="O29" s="73"/>
      <c r="P29" s="72"/>
      <c r="Q29" s="72"/>
      <c r="R29" s="74"/>
      <c r="S29" s="72"/>
      <c r="T29" s="72"/>
      <c r="U29" s="73"/>
      <c r="V29" s="84"/>
      <c r="X29" s="402">
        <f>★仕入先!$A$67</f>
        <v>10476</v>
      </c>
      <c r="Y29" s="402">
        <f>★仕入先!$A$208</f>
        <v>30101</v>
      </c>
      <c r="Z29" s="402">
        <f>★仕入先!$A$170</f>
        <v>20351</v>
      </c>
    </row>
    <row r="30" spans="1:44" ht="17.25" customHeight="1">
      <c r="A30" s="75" t="s">
        <v>12</v>
      </c>
      <c r="B30" s="76" t="s">
        <v>13</v>
      </c>
      <c r="C30" s="77"/>
      <c r="D30" s="78"/>
      <c r="E30" s="78"/>
      <c r="F30" s="79"/>
      <c r="G30" s="78"/>
      <c r="H30" s="78"/>
      <c r="I30" s="79"/>
      <c r="J30" s="80"/>
      <c r="K30" s="78"/>
      <c r="L30" s="79"/>
      <c r="M30" s="78"/>
      <c r="N30" s="78"/>
      <c r="O30" s="79"/>
      <c r="P30" s="78"/>
      <c r="Q30" s="78"/>
      <c r="R30" s="79"/>
      <c r="S30" s="80"/>
      <c r="T30" s="78"/>
      <c r="U30" s="79"/>
      <c r="V30" s="81"/>
    </row>
    <row r="31" spans="1:44" ht="22.5" customHeight="1" thickBot="1">
      <c r="A31" s="82">
        <f>SUM(C31,F31,I31,L31,O31,R31,U31)</f>
        <v>55975</v>
      </c>
      <c r="B31" s="211">
        <f>SUM(D31,G31,J31,M31,P31,S31,V31)</f>
        <v>0</v>
      </c>
      <c r="C31" s="71">
        <f>SUM(C8:C29)</f>
        <v>40450</v>
      </c>
      <c r="D31" s="83" t="str">
        <f>IF(SUM(D8:D30)=0," ",SUM(D8:D30))</f>
        <v xml:space="preserve"> </v>
      </c>
      <c r="E31" s="72"/>
      <c r="F31" s="73">
        <f>SUM(F8:F29)</f>
        <v>4470</v>
      </c>
      <c r="G31" s="72" t="str">
        <f>IF(SUM(G8:G30)=0," ",SUM(G8:G30))</f>
        <v xml:space="preserve"> </v>
      </c>
      <c r="H31" s="72"/>
      <c r="I31" s="73">
        <f>SUM(I8:I29)</f>
        <v>5560</v>
      </c>
      <c r="J31" s="83" t="str">
        <f>IF(SUM(J8:J30)=0," ",SUM(J8:J30))</f>
        <v xml:space="preserve"> </v>
      </c>
      <c r="K31" s="72"/>
      <c r="L31" s="73">
        <f>SUM(L8:L29)</f>
        <v>1525</v>
      </c>
      <c r="M31" s="72" t="str">
        <f>IF(SUM(M8:M30)=0," ",SUM(M8:M30))</f>
        <v xml:space="preserve"> </v>
      </c>
      <c r="N31" s="72"/>
      <c r="O31" s="73">
        <f>SUM(O8:O29)</f>
        <v>515</v>
      </c>
      <c r="P31" s="72" t="str">
        <f>IF(SUM(P8:P30)=0," ",SUM(P8:P30))</f>
        <v xml:space="preserve"> </v>
      </c>
      <c r="Q31" s="72"/>
      <c r="R31" s="73">
        <f>SUM(R8:R29)</f>
        <v>1420</v>
      </c>
      <c r="S31" s="83" t="str">
        <f>IF(SUM(S8:S30)=0," ",SUM(S8:S30))</f>
        <v xml:space="preserve"> </v>
      </c>
      <c r="T31" s="72"/>
      <c r="U31" s="73">
        <f>SUM(U8:U29)</f>
        <v>2035</v>
      </c>
      <c r="V31" s="84" t="str">
        <f>IF(SUM(V8:V30)=0," ",SUM(V8:V30))</f>
        <v xml:space="preserve"> </v>
      </c>
    </row>
    <row r="32" spans="1:44">
      <c r="A32" s="32"/>
      <c r="B32" s="32"/>
      <c r="C32" s="32"/>
      <c r="D32" s="32"/>
      <c r="E32" s="32"/>
      <c r="F32" s="32"/>
      <c r="G32" s="85"/>
      <c r="H32" s="85"/>
      <c r="I32" s="32"/>
      <c r="J32" s="32"/>
      <c r="K32" s="32"/>
      <c r="L32" s="32"/>
      <c r="M32" s="32"/>
      <c r="N32" s="32"/>
      <c r="O32" s="32"/>
      <c r="P32" s="32"/>
      <c r="Q32" s="32"/>
      <c r="R32" s="32"/>
      <c r="S32" s="32"/>
      <c r="T32" s="32"/>
      <c r="U32" s="32"/>
      <c r="V32" s="32"/>
    </row>
    <row r="33" spans="1:22">
      <c r="A33" s="32"/>
      <c r="B33" s="32"/>
      <c r="C33" s="32"/>
      <c r="D33" s="32"/>
      <c r="E33" s="32"/>
      <c r="F33" s="32"/>
      <c r="G33" s="32"/>
      <c r="H33" s="32"/>
      <c r="I33" s="32"/>
      <c r="J33" s="32"/>
      <c r="K33" s="32"/>
      <c r="L33" s="32"/>
      <c r="M33" s="32"/>
      <c r="N33" s="32"/>
      <c r="O33" s="32"/>
      <c r="P33" s="32"/>
      <c r="Q33" s="32"/>
      <c r="R33" s="32"/>
      <c r="S33" s="32"/>
      <c r="T33" s="32"/>
      <c r="U33" s="32"/>
      <c r="V33" s="32"/>
    </row>
    <row r="34" spans="1:22">
      <c r="A34" s="32"/>
      <c r="B34" s="32"/>
      <c r="C34" s="32"/>
      <c r="D34" s="32"/>
      <c r="E34" s="32"/>
      <c r="F34" s="32"/>
      <c r="G34" s="32"/>
      <c r="H34" s="32"/>
      <c r="I34" s="32"/>
      <c r="J34" s="32"/>
      <c r="K34" s="32"/>
      <c r="L34" s="32"/>
      <c r="M34" s="32"/>
      <c r="N34" s="32"/>
      <c r="O34" s="32"/>
      <c r="P34" s="32"/>
      <c r="Q34" s="32"/>
      <c r="R34" s="32"/>
      <c r="S34" s="32"/>
      <c r="T34" s="32"/>
      <c r="U34" s="32"/>
      <c r="V34" s="32"/>
    </row>
  </sheetData>
  <sheetProtection sheet="1" objects="1" scenarios="1"/>
  <mergeCells count="26">
    <mergeCell ref="AP5:AR5"/>
    <mergeCell ref="X5:Z5"/>
    <mergeCell ref="AA5:AC5"/>
    <mergeCell ref="AD5:AF5"/>
    <mergeCell ref="AG5:AI5"/>
    <mergeCell ref="AJ5:AL5"/>
    <mergeCell ref="AM5:AO5"/>
    <mergeCell ref="T6:V6"/>
    <mergeCell ref="E6:G6"/>
    <mergeCell ref="H6:J6"/>
    <mergeCell ref="U1:V1"/>
    <mergeCell ref="M3:O4"/>
    <mergeCell ref="P3:P4"/>
    <mergeCell ref="Q3:R4"/>
    <mergeCell ref="K3:L4"/>
    <mergeCell ref="S3:V4"/>
    <mergeCell ref="K6:M6"/>
    <mergeCell ref="N6:P6"/>
    <mergeCell ref="A4:B4"/>
    <mergeCell ref="A1:S1"/>
    <mergeCell ref="C6:D6"/>
    <mergeCell ref="Q6:S6"/>
    <mergeCell ref="A3:B3"/>
    <mergeCell ref="G3:G4"/>
    <mergeCell ref="I3:J4"/>
    <mergeCell ref="C4:F4"/>
  </mergeCells>
  <phoneticPr fontId="15"/>
  <printOptions horizontalCentered="1" verticalCentered="1"/>
  <pageMargins left="0.39370078740157483" right="0" top="0.59055118110236227" bottom="0.59055118110236227" header="0.39370078740157483" footer="0.19685039370078741"/>
  <pageSetup paperSize="9" scale="80" orientation="landscape" r:id="rId1"/>
  <headerFooter alignWithMargins="0">
    <oddFooter xml:space="preserve">&amp;C&amp;"ＭＳ Ｐゴシック,太字"日本海折込センター&amp;R&amp;"ＭＳ Ｐゴシック,太字"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U39"/>
  <sheetViews>
    <sheetView zoomScale="68" zoomScaleNormal="68" zoomScaleSheetLayoutView="70" workbookViewId="0">
      <pane xSplit="2" ySplit="7" topLeftCell="C8" activePane="bottomRight" state="frozen"/>
      <selection activeCell="I18" sqref="I18"/>
      <selection pane="topRight" activeCell="I18" sqref="I18"/>
      <selection pane="bottomLeft" activeCell="I18" sqref="I18"/>
      <selection pane="bottomRight" activeCell="D11" sqref="D11"/>
    </sheetView>
  </sheetViews>
  <sheetFormatPr defaultColWidth="9" defaultRowHeight="14.25"/>
  <cols>
    <col min="1" max="1" width="15.875" style="98" customWidth="1"/>
    <col min="2" max="2" width="11.25" style="98" bestFit="1" customWidth="1"/>
    <col min="3" max="3" width="9.625" style="98" customWidth="1"/>
    <col min="4" max="4" width="11.125" style="98" bestFit="1" customWidth="1"/>
    <col min="5" max="5" width="2.125" style="30" customWidth="1"/>
    <col min="6" max="6" width="8.125" style="30" customWidth="1"/>
    <col min="7" max="7" width="9.625" style="30" customWidth="1"/>
    <col min="8" max="8" width="2.125" style="30" customWidth="1"/>
    <col min="9" max="9" width="8.125" style="30" customWidth="1"/>
    <col min="10" max="10" width="9.625" style="30" customWidth="1"/>
    <col min="11" max="11" width="2.125" style="30" customWidth="1"/>
    <col min="12" max="12" width="8.125" style="30" customWidth="1"/>
    <col min="13" max="13" width="9.625" style="30" customWidth="1"/>
    <col min="14" max="14" width="2.125" style="30" customWidth="1"/>
    <col min="15" max="15" width="8.125" style="30" customWidth="1"/>
    <col min="16" max="16" width="9.625" style="30" customWidth="1"/>
    <col min="17" max="17" width="2.125" style="30" customWidth="1"/>
    <col min="18" max="18" width="8.125" style="30" customWidth="1"/>
    <col min="19" max="19" width="9.625" style="30" customWidth="1"/>
    <col min="20" max="20" width="2.125" style="30" customWidth="1"/>
    <col min="21" max="21" width="8.125" style="30" customWidth="1"/>
    <col min="22" max="22" width="9.625" style="30" customWidth="1"/>
    <col min="23" max="23" width="9" style="98" hidden="1" customWidth="1"/>
    <col min="24" max="44" width="9" style="212" hidden="1" customWidth="1"/>
    <col min="45" max="45" width="9" style="31" hidden="1" customWidth="1"/>
    <col min="46" max="47" width="9" style="31"/>
    <col min="48" max="16384" width="9" style="98"/>
  </cols>
  <sheetData>
    <row r="1" spans="1:47">
      <c r="A1" s="778" t="s">
        <v>0</v>
      </c>
      <c r="B1" s="778"/>
      <c r="C1" s="778"/>
      <c r="D1" s="778"/>
      <c r="E1" s="778"/>
      <c r="F1" s="778"/>
      <c r="G1" s="778"/>
      <c r="H1" s="778"/>
      <c r="I1" s="778"/>
      <c r="J1" s="778"/>
      <c r="K1" s="778"/>
      <c r="L1" s="778"/>
      <c r="M1" s="778"/>
      <c r="N1" s="778"/>
      <c r="O1" s="778"/>
      <c r="P1" s="778"/>
      <c r="Q1" s="778"/>
      <c r="R1" s="778"/>
      <c r="S1" s="778"/>
      <c r="T1" s="212"/>
      <c r="U1" s="704">
        <f>①総合計!R1</f>
        <v>2023.1</v>
      </c>
      <c r="V1" s="704"/>
    </row>
    <row r="2" spans="1:47" ht="15" thickBot="1">
      <c r="A2" s="32"/>
      <c r="B2" s="32"/>
      <c r="C2" s="32"/>
      <c r="D2" s="32"/>
      <c r="E2" s="32"/>
      <c r="F2" s="32"/>
      <c r="G2" s="32"/>
      <c r="H2" s="32"/>
      <c r="I2" s="32"/>
      <c r="J2" s="32"/>
      <c r="K2" s="32"/>
      <c r="L2" s="32"/>
      <c r="M2" s="32"/>
      <c r="N2" s="32"/>
      <c r="O2" s="32"/>
      <c r="P2" s="32"/>
      <c r="Q2" s="32"/>
      <c r="R2" s="32"/>
      <c r="S2" s="32"/>
      <c r="T2" s="32"/>
      <c r="U2" s="32"/>
      <c r="V2" s="100" t="s">
        <v>70</v>
      </c>
    </row>
    <row r="3" spans="1:47" ht="20.100000000000001" customHeight="1">
      <c r="A3" s="783" t="s">
        <v>1</v>
      </c>
      <c r="B3" s="784"/>
      <c r="C3" s="33" t="s">
        <v>2</v>
      </c>
      <c r="D3" s="34"/>
      <c r="E3" s="34"/>
      <c r="F3" s="35"/>
      <c r="G3" s="785" t="s">
        <v>145</v>
      </c>
      <c r="H3" s="36"/>
      <c r="I3" s="787" t="str">
        <f>IF(①総合計!I3= 0," ",①総合計!I3)</f>
        <v xml:space="preserve"> </v>
      </c>
      <c r="J3" s="787"/>
      <c r="K3" s="785" t="s">
        <v>3</v>
      </c>
      <c r="L3" s="800"/>
      <c r="M3" s="792" t="str">
        <f>IF(SUM(B23,B29,B36)=0," ",SUM(B23,B29,B36))</f>
        <v xml:space="preserve"> </v>
      </c>
      <c r="N3" s="793"/>
      <c r="O3" s="793"/>
      <c r="P3" s="796" t="str">
        <f>①総合計!L3</f>
        <v xml:space="preserve"> </v>
      </c>
      <c r="Q3" s="785" t="s">
        <v>4</v>
      </c>
      <c r="R3" s="798"/>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86"/>
      <c r="H4" s="37"/>
      <c r="I4" s="788"/>
      <c r="J4" s="788"/>
      <c r="K4" s="786"/>
      <c r="L4" s="801"/>
      <c r="M4" s="794"/>
      <c r="N4" s="795"/>
      <c r="O4" s="795"/>
      <c r="P4" s="797"/>
      <c r="Q4" s="786"/>
      <c r="R4" s="799"/>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10</v>
      </c>
      <c r="AN5" s="609"/>
      <c r="AO5" s="609"/>
      <c r="AP5" s="806" t="s">
        <v>280</v>
      </c>
      <c r="AQ5" s="609"/>
      <c r="AR5" s="609"/>
    </row>
    <row r="6" spans="1:47">
      <c r="A6" s="38" t="s">
        <v>46</v>
      </c>
      <c r="B6" s="104"/>
      <c r="C6" s="696" t="s">
        <v>6</v>
      </c>
      <c r="D6" s="697"/>
      <c r="E6" s="780" t="s">
        <v>7</v>
      </c>
      <c r="F6" s="781"/>
      <c r="G6" s="781"/>
      <c r="H6" s="780" t="s">
        <v>8</v>
      </c>
      <c r="I6" s="781"/>
      <c r="J6" s="781"/>
      <c r="K6" s="780" t="s">
        <v>9</v>
      </c>
      <c r="L6" s="781"/>
      <c r="M6" s="781"/>
      <c r="N6" s="780" t="s">
        <v>228</v>
      </c>
      <c r="O6" s="781"/>
      <c r="P6" s="781"/>
      <c r="Q6" s="780" t="s">
        <v>10</v>
      </c>
      <c r="R6" s="781"/>
      <c r="S6" s="781"/>
      <c r="T6" s="780" t="s">
        <v>11</v>
      </c>
      <c r="U6" s="781"/>
      <c r="V6" s="791"/>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215" t="s">
        <v>47</v>
      </c>
      <c r="B7" s="41" t="s">
        <v>232</v>
      </c>
      <c r="C7" s="216" t="s">
        <v>14</v>
      </c>
      <c r="D7" s="217" t="s">
        <v>15</v>
      </c>
      <c r="E7" s="43"/>
      <c r="F7" s="44" t="s">
        <v>14</v>
      </c>
      <c r="G7" s="43" t="s">
        <v>15</v>
      </c>
      <c r="H7" s="43"/>
      <c r="I7" s="277" t="s">
        <v>14</v>
      </c>
      <c r="J7" s="216" t="s">
        <v>15</v>
      </c>
      <c r="K7" s="43"/>
      <c r="L7" s="277" t="s">
        <v>14</v>
      </c>
      <c r="M7" s="216" t="s">
        <v>15</v>
      </c>
      <c r="N7" s="43"/>
      <c r="O7" s="277" t="s">
        <v>14</v>
      </c>
      <c r="P7" s="216" t="s">
        <v>15</v>
      </c>
      <c r="Q7" s="43"/>
      <c r="R7" s="336" t="s">
        <v>14</v>
      </c>
      <c r="S7" s="216" t="s">
        <v>15</v>
      </c>
      <c r="T7" s="43"/>
      <c r="U7" s="277" t="s">
        <v>14</v>
      </c>
      <c r="V7" s="218" t="s">
        <v>15</v>
      </c>
      <c r="W7" s="26"/>
      <c r="X7" s="42">
        <v>1</v>
      </c>
      <c r="Y7" s="42">
        <v>1</v>
      </c>
      <c r="Z7" s="42">
        <v>1</v>
      </c>
      <c r="AA7" s="42">
        <v>3</v>
      </c>
      <c r="AB7" s="42">
        <v>3</v>
      </c>
      <c r="AC7" s="42">
        <v>3</v>
      </c>
      <c r="AD7" s="42">
        <v>2</v>
      </c>
      <c r="AE7" s="42">
        <v>2</v>
      </c>
      <c r="AF7" s="42">
        <v>2</v>
      </c>
      <c r="AG7" s="42">
        <v>4</v>
      </c>
      <c r="AH7" s="42">
        <v>4</v>
      </c>
      <c r="AI7" s="42">
        <v>4</v>
      </c>
      <c r="AJ7" s="42">
        <v>5</v>
      </c>
      <c r="AK7" s="42">
        <v>5</v>
      </c>
      <c r="AL7" s="42">
        <v>5</v>
      </c>
      <c r="AM7" s="42">
        <v>6</v>
      </c>
      <c r="AN7" s="42">
        <v>6</v>
      </c>
      <c r="AO7" s="42">
        <v>6</v>
      </c>
      <c r="AP7" s="42">
        <v>7</v>
      </c>
      <c r="AQ7" s="42">
        <v>7</v>
      </c>
      <c r="AR7" s="42">
        <v>7</v>
      </c>
      <c r="AS7" s="26"/>
      <c r="AT7" s="26"/>
      <c r="AU7" s="26"/>
    </row>
    <row r="8" spans="1:47" ht="23.1" customHeight="1">
      <c r="A8" s="219" t="s">
        <v>150</v>
      </c>
      <c r="B8" s="220" t="s">
        <v>71</v>
      </c>
      <c r="C8" s="48">
        <v>1700</v>
      </c>
      <c r="D8" s="3"/>
      <c r="E8" s="313"/>
      <c r="F8" s="155">
        <v>70</v>
      </c>
      <c r="G8" s="3"/>
      <c r="H8" s="313"/>
      <c r="I8" s="155">
        <v>280</v>
      </c>
      <c r="J8" s="3"/>
      <c r="K8" s="313"/>
      <c r="L8" s="155">
        <v>10</v>
      </c>
      <c r="M8" s="3"/>
      <c r="N8" s="313"/>
      <c r="O8" s="155">
        <v>15</v>
      </c>
      <c r="P8" s="3"/>
      <c r="Q8" s="313"/>
      <c r="R8" s="303">
        <v>30</v>
      </c>
      <c r="S8" s="3"/>
      <c r="T8" s="313"/>
      <c r="U8" s="155">
        <v>60</v>
      </c>
      <c r="V8" s="272"/>
      <c r="X8" s="402">
        <f>★仕入先!$A$48</f>
        <v>10414</v>
      </c>
      <c r="Y8" s="402">
        <f>★仕入先!$A$208</f>
        <v>30101</v>
      </c>
      <c r="Z8" s="402">
        <f>★仕入先!$A$170</f>
        <v>20351</v>
      </c>
      <c r="AA8" s="402">
        <f>★仕入先!$A$47</f>
        <v>10413</v>
      </c>
      <c r="AB8" s="402">
        <f>★仕入先!$A$208</f>
        <v>30101</v>
      </c>
      <c r="AC8" s="402">
        <f>★仕入先!$A$170</f>
        <v>20351</v>
      </c>
      <c r="AD8" s="402">
        <f>★仕入先!$A$46</f>
        <v>10412</v>
      </c>
      <c r="AE8" s="402">
        <f>★仕入先!$A$208</f>
        <v>30101</v>
      </c>
      <c r="AF8" s="402">
        <f>★仕入先!$A$170</f>
        <v>20351</v>
      </c>
      <c r="AG8" s="402">
        <f>★仕入先!$A$47</f>
        <v>10413</v>
      </c>
      <c r="AH8" s="402">
        <f>★仕入先!$A$208</f>
        <v>30101</v>
      </c>
      <c r="AI8" s="402">
        <f>★仕入先!$A$170</f>
        <v>20351</v>
      </c>
      <c r="AJ8" s="402">
        <f>★仕入先!$A$47</f>
        <v>10413</v>
      </c>
      <c r="AK8" s="402">
        <f>★仕入先!$A$208</f>
        <v>30101</v>
      </c>
      <c r="AL8" s="402">
        <f>★仕入先!$A$170</f>
        <v>20351</v>
      </c>
      <c r="AM8" s="402">
        <f>★仕入先!$A$47</f>
        <v>10413</v>
      </c>
      <c r="AN8" s="402">
        <f>★仕入先!$A$208</f>
        <v>30101</v>
      </c>
      <c r="AO8" s="402">
        <f>★仕入先!$A$170</f>
        <v>20351</v>
      </c>
      <c r="AP8" s="402">
        <f>★仕入先!$A$46</f>
        <v>10412</v>
      </c>
      <c r="AQ8" s="402">
        <f>★仕入先!$A$208</f>
        <v>30101</v>
      </c>
      <c r="AR8" s="402">
        <f>★仕入先!$A$170</f>
        <v>20351</v>
      </c>
    </row>
    <row r="9" spans="1:47" ht="23.1" customHeight="1">
      <c r="A9" s="223"/>
      <c r="B9" s="220" t="s">
        <v>72</v>
      </c>
      <c r="C9" s="48">
        <v>1550</v>
      </c>
      <c r="D9" s="3"/>
      <c r="E9" s="53"/>
      <c r="F9" s="155">
        <v>30</v>
      </c>
      <c r="G9" s="3"/>
      <c r="H9" s="53"/>
      <c r="I9" s="155">
        <v>190</v>
      </c>
      <c r="J9" s="3"/>
      <c r="K9" s="53"/>
      <c r="L9" s="155">
        <v>20</v>
      </c>
      <c r="M9" s="3"/>
      <c r="N9" s="53"/>
      <c r="O9" s="155">
        <v>15</v>
      </c>
      <c r="P9" s="3"/>
      <c r="Q9" s="53"/>
      <c r="R9" s="303"/>
      <c r="S9" s="221"/>
      <c r="T9" s="53"/>
      <c r="U9" s="155">
        <v>20</v>
      </c>
      <c r="V9" s="272"/>
      <c r="X9" s="402">
        <f>★仕入先!$A$49</f>
        <v>10421</v>
      </c>
      <c r="Y9" s="402">
        <f>★仕入先!$A$208</f>
        <v>30101</v>
      </c>
      <c r="Z9" s="402">
        <f>★仕入先!$A$170</f>
        <v>20351</v>
      </c>
      <c r="AA9" s="402">
        <f>★仕入先!$A$49</f>
        <v>10421</v>
      </c>
      <c r="AB9" s="402">
        <f>★仕入先!$A$208</f>
        <v>30101</v>
      </c>
      <c r="AC9" s="402">
        <f>★仕入先!$A$170</f>
        <v>20351</v>
      </c>
      <c r="AD9" s="402">
        <f>★仕入先!$A$50</f>
        <v>10422</v>
      </c>
      <c r="AE9" s="402">
        <f>★仕入先!$A$208</f>
        <v>30101</v>
      </c>
      <c r="AF9" s="402">
        <f>★仕入先!$A$170</f>
        <v>20351</v>
      </c>
      <c r="AG9" s="402">
        <f>★仕入先!$A$49</f>
        <v>10421</v>
      </c>
      <c r="AH9" s="402">
        <f>★仕入先!$A$208</f>
        <v>30101</v>
      </c>
      <c r="AI9" s="402">
        <f>★仕入先!$A$170</f>
        <v>20351</v>
      </c>
      <c r="AJ9" s="402">
        <f>★仕入先!$A$49</f>
        <v>10421</v>
      </c>
      <c r="AK9" s="402">
        <f>★仕入先!$A$208</f>
        <v>30101</v>
      </c>
      <c r="AL9" s="402">
        <f>★仕入先!$A$170</f>
        <v>20351</v>
      </c>
      <c r="AM9" s="402"/>
      <c r="AN9" s="402"/>
      <c r="AO9" s="402"/>
      <c r="AP9" s="402">
        <f>★仕入先!$A$50</f>
        <v>10422</v>
      </c>
      <c r="AQ9" s="402">
        <f>★仕入先!$A$208</f>
        <v>30101</v>
      </c>
      <c r="AR9" s="402">
        <f>★仕入先!$A$170</f>
        <v>20351</v>
      </c>
    </row>
    <row r="10" spans="1:47" ht="23.1" customHeight="1">
      <c r="A10" s="223"/>
      <c r="B10" s="220" t="s">
        <v>73</v>
      </c>
      <c r="C10" s="48">
        <v>950</v>
      </c>
      <c r="D10" s="3"/>
      <c r="E10" s="53"/>
      <c r="F10" s="155">
        <v>50</v>
      </c>
      <c r="G10" s="3"/>
      <c r="H10" s="53"/>
      <c r="I10" s="155">
        <v>50</v>
      </c>
      <c r="J10" s="3"/>
      <c r="K10" s="53"/>
      <c r="L10" s="155">
        <v>15</v>
      </c>
      <c r="M10" s="3"/>
      <c r="N10" s="53"/>
      <c r="O10" s="155">
        <v>5</v>
      </c>
      <c r="P10" s="3"/>
      <c r="Q10" s="53"/>
      <c r="R10" s="303"/>
      <c r="S10" s="221"/>
      <c r="T10" s="53"/>
      <c r="U10" s="155">
        <v>20</v>
      </c>
      <c r="V10" s="272"/>
      <c r="X10" s="402">
        <f>★仕入先!$A$52</f>
        <v>10434</v>
      </c>
      <c r="Y10" s="402">
        <f>★仕入先!$A$208</f>
        <v>30101</v>
      </c>
      <c r="Z10" s="402">
        <f>★仕入先!$A$170</f>
        <v>20351</v>
      </c>
      <c r="AA10" s="402">
        <f>★仕入先!$A$52</f>
        <v>10434</v>
      </c>
      <c r="AB10" s="402">
        <f>★仕入先!$A$208</f>
        <v>30101</v>
      </c>
      <c r="AC10" s="402">
        <f>★仕入先!$A$170</f>
        <v>20351</v>
      </c>
      <c r="AD10" s="402">
        <f>★仕入先!$A$51</f>
        <v>10432</v>
      </c>
      <c r="AE10" s="402">
        <f>★仕入先!$A$208</f>
        <v>30101</v>
      </c>
      <c r="AF10" s="402">
        <f>★仕入先!$A$170</f>
        <v>20351</v>
      </c>
      <c r="AG10" s="402">
        <f>★仕入先!$A$52</f>
        <v>10434</v>
      </c>
      <c r="AH10" s="402">
        <f>★仕入先!$A$208</f>
        <v>30101</v>
      </c>
      <c r="AI10" s="402">
        <f>★仕入先!$A$170</f>
        <v>20351</v>
      </c>
      <c r="AJ10" s="402">
        <f>★仕入先!$A$52</f>
        <v>10434</v>
      </c>
      <c r="AK10" s="402">
        <f>★仕入先!$A$208</f>
        <v>30101</v>
      </c>
      <c r="AL10" s="402">
        <f>★仕入先!$A$170</f>
        <v>20351</v>
      </c>
      <c r="AM10" s="402"/>
      <c r="AN10" s="402"/>
      <c r="AO10" s="402"/>
      <c r="AP10" s="402">
        <f>★仕入先!$A$51</f>
        <v>10432</v>
      </c>
      <c r="AQ10" s="402">
        <f>★仕入先!$A$208</f>
        <v>30101</v>
      </c>
      <c r="AR10" s="402">
        <f>★仕入先!$A$170</f>
        <v>20351</v>
      </c>
    </row>
    <row r="11" spans="1:47" ht="23.1" customHeight="1" thickBot="1">
      <c r="A11" s="224" t="s">
        <v>75</v>
      </c>
      <c r="B11" s="225" t="s">
        <v>74</v>
      </c>
      <c r="C11" s="77">
        <v>980</v>
      </c>
      <c r="D11" s="3"/>
      <c r="E11" s="408"/>
      <c r="F11" s="79">
        <v>40</v>
      </c>
      <c r="G11" s="3"/>
      <c r="H11" s="408"/>
      <c r="I11" s="79">
        <v>130</v>
      </c>
      <c r="J11" s="3"/>
      <c r="K11" s="408"/>
      <c r="L11" s="79">
        <v>10</v>
      </c>
      <c r="M11" s="3"/>
      <c r="N11" s="408"/>
      <c r="O11" s="79">
        <v>10</v>
      </c>
      <c r="P11" s="3"/>
      <c r="Q11" s="408"/>
      <c r="R11" s="328"/>
      <c r="S11" s="221"/>
      <c r="T11" s="408"/>
      <c r="U11" s="79">
        <v>20</v>
      </c>
      <c r="V11" s="272"/>
      <c r="X11" s="402">
        <f>★仕入先!$A$53</f>
        <v>10441</v>
      </c>
      <c r="Y11" s="402">
        <f>★仕入先!$A$208</f>
        <v>30101</v>
      </c>
      <c r="Z11" s="402">
        <f>★仕入先!$A$170</f>
        <v>20351</v>
      </c>
      <c r="AA11" s="402">
        <f>★仕入先!$A$54</f>
        <v>10442</v>
      </c>
      <c r="AB11" s="402">
        <f>★仕入先!$A$208</f>
        <v>30101</v>
      </c>
      <c r="AC11" s="402">
        <f>★仕入先!$A$170</f>
        <v>20351</v>
      </c>
      <c r="AD11" s="402">
        <f>★仕入先!$A$55</f>
        <v>10443</v>
      </c>
      <c r="AE11" s="402">
        <f>★仕入先!$A$208</f>
        <v>30101</v>
      </c>
      <c r="AF11" s="402">
        <f>★仕入先!$A$170</f>
        <v>20351</v>
      </c>
      <c r="AG11" s="402">
        <f>★仕入先!$A$53</f>
        <v>10441</v>
      </c>
      <c r="AH11" s="402">
        <f>★仕入先!$A$208</f>
        <v>30101</v>
      </c>
      <c r="AI11" s="402">
        <f>★仕入先!$A$170</f>
        <v>20351</v>
      </c>
      <c r="AJ11" s="402">
        <f>★仕入先!$A$53</f>
        <v>10441</v>
      </c>
      <c r="AK11" s="402">
        <f>★仕入先!$A$208</f>
        <v>30101</v>
      </c>
      <c r="AL11" s="402">
        <f>★仕入先!$A$170</f>
        <v>20351</v>
      </c>
      <c r="AM11" s="402"/>
      <c r="AN11" s="402"/>
      <c r="AO11" s="402"/>
      <c r="AP11" s="402">
        <f>★仕入先!$A$55</f>
        <v>10443</v>
      </c>
      <c r="AQ11" s="402">
        <f>★仕入先!$A$208</f>
        <v>30101</v>
      </c>
      <c r="AR11" s="402">
        <f>★仕入先!$A$170</f>
        <v>20351</v>
      </c>
    </row>
    <row r="12" spans="1:47" ht="17.25" customHeight="1">
      <c r="A12" s="227" t="s">
        <v>12</v>
      </c>
      <c r="B12" s="228" t="s">
        <v>13</v>
      </c>
      <c r="C12" s="229"/>
      <c r="D12" s="230"/>
      <c r="E12" s="409"/>
      <c r="F12" s="347"/>
      <c r="G12" s="231"/>
      <c r="H12" s="409"/>
      <c r="I12" s="347"/>
      <c r="J12" s="231"/>
      <c r="K12" s="409"/>
      <c r="L12" s="347"/>
      <c r="M12" s="231"/>
      <c r="N12" s="409"/>
      <c r="O12" s="347"/>
      <c r="P12" s="231"/>
      <c r="Q12" s="409"/>
      <c r="R12" s="346"/>
      <c r="S12" s="231"/>
      <c r="T12" s="409"/>
      <c r="U12" s="347"/>
      <c r="V12" s="232"/>
      <c r="X12" s="402"/>
      <c r="Y12" s="402"/>
      <c r="Z12" s="402"/>
      <c r="AA12" s="402"/>
      <c r="AB12" s="402"/>
      <c r="AC12" s="402"/>
      <c r="AD12" s="402"/>
      <c r="AE12" s="402"/>
      <c r="AF12" s="402"/>
      <c r="AG12" s="402"/>
      <c r="AH12" s="402"/>
      <c r="AI12" s="402"/>
      <c r="AJ12" s="402"/>
      <c r="AK12" s="402"/>
      <c r="AL12" s="402"/>
      <c r="AM12" s="402"/>
      <c r="AN12" s="402"/>
      <c r="AO12" s="402"/>
      <c r="AP12" s="402"/>
      <c r="AQ12" s="402"/>
      <c r="AR12" s="402"/>
    </row>
    <row r="13" spans="1:47" ht="22.5" customHeight="1" thickBot="1">
      <c r="A13" s="233">
        <f>SUM(C13,F13,I13,L13,O13,R13,U13)</f>
        <v>6270</v>
      </c>
      <c r="B13" s="234">
        <f>SUM(D13,G13,J13,M13,P13,S13,V13)</f>
        <v>0</v>
      </c>
      <c r="C13" s="71">
        <f>SUM(C8:C11)</f>
        <v>5180</v>
      </c>
      <c r="D13" s="235" t="str">
        <f>IF(SUM(D8:D11)=0," ",SUM(D8:D11))</f>
        <v xml:space="preserve"> </v>
      </c>
      <c r="E13" s="72"/>
      <c r="F13" s="73">
        <f t="shared" ref="F13" si="0">SUM(F8:F11)</f>
        <v>190</v>
      </c>
      <c r="G13" s="235" t="str">
        <f>IF(SUM(G8:G11)=0," ",SUM(G8:G11))</f>
        <v xml:space="preserve"> </v>
      </c>
      <c r="H13" s="72"/>
      <c r="I13" s="73">
        <f t="shared" ref="I13" si="1">SUM(I8:I11)</f>
        <v>650</v>
      </c>
      <c r="J13" s="235" t="str">
        <f>IF(SUM(J8:J11)=0," ",SUM(J8:J11))</f>
        <v xml:space="preserve"> </v>
      </c>
      <c r="K13" s="72"/>
      <c r="L13" s="73">
        <f t="shared" ref="L13" si="2">SUM(L8:L11)</f>
        <v>55</v>
      </c>
      <c r="M13" s="235" t="str">
        <f>IF(SUM(M8:M11)=0," ",SUM(M8:M11))</f>
        <v xml:space="preserve"> </v>
      </c>
      <c r="N13" s="72"/>
      <c r="O13" s="73">
        <f t="shared" ref="O13" si="3">SUM(O8:O11)</f>
        <v>45</v>
      </c>
      <c r="P13" s="235" t="str">
        <f>IF(SUM(P8:P11)=0," ",SUM(P8:P11))</f>
        <v xml:space="preserve"> </v>
      </c>
      <c r="Q13" s="72"/>
      <c r="R13" s="73">
        <f t="shared" ref="R13" si="4">SUM(R8:R11)</f>
        <v>30</v>
      </c>
      <c r="S13" s="235" t="str">
        <f>IF(SUM(S8:S11)=0," ",SUM(S8:S11))</f>
        <v xml:space="preserve"> </v>
      </c>
      <c r="T13" s="72"/>
      <c r="U13" s="73">
        <f t="shared" ref="U13" si="5">SUM(U8:U11)</f>
        <v>120</v>
      </c>
      <c r="V13" s="236" t="str">
        <f>IF(SUM(V8:V11)=0," ",SUM(V8:V11))</f>
        <v xml:space="preserve"> </v>
      </c>
      <c r="X13" s="402"/>
      <c r="Y13" s="402"/>
      <c r="Z13" s="402"/>
      <c r="AA13" s="402"/>
      <c r="AB13" s="402"/>
      <c r="AC13" s="402"/>
      <c r="AD13" s="402"/>
      <c r="AE13" s="402"/>
      <c r="AF13" s="402"/>
      <c r="AG13" s="402"/>
      <c r="AH13" s="402"/>
      <c r="AI13" s="402"/>
      <c r="AJ13" s="402"/>
      <c r="AK13" s="402"/>
      <c r="AL13" s="402"/>
      <c r="AM13" s="402"/>
      <c r="AN13" s="402"/>
      <c r="AO13" s="402"/>
      <c r="AP13" s="402"/>
      <c r="AQ13" s="402"/>
      <c r="AR13" s="402"/>
    </row>
    <row r="14" spans="1:47" ht="23.1" customHeight="1">
      <c r="A14" s="219" t="s">
        <v>30</v>
      </c>
      <c r="B14" s="220" t="s">
        <v>76</v>
      </c>
      <c r="C14" s="48">
        <v>1020</v>
      </c>
      <c r="D14" s="3"/>
      <c r="E14" s="53"/>
      <c r="F14" s="155">
        <v>60</v>
      </c>
      <c r="G14" s="3"/>
      <c r="H14" s="53"/>
      <c r="I14" s="155">
        <v>200</v>
      </c>
      <c r="J14" s="3"/>
      <c r="K14" s="53"/>
      <c r="L14" s="155">
        <v>10</v>
      </c>
      <c r="M14" s="3"/>
      <c r="N14" s="53"/>
      <c r="O14" s="155">
        <v>15</v>
      </c>
      <c r="P14" s="3"/>
      <c r="Q14" s="53"/>
      <c r="R14" s="316"/>
      <c r="S14" s="237"/>
      <c r="T14" s="53"/>
      <c r="U14" s="155">
        <v>30</v>
      </c>
      <c r="V14" s="272"/>
      <c r="X14" s="402">
        <f>★仕入先!$A$56</f>
        <v>10451</v>
      </c>
      <c r="Y14" s="402">
        <f>★仕入先!$A$208</f>
        <v>30101</v>
      </c>
      <c r="Z14" s="402">
        <f>★仕入先!$A$170</f>
        <v>20351</v>
      </c>
      <c r="AA14" s="402">
        <f>★仕入先!$A$56</f>
        <v>10451</v>
      </c>
      <c r="AB14" s="402">
        <f>★仕入先!$A$208</f>
        <v>30101</v>
      </c>
      <c r="AC14" s="402">
        <f>★仕入先!$A$170</f>
        <v>20351</v>
      </c>
      <c r="AD14" s="402">
        <f>★仕入先!$A$57</f>
        <v>10452</v>
      </c>
      <c r="AE14" s="402">
        <f>★仕入先!$A$208</f>
        <v>30101</v>
      </c>
      <c r="AF14" s="402">
        <f>★仕入先!$A$170</f>
        <v>20351</v>
      </c>
      <c r="AG14" s="402">
        <f>★仕入先!$A$56</f>
        <v>10451</v>
      </c>
      <c r="AH14" s="402">
        <f>★仕入先!$A$208</f>
        <v>30101</v>
      </c>
      <c r="AI14" s="402">
        <f>★仕入先!$A$170</f>
        <v>20351</v>
      </c>
      <c r="AJ14" s="402">
        <f>★仕入先!$A$56</f>
        <v>10451</v>
      </c>
      <c r="AK14" s="402">
        <f>★仕入先!$A$208</f>
        <v>30101</v>
      </c>
      <c r="AL14" s="402">
        <f>★仕入先!$A$170</f>
        <v>20351</v>
      </c>
      <c r="AM14" s="402"/>
      <c r="AN14" s="402"/>
      <c r="AO14" s="402"/>
      <c r="AP14" s="402">
        <f>★仕入先!$A$57</f>
        <v>10452</v>
      </c>
      <c r="AQ14" s="402">
        <f>★仕入先!$A$208</f>
        <v>30101</v>
      </c>
      <c r="AR14" s="402">
        <f>★仕入先!$A$170</f>
        <v>20351</v>
      </c>
    </row>
    <row r="15" spans="1:47" ht="23.1" customHeight="1">
      <c r="A15" s="238" t="s">
        <v>233</v>
      </c>
      <c r="B15" s="220" t="s">
        <v>77</v>
      </c>
      <c r="C15" s="48">
        <v>800</v>
      </c>
      <c r="D15" s="3"/>
      <c r="E15" s="53"/>
      <c r="F15" s="155">
        <v>30</v>
      </c>
      <c r="G15" s="3"/>
      <c r="H15" s="53"/>
      <c r="I15" s="155">
        <v>40</v>
      </c>
      <c r="J15" s="3"/>
      <c r="K15" s="53"/>
      <c r="L15" s="155">
        <v>5</v>
      </c>
      <c r="M15" s="3"/>
      <c r="N15" s="53"/>
      <c r="O15" s="155">
        <v>5</v>
      </c>
      <c r="P15" s="3"/>
      <c r="Q15" s="53"/>
      <c r="R15" s="303"/>
      <c r="S15" s="237"/>
      <c r="T15" s="53"/>
      <c r="U15" s="155">
        <v>20</v>
      </c>
      <c r="V15" s="272"/>
      <c r="X15" s="402">
        <f>★仕入先!$A$58</f>
        <v>10461</v>
      </c>
      <c r="Y15" s="402">
        <f>★仕入先!$A$208</f>
        <v>30101</v>
      </c>
      <c r="Z15" s="402">
        <f>★仕入先!$A$170</f>
        <v>20351</v>
      </c>
      <c r="AA15" s="402">
        <f>★仕入先!$A$58</f>
        <v>10461</v>
      </c>
      <c r="AB15" s="402">
        <f>★仕入先!$A$208</f>
        <v>30101</v>
      </c>
      <c r="AC15" s="402">
        <f>★仕入先!$A$170</f>
        <v>20351</v>
      </c>
      <c r="AD15" s="402">
        <f>★仕入先!$A$57</f>
        <v>10452</v>
      </c>
      <c r="AE15" s="402">
        <f>★仕入先!$A$208</f>
        <v>30101</v>
      </c>
      <c r="AF15" s="402">
        <f>★仕入先!$A$170</f>
        <v>20351</v>
      </c>
      <c r="AG15" s="402">
        <f>★仕入先!$A$58</f>
        <v>10461</v>
      </c>
      <c r="AH15" s="402">
        <f>★仕入先!$A$208</f>
        <v>30101</v>
      </c>
      <c r="AI15" s="402">
        <f>★仕入先!$A$170</f>
        <v>20351</v>
      </c>
      <c r="AJ15" s="402">
        <f>★仕入先!$A$58</f>
        <v>10461</v>
      </c>
      <c r="AK15" s="402">
        <f>★仕入先!$A$208</f>
        <v>30101</v>
      </c>
      <c r="AL15" s="402">
        <f>★仕入先!$A$170</f>
        <v>20351</v>
      </c>
      <c r="AM15" s="402"/>
      <c r="AN15" s="402"/>
      <c r="AO15" s="402"/>
      <c r="AP15" s="402">
        <f>★仕入先!$A$57</f>
        <v>10452</v>
      </c>
      <c r="AQ15" s="402">
        <f>★仕入先!$A$208</f>
        <v>30101</v>
      </c>
      <c r="AR15" s="402">
        <f>★仕入先!$A$170</f>
        <v>20351</v>
      </c>
    </row>
    <row r="16" spans="1:47" ht="23.1" customHeight="1">
      <c r="A16" s="223"/>
      <c r="B16" s="220" t="s">
        <v>78</v>
      </c>
      <c r="C16" s="48">
        <v>920</v>
      </c>
      <c r="D16" s="3"/>
      <c r="E16" s="53"/>
      <c r="F16" s="155">
        <v>60</v>
      </c>
      <c r="G16" s="3"/>
      <c r="H16" s="53"/>
      <c r="I16" s="155">
        <v>80</v>
      </c>
      <c r="J16" s="3"/>
      <c r="K16" s="53"/>
      <c r="L16" s="155">
        <v>15</v>
      </c>
      <c r="M16" s="3"/>
      <c r="N16" s="53"/>
      <c r="O16" s="155">
        <v>15</v>
      </c>
      <c r="P16" s="3"/>
      <c r="Q16" s="53"/>
      <c r="R16" s="50"/>
      <c r="S16" s="237"/>
      <c r="T16" s="53"/>
      <c r="U16" s="155">
        <v>20</v>
      </c>
      <c r="V16" s="272"/>
      <c r="X16" s="402">
        <f>★仕入先!$A$59</f>
        <v>10462</v>
      </c>
      <c r="Y16" s="402">
        <f>★仕入先!$A$208</f>
        <v>30101</v>
      </c>
      <c r="Z16" s="402">
        <f>★仕入先!$A$170</f>
        <v>20351</v>
      </c>
      <c r="AA16" s="402">
        <f>★仕入先!$A$59</f>
        <v>10462</v>
      </c>
      <c r="AB16" s="402">
        <f>★仕入先!$A$208</f>
        <v>30101</v>
      </c>
      <c r="AC16" s="402">
        <f>★仕入先!$A$170</f>
        <v>20351</v>
      </c>
      <c r="AD16" s="402">
        <f>★仕入先!$A$60</f>
        <v>10463</v>
      </c>
      <c r="AE16" s="402">
        <f>★仕入先!$A$208</f>
        <v>30101</v>
      </c>
      <c r="AF16" s="402">
        <f>★仕入先!$A$170</f>
        <v>20351</v>
      </c>
      <c r="AG16" s="402">
        <f>★仕入先!$A$59</f>
        <v>10462</v>
      </c>
      <c r="AH16" s="402">
        <f>★仕入先!$A$208</f>
        <v>30101</v>
      </c>
      <c r="AI16" s="402">
        <f>★仕入先!$A$170</f>
        <v>20351</v>
      </c>
      <c r="AJ16" s="402">
        <f>★仕入先!$A$59</f>
        <v>10462</v>
      </c>
      <c r="AK16" s="402">
        <f>★仕入先!$A$208</f>
        <v>30101</v>
      </c>
      <c r="AL16" s="402">
        <f>★仕入先!$A$170</f>
        <v>20351</v>
      </c>
      <c r="AM16" s="402"/>
      <c r="AN16" s="402"/>
      <c r="AO16" s="402"/>
      <c r="AP16" s="402">
        <f>★仕入先!$A$59</f>
        <v>10462</v>
      </c>
      <c r="AQ16" s="402">
        <f>★仕入先!$A$208</f>
        <v>30101</v>
      </c>
      <c r="AR16" s="402">
        <f>★仕入先!$A$170</f>
        <v>20351</v>
      </c>
    </row>
    <row r="17" spans="1:44" ht="23.1" customHeight="1">
      <c r="A17" s="239">
        <f>SUM(C14:C17,F14:F17,I14:I17,L14:L17,O14:O17,U14:U17)</f>
        <v>4030</v>
      </c>
      <c r="B17" s="220" t="s">
        <v>79</v>
      </c>
      <c r="C17" s="48">
        <v>580</v>
      </c>
      <c r="D17" s="3"/>
      <c r="E17" s="53"/>
      <c r="F17" s="155">
        <v>20</v>
      </c>
      <c r="G17" s="3"/>
      <c r="H17" s="53"/>
      <c r="I17" s="155">
        <v>70</v>
      </c>
      <c r="J17" s="3"/>
      <c r="K17" s="53"/>
      <c r="L17" s="155">
        <v>5</v>
      </c>
      <c r="M17" s="3"/>
      <c r="N17" s="53"/>
      <c r="O17" s="155">
        <v>5</v>
      </c>
      <c r="P17" s="3"/>
      <c r="Q17" s="53"/>
      <c r="R17" s="316"/>
      <c r="S17" s="237"/>
      <c r="T17" s="53"/>
      <c r="U17" s="155">
        <v>5</v>
      </c>
      <c r="V17" s="272"/>
      <c r="X17" s="402">
        <f>★仕入先!$A$62</f>
        <v>10466</v>
      </c>
      <c r="Y17" s="402">
        <f>★仕入先!$A$208</f>
        <v>30101</v>
      </c>
      <c r="Z17" s="402">
        <f>★仕入先!$A$170</f>
        <v>20351</v>
      </c>
      <c r="AA17" s="402">
        <f>★仕入先!$A$62</f>
        <v>10466</v>
      </c>
      <c r="AB17" s="402">
        <f>★仕入先!$A$208</f>
        <v>30101</v>
      </c>
      <c r="AC17" s="402">
        <f>★仕入先!$A$170</f>
        <v>20351</v>
      </c>
      <c r="AD17" s="402">
        <f>★仕入先!$A$61</f>
        <v>10465</v>
      </c>
      <c r="AE17" s="402">
        <f>★仕入先!$A$208</f>
        <v>30101</v>
      </c>
      <c r="AF17" s="402">
        <f>★仕入先!$A$170</f>
        <v>20351</v>
      </c>
      <c r="AG17" s="402">
        <f>★仕入先!$A$62</f>
        <v>10466</v>
      </c>
      <c r="AH17" s="402">
        <f>★仕入先!$A$208</f>
        <v>30101</v>
      </c>
      <c r="AI17" s="402">
        <f>★仕入先!$A$170</f>
        <v>20351</v>
      </c>
      <c r="AJ17" s="402">
        <f>★仕入先!$A$62</f>
        <v>10466</v>
      </c>
      <c r="AK17" s="402">
        <f>★仕入先!$A$208</f>
        <v>30101</v>
      </c>
      <c r="AL17" s="402">
        <f>★仕入先!$A$170</f>
        <v>20351</v>
      </c>
      <c r="AM17" s="402"/>
      <c r="AN17" s="402"/>
      <c r="AO17" s="402"/>
      <c r="AP17" s="402">
        <f>★仕入先!$A$62</f>
        <v>10466</v>
      </c>
      <c r="AQ17" s="402">
        <f>★仕入先!$A$208</f>
        <v>30101</v>
      </c>
      <c r="AR17" s="402">
        <f>★仕入先!$A$170</f>
        <v>20351</v>
      </c>
    </row>
    <row r="18" spans="1:44" ht="23.1" customHeight="1">
      <c r="A18" s="224" t="s">
        <v>80</v>
      </c>
      <c r="B18" s="240" t="s">
        <v>239</v>
      </c>
      <c r="C18" s="58">
        <v>1800</v>
      </c>
      <c r="D18" s="3"/>
      <c r="E18" s="53"/>
      <c r="F18" s="50">
        <v>280</v>
      </c>
      <c r="G18" s="3"/>
      <c r="H18" s="53"/>
      <c r="I18" s="50">
        <v>160</v>
      </c>
      <c r="J18" s="3"/>
      <c r="K18" s="53"/>
      <c r="L18" s="50">
        <v>25</v>
      </c>
      <c r="M18" s="3"/>
      <c r="N18" s="53"/>
      <c r="O18" s="50">
        <v>20</v>
      </c>
      <c r="P18" s="3"/>
      <c r="Q18" s="53"/>
      <c r="R18" s="303"/>
      <c r="S18" s="237"/>
      <c r="T18" s="53"/>
      <c r="U18" s="50">
        <v>40</v>
      </c>
      <c r="V18" s="272"/>
      <c r="W18" s="241"/>
      <c r="X18" s="402">
        <f>★仕入先!$A$63</f>
        <v>10472</v>
      </c>
      <c r="Y18" s="402">
        <f>★仕入先!$A$208</f>
        <v>30101</v>
      </c>
      <c r="Z18" s="402">
        <f>★仕入先!$A$170</f>
        <v>20351</v>
      </c>
      <c r="AA18" s="402">
        <f>★仕入先!$A$64</f>
        <v>10473</v>
      </c>
      <c r="AB18" s="402">
        <f>★仕入先!$A$208</f>
        <v>30101</v>
      </c>
      <c r="AC18" s="402">
        <f>★仕入先!$A$170</f>
        <v>20351</v>
      </c>
      <c r="AD18" s="402">
        <f>★仕入先!$A$65</f>
        <v>10474</v>
      </c>
      <c r="AE18" s="402">
        <f>★仕入先!$A$208</f>
        <v>30101</v>
      </c>
      <c r="AF18" s="402">
        <f>★仕入先!$A$170</f>
        <v>20351</v>
      </c>
      <c r="AG18" s="402">
        <f>★仕入先!$A$65</f>
        <v>10474</v>
      </c>
      <c r="AH18" s="402">
        <f>★仕入先!$A$208</f>
        <v>30101</v>
      </c>
      <c r="AI18" s="402">
        <f>★仕入先!$A$170</f>
        <v>20351</v>
      </c>
      <c r="AJ18" s="402">
        <f>★仕入先!$A$65</f>
        <v>10474</v>
      </c>
      <c r="AK18" s="402">
        <f>★仕入先!$A$208</f>
        <v>30101</v>
      </c>
      <c r="AL18" s="402">
        <f>★仕入先!$A$170</f>
        <v>20351</v>
      </c>
      <c r="AM18" s="402"/>
      <c r="AN18" s="402"/>
      <c r="AO18" s="402"/>
      <c r="AP18" s="402">
        <f>★仕入先!$A$64</f>
        <v>10473</v>
      </c>
      <c r="AQ18" s="402">
        <f>★仕入先!$A$208</f>
        <v>30101</v>
      </c>
      <c r="AR18" s="402">
        <f>★仕入先!$A$170</f>
        <v>20351</v>
      </c>
    </row>
    <row r="19" spans="1:44" ht="23.1" customHeight="1" thickBot="1">
      <c r="A19" s="242">
        <f>SUM(C18:C19,F18:F19,I18:I19,L18:L19,O18:O19,U18:U19)</f>
        <v>2325</v>
      </c>
      <c r="B19" s="243"/>
      <c r="C19" s="244"/>
      <c r="D19" s="221"/>
      <c r="E19" s="408"/>
      <c r="F19" s="282"/>
      <c r="G19" s="245"/>
      <c r="H19" s="408"/>
      <c r="I19" s="282"/>
      <c r="J19" s="245"/>
      <c r="K19" s="408"/>
      <c r="L19" s="282"/>
      <c r="M19" s="245"/>
      <c r="N19" s="408"/>
      <c r="O19" s="282"/>
      <c r="P19" s="245"/>
      <c r="Q19" s="408"/>
      <c r="R19" s="328"/>
      <c r="S19" s="246"/>
      <c r="T19" s="408"/>
      <c r="U19" s="282"/>
      <c r="V19" s="247"/>
      <c r="X19" s="402"/>
      <c r="Y19" s="402"/>
      <c r="Z19" s="402"/>
      <c r="AA19" s="402"/>
      <c r="AB19" s="402"/>
      <c r="AC19" s="402"/>
      <c r="AD19" s="402"/>
      <c r="AE19" s="402"/>
      <c r="AF19" s="402"/>
      <c r="AG19" s="402"/>
      <c r="AH19" s="402"/>
      <c r="AI19" s="402"/>
      <c r="AJ19" s="402"/>
      <c r="AK19" s="402"/>
      <c r="AL19" s="402"/>
      <c r="AM19" s="402"/>
      <c r="AN19" s="402"/>
      <c r="AO19" s="402"/>
      <c r="AP19" s="402"/>
      <c r="AQ19" s="402"/>
      <c r="AR19" s="402"/>
    </row>
    <row r="20" spans="1:44" ht="17.25" customHeight="1">
      <c r="A20" s="227" t="s">
        <v>12</v>
      </c>
      <c r="B20" s="228" t="s">
        <v>13</v>
      </c>
      <c r="C20" s="229"/>
      <c r="D20" s="230"/>
      <c r="E20" s="409"/>
      <c r="F20" s="347"/>
      <c r="G20" s="231"/>
      <c r="H20" s="409"/>
      <c r="I20" s="347"/>
      <c r="J20" s="231"/>
      <c r="K20" s="409"/>
      <c r="L20" s="347"/>
      <c r="M20" s="231"/>
      <c r="N20" s="409"/>
      <c r="O20" s="347"/>
      <c r="P20" s="231"/>
      <c r="Q20" s="409"/>
      <c r="R20" s="347"/>
      <c r="S20" s="231"/>
      <c r="T20" s="409"/>
      <c r="U20" s="347"/>
      <c r="V20" s="232"/>
      <c r="X20" s="402"/>
      <c r="Y20" s="402"/>
      <c r="Z20" s="402"/>
      <c r="AA20" s="402"/>
      <c r="AB20" s="402"/>
      <c r="AC20" s="402"/>
      <c r="AD20" s="402"/>
      <c r="AE20" s="402"/>
      <c r="AF20" s="402"/>
      <c r="AG20" s="402"/>
      <c r="AH20" s="402"/>
      <c r="AI20" s="402"/>
      <c r="AJ20" s="402"/>
      <c r="AK20" s="402"/>
      <c r="AL20" s="402"/>
      <c r="AM20" s="402"/>
      <c r="AN20" s="402"/>
      <c r="AO20" s="402"/>
      <c r="AP20" s="402"/>
      <c r="AQ20" s="402"/>
      <c r="AR20" s="402"/>
    </row>
    <row r="21" spans="1:44" ht="22.5" customHeight="1" thickBot="1">
      <c r="A21" s="233">
        <f>SUM(C21,F21,I21,L21,O21,R21,U21)</f>
        <v>6355</v>
      </c>
      <c r="B21" s="234">
        <f>SUM(D21,G21,J21,M21,P21,S21,V21)</f>
        <v>0</v>
      </c>
      <c r="C21" s="71">
        <f>SUM(C14:C19)</f>
        <v>5120</v>
      </c>
      <c r="D21" s="235" t="str">
        <f>IF(SUM(D14:D19)=0," ",SUM(D14:D19))</f>
        <v xml:space="preserve"> </v>
      </c>
      <c r="E21" s="72"/>
      <c r="F21" s="73">
        <f>SUM(F14:F19)</f>
        <v>450</v>
      </c>
      <c r="G21" s="235" t="str">
        <f>IF(SUM(G14:G19)=0," ",SUM(G14:G19))</f>
        <v xml:space="preserve"> </v>
      </c>
      <c r="H21" s="72"/>
      <c r="I21" s="73">
        <f>SUM(I14:I19)</f>
        <v>550</v>
      </c>
      <c r="J21" s="235" t="str">
        <f>IF(SUM(J14:J19)=0," ",SUM(J14:J19))</f>
        <v xml:space="preserve"> </v>
      </c>
      <c r="K21" s="72"/>
      <c r="L21" s="73">
        <f>SUM(L14:L19)</f>
        <v>60</v>
      </c>
      <c r="M21" s="235" t="str">
        <f>IF(SUM(M14:M19)=0," ",SUM(M14:M19))</f>
        <v xml:space="preserve"> </v>
      </c>
      <c r="N21" s="72"/>
      <c r="O21" s="73">
        <f>SUM(O14:O19)</f>
        <v>60</v>
      </c>
      <c r="P21" s="235" t="str">
        <f>IF(SUM(P14:P19)=0," ",SUM(P14:P19))</f>
        <v xml:space="preserve"> </v>
      </c>
      <c r="Q21" s="72"/>
      <c r="R21" s="415" t="str">
        <f>IF(SUM(R14:R19)=0," ",SUM(R16:R19))</f>
        <v xml:space="preserve"> </v>
      </c>
      <c r="S21" s="235" t="str">
        <f>IF(SUM(S14:S19)=0," ",SUM(S14:S19))</f>
        <v xml:space="preserve"> </v>
      </c>
      <c r="T21" s="72"/>
      <c r="U21" s="73">
        <f>SUM(U14:U19)</f>
        <v>115</v>
      </c>
      <c r="V21" s="236" t="str">
        <f>IF(SUM(V14:V19)=0," ",SUM(V14:V19))</f>
        <v xml:space="preserve"> </v>
      </c>
      <c r="X21" s="402"/>
      <c r="Y21" s="402"/>
      <c r="Z21" s="402"/>
      <c r="AA21" s="402"/>
      <c r="AB21" s="402"/>
      <c r="AC21" s="402"/>
      <c r="AD21" s="402"/>
      <c r="AE21" s="402"/>
      <c r="AF21" s="402"/>
      <c r="AG21" s="402"/>
      <c r="AH21" s="402"/>
      <c r="AI21" s="402"/>
      <c r="AJ21" s="402"/>
      <c r="AK21" s="402"/>
      <c r="AL21" s="402"/>
      <c r="AM21" s="402"/>
      <c r="AN21" s="402"/>
      <c r="AO21" s="402"/>
      <c r="AP21" s="402"/>
      <c r="AQ21" s="402"/>
      <c r="AR21" s="402"/>
    </row>
    <row r="22" spans="1:44" ht="17.25" customHeight="1">
      <c r="A22" s="227" t="s">
        <v>12</v>
      </c>
      <c r="B22" s="228" t="s">
        <v>13</v>
      </c>
      <c r="C22" s="229"/>
      <c r="D22" s="230"/>
      <c r="E22" s="409"/>
      <c r="F22" s="347"/>
      <c r="G22" s="231"/>
      <c r="H22" s="409"/>
      <c r="I22" s="347"/>
      <c r="J22" s="231"/>
      <c r="K22" s="409"/>
      <c r="L22" s="347"/>
      <c r="M22" s="231"/>
      <c r="N22" s="409"/>
      <c r="O22" s="347"/>
      <c r="P22" s="231"/>
      <c r="Q22" s="409"/>
      <c r="R22" s="347"/>
      <c r="S22" s="231"/>
      <c r="T22" s="409"/>
      <c r="U22" s="347"/>
      <c r="V22" s="232"/>
      <c r="X22" s="402"/>
      <c r="Y22" s="402"/>
      <c r="Z22" s="402"/>
      <c r="AA22" s="402"/>
      <c r="AB22" s="402"/>
      <c r="AC22" s="402"/>
      <c r="AD22" s="402"/>
      <c r="AE22" s="402"/>
      <c r="AF22" s="402"/>
      <c r="AG22" s="402"/>
      <c r="AH22" s="402"/>
      <c r="AI22" s="402"/>
      <c r="AJ22" s="402"/>
      <c r="AK22" s="402"/>
      <c r="AL22" s="402"/>
      <c r="AM22" s="402"/>
      <c r="AN22" s="402"/>
      <c r="AO22" s="402"/>
      <c r="AP22" s="402"/>
      <c r="AQ22" s="402"/>
      <c r="AR22" s="402"/>
    </row>
    <row r="23" spans="1:44" ht="22.5" customHeight="1" thickBot="1">
      <c r="A23" s="233">
        <f>SUM(C23,F23,I23,L23,O23,R23,U23)</f>
        <v>12625</v>
      </c>
      <c r="B23" s="234">
        <f>SUM(D23,G23,J23,M23,P23,S23,V23)</f>
        <v>0</v>
      </c>
      <c r="C23" s="71">
        <f t="shared" ref="C23" si="6">SUM(C13,C21)</f>
        <v>10300</v>
      </c>
      <c r="D23" s="235" t="str">
        <f>IF(SUM(D13,D21)=0," ",SUM(D13,D21))</f>
        <v xml:space="preserve"> </v>
      </c>
      <c r="E23" s="72"/>
      <c r="F23" s="73">
        <f t="shared" ref="F23" si="7">SUM(F13,F21)</f>
        <v>640</v>
      </c>
      <c r="G23" s="235" t="str">
        <f>IF(SUM(G13,G21)=0," ",SUM(G13,G21))</f>
        <v xml:space="preserve"> </v>
      </c>
      <c r="H23" s="72"/>
      <c r="I23" s="73">
        <f t="shared" ref="I23" si="8">SUM(I13,I21)</f>
        <v>1200</v>
      </c>
      <c r="J23" s="235" t="str">
        <f>IF(SUM(J13,J21)=0," ",SUM(J13,J21))</f>
        <v xml:space="preserve"> </v>
      </c>
      <c r="K23" s="72"/>
      <c r="L23" s="73">
        <f t="shared" ref="L23" si="9">SUM(L13,L21)</f>
        <v>115</v>
      </c>
      <c r="M23" s="235" t="str">
        <f>IF(SUM(M13,M21)=0," ",SUM(M13,M21))</f>
        <v xml:space="preserve"> </v>
      </c>
      <c r="N23" s="72"/>
      <c r="O23" s="73">
        <f t="shared" ref="O23" si="10">SUM(O13,O21)</f>
        <v>105</v>
      </c>
      <c r="P23" s="235" t="str">
        <f>IF(SUM(P13,P21)=0," ",SUM(P13,P21))</f>
        <v xml:space="preserve"> </v>
      </c>
      <c r="Q23" s="72"/>
      <c r="R23" s="73">
        <f t="shared" ref="R23" si="11">SUM(R13,R21)</f>
        <v>30</v>
      </c>
      <c r="S23" s="235" t="str">
        <f>IF(SUM(S13,S21)=0," ",SUM(S13,S21))</f>
        <v xml:space="preserve"> </v>
      </c>
      <c r="T23" s="72"/>
      <c r="U23" s="73">
        <f t="shared" ref="U23" si="12">SUM(U13,U21)</f>
        <v>235</v>
      </c>
      <c r="V23" s="236" t="str">
        <f>IF(SUM(V13,V21)=0," ",SUM(V13,V21))</f>
        <v xml:space="preserve"> </v>
      </c>
      <c r="X23" s="402"/>
      <c r="Y23" s="402"/>
      <c r="Z23" s="402"/>
      <c r="AA23" s="402"/>
      <c r="AB23" s="402"/>
      <c r="AC23" s="402"/>
      <c r="AD23" s="402"/>
      <c r="AE23" s="402"/>
      <c r="AF23" s="402"/>
      <c r="AG23" s="402"/>
      <c r="AH23" s="402"/>
      <c r="AI23" s="402"/>
      <c r="AJ23" s="402"/>
      <c r="AK23" s="402"/>
      <c r="AL23" s="402"/>
      <c r="AM23" s="402"/>
      <c r="AN23" s="402"/>
      <c r="AO23" s="402"/>
      <c r="AP23" s="402"/>
      <c r="AQ23" s="402"/>
      <c r="AR23" s="402"/>
    </row>
    <row r="24" spans="1:44" ht="9.9499999999999993" customHeight="1" thickBot="1">
      <c r="A24" s="248"/>
      <c r="B24" s="248"/>
      <c r="C24" s="249"/>
      <c r="D24" s="250"/>
      <c r="E24" s="188"/>
      <c r="F24" s="249"/>
      <c r="G24" s="251"/>
      <c r="H24" s="188"/>
      <c r="I24" s="249"/>
      <c r="J24" s="251"/>
      <c r="K24" s="188"/>
      <c r="L24" s="249"/>
      <c r="M24" s="251"/>
      <c r="N24" s="188"/>
      <c r="O24" s="249"/>
      <c r="P24" s="251"/>
      <c r="Q24" s="188"/>
      <c r="R24" s="249"/>
      <c r="S24" s="252"/>
      <c r="T24" s="188"/>
      <c r="U24" s="249"/>
      <c r="V24" s="418"/>
      <c r="X24" s="402"/>
      <c r="Y24" s="402"/>
      <c r="Z24" s="402"/>
      <c r="AA24" s="402"/>
      <c r="AB24" s="402"/>
      <c r="AC24" s="402"/>
      <c r="AD24" s="402"/>
      <c r="AE24" s="402"/>
      <c r="AF24" s="402"/>
      <c r="AG24" s="402"/>
      <c r="AH24" s="402"/>
      <c r="AI24" s="402"/>
      <c r="AJ24" s="402"/>
      <c r="AK24" s="402"/>
      <c r="AL24" s="402"/>
      <c r="AM24" s="402"/>
      <c r="AN24" s="402"/>
      <c r="AO24" s="402"/>
      <c r="AP24" s="402"/>
      <c r="AQ24" s="402"/>
      <c r="AR24" s="402"/>
    </row>
    <row r="25" spans="1:44" ht="23.1" customHeight="1">
      <c r="A25" s="253" t="s">
        <v>235</v>
      </c>
      <c r="B25" s="254" t="s">
        <v>81</v>
      </c>
      <c r="C25" s="154">
        <v>800</v>
      </c>
      <c r="D25" s="21"/>
      <c r="E25" s="412"/>
      <c r="F25" s="180">
        <v>20</v>
      </c>
      <c r="G25" s="21"/>
      <c r="H25" s="412"/>
      <c r="I25" s="180">
        <v>20</v>
      </c>
      <c r="J25" s="21"/>
      <c r="K25" s="412"/>
      <c r="L25" s="180">
        <v>5</v>
      </c>
      <c r="M25" s="21"/>
      <c r="N25" s="412"/>
      <c r="O25" s="180">
        <v>5</v>
      </c>
      <c r="P25" s="21"/>
      <c r="Q25" s="412"/>
      <c r="R25" s="416"/>
      <c r="S25" s="256"/>
      <c r="T25" s="412"/>
      <c r="U25" s="180">
        <v>10</v>
      </c>
      <c r="V25" s="274"/>
      <c r="W25" s="241"/>
      <c r="X25" s="402">
        <f>★仕入先!$A$41</f>
        <v>10201</v>
      </c>
      <c r="Y25" s="402">
        <f>★仕入先!$A$208</f>
        <v>30101</v>
      </c>
      <c r="Z25" s="402">
        <f>★仕入先!$A$170</f>
        <v>20351</v>
      </c>
      <c r="AA25" s="402">
        <f>★仕入先!$A$41</f>
        <v>10201</v>
      </c>
      <c r="AB25" s="402">
        <f>★仕入先!$A$208</f>
        <v>30101</v>
      </c>
      <c r="AC25" s="402">
        <f>★仕入先!$A$170</f>
        <v>20351</v>
      </c>
      <c r="AD25" s="402">
        <f>★仕入先!$A$41</f>
        <v>10201</v>
      </c>
      <c r="AE25" s="402">
        <f>★仕入先!$A$208</f>
        <v>30101</v>
      </c>
      <c r="AF25" s="402">
        <f>★仕入先!$A$170</f>
        <v>20351</v>
      </c>
      <c r="AG25" s="402">
        <f>★仕入先!$A$41</f>
        <v>10201</v>
      </c>
      <c r="AH25" s="402">
        <f>★仕入先!$A$208</f>
        <v>30101</v>
      </c>
      <c r="AI25" s="402">
        <f>★仕入先!$A$170</f>
        <v>20351</v>
      </c>
      <c r="AJ25" s="402">
        <f>★仕入先!$A$41</f>
        <v>10201</v>
      </c>
      <c r="AK25" s="402">
        <f>★仕入先!$A$208</f>
        <v>30101</v>
      </c>
      <c r="AL25" s="402">
        <f>★仕入先!$A$170</f>
        <v>20351</v>
      </c>
      <c r="AM25" s="402"/>
      <c r="AN25" s="402"/>
      <c r="AO25" s="402"/>
      <c r="AP25" s="402">
        <f>★仕入先!$A$41</f>
        <v>10201</v>
      </c>
      <c r="AQ25" s="402">
        <f>★仕入先!$A$208</f>
        <v>30101</v>
      </c>
      <c r="AR25" s="402">
        <f>★仕入先!$A$170</f>
        <v>20351</v>
      </c>
    </row>
    <row r="26" spans="1:44" ht="23.1" customHeight="1">
      <c r="A26" s="219" t="s">
        <v>17</v>
      </c>
      <c r="B26" s="257" t="s">
        <v>82</v>
      </c>
      <c r="C26" s="58">
        <v>1600</v>
      </c>
      <c r="D26" s="18"/>
      <c r="E26" s="53"/>
      <c r="F26" s="50">
        <v>40</v>
      </c>
      <c r="G26" s="18"/>
      <c r="H26" s="53"/>
      <c r="I26" s="50">
        <v>320</v>
      </c>
      <c r="J26" s="18"/>
      <c r="K26" s="53"/>
      <c r="L26" s="50">
        <v>10</v>
      </c>
      <c r="M26" s="18"/>
      <c r="N26" s="53"/>
      <c r="O26" s="50">
        <v>10</v>
      </c>
      <c r="P26" s="18"/>
      <c r="Q26" s="53"/>
      <c r="R26" s="303"/>
      <c r="S26" s="259"/>
      <c r="T26" s="53"/>
      <c r="U26" s="50">
        <v>15</v>
      </c>
      <c r="V26" s="275"/>
      <c r="X26" s="402">
        <f>★仕入先!$A$42</f>
        <v>10205</v>
      </c>
      <c r="Y26" s="402">
        <f>★仕入先!$A$208</f>
        <v>30101</v>
      </c>
      <c r="Z26" s="402">
        <f>★仕入先!$A$170</f>
        <v>20351</v>
      </c>
      <c r="AA26" s="402">
        <f>★仕入先!$A$42</f>
        <v>10205</v>
      </c>
      <c r="AB26" s="402">
        <f>★仕入先!$A$208</f>
        <v>30101</v>
      </c>
      <c r="AC26" s="402">
        <f>★仕入先!$A$170</f>
        <v>20351</v>
      </c>
      <c r="AD26" s="402">
        <f>★仕入先!$A$43</f>
        <v>10206</v>
      </c>
      <c r="AE26" s="402">
        <f>★仕入先!$A$208</f>
        <v>30101</v>
      </c>
      <c r="AF26" s="402">
        <f>★仕入先!$A$170</f>
        <v>20351</v>
      </c>
      <c r="AG26" s="402">
        <f>★仕入先!$A$42</f>
        <v>10205</v>
      </c>
      <c r="AH26" s="402">
        <f>★仕入先!$A$208</f>
        <v>30101</v>
      </c>
      <c r="AI26" s="402">
        <f>★仕入先!$A$170</f>
        <v>20351</v>
      </c>
      <c r="AJ26" s="402">
        <f>★仕入先!$A$42</f>
        <v>10205</v>
      </c>
      <c r="AK26" s="402">
        <f>★仕入先!$A$208</f>
        <v>30101</v>
      </c>
      <c r="AL26" s="402">
        <f>★仕入先!$A$170</f>
        <v>20351</v>
      </c>
      <c r="AM26" s="402"/>
      <c r="AN26" s="402"/>
      <c r="AO26" s="402"/>
      <c r="AP26" s="402">
        <f>★仕入先!$A$42</f>
        <v>10205</v>
      </c>
      <c r="AQ26" s="402">
        <f>★仕入先!$A$208</f>
        <v>30101</v>
      </c>
      <c r="AR26" s="402">
        <f>★仕入先!$A$170</f>
        <v>20351</v>
      </c>
    </row>
    <row r="27" spans="1:44" ht="23.1" customHeight="1" thickBot="1">
      <c r="A27" s="233"/>
      <c r="B27" s="261" t="s">
        <v>83</v>
      </c>
      <c r="C27" s="58">
        <v>1600</v>
      </c>
      <c r="D27" s="273"/>
      <c r="E27" s="408"/>
      <c r="F27" s="50">
        <v>60</v>
      </c>
      <c r="G27" s="273"/>
      <c r="H27" s="408"/>
      <c r="I27" s="74"/>
      <c r="J27" s="262"/>
      <c r="K27" s="408"/>
      <c r="L27" s="50">
        <v>20</v>
      </c>
      <c r="M27" s="273"/>
      <c r="N27" s="408"/>
      <c r="O27" s="74">
        <v>15</v>
      </c>
      <c r="P27" s="273"/>
      <c r="Q27" s="408"/>
      <c r="R27" s="417"/>
      <c r="S27" s="263"/>
      <c r="T27" s="408"/>
      <c r="U27" s="74">
        <v>35</v>
      </c>
      <c r="V27" s="276"/>
      <c r="X27" s="402">
        <f>★仕入先!$A$44</f>
        <v>10208</v>
      </c>
      <c r="Y27" s="402">
        <f>★仕入先!$A$208</f>
        <v>30101</v>
      </c>
      <c r="Z27" s="402">
        <f>★仕入先!$A$170</f>
        <v>20351</v>
      </c>
      <c r="AA27" s="402">
        <f>★仕入先!$A$44</f>
        <v>10208</v>
      </c>
      <c r="AB27" s="402">
        <f>★仕入先!$A$208</f>
        <v>30101</v>
      </c>
      <c r="AC27" s="402">
        <f>★仕入先!$A$170</f>
        <v>20351</v>
      </c>
      <c r="AD27" s="402"/>
      <c r="AE27" s="402"/>
      <c r="AF27" s="402"/>
      <c r="AG27" s="402">
        <f>★仕入先!$A$44</f>
        <v>10208</v>
      </c>
      <c r="AH27" s="402">
        <f>★仕入先!$A$208</f>
        <v>30101</v>
      </c>
      <c r="AI27" s="402">
        <f>★仕入先!$A$170</f>
        <v>20351</v>
      </c>
      <c r="AJ27" s="402">
        <f>★仕入先!$A$44</f>
        <v>10208</v>
      </c>
      <c r="AK27" s="402">
        <f>★仕入先!$A$208</f>
        <v>30101</v>
      </c>
      <c r="AL27" s="402">
        <f>★仕入先!$A$170</f>
        <v>20351</v>
      </c>
      <c r="AM27" s="402"/>
      <c r="AN27" s="402"/>
      <c r="AO27" s="402"/>
      <c r="AP27" s="402">
        <f>★仕入先!$A$44</f>
        <v>10208</v>
      </c>
      <c r="AQ27" s="402">
        <f>★仕入先!$A$208</f>
        <v>30101</v>
      </c>
      <c r="AR27" s="402">
        <f>★仕入先!$A$170</f>
        <v>20351</v>
      </c>
    </row>
    <row r="28" spans="1:44" ht="17.25" customHeight="1">
      <c r="A28" s="227" t="s">
        <v>12</v>
      </c>
      <c r="B28" s="228" t="s">
        <v>13</v>
      </c>
      <c r="C28" s="229"/>
      <c r="D28" s="230"/>
      <c r="E28" s="409"/>
      <c r="F28" s="347"/>
      <c r="G28" s="231"/>
      <c r="H28" s="409"/>
      <c r="I28" s="347"/>
      <c r="J28" s="231"/>
      <c r="K28" s="409"/>
      <c r="L28" s="347"/>
      <c r="M28" s="231"/>
      <c r="N28" s="409"/>
      <c r="O28" s="347"/>
      <c r="P28" s="231"/>
      <c r="Q28" s="409"/>
      <c r="R28" s="346"/>
      <c r="S28" s="264"/>
      <c r="T28" s="409"/>
      <c r="U28" s="347"/>
      <c r="V28" s="232"/>
      <c r="X28" s="402"/>
      <c r="Y28" s="402"/>
      <c r="Z28" s="402"/>
      <c r="AA28" s="402"/>
      <c r="AB28" s="402"/>
      <c r="AC28" s="402"/>
      <c r="AD28" s="402"/>
      <c r="AE28" s="402"/>
      <c r="AF28" s="402"/>
      <c r="AG28" s="402"/>
      <c r="AH28" s="402"/>
      <c r="AI28" s="402"/>
      <c r="AJ28" s="402"/>
      <c r="AK28" s="402"/>
      <c r="AL28" s="402"/>
      <c r="AM28" s="402"/>
      <c r="AN28" s="402"/>
      <c r="AO28" s="402"/>
      <c r="AP28" s="402"/>
      <c r="AQ28" s="402"/>
      <c r="AR28" s="402"/>
    </row>
    <row r="29" spans="1:44" ht="22.5" customHeight="1" thickBot="1">
      <c r="A29" s="233">
        <f>SUM(C29,F29,I29,L29,O29,R29,U29)</f>
        <v>4585</v>
      </c>
      <c r="B29" s="234">
        <f>SUM(D29,G29,J29,M29,P29,S29,V29)</f>
        <v>0</v>
      </c>
      <c r="C29" s="71">
        <f>SUM(C25:C27)</f>
        <v>4000</v>
      </c>
      <c r="D29" s="235" t="str">
        <f>IF(SUM(D25:D27)=0," ",SUM(D25:D27))</f>
        <v xml:space="preserve"> </v>
      </c>
      <c r="E29" s="72"/>
      <c r="F29" s="73">
        <f>SUM(F25:F27)</f>
        <v>120</v>
      </c>
      <c r="G29" s="235" t="str">
        <f>IF(SUM(G25:G27)=0," ",SUM(G25:G27))</f>
        <v xml:space="preserve"> </v>
      </c>
      <c r="H29" s="72"/>
      <c r="I29" s="73">
        <f>SUM(I25:I27)</f>
        <v>340</v>
      </c>
      <c r="J29" s="235" t="str">
        <f>IF(SUM(J25:J27)=0," ",SUM(J25:J27))</f>
        <v xml:space="preserve"> </v>
      </c>
      <c r="K29" s="72"/>
      <c r="L29" s="73">
        <f>SUM(L25:L27)</f>
        <v>35</v>
      </c>
      <c r="M29" s="235" t="str">
        <f>IF(SUM(M25:M27)=0," ",SUM(M25:M27))</f>
        <v xml:space="preserve"> </v>
      </c>
      <c r="N29" s="72"/>
      <c r="O29" s="73">
        <f>SUM(O25:O27)</f>
        <v>30</v>
      </c>
      <c r="P29" s="235" t="str">
        <f>IF(SUM(P25:P27)=0," ",SUM(P25:P27))</f>
        <v xml:space="preserve"> </v>
      </c>
      <c r="Q29" s="72"/>
      <c r="R29" s="73"/>
      <c r="S29" s="235" t="str">
        <f>IF(SUM(S25:S27)=0," ",SUM(S25:S27))</f>
        <v xml:space="preserve"> </v>
      </c>
      <c r="T29" s="72"/>
      <c r="U29" s="73">
        <f>SUM(U25:U27)</f>
        <v>60</v>
      </c>
      <c r="V29" s="236" t="str">
        <f>IF(SUM(V25:V27)=0," ",SUM(V25:V27))</f>
        <v xml:space="preserve"> </v>
      </c>
      <c r="X29" s="402"/>
      <c r="Y29" s="402"/>
      <c r="Z29" s="402"/>
      <c r="AA29" s="402"/>
      <c r="AB29" s="402"/>
      <c r="AC29" s="402"/>
      <c r="AD29" s="402"/>
      <c r="AE29" s="402"/>
      <c r="AF29" s="402"/>
      <c r="AG29" s="402"/>
      <c r="AH29" s="402"/>
      <c r="AI29" s="402"/>
      <c r="AJ29" s="402"/>
      <c r="AK29" s="402"/>
      <c r="AL29" s="402"/>
      <c r="AM29" s="402"/>
      <c r="AN29" s="402"/>
      <c r="AO29" s="402"/>
      <c r="AP29" s="402"/>
      <c r="AQ29" s="402"/>
      <c r="AR29" s="402"/>
    </row>
    <row r="30" spans="1:44" ht="9.9499999999999993" customHeight="1" thickBot="1">
      <c r="A30" s="265"/>
      <c r="B30" s="266"/>
      <c r="C30" s="249"/>
      <c r="D30" s="250"/>
      <c r="E30" s="410"/>
      <c r="F30" s="249"/>
      <c r="G30" s="251"/>
      <c r="H30" s="410"/>
      <c r="I30" s="249"/>
      <c r="J30" s="251"/>
      <c r="K30" s="410"/>
      <c r="L30" s="249"/>
      <c r="M30" s="251"/>
      <c r="N30" s="410"/>
      <c r="O30" s="249"/>
      <c r="P30" s="251"/>
      <c r="Q30" s="410"/>
      <c r="R30" s="249"/>
      <c r="S30" s="252"/>
      <c r="T30" s="410"/>
      <c r="U30" s="249"/>
      <c r="V30" s="418"/>
      <c r="X30" s="402"/>
      <c r="Y30" s="402"/>
      <c r="Z30" s="402"/>
      <c r="AA30" s="402"/>
      <c r="AB30" s="402"/>
      <c r="AC30" s="402"/>
      <c r="AD30" s="402"/>
      <c r="AE30" s="402"/>
      <c r="AF30" s="402"/>
      <c r="AG30" s="402"/>
      <c r="AH30" s="402"/>
      <c r="AI30" s="402"/>
      <c r="AJ30" s="402"/>
      <c r="AK30" s="402"/>
      <c r="AL30" s="402"/>
      <c r="AM30" s="402"/>
      <c r="AN30" s="402"/>
      <c r="AO30" s="402"/>
      <c r="AP30" s="402"/>
      <c r="AQ30" s="402"/>
      <c r="AR30" s="402"/>
    </row>
    <row r="31" spans="1:44" ht="23.1" customHeight="1">
      <c r="A31" s="419" t="s">
        <v>30</v>
      </c>
      <c r="B31" s="254" t="s">
        <v>84</v>
      </c>
      <c r="C31" s="154">
        <v>830</v>
      </c>
      <c r="D31" s="21"/>
      <c r="E31" s="412"/>
      <c r="F31" s="180">
        <v>70</v>
      </c>
      <c r="G31" s="21"/>
      <c r="H31" s="412"/>
      <c r="I31" s="180">
        <v>50</v>
      </c>
      <c r="J31" s="21"/>
      <c r="K31" s="412"/>
      <c r="L31" s="180">
        <v>10</v>
      </c>
      <c r="M31" s="21"/>
      <c r="N31" s="412"/>
      <c r="O31" s="180">
        <v>5</v>
      </c>
      <c r="P31" s="21"/>
      <c r="Q31" s="412"/>
      <c r="R31" s="416"/>
      <c r="S31" s="21"/>
      <c r="T31" s="412"/>
      <c r="U31" s="180">
        <v>15</v>
      </c>
      <c r="V31" s="274"/>
      <c r="X31" s="402">
        <f>★仕入先!$A$22</f>
        <v>10046</v>
      </c>
      <c r="Y31" s="402">
        <f>★仕入先!$A$208</f>
        <v>30101</v>
      </c>
      <c r="Z31" s="402">
        <f>★仕入先!$A$170</f>
        <v>20351</v>
      </c>
      <c r="AA31" s="402">
        <f>★仕入先!$A$22</f>
        <v>10046</v>
      </c>
      <c r="AB31" s="402">
        <f>★仕入先!$A$208</f>
        <v>30101</v>
      </c>
      <c r="AC31" s="402">
        <f>★仕入先!$A$170</f>
        <v>20351</v>
      </c>
      <c r="AD31" s="546">
        <f>★仕入先!$A$21</f>
        <v>10045</v>
      </c>
      <c r="AE31" s="402">
        <f>★仕入先!$A$208</f>
        <v>30101</v>
      </c>
      <c r="AF31" s="402">
        <f>★仕入先!$A$170</f>
        <v>20351</v>
      </c>
      <c r="AG31" s="402">
        <f>★仕入先!$A$22</f>
        <v>10046</v>
      </c>
      <c r="AH31" s="402">
        <f>★仕入先!$A$208</f>
        <v>30101</v>
      </c>
      <c r="AI31" s="402">
        <f>★仕入先!$A$170</f>
        <v>20351</v>
      </c>
      <c r="AJ31" s="402">
        <f>★仕入先!$A$22</f>
        <v>10046</v>
      </c>
      <c r="AK31" s="402">
        <f>★仕入先!$A$208</f>
        <v>30101</v>
      </c>
      <c r="AL31" s="402">
        <f>★仕入先!$A$170</f>
        <v>20351</v>
      </c>
      <c r="AM31" s="402">
        <f>★仕入先!$A$22</f>
        <v>10046</v>
      </c>
      <c r="AN31" s="402">
        <f>★仕入先!$A$208</f>
        <v>30101</v>
      </c>
      <c r="AO31" s="402">
        <f>★仕入先!$A$170</f>
        <v>20351</v>
      </c>
      <c r="AP31" s="402">
        <f>★仕入先!$A$22</f>
        <v>10046</v>
      </c>
      <c r="AQ31" s="402">
        <f>★仕入先!$A$208</f>
        <v>30101</v>
      </c>
      <c r="AR31" s="402">
        <f>★仕入先!$A$170</f>
        <v>20351</v>
      </c>
    </row>
    <row r="32" spans="1:44" ht="23.1" customHeight="1">
      <c r="A32" s="238" t="s">
        <v>234</v>
      </c>
      <c r="B32" s="267" t="s">
        <v>85</v>
      </c>
      <c r="C32" s="48">
        <v>1420</v>
      </c>
      <c r="D32" s="18"/>
      <c r="E32" s="413"/>
      <c r="F32" s="50">
        <v>60</v>
      </c>
      <c r="G32" s="18"/>
      <c r="H32" s="413"/>
      <c r="I32" s="50">
        <v>150</v>
      </c>
      <c r="J32" s="18"/>
      <c r="K32" s="413"/>
      <c r="L32" s="155">
        <v>15</v>
      </c>
      <c r="M32" s="18"/>
      <c r="N32" s="413"/>
      <c r="O32" s="50">
        <v>10</v>
      </c>
      <c r="P32" s="18"/>
      <c r="Q32" s="413"/>
      <c r="R32" s="303">
        <v>10</v>
      </c>
      <c r="S32" s="18"/>
      <c r="T32" s="413"/>
      <c r="U32" s="50">
        <v>10</v>
      </c>
      <c r="V32" s="275"/>
      <c r="X32" s="402">
        <f>★仕入先!$A$23</f>
        <v>10051</v>
      </c>
      <c r="Y32" s="402">
        <f>★仕入先!$A$208</f>
        <v>30101</v>
      </c>
      <c r="Z32" s="402">
        <f>★仕入先!$A$170</f>
        <v>20351</v>
      </c>
      <c r="AA32" s="402">
        <f>★仕入先!$A$23</f>
        <v>10051</v>
      </c>
      <c r="AB32" s="402">
        <f>★仕入先!$A$208</f>
        <v>30101</v>
      </c>
      <c r="AC32" s="402">
        <f>★仕入先!$A$170</f>
        <v>20351</v>
      </c>
      <c r="AD32" s="402">
        <f>★仕入先!$A$24</f>
        <v>10053</v>
      </c>
      <c r="AE32" s="402">
        <f>★仕入先!$A$208</f>
        <v>30101</v>
      </c>
      <c r="AF32" s="402">
        <f>★仕入先!$A$170</f>
        <v>20351</v>
      </c>
      <c r="AG32" s="402">
        <f>★仕入先!$A$24</f>
        <v>10053</v>
      </c>
      <c r="AH32" s="402">
        <f>★仕入先!$A$208</f>
        <v>30101</v>
      </c>
      <c r="AI32" s="402">
        <f>★仕入先!$A$170</f>
        <v>20351</v>
      </c>
      <c r="AJ32" s="402">
        <f>★仕入先!$A$24</f>
        <v>10053</v>
      </c>
      <c r="AK32" s="402">
        <f>★仕入先!$A$208</f>
        <v>30101</v>
      </c>
      <c r="AL32" s="402">
        <f>★仕入先!$A$170</f>
        <v>20351</v>
      </c>
      <c r="AM32" s="402">
        <f>★仕入先!$A$24</f>
        <v>10053</v>
      </c>
      <c r="AN32" s="402">
        <f>★仕入先!$A$208</f>
        <v>30101</v>
      </c>
      <c r="AO32" s="402">
        <f>★仕入先!$A$170</f>
        <v>20351</v>
      </c>
      <c r="AP32" s="402">
        <f>★仕入先!$A$23</f>
        <v>10051</v>
      </c>
      <c r="AQ32" s="402">
        <f>★仕入先!$A$208</f>
        <v>30101</v>
      </c>
      <c r="AR32" s="402">
        <f>★仕入先!$A$170</f>
        <v>20351</v>
      </c>
    </row>
    <row r="33" spans="1:44" ht="23.1" customHeight="1">
      <c r="A33" s="223"/>
      <c r="B33" s="267" t="s">
        <v>86</v>
      </c>
      <c r="C33" s="48">
        <v>950</v>
      </c>
      <c r="D33" s="18"/>
      <c r="E33" s="413"/>
      <c r="F33" s="50">
        <v>50</v>
      </c>
      <c r="G33" s="18"/>
      <c r="H33" s="413"/>
      <c r="I33" s="50">
        <v>50</v>
      </c>
      <c r="J33" s="18"/>
      <c r="K33" s="413"/>
      <c r="L33" s="155">
        <v>10</v>
      </c>
      <c r="M33" s="18"/>
      <c r="N33" s="413"/>
      <c r="O33" s="50">
        <v>10</v>
      </c>
      <c r="P33" s="18"/>
      <c r="Q33" s="413"/>
      <c r="R33" s="303"/>
      <c r="S33" s="18"/>
      <c r="T33" s="413"/>
      <c r="U33" s="50">
        <v>15</v>
      </c>
      <c r="V33" s="275"/>
      <c r="X33" s="402">
        <f>★仕入先!$A$25</f>
        <v>10061</v>
      </c>
      <c r="Y33" s="402">
        <f>★仕入先!$A$208</f>
        <v>30101</v>
      </c>
      <c r="Z33" s="402">
        <f>★仕入先!$A$170</f>
        <v>20351</v>
      </c>
      <c r="AA33" s="402">
        <f>★仕入先!$A$25</f>
        <v>10061</v>
      </c>
      <c r="AB33" s="402">
        <f>★仕入先!$A$208</f>
        <v>30101</v>
      </c>
      <c r="AC33" s="402">
        <f>★仕入先!$A$170</f>
        <v>20351</v>
      </c>
      <c r="AD33" s="402">
        <f>★仕入先!$A$26</f>
        <v>10064</v>
      </c>
      <c r="AE33" s="402">
        <f>★仕入先!$A$208</f>
        <v>30101</v>
      </c>
      <c r="AF33" s="402">
        <f>★仕入先!$A$170</f>
        <v>20351</v>
      </c>
      <c r="AG33" s="402">
        <f>★仕入先!$A$25</f>
        <v>10061</v>
      </c>
      <c r="AH33" s="402">
        <f>★仕入先!$A$208</f>
        <v>30101</v>
      </c>
      <c r="AI33" s="402">
        <f>★仕入先!$A$170</f>
        <v>20351</v>
      </c>
      <c r="AJ33" s="402">
        <f>★仕入先!$A$25</f>
        <v>10061</v>
      </c>
      <c r="AK33" s="402">
        <f>★仕入先!$A$208</f>
        <v>30101</v>
      </c>
      <c r="AL33" s="402">
        <f>★仕入先!$A$170</f>
        <v>20351</v>
      </c>
      <c r="AM33" s="402">
        <f>★仕入先!$A$26</f>
        <v>10064</v>
      </c>
      <c r="AN33" s="402">
        <f>★仕入先!$A$208</f>
        <v>30101</v>
      </c>
      <c r="AO33" s="402">
        <f>★仕入先!$A$170</f>
        <v>20351</v>
      </c>
      <c r="AP33" s="402">
        <f>★仕入先!$A$25</f>
        <v>10061</v>
      </c>
      <c r="AQ33" s="402">
        <f>★仕入先!$A$208</f>
        <v>30101</v>
      </c>
      <c r="AR33" s="402">
        <f>★仕入先!$A$170</f>
        <v>20351</v>
      </c>
    </row>
    <row r="34" spans="1:44" ht="23.1" customHeight="1" thickBot="1">
      <c r="A34" s="268"/>
      <c r="B34" s="269" t="s">
        <v>87</v>
      </c>
      <c r="C34" s="71">
        <v>1700</v>
      </c>
      <c r="D34" s="273"/>
      <c r="E34" s="411"/>
      <c r="F34" s="74">
        <v>65</v>
      </c>
      <c r="G34" s="273"/>
      <c r="H34" s="411"/>
      <c r="I34" s="74">
        <v>150</v>
      </c>
      <c r="J34" s="273"/>
      <c r="K34" s="411"/>
      <c r="L34" s="73">
        <v>30</v>
      </c>
      <c r="M34" s="273"/>
      <c r="N34" s="411"/>
      <c r="O34" s="74">
        <v>10</v>
      </c>
      <c r="P34" s="273"/>
      <c r="Q34" s="411"/>
      <c r="R34" s="417">
        <v>10</v>
      </c>
      <c r="S34" s="273"/>
      <c r="T34" s="411"/>
      <c r="U34" s="74">
        <v>15</v>
      </c>
      <c r="V34" s="276"/>
      <c r="X34" s="546">
        <f>★仕入先!$A$28</f>
        <v>10075</v>
      </c>
      <c r="Y34" s="402">
        <f>★仕入先!$A$192</f>
        <v>30042</v>
      </c>
      <c r="Z34" s="402">
        <f>★仕入先!$A$170</f>
        <v>20351</v>
      </c>
      <c r="AA34" s="546">
        <f>★仕入先!$A$27</f>
        <v>10074</v>
      </c>
      <c r="AB34" s="402">
        <f>★仕入先!$A$208</f>
        <v>30101</v>
      </c>
      <c r="AC34" s="402">
        <f>★仕入先!$A$170</f>
        <v>20351</v>
      </c>
      <c r="AD34" s="402">
        <f>★仕入先!$A$27</f>
        <v>10074</v>
      </c>
      <c r="AE34" s="402">
        <f>★仕入先!$A$208</f>
        <v>30101</v>
      </c>
      <c r="AF34" s="402">
        <f>★仕入先!$A$170</f>
        <v>20351</v>
      </c>
      <c r="AG34" s="546">
        <f>★仕入先!$A$27</f>
        <v>10074</v>
      </c>
      <c r="AH34" s="402">
        <f>★仕入先!$A$208</f>
        <v>30101</v>
      </c>
      <c r="AI34" s="402">
        <f>★仕入先!$A$170</f>
        <v>20351</v>
      </c>
      <c r="AJ34" s="402">
        <f>★仕入先!$A$27</f>
        <v>10074</v>
      </c>
      <c r="AK34" s="402">
        <f>★仕入先!$A$208</f>
        <v>30101</v>
      </c>
      <c r="AL34" s="402">
        <f>★仕入先!$A$170</f>
        <v>20351</v>
      </c>
      <c r="AM34" s="546">
        <f>★仕入先!$A$27</f>
        <v>10074</v>
      </c>
      <c r="AN34" s="402">
        <f>★仕入先!$A$208</f>
        <v>30101</v>
      </c>
      <c r="AO34" s="402">
        <f>★仕入先!$A$170</f>
        <v>20351</v>
      </c>
      <c r="AP34" s="546">
        <f>★仕入先!$A$27</f>
        <v>10074</v>
      </c>
      <c r="AQ34" s="402">
        <f>★仕入先!$A$208</f>
        <v>30101</v>
      </c>
      <c r="AR34" s="402">
        <f>★仕入先!$A$170</f>
        <v>20351</v>
      </c>
    </row>
    <row r="35" spans="1:44" ht="17.25" customHeight="1">
      <c r="A35" s="227" t="s">
        <v>12</v>
      </c>
      <c r="B35" s="228" t="s">
        <v>13</v>
      </c>
      <c r="C35" s="229"/>
      <c r="D35" s="230"/>
      <c r="E35" s="414"/>
      <c r="F35" s="347"/>
      <c r="G35" s="231"/>
      <c r="H35" s="414"/>
      <c r="I35" s="347"/>
      <c r="J35" s="231"/>
      <c r="K35" s="414"/>
      <c r="L35" s="347"/>
      <c r="M35" s="231"/>
      <c r="N35" s="414"/>
      <c r="O35" s="347"/>
      <c r="P35" s="231"/>
      <c r="Q35" s="414"/>
      <c r="R35" s="346"/>
      <c r="S35" s="264"/>
      <c r="T35" s="414"/>
      <c r="U35" s="347"/>
      <c r="V35" s="232"/>
      <c r="X35" s="402"/>
      <c r="Y35" s="402"/>
      <c r="Z35" s="402"/>
      <c r="AA35" s="402"/>
      <c r="AB35" s="402"/>
      <c r="AC35" s="402"/>
      <c r="AD35" s="402"/>
      <c r="AE35" s="402"/>
      <c r="AF35" s="402"/>
      <c r="AG35" s="402"/>
      <c r="AH35" s="402"/>
      <c r="AI35" s="402"/>
      <c r="AJ35" s="402"/>
      <c r="AK35" s="402"/>
      <c r="AL35" s="402"/>
      <c r="AM35" s="402"/>
      <c r="AN35" s="402"/>
      <c r="AO35" s="402"/>
      <c r="AP35" s="402"/>
      <c r="AQ35" s="402"/>
      <c r="AR35" s="402"/>
    </row>
    <row r="36" spans="1:44" ht="22.5" customHeight="1" thickBot="1">
      <c r="A36" s="270">
        <f>SUM(C36,F36,I36,L36,O36,R36,U36)</f>
        <v>5720</v>
      </c>
      <c r="B36" s="234">
        <f>SUM(D36,G36,J36,M36,P36,S36,V36)</f>
        <v>0</v>
      </c>
      <c r="C36" s="71">
        <f>SUM(C31:C35)</f>
        <v>4900</v>
      </c>
      <c r="D36" s="283" t="str">
        <f>IF(SUM(D31:D34)=0," ",SUM(D31:D34))</f>
        <v xml:space="preserve"> </v>
      </c>
      <c r="E36" s="420"/>
      <c r="F36" s="73">
        <f t="shared" ref="F36" si="13">SUM(F31:F35)</f>
        <v>245</v>
      </c>
      <c r="G36" s="235" t="str">
        <f>IF(SUM(G31:G34)=0," ",SUM(G31:G34))</f>
        <v xml:space="preserve"> </v>
      </c>
      <c r="H36" s="420"/>
      <c r="I36" s="73">
        <f t="shared" ref="I36" si="14">SUM(I31:I35)</f>
        <v>400</v>
      </c>
      <c r="J36" s="235" t="str">
        <f>IF(SUM(J31:J34)=0," ",SUM(J31:J34))</f>
        <v xml:space="preserve"> </v>
      </c>
      <c r="K36" s="420"/>
      <c r="L36" s="73">
        <f t="shared" ref="L36" si="15">SUM(L31:L35)</f>
        <v>65</v>
      </c>
      <c r="M36" s="235" t="str">
        <f>IF(SUM(M31:M34)=0," ",SUM(M31:M34))</f>
        <v xml:space="preserve"> </v>
      </c>
      <c r="N36" s="420"/>
      <c r="O36" s="73">
        <f t="shared" ref="O36" si="16">SUM(O31:O35)</f>
        <v>35</v>
      </c>
      <c r="P36" s="235" t="str">
        <f>IF(SUM(P31:P34)=0," ",SUM(P31:P34))</f>
        <v xml:space="preserve"> </v>
      </c>
      <c r="Q36" s="420"/>
      <c r="R36" s="73">
        <f t="shared" ref="R36" si="17">SUM(R31:R35)</f>
        <v>20</v>
      </c>
      <c r="S36" s="235" t="str">
        <f>IF(SUM(S31:S34)=0," ",SUM(S31:S34))</f>
        <v xml:space="preserve"> </v>
      </c>
      <c r="T36" s="420"/>
      <c r="U36" s="73">
        <f t="shared" ref="U36" si="18">SUM(U31:U35)</f>
        <v>55</v>
      </c>
      <c r="V36" s="236" t="str">
        <f>IF(SUM(V31:V34)=0," ",SUM(V31:V34))</f>
        <v xml:space="preserve"> </v>
      </c>
      <c r="X36" s="402"/>
      <c r="Y36" s="402"/>
      <c r="Z36" s="402"/>
      <c r="AA36" s="402"/>
      <c r="AB36" s="402"/>
      <c r="AC36" s="402"/>
      <c r="AD36" s="402"/>
      <c r="AE36" s="402"/>
      <c r="AF36" s="402"/>
      <c r="AG36" s="402"/>
      <c r="AH36" s="402"/>
      <c r="AI36" s="402"/>
      <c r="AJ36" s="402"/>
      <c r="AK36" s="402"/>
      <c r="AL36" s="402"/>
      <c r="AM36" s="402"/>
      <c r="AN36" s="402"/>
      <c r="AO36" s="402"/>
      <c r="AP36" s="402"/>
      <c r="AQ36" s="402"/>
      <c r="AR36" s="402"/>
    </row>
    <row r="37" spans="1:44">
      <c r="A37" s="99"/>
      <c r="B37" s="99"/>
      <c r="C37" s="99"/>
      <c r="D37" s="99"/>
    </row>
    <row r="38" spans="1:44">
      <c r="A38" s="99"/>
      <c r="B38" s="99"/>
      <c r="C38" s="99"/>
      <c r="D38" s="99"/>
    </row>
    <row r="39" spans="1:44">
      <c r="A39" s="99"/>
      <c r="B39" s="99"/>
      <c r="C39" s="99"/>
      <c r="D39" s="99"/>
    </row>
  </sheetData>
  <sheetProtection sheet="1" objects="1" scenarios="1"/>
  <mergeCells count="26">
    <mergeCell ref="AP5:AR5"/>
    <mergeCell ref="X5:Z5"/>
    <mergeCell ref="AA5:AC5"/>
    <mergeCell ref="AD5:AF5"/>
    <mergeCell ref="AG5:AI5"/>
    <mergeCell ref="AJ5:AL5"/>
    <mergeCell ref="AM5:AO5"/>
    <mergeCell ref="A3:B3"/>
    <mergeCell ref="K3:L4"/>
    <mergeCell ref="A4:B4"/>
    <mergeCell ref="A1:S1"/>
    <mergeCell ref="G3:G4"/>
    <mergeCell ref="I3:J4"/>
    <mergeCell ref="M3:O4"/>
    <mergeCell ref="P3:P4"/>
    <mergeCell ref="Q3:R4"/>
    <mergeCell ref="S3:V4"/>
    <mergeCell ref="U1:V1"/>
    <mergeCell ref="Q6:S6"/>
    <mergeCell ref="T6:V6"/>
    <mergeCell ref="C4:F4"/>
    <mergeCell ref="C6:D6"/>
    <mergeCell ref="E6:G6"/>
    <mergeCell ref="H6:J6"/>
    <mergeCell ref="K6:M6"/>
    <mergeCell ref="N6:P6"/>
  </mergeCells>
  <phoneticPr fontId="15"/>
  <printOptions horizontalCentered="1" verticalCentered="1"/>
  <pageMargins left="0.39370078740157483" right="0" top="0.39370078740157483" bottom="0.39370078740157483" header="0.51181102362204722" footer="0.11811023622047245"/>
  <pageSetup paperSize="9" scale="79" orientation="landscape" r:id="rId1"/>
  <headerFooter alignWithMargins="0">
    <oddFooter xml:space="preserve">&amp;C&amp;"ＭＳ Ｐゴシック,太字"日本海折込センター&amp;R&amp;"ＭＳ Ｐゴシック,太字"6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U38"/>
  <sheetViews>
    <sheetView zoomScale="70" zoomScaleNormal="70" zoomScaleSheetLayoutView="75" workbookViewId="0">
      <pane xSplit="2" ySplit="7" topLeftCell="C8" activePane="bottomRight" state="frozen"/>
      <selection activeCell="I18" sqref="I18"/>
      <selection pane="topRight" activeCell="I18" sqref="I18"/>
      <selection pane="bottomLeft" activeCell="I18" sqref="I18"/>
      <selection pane="bottomRight" activeCell="BA19" sqref="BA19"/>
    </sheetView>
  </sheetViews>
  <sheetFormatPr defaultColWidth="9" defaultRowHeight="14.25"/>
  <cols>
    <col min="1" max="1" width="15.875" style="98" customWidth="1"/>
    <col min="2" max="2" width="11.25" style="98" bestFit="1" customWidth="1"/>
    <col min="3" max="3" width="9.625" style="98" customWidth="1"/>
    <col min="4" max="4" width="10.75" style="98" customWidth="1"/>
    <col min="5" max="5" width="2.125" style="98" customWidth="1"/>
    <col min="6" max="6" width="8.125" style="98" customWidth="1"/>
    <col min="7" max="7" width="9.625" style="98" customWidth="1"/>
    <col min="8" max="8" width="2.125" style="98" customWidth="1"/>
    <col min="9" max="9" width="8.125" style="98" customWidth="1"/>
    <col min="10" max="10" width="9.625" style="98" customWidth="1"/>
    <col min="11" max="11" width="2.125" style="98" customWidth="1"/>
    <col min="12" max="12" width="8.125" style="98" customWidth="1"/>
    <col min="13" max="13" width="9.625" style="98" customWidth="1"/>
    <col min="14" max="14" width="2.125" style="98" customWidth="1"/>
    <col min="15" max="15" width="8.125" style="98" customWidth="1"/>
    <col min="16" max="16" width="9.625" style="98" customWidth="1"/>
    <col min="17" max="17" width="2.125" style="30" customWidth="1"/>
    <col min="18" max="18" width="8.125" style="30" customWidth="1"/>
    <col min="19" max="19" width="9.625" style="30" customWidth="1"/>
    <col min="20" max="20" width="2.125" style="98" customWidth="1"/>
    <col min="21" max="21" width="8.125" style="98" customWidth="1"/>
    <col min="22" max="22" width="9.625" style="98" customWidth="1"/>
    <col min="23" max="23" width="9" style="98" hidden="1" customWidth="1"/>
    <col min="24" max="44" width="9" style="212" hidden="1" customWidth="1"/>
    <col min="45" max="45" width="9" style="31" hidden="1" customWidth="1"/>
    <col min="46" max="47" width="9" style="31"/>
    <col min="48" max="16384" width="9" style="98"/>
  </cols>
  <sheetData>
    <row r="1" spans="1:47">
      <c r="A1" s="778" t="s">
        <v>0</v>
      </c>
      <c r="B1" s="778"/>
      <c r="C1" s="778"/>
      <c r="D1" s="778"/>
      <c r="E1" s="778"/>
      <c r="F1" s="778"/>
      <c r="G1" s="778"/>
      <c r="H1" s="778"/>
      <c r="I1" s="778"/>
      <c r="J1" s="778"/>
      <c r="K1" s="778"/>
      <c r="L1" s="778"/>
      <c r="M1" s="778"/>
      <c r="N1" s="778"/>
      <c r="O1" s="778"/>
      <c r="P1" s="778"/>
      <c r="Q1" s="778"/>
      <c r="R1" s="778"/>
      <c r="S1" s="778"/>
      <c r="T1" s="212"/>
      <c r="U1" s="704">
        <f>①総合計!R1</f>
        <v>2023.1</v>
      </c>
      <c r="V1" s="704"/>
    </row>
    <row r="2" spans="1:47" ht="15" thickBot="1">
      <c r="A2" s="32"/>
      <c r="B2" s="32"/>
      <c r="C2" s="32"/>
      <c r="D2" s="32"/>
      <c r="E2" s="32"/>
      <c r="F2" s="32"/>
      <c r="G2" s="32"/>
      <c r="H2" s="32"/>
      <c r="I2" s="32"/>
      <c r="J2" s="32"/>
      <c r="K2" s="32"/>
      <c r="L2" s="32"/>
      <c r="M2" s="32"/>
      <c r="N2" s="32"/>
      <c r="O2" s="32"/>
      <c r="P2" s="32"/>
      <c r="Q2" s="32"/>
      <c r="R2" s="32"/>
      <c r="S2" s="32"/>
      <c r="T2" s="32"/>
      <c r="U2" s="32"/>
      <c r="V2" s="100" t="s">
        <v>88</v>
      </c>
    </row>
    <row r="3" spans="1:47" ht="20.100000000000001" customHeight="1">
      <c r="A3" s="783" t="s">
        <v>1</v>
      </c>
      <c r="B3" s="784"/>
      <c r="C3" s="33" t="s">
        <v>2</v>
      </c>
      <c r="D3" s="34"/>
      <c r="E3" s="34"/>
      <c r="F3" s="35"/>
      <c r="G3" s="785" t="s">
        <v>145</v>
      </c>
      <c r="H3" s="36"/>
      <c r="I3" s="787" t="str">
        <f>IF(①総合計!I3= 0," ",①総合計!I3)</f>
        <v xml:space="preserve"> </v>
      </c>
      <c r="J3" s="787"/>
      <c r="K3" s="785" t="s">
        <v>3</v>
      </c>
      <c r="L3" s="800"/>
      <c r="M3" s="792" t="str">
        <f>IF(SUM(B16,B29,B35)=0," ",SUM(B16,B29,B35))</f>
        <v xml:space="preserve"> </v>
      </c>
      <c r="N3" s="793"/>
      <c r="O3" s="793"/>
      <c r="P3" s="796" t="str">
        <f>①総合計!L3</f>
        <v xml:space="preserve"> </v>
      </c>
      <c r="Q3" s="785" t="s">
        <v>4</v>
      </c>
      <c r="R3" s="798"/>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86"/>
      <c r="H4" s="37"/>
      <c r="I4" s="788"/>
      <c r="J4" s="788"/>
      <c r="K4" s="786"/>
      <c r="L4" s="801"/>
      <c r="M4" s="794"/>
      <c r="N4" s="795"/>
      <c r="O4" s="795"/>
      <c r="P4" s="797"/>
      <c r="Q4" s="786"/>
      <c r="R4" s="799"/>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10</v>
      </c>
      <c r="AN5" s="609"/>
      <c r="AO5" s="609"/>
      <c r="AP5" s="806" t="s">
        <v>280</v>
      </c>
      <c r="AQ5" s="609"/>
      <c r="AR5" s="609"/>
    </row>
    <row r="6" spans="1:47">
      <c r="A6" s="38" t="s">
        <v>89</v>
      </c>
      <c r="B6" s="104"/>
      <c r="C6" s="696" t="s">
        <v>6</v>
      </c>
      <c r="D6" s="697"/>
      <c r="E6" s="104"/>
      <c r="F6" s="810" t="s">
        <v>7</v>
      </c>
      <c r="G6" s="696"/>
      <c r="H6" s="104"/>
      <c r="I6" s="810" t="s">
        <v>8</v>
      </c>
      <c r="J6" s="696"/>
      <c r="K6" s="104"/>
      <c r="L6" s="810" t="s">
        <v>9</v>
      </c>
      <c r="M6" s="696"/>
      <c r="N6" s="104"/>
      <c r="O6" s="810" t="s">
        <v>228</v>
      </c>
      <c r="P6" s="696"/>
      <c r="Q6" s="780" t="s">
        <v>10</v>
      </c>
      <c r="R6" s="781"/>
      <c r="S6" s="781"/>
      <c r="T6" s="104"/>
      <c r="U6" s="810" t="s">
        <v>11</v>
      </c>
      <c r="V6" s="714"/>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215" t="s">
        <v>47</v>
      </c>
      <c r="B7" s="41" t="s">
        <v>232</v>
      </c>
      <c r="C7" s="216" t="s">
        <v>14</v>
      </c>
      <c r="D7" s="217" t="s">
        <v>15</v>
      </c>
      <c r="E7" s="217"/>
      <c r="F7" s="277" t="s">
        <v>14</v>
      </c>
      <c r="G7" s="216" t="s">
        <v>15</v>
      </c>
      <c r="H7" s="217"/>
      <c r="I7" s="277" t="s">
        <v>14</v>
      </c>
      <c r="J7" s="216" t="s">
        <v>15</v>
      </c>
      <c r="K7" s="217"/>
      <c r="L7" s="277" t="s">
        <v>14</v>
      </c>
      <c r="M7" s="216" t="s">
        <v>15</v>
      </c>
      <c r="N7" s="217"/>
      <c r="O7" s="277" t="s">
        <v>14</v>
      </c>
      <c r="P7" s="216" t="s">
        <v>15</v>
      </c>
      <c r="Q7" s="43"/>
      <c r="R7" s="336" t="s">
        <v>14</v>
      </c>
      <c r="S7" s="216" t="s">
        <v>15</v>
      </c>
      <c r="T7" s="217"/>
      <c r="U7" s="277" t="s">
        <v>14</v>
      </c>
      <c r="V7" s="218" t="s">
        <v>15</v>
      </c>
      <c r="W7" s="26"/>
      <c r="X7" s="42">
        <v>1</v>
      </c>
      <c r="Y7" s="42">
        <v>1</v>
      </c>
      <c r="Z7" s="42">
        <v>1</v>
      </c>
      <c r="AA7" s="42">
        <v>3</v>
      </c>
      <c r="AB7" s="42">
        <v>3</v>
      </c>
      <c r="AC7" s="42">
        <v>3</v>
      </c>
      <c r="AD7" s="42">
        <v>2</v>
      </c>
      <c r="AE7" s="42">
        <v>2</v>
      </c>
      <c r="AF7" s="42">
        <v>2</v>
      </c>
      <c r="AG7" s="42">
        <v>4</v>
      </c>
      <c r="AH7" s="42">
        <v>4</v>
      </c>
      <c r="AI7" s="42">
        <v>4</v>
      </c>
      <c r="AJ7" s="42">
        <v>5</v>
      </c>
      <c r="AK7" s="42">
        <v>5</v>
      </c>
      <c r="AL7" s="42">
        <v>5</v>
      </c>
      <c r="AM7" s="42">
        <v>6</v>
      </c>
      <c r="AN7" s="42">
        <v>6</v>
      </c>
      <c r="AO7" s="42">
        <v>6</v>
      </c>
      <c r="AP7" s="42">
        <v>7</v>
      </c>
      <c r="AQ7" s="42">
        <v>7</v>
      </c>
      <c r="AR7" s="42">
        <v>7</v>
      </c>
      <c r="AS7" s="26"/>
      <c r="AT7" s="26"/>
      <c r="AU7" s="26"/>
    </row>
    <row r="8" spans="1:47" ht="23.1" customHeight="1">
      <c r="A8" s="219" t="s">
        <v>19</v>
      </c>
      <c r="B8" s="220" t="s">
        <v>322</v>
      </c>
      <c r="C8" s="48">
        <v>1900</v>
      </c>
      <c r="D8" s="3"/>
      <c r="E8" s="221"/>
      <c r="F8" s="155">
        <v>950</v>
      </c>
      <c r="G8" s="3"/>
      <c r="H8" s="221"/>
      <c r="I8" s="155">
        <v>950</v>
      </c>
      <c r="J8" s="3"/>
      <c r="K8" s="221"/>
      <c r="L8" s="155">
        <v>200</v>
      </c>
      <c r="M8" s="3"/>
      <c r="N8" s="221"/>
      <c r="O8" s="155">
        <v>140</v>
      </c>
      <c r="P8" s="4"/>
      <c r="Q8" s="131"/>
      <c r="R8" s="303">
        <v>460</v>
      </c>
      <c r="S8" s="4"/>
      <c r="T8" s="221"/>
      <c r="U8" s="155">
        <v>400</v>
      </c>
      <c r="V8" s="272"/>
      <c r="X8" s="402">
        <f>★仕入先!$A$45</f>
        <v>10303</v>
      </c>
      <c r="Y8" s="402">
        <f>★仕入先!$A$174</f>
        <v>30001</v>
      </c>
      <c r="Z8" s="402">
        <f>★仕入先!$A$172</f>
        <v>20601</v>
      </c>
      <c r="AA8" s="402">
        <f>★仕入先!$A$45</f>
        <v>10303</v>
      </c>
      <c r="AB8" s="402">
        <f>★仕入先!$A$203</f>
        <v>30070</v>
      </c>
      <c r="AC8" s="402">
        <f>★仕入先!$A$172</f>
        <v>20601</v>
      </c>
      <c r="AD8" s="402">
        <f>★仕入先!$A$45</f>
        <v>10303</v>
      </c>
      <c r="AE8" s="402">
        <f>★仕入先!$A$198</f>
        <v>30061</v>
      </c>
      <c r="AF8" s="402">
        <f>★仕入先!$A$172</f>
        <v>20601</v>
      </c>
      <c r="AG8" s="402">
        <f>★仕入先!$A$45</f>
        <v>10303</v>
      </c>
      <c r="AH8" s="402">
        <f>★仕入先!$A$203</f>
        <v>30070</v>
      </c>
      <c r="AI8" s="402">
        <f>★仕入先!$A$172</f>
        <v>20601</v>
      </c>
      <c r="AJ8" s="402">
        <f>★仕入先!$A$45</f>
        <v>10303</v>
      </c>
      <c r="AK8" s="402">
        <f>★仕入先!$A$203</f>
        <v>30070</v>
      </c>
      <c r="AL8" s="402">
        <f>★仕入先!$A$172</f>
        <v>20601</v>
      </c>
      <c r="AM8" s="402">
        <f>★仕入先!$A$45</f>
        <v>10303</v>
      </c>
      <c r="AN8" s="402">
        <f>★仕入先!$A$202</f>
        <v>30068</v>
      </c>
      <c r="AO8" s="402">
        <f>★仕入先!$A$172</f>
        <v>20601</v>
      </c>
      <c r="AP8" s="402">
        <f>★仕入先!$A$45</f>
        <v>10303</v>
      </c>
      <c r="AQ8" s="402">
        <f>★仕入先!$A$203</f>
        <v>30070</v>
      </c>
      <c r="AR8" s="402">
        <f>★仕入先!$A$172</f>
        <v>20601</v>
      </c>
    </row>
    <row r="9" spans="1:47" ht="23.1" customHeight="1">
      <c r="A9" s="219"/>
      <c r="B9" s="220" t="s">
        <v>323</v>
      </c>
      <c r="C9" s="48">
        <v>2250</v>
      </c>
      <c r="D9" s="3"/>
      <c r="E9" s="49" t="s">
        <v>324</v>
      </c>
      <c r="F9" s="155">
        <v>370</v>
      </c>
      <c r="G9" s="3"/>
      <c r="H9" s="49" t="s">
        <v>324</v>
      </c>
      <c r="I9" s="155">
        <v>450</v>
      </c>
      <c r="J9" s="3"/>
      <c r="K9" s="49" t="s">
        <v>324</v>
      </c>
      <c r="L9" s="155">
        <v>150</v>
      </c>
      <c r="M9" s="3"/>
      <c r="N9" s="49" t="s">
        <v>324</v>
      </c>
      <c r="O9" s="155">
        <v>60</v>
      </c>
      <c r="P9" s="4"/>
      <c r="Q9" s="131"/>
      <c r="R9" s="303"/>
      <c r="S9" s="278"/>
      <c r="T9" s="49" t="s">
        <v>324</v>
      </c>
      <c r="U9" s="155">
        <v>250</v>
      </c>
      <c r="V9" s="272"/>
      <c r="X9" s="402">
        <f>★仕入先!$A$45</f>
        <v>10303</v>
      </c>
      <c r="Y9" s="546">
        <f>★仕入先!$A$178</f>
        <v>30007</v>
      </c>
      <c r="Z9" s="402">
        <f>★仕入先!$A$172</f>
        <v>20601</v>
      </c>
      <c r="AA9" s="402">
        <f>★仕入先!$A$45</f>
        <v>10303</v>
      </c>
      <c r="AB9" s="402">
        <f>★仕入先!$A$203</f>
        <v>30070</v>
      </c>
      <c r="AC9" s="402">
        <f>★仕入先!$A$172</f>
        <v>20601</v>
      </c>
      <c r="AD9" s="402">
        <f>★仕入先!$A$45</f>
        <v>10303</v>
      </c>
      <c r="AE9" s="402">
        <f>★仕入先!$A$198</f>
        <v>30061</v>
      </c>
      <c r="AF9" s="402">
        <f>★仕入先!$A$172</f>
        <v>20601</v>
      </c>
      <c r="AG9" s="402">
        <f>★仕入先!$A$45</f>
        <v>10303</v>
      </c>
      <c r="AH9" s="402">
        <f>★仕入先!$A$203</f>
        <v>30070</v>
      </c>
      <c r="AI9" s="402">
        <f>★仕入先!$A$172</f>
        <v>20601</v>
      </c>
      <c r="AJ9" s="402">
        <f>★仕入先!$A$45</f>
        <v>10303</v>
      </c>
      <c r="AK9" s="402">
        <f>★仕入先!$A$203</f>
        <v>30070</v>
      </c>
      <c r="AL9" s="402">
        <f>★仕入先!$A$172</f>
        <v>20601</v>
      </c>
      <c r="AP9" s="402">
        <f>★仕入先!$A$45</f>
        <v>10303</v>
      </c>
      <c r="AQ9" s="402">
        <f>★仕入先!$A$203</f>
        <v>30070</v>
      </c>
      <c r="AR9" s="402">
        <f>★仕入先!$A$172</f>
        <v>20601</v>
      </c>
    </row>
    <row r="10" spans="1:47" ht="23.1" customHeight="1">
      <c r="A10" s="219"/>
      <c r="B10" s="220" t="s">
        <v>325</v>
      </c>
      <c r="C10" s="48">
        <v>2900</v>
      </c>
      <c r="D10" s="3"/>
      <c r="E10" s="221"/>
      <c r="F10" s="155"/>
      <c r="G10" s="221"/>
      <c r="H10" s="221"/>
      <c r="I10" s="279"/>
      <c r="J10" s="221"/>
      <c r="K10" s="221"/>
      <c r="L10" s="155"/>
      <c r="M10" s="221"/>
      <c r="N10" s="221"/>
      <c r="O10" s="155"/>
      <c r="P10" s="278"/>
      <c r="Q10" s="131"/>
      <c r="R10" s="303"/>
      <c r="S10" s="278"/>
      <c r="T10" s="221"/>
      <c r="U10" s="155"/>
      <c r="V10" s="272"/>
      <c r="X10" s="402">
        <f>★仕入先!$A$45</f>
        <v>10303</v>
      </c>
      <c r="Y10" s="402">
        <f>★仕入先!$A$175</f>
        <v>30003</v>
      </c>
      <c r="Z10" s="402">
        <f>★仕入先!$A$172</f>
        <v>20601</v>
      </c>
      <c r="AB10" s="402"/>
      <c r="AD10" s="402"/>
      <c r="AE10" s="402"/>
      <c r="AF10" s="402"/>
      <c r="AP10" s="402">
        <f>★仕入先!$A$45</f>
        <v>10303</v>
      </c>
      <c r="AQ10" s="402">
        <f>★仕入先!$A$198</f>
        <v>30061</v>
      </c>
      <c r="AR10" s="402">
        <f>★仕入先!$A$172</f>
        <v>20601</v>
      </c>
    </row>
    <row r="11" spans="1:47" ht="23.1" customHeight="1">
      <c r="A11" s="219"/>
      <c r="B11" s="220" t="s">
        <v>326</v>
      </c>
      <c r="C11" s="48">
        <v>2750</v>
      </c>
      <c r="D11" s="3"/>
      <c r="E11" s="221"/>
      <c r="F11" s="155"/>
      <c r="G11" s="221"/>
      <c r="H11" s="221"/>
      <c r="I11" s="155"/>
      <c r="J11" s="221"/>
      <c r="K11" s="221"/>
      <c r="L11" s="155"/>
      <c r="M11" s="221"/>
      <c r="N11" s="221"/>
      <c r="O11" s="155"/>
      <c r="P11" s="278"/>
      <c r="Q11" s="131"/>
      <c r="R11" s="303"/>
      <c r="S11" s="278"/>
      <c r="T11" s="221"/>
      <c r="U11" s="155"/>
      <c r="V11" s="222"/>
      <c r="X11" s="402">
        <f>★仕入先!$A$45</f>
        <v>10303</v>
      </c>
      <c r="Y11" s="402">
        <f>★仕入先!$A$176</f>
        <v>30004</v>
      </c>
      <c r="Z11" s="402">
        <f>★仕入先!$A$172</f>
        <v>20601</v>
      </c>
      <c r="AB11" s="402"/>
    </row>
    <row r="12" spans="1:47" ht="23.1" customHeight="1">
      <c r="A12" s="219"/>
      <c r="B12" s="220" t="s">
        <v>327</v>
      </c>
      <c r="C12" s="48">
        <v>2050</v>
      </c>
      <c r="D12" s="3"/>
      <c r="E12" s="221"/>
      <c r="F12" s="155"/>
      <c r="G12" s="221"/>
      <c r="H12" s="221"/>
      <c r="I12" s="155"/>
      <c r="J12" s="221"/>
      <c r="K12" s="221"/>
      <c r="L12" s="155"/>
      <c r="M12" s="221"/>
      <c r="N12" s="221"/>
      <c r="O12" s="155"/>
      <c r="P12" s="278"/>
      <c r="Q12" s="131"/>
      <c r="R12" s="303"/>
      <c r="S12" s="278"/>
      <c r="T12" s="221"/>
      <c r="U12" s="155"/>
      <c r="V12" s="222"/>
      <c r="X12" s="402">
        <f>★仕入先!$A$45</f>
        <v>10303</v>
      </c>
      <c r="Y12" s="402">
        <f>★仕入先!$A$177</f>
        <v>30005</v>
      </c>
      <c r="Z12" s="402">
        <f>★仕入先!$A$172</f>
        <v>20601</v>
      </c>
      <c r="AB12" s="402"/>
    </row>
    <row r="13" spans="1:47" ht="23.1" customHeight="1">
      <c r="A13" s="223"/>
      <c r="B13" s="220" t="s">
        <v>328</v>
      </c>
      <c r="C13" s="48">
        <v>1480</v>
      </c>
      <c r="D13" s="3"/>
      <c r="E13" s="221"/>
      <c r="F13" s="155">
        <v>70</v>
      </c>
      <c r="G13" s="3"/>
      <c r="H13" s="221"/>
      <c r="I13" s="155">
        <v>70</v>
      </c>
      <c r="J13" s="3"/>
      <c r="K13" s="221"/>
      <c r="L13" s="155">
        <v>50</v>
      </c>
      <c r="M13" s="3"/>
      <c r="N13" s="221"/>
      <c r="O13" s="155">
        <v>15</v>
      </c>
      <c r="P13" s="4"/>
      <c r="Q13" s="131"/>
      <c r="R13" s="303"/>
      <c r="S13" s="278"/>
      <c r="T13" s="221"/>
      <c r="U13" s="155">
        <v>20</v>
      </c>
      <c r="V13" s="272"/>
      <c r="X13" s="402">
        <f>★仕入先!$A$45</f>
        <v>10303</v>
      </c>
      <c r="Y13" s="402">
        <f>★仕入先!$A$189</f>
        <v>30021</v>
      </c>
      <c r="Z13" s="402">
        <f>★仕入先!$A$172</f>
        <v>20601</v>
      </c>
      <c r="AA13" s="402">
        <f>★仕入先!$A$45</f>
        <v>10303</v>
      </c>
      <c r="AB13" s="402">
        <f>★仕入先!$A$204</f>
        <v>30071</v>
      </c>
      <c r="AC13" s="402">
        <f>★仕入先!$A$172</f>
        <v>20601</v>
      </c>
      <c r="AD13" s="402">
        <f>★仕入先!$A$45</f>
        <v>10303</v>
      </c>
      <c r="AE13" s="402">
        <f>★仕入先!$A$199</f>
        <v>30062</v>
      </c>
      <c r="AF13" s="402">
        <f>★仕入先!$A$172</f>
        <v>20601</v>
      </c>
      <c r="AG13" s="402">
        <f>★仕入先!$A$45</f>
        <v>10303</v>
      </c>
      <c r="AH13" s="402">
        <f>★仕入先!$A$204</f>
        <v>30071</v>
      </c>
      <c r="AI13" s="402">
        <f>★仕入先!$A$172</f>
        <v>20601</v>
      </c>
      <c r="AJ13" s="402">
        <f>★仕入先!$A$45</f>
        <v>10303</v>
      </c>
      <c r="AK13" s="402">
        <f>★仕入先!$A$204</f>
        <v>30071</v>
      </c>
      <c r="AL13" s="402">
        <f>★仕入先!$A$172</f>
        <v>20601</v>
      </c>
      <c r="AP13" s="402">
        <f>★仕入先!$A$45</f>
        <v>10303</v>
      </c>
      <c r="AQ13" s="402">
        <f>★仕入先!$A$204</f>
        <v>30071</v>
      </c>
      <c r="AR13" s="402">
        <f>★仕入先!$A$172</f>
        <v>20601</v>
      </c>
    </row>
    <row r="14" spans="1:47" ht="23.1" customHeight="1">
      <c r="A14" s="223"/>
      <c r="B14" s="220" t="s">
        <v>329</v>
      </c>
      <c r="C14" s="48">
        <v>250</v>
      </c>
      <c r="D14" s="3"/>
      <c r="E14" s="221"/>
      <c r="F14" s="155"/>
      <c r="G14" s="221"/>
      <c r="H14" s="221"/>
      <c r="I14" s="155"/>
      <c r="J14" s="221"/>
      <c r="K14" s="221"/>
      <c r="L14" s="155"/>
      <c r="M14" s="221"/>
      <c r="N14" s="221"/>
      <c r="O14" s="155"/>
      <c r="P14" s="278"/>
      <c r="Q14" s="131"/>
      <c r="R14" s="50"/>
      <c r="S14" s="278"/>
      <c r="T14" s="221"/>
      <c r="U14" s="155"/>
      <c r="V14" s="222"/>
      <c r="X14" s="402">
        <f>★仕入先!$A$45</f>
        <v>10303</v>
      </c>
      <c r="Y14" s="402">
        <f>★仕入先!$A$185</f>
        <v>30017</v>
      </c>
      <c r="Z14" s="402">
        <f>★仕入先!$A$172</f>
        <v>20601</v>
      </c>
      <c r="AB14" s="402"/>
    </row>
    <row r="15" spans="1:47" ht="17.25" customHeight="1">
      <c r="A15" s="280" t="s">
        <v>12</v>
      </c>
      <c r="B15" s="243" t="s">
        <v>13</v>
      </c>
      <c r="C15" s="244"/>
      <c r="D15" s="281"/>
      <c r="E15" s="281"/>
      <c r="F15" s="282"/>
      <c r="G15" s="245"/>
      <c r="H15" s="281"/>
      <c r="I15" s="282"/>
      <c r="J15" s="245"/>
      <c r="K15" s="281"/>
      <c r="L15" s="282"/>
      <c r="M15" s="245"/>
      <c r="N15" s="281"/>
      <c r="O15" s="282"/>
      <c r="P15" s="245"/>
      <c r="Q15" s="226"/>
      <c r="R15" s="328"/>
      <c r="S15" s="245"/>
      <c r="T15" s="281"/>
      <c r="U15" s="282"/>
      <c r="V15" s="247"/>
      <c r="Y15" s="402"/>
      <c r="AB15" s="402"/>
    </row>
    <row r="16" spans="1:47" ht="22.5" customHeight="1" thickBot="1">
      <c r="A16" s="233">
        <f>SUM(C16,F16,I16,L16,O16,R16,U16)</f>
        <v>18185</v>
      </c>
      <c r="B16" s="234">
        <f>SUM(D16,G16,J16,M16,P16,S16,V16)</f>
        <v>0</v>
      </c>
      <c r="C16" s="71">
        <f>SUM(C8:C14)</f>
        <v>13580</v>
      </c>
      <c r="D16" s="235" t="str">
        <f>IF(SUM(D8:D14)=0," ",SUM(D8:D14))</f>
        <v xml:space="preserve"> </v>
      </c>
      <c r="E16" s="283"/>
      <c r="F16" s="73">
        <f>SUM(F8:F14)</f>
        <v>1390</v>
      </c>
      <c r="G16" s="235" t="str">
        <f>IF(SUM(G8:G14)=0," ",SUM(G8:G14))</f>
        <v xml:space="preserve"> </v>
      </c>
      <c r="H16" s="283"/>
      <c r="I16" s="73">
        <f>SUM(I8:I14)</f>
        <v>1470</v>
      </c>
      <c r="J16" s="235" t="str">
        <f>IF(SUM(J8:J14)=0," ",SUM(J8:J14))</f>
        <v xml:space="preserve"> </v>
      </c>
      <c r="K16" s="283"/>
      <c r="L16" s="73">
        <f>SUM(L8:L14)</f>
        <v>400</v>
      </c>
      <c r="M16" s="235" t="str">
        <f>IF(SUM(M8:M14)=0," ",SUM(M8:M14))</f>
        <v xml:space="preserve"> </v>
      </c>
      <c r="N16" s="283"/>
      <c r="O16" s="73">
        <f>SUM(O8:O14)</f>
        <v>215</v>
      </c>
      <c r="P16" s="235" t="str">
        <f>IF(SUM(P8:P14)=0," ",SUM(P8:P14))</f>
        <v xml:space="preserve"> </v>
      </c>
      <c r="Q16" s="195"/>
      <c r="R16" s="73">
        <f>SUM(R8:R14)</f>
        <v>460</v>
      </c>
      <c r="S16" s="235" t="str">
        <f>IF(SUM(S8:S14)=0," ",SUM(S8:S14))</f>
        <v xml:space="preserve"> </v>
      </c>
      <c r="T16" s="283"/>
      <c r="U16" s="73">
        <f>SUM(U8:U14)</f>
        <v>670</v>
      </c>
      <c r="V16" s="236" t="str">
        <f>IF(SUM(V8:V14)=0," ",SUM(V8:V14))</f>
        <v xml:space="preserve"> </v>
      </c>
      <c r="Y16" s="402"/>
      <c r="AB16" s="402"/>
    </row>
    <row r="17" spans="1:44" ht="9.9499999999999993" customHeight="1" thickBot="1">
      <c r="A17" s="284"/>
      <c r="B17" s="248"/>
      <c r="C17" s="249"/>
      <c r="D17" s="285"/>
      <c r="E17" s="252"/>
      <c r="F17" s="249"/>
      <c r="G17" s="251"/>
      <c r="H17" s="251"/>
      <c r="I17" s="249"/>
      <c r="J17" s="251"/>
      <c r="K17" s="251"/>
      <c r="L17" s="249"/>
      <c r="M17" s="251"/>
      <c r="N17" s="251"/>
      <c r="O17" s="249"/>
      <c r="P17" s="251"/>
      <c r="Q17" s="249"/>
      <c r="R17" s="249"/>
      <c r="S17" s="251"/>
      <c r="T17" s="251"/>
      <c r="U17" s="249"/>
      <c r="V17" s="251"/>
      <c r="Y17" s="402"/>
      <c r="AB17" s="402"/>
    </row>
    <row r="18" spans="1:44" ht="23.1" customHeight="1">
      <c r="A18" s="286" t="s">
        <v>90</v>
      </c>
      <c r="B18" s="254" t="s">
        <v>330</v>
      </c>
      <c r="C18" s="154">
        <v>1100</v>
      </c>
      <c r="D18" s="298"/>
      <c r="E18" s="255"/>
      <c r="F18" s="180">
        <v>50</v>
      </c>
      <c r="G18" s="298"/>
      <c r="H18" s="255"/>
      <c r="I18" s="180">
        <v>130</v>
      </c>
      <c r="J18" s="298"/>
      <c r="K18" s="255"/>
      <c r="L18" s="180">
        <v>25</v>
      </c>
      <c r="M18" s="298"/>
      <c r="N18" s="255"/>
      <c r="O18" s="180">
        <v>15</v>
      </c>
      <c r="P18" s="298"/>
      <c r="Q18" s="118"/>
      <c r="R18" s="416">
        <v>40</v>
      </c>
      <c r="S18" s="298"/>
      <c r="T18" s="255"/>
      <c r="U18" s="180">
        <v>15</v>
      </c>
      <c r="V18" s="274"/>
      <c r="X18" s="402">
        <f>★仕入先!$A$45</f>
        <v>10303</v>
      </c>
      <c r="Y18" s="402">
        <f>★仕入先!$A$179</f>
        <v>30011</v>
      </c>
      <c r="Z18" s="402">
        <f>★仕入先!$A$172</f>
        <v>20601</v>
      </c>
      <c r="AA18" s="402">
        <f>★仕入先!$A$45</f>
        <v>10303</v>
      </c>
      <c r="AB18" s="402">
        <f>★仕入先!$A$204</f>
        <v>30071</v>
      </c>
      <c r="AC18" s="402">
        <f>★仕入先!$A$172</f>
        <v>20601</v>
      </c>
      <c r="AD18" s="402">
        <f>★仕入先!$A$45</f>
        <v>10303</v>
      </c>
      <c r="AE18" s="402">
        <f>★仕入先!$A$199</f>
        <v>30062</v>
      </c>
      <c r="AF18" s="402">
        <f>★仕入先!$A$172</f>
        <v>20601</v>
      </c>
      <c r="AG18" s="402">
        <f>★仕入先!$A$45</f>
        <v>10303</v>
      </c>
      <c r="AH18" s="402">
        <f>★仕入先!$A$204</f>
        <v>30071</v>
      </c>
      <c r="AI18" s="402">
        <f>★仕入先!$A$172</f>
        <v>20601</v>
      </c>
      <c r="AJ18" s="402">
        <f>★仕入先!$A$45</f>
        <v>10303</v>
      </c>
      <c r="AK18" s="402">
        <f>★仕入先!$A$199</f>
        <v>30062</v>
      </c>
      <c r="AL18" s="402">
        <f>★仕入先!$A$172</f>
        <v>20601</v>
      </c>
      <c r="AM18" s="402">
        <f>★仕入先!$A$45</f>
        <v>10303</v>
      </c>
      <c r="AN18" s="402">
        <f>★仕入先!$A$199</f>
        <v>30062</v>
      </c>
      <c r="AO18" s="402">
        <f>★仕入先!$A$172</f>
        <v>20601</v>
      </c>
      <c r="AP18" s="402">
        <f>★仕入先!$A$45</f>
        <v>10303</v>
      </c>
      <c r="AQ18" s="402">
        <f>★仕入先!$A$179</f>
        <v>30011</v>
      </c>
      <c r="AR18" s="402">
        <f>★仕入先!$A$172</f>
        <v>20601</v>
      </c>
    </row>
    <row r="19" spans="1:44" ht="23.1" customHeight="1">
      <c r="A19" s="287"/>
      <c r="B19" s="267" t="s">
        <v>331</v>
      </c>
      <c r="C19" s="48">
        <v>740</v>
      </c>
      <c r="D19" s="299"/>
      <c r="E19" s="258"/>
      <c r="F19" s="155">
        <v>50</v>
      </c>
      <c r="G19" s="299"/>
      <c r="H19" s="258"/>
      <c r="I19" s="155"/>
      <c r="J19" s="288"/>
      <c r="K19" s="258"/>
      <c r="L19" s="155"/>
      <c r="M19" s="288"/>
      <c r="N19" s="258"/>
      <c r="O19" s="155"/>
      <c r="P19" s="288"/>
      <c r="Q19" s="131"/>
      <c r="R19" s="303"/>
      <c r="S19" s="288"/>
      <c r="T19" s="258"/>
      <c r="U19" s="50"/>
      <c r="V19" s="260"/>
      <c r="X19" s="402">
        <f>★仕入先!$A$45</f>
        <v>10303</v>
      </c>
      <c r="Y19" s="402">
        <f>★仕入先!$A$180</f>
        <v>30012</v>
      </c>
      <c r="Z19" s="402">
        <f>★仕入先!$A$172</f>
        <v>20601</v>
      </c>
      <c r="AA19" s="402">
        <f>★仕入先!$A$45</f>
        <v>10303</v>
      </c>
      <c r="AB19" s="402">
        <f>★仕入先!$A$204</f>
        <v>30071</v>
      </c>
      <c r="AC19" s="402">
        <f>★仕入先!$A$172</f>
        <v>20601</v>
      </c>
      <c r="AJ19" s="402"/>
      <c r="AK19" s="402"/>
      <c r="AL19" s="402"/>
    </row>
    <row r="20" spans="1:44" ht="23.1" customHeight="1">
      <c r="A20" s="289" t="s">
        <v>91</v>
      </c>
      <c r="B20" s="240" t="s">
        <v>332</v>
      </c>
      <c r="C20" s="58">
        <v>1000</v>
      </c>
      <c r="D20" s="299"/>
      <c r="E20" s="258"/>
      <c r="F20" s="50">
        <v>140</v>
      </c>
      <c r="G20" s="299"/>
      <c r="H20" s="258"/>
      <c r="I20" s="50">
        <v>230</v>
      </c>
      <c r="J20" s="299"/>
      <c r="K20" s="258"/>
      <c r="L20" s="50">
        <v>100</v>
      </c>
      <c r="M20" s="299"/>
      <c r="N20" s="258"/>
      <c r="O20" s="50">
        <v>10</v>
      </c>
      <c r="P20" s="299"/>
      <c r="Q20" s="131"/>
      <c r="R20" s="303">
        <v>20</v>
      </c>
      <c r="S20" s="299"/>
      <c r="T20" s="258"/>
      <c r="U20" s="50">
        <v>30</v>
      </c>
      <c r="V20" s="275"/>
      <c r="X20" s="402">
        <f>★仕入先!$A$45</f>
        <v>10303</v>
      </c>
      <c r="Y20" s="402">
        <f>★仕入先!$A$181</f>
        <v>30013</v>
      </c>
      <c r="Z20" s="402">
        <f>★仕入先!$A$172</f>
        <v>20601</v>
      </c>
      <c r="AA20" s="402">
        <f>★仕入先!$A$45</f>
        <v>10303</v>
      </c>
      <c r="AB20" s="402">
        <f>★仕入先!$A$204</f>
        <v>30071</v>
      </c>
      <c r="AC20" s="402">
        <f>★仕入先!$A$172</f>
        <v>20601</v>
      </c>
      <c r="AD20" s="402">
        <f>★仕入先!$A$45</f>
        <v>10303</v>
      </c>
      <c r="AE20" s="402">
        <f>★仕入先!$A$207</f>
        <v>30074</v>
      </c>
      <c r="AF20" s="402">
        <f>★仕入先!$A$172</f>
        <v>20601</v>
      </c>
      <c r="AG20" s="402">
        <f>★仕入先!$A$45</f>
        <v>10303</v>
      </c>
      <c r="AH20" s="402">
        <f>★仕入先!$A$181</f>
        <v>30013</v>
      </c>
      <c r="AI20" s="402">
        <f>★仕入先!$A$172</f>
        <v>20601</v>
      </c>
      <c r="AJ20" s="402">
        <f>★仕入先!$A$45</f>
        <v>10303</v>
      </c>
      <c r="AK20" s="402">
        <f>★仕入先!$A$181</f>
        <v>30013</v>
      </c>
      <c r="AL20" s="402">
        <f>★仕入先!$A$172</f>
        <v>20601</v>
      </c>
      <c r="AM20" s="402">
        <f>★仕入先!$A$45</f>
        <v>10303</v>
      </c>
      <c r="AN20" s="402">
        <f>★仕入先!$A$207</f>
        <v>30074</v>
      </c>
      <c r="AO20" s="402">
        <f>★仕入先!$A$172</f>
        <v>20601</v>
      </c>
      <c r="AP20" s="402">
        <f>★仕入先!$A$45</f>
        <v>10303</v>
      </c>
      <c r="AQ20" s="402">
        <f>★仕入先!$A$204</f>
        <v>30071</v>
      </c>
      <c r="AR20" s="402">
        <f>★仕入先!$A$172</f>
        <v>20601</v>
      </c>
    </row>
    <row r="21" spans="1:44" ht="23.1" customHeight="1">
      <c r="A21" s="290" t="s">
        <v>92</v>
      </c>
      <c r="B21" s="240" t="s">
        <v>333</v>
      </c>
      <c r="C21" s="58">
        <v>1100</v>
      </c>
      <c r="D21" s="299"/>
      <c r="E21" s="258"/>
      <c r="F21" s="50">
        <v>30</v>
      </c>
      <c r="G21" s="299"/>
      <c r="H21" s="258"/>
      <c r="I21" s="50">
        <v>150</v>
      </c>
      <c r="J21" s="299"/>
      <c r="K21" s="258"/>
      <c r="L21" s="50">
        <v>25</v>
      </c>
      <c r="M21" s="299"/>
      <c r="N21" s="258"/>
      <c r="O21" s="50">
        <v>5</v>
      </c>
      <c r="P21" s="299"/>
      <c r="Q21" s="131"/>
      <c r="R21" s="303"/>
      <c r="S21" s="288"/>
      <c r="T21" s="258"/>
      <c r="U21" s="50">
        <v>10</v>
      </c>
      <c r="V21" s="275"/>
      <c r="X21" s="402">
        <f>★仕入先!$A$45</f>
        <v>10303</v>
      </c>
      <c r="Y21" s="402">
        <f>★仕入先!$A$182</f>
        <v>30014</v>
      </c>
      <c r="Z21" s="402">
        <f>★仕入先!$A$172</f>
        <v>20601</v>
      </c>
      <c r="AA21" s="402">
        <f>★仕入先!$A$45</f>
        <v>10303</v>
      </c>
      <c r="AB21" s="402">
        <f>★仕入先!$A$207</f>
        <v>30074</v>
      </c>
      <c r="AC21" s="402">
        <f>★仕入先!$A$172</f>
        <v>20601</v>
      </c>
      <c r="AD21" s="402">
        <f>★仕入先!$A$45</f>
        <v>10303</v>
      </c>
      <c r="AE21" s="402">
        <f>★仕入先!$A$207</f>
        <v>30074</v>
      </c>
      <c r="AF21" s="402">
        <f>★仕入先!$A$172</f>
        <v>20601</v>
      </c>
      <c r="AG21" s="402">
        <f>★仕入先!$A$45</f>
        <v>10303</v>
      </c>
      <c r="AH21" s="402">
        <f>★仕入先!$A$207</f>
        <v>30074</v>
      </c>
      <c r="AI21" s="402">
        <f>★仕入先!$A$172</f>
        <v>20601</v>
      </c>
      <c r="AJ21" s="402">
        <f>★仕入先!$A$45</f>
        <v>10303</v>
      </c>
      <c r="AK21" s="402">
        <f>★仕入先!$A$207</f>
        <v>30074</v>
      </c>
      <c r="AL21" s="402">
        <f>★仕入先!$A$172</f>
        <v>20601</v>
      </c>
      <c r="AP21" s="402">
        <f>★仕入先!$A$45</f>
        <v>10303</v>
      </c>
      <c r="AQ21" s="402">
        <f>★仕入先!$A$207</f>
        <v>30074</v>
      </c>
      <c r="AR21" s="402">
        <f>★仕入先!$A$172</f>
        <v>20601</v>
      </c>
    </row>
    <row r="22" spans="1:44" ht="23.1" customHeight="1">
      <c r="A22" s="287"/>
      <c r="B22" s="240" t="s">
        <v>334</v>
      </c>
      <c r="C22" s="58">
        <v>2250</v>
      </c>
      <c r="D22" s="299"/>
      <c r="E22" s="258"/>
      <c r="F22" s="50">
        <v>190</v>
      </c>
      <c r="G22" s="299"/>
      <c r="H22" s="258"/>
      <c r="I22" s="50">
        <v>150</v>
      </c>
      <c r="J22" s="299"/>
      <c r="K22" s="258"/>
      <c r="L22" s="50">
        <v>35</v>
      </c>
      <c r="M22" s="299"/>
      <c r="N22" s="258"/>
      <c r="O22" s="50">
        <v>15</v>
      </c>
      <c r="P22" s="299"/>
      <c r="Q22" s="131"/>
      <c r="R22" s="303">
        <v>20</v>
      </c>
      <c r="S22" s="299"/>
      <c r="T22" s="258"/>
      <c r="U22" s="50">
        <v>30</v>
      </c>
      <c r="V22" s="275"/>
      <c r="X22" s="402">
        <f>★仕入先!$A$45</f>
        <v>10303</v>
      </c>
      <c r="Y22" s="402">
        <f>★仕入先!$A$183</f>
        <v>30015</v>
      </c>
      <c r="Z22" s="402">
        <f>★仕入先!$A$172</f>
        <v>20601</v>
      </c>
      <c r="AA22" s="402">
        <f>★仕入先!$A$45</f>
        <v>10303</v>
      </c>
      <c r="AB22" s="402">
        <f>★仕入先!$A$204</f>
        <v>30071</v>
      </c>
      <c r="AC22" s="402">
        <f>★仕入先!$A$172</f>
        <v>20601</v>
      </c>
      <c r="AD22" s="402">
        <f>★仕入先!$A$45</f>
        <v>10303</v>
      </c>
      <c r="AE22" s="402">
        <f>★仕入先!$A$207</f>
        <v>30074</v>
      </c>
      <c r="AF22" s="402">
        <f>★仕入先!$A$172</f>
        <v>20601</v>
      </c>
      <c r="AG22" s="402">
        <f>★仕入先!$A$45</f>
        <v>10303</v>
      </c>
      <c r="AH22" s="402">
        <f>★仕入先!$A$204</f>
        <v>30071</v>
      </c>
      <c r="AI22" s="402">
        <f>★仕入先!$A$172</f>
        <v>20601</v>
      </c>
      <c r="AJ22" s="402">
        <f>★仕入先!$A$45</f>
        <v>10303</v>
      </c>
      <c r="AK22" s="402">
        <f>★仕入先!$A$204</f>
        <v>30071</v>
      </c>
      <c r="AL22" s="402">
        <f>★仕入先!$A$172</f>
        <v>20601</v>
      </c>
      <c r="AM22" s="402">
        <f>★仕入先!$A$45</f>
        <v>10303</v>
      </c>
      <c r="AN22" s="402">
        <f>★仕入先!$A$207</f>
        <v>30074</v>
      </c>
      <c r="AO22" s="402">
        <f>★仕入先!$A$172</f>
        <v>20601</v>
      </c>
      <c r="AP22" s="402">
        <f>★仕入先!$A$45</f>
        <v>10303</v>
      </c>
      <c r="AQ22" s="402">
        <f>★仕入先!$A$204</f>
        <v>30071</v>
      </c>
      <c r="AR22" s="402">
        <f>★仕入先!$A$172</f>
        <v>20601</v>
      </c>
    </row>
    <row r="23" spans="1:44" ht="23.1" customHeight="1">
      <c r="A23" s="224" t="s">
        <v>183</v>
      </c>
      <c r="B23" s="240" t="s">
        <v>335</v>
      </c>
      <c r="C23" s="58">
        <v>1900</v>
      </c>
      <c r="D23" s="299"/>
      <c r="E23" s="258"/>
      <c r="F23" s="50">
        <v>80</v>
      </c>
      <c r="G23" s="299"/>
      <c r="H23" s="258"/>
      <c r="I23" s="50">
        <v>300</v>
      </c>
      <c r="J23" s="299"/>
      <c r="K23" s="258"/>
      <c r="L23" s="50">
        <v>20</v>
      </c>
      <c r="M23" s="299"/>
      <c r="N23" s="258"/>
      <c r="O23" s="50">
        <v>10</v>
      </c>
      <c r="P23" s="299"/>
      <c r="Q23" s="131"/>
      <c r="R23" s="303">
        <v>15</v>
      </c>
      <c r="S23" s="299"/>
      <c r="T23" s="258"/>
      <c r="U23" s="50">
        <v>25</v>
      </c>
      <c r="V23" s="275"/>
      <c r="X23" s="402">
        <f>★仕入先!$A$45</f>
        <v>10303</v>
      </c>
      <c r="Y23" s="402">
        <f>★仕入先!$A$184</f>
        <v>30016</v>
      </c>
      <c r="Z23" s="402">
        <f>★仕入先!$A$172</f>
        <v>20601</v>
      </c>
      <c r="AA23" s="402">
        <f>★仕入先!$A$45</f>
        <v>10303</v>
      </c>
      <c r="AB23" s="402">
        <f>★仕入先!$A$184</f>
        <v>30016</v>
      </c>
      <c r="AC23" s="402">
        <f>★仕入先!$A$172</f>
        <v>20601</v>
      </c>
      <c r="AD23" s="402">
        <f>★仕入先!$A$45</f>
        <v>10303</v>
      </c>
      <c r="AE23" s="546">
        <f>★仕入先!$A$205</f>
        <v>30072</v>
      </c>
      <c r="AF23" s="402">
        <f>★仕入先!$A$172</f>
        <v>20601</v>
      </c>
      <c r="AG23" s="402">
        <f>★仕入先!$A$45</f>
        <v>10303</v>
      </c>
      <c r="AH23" s="546">
        <f>★仕入先!$A$205</f>
        <v>30072</v>
      </c>
      <c r="AI23" s="402">
        <f>★仕入先!$A$172</f>
        <v>20601</v>
      </c>
      <c r="AJ23" s="402">
        <f>★仕入先!$A$45</f>
        <v>10303</v>
      </c>
      <c r="AK23" s="546">
        <f>★仕入先!$A$205</f>
        <v>30072</v>
      </c>
      <c r="AL23" s="402">
        <f>★仕入先!$A$172</f>
        <v>20601</v>
      </c>
      <c r="AM23" s="402">
        <f>★仕入先!$A$45</f>
        <v>10303</v>
      </c>
      <c r="AN23" s="546">
        <f>★仕入先!$A$205</f>
        <v>30072</v>
      </c>
      <c r="AO23" s="402">
        <f>★仕入先!$A$172</f>
        <v>20601</v>
      </c>
      <c r="AP23" s="402">
        <f>★仕入先!$A$45</f>
        <v>10303</v>
      </c>
      <c r="AQ23" s="402">
        <f>★仕入先!$A$184</f>
        <v>30016</v>
      </c>
      <c r="AR23" s="402">
        <f>★仕入先!$A$172</f>
        <v>20601</v>
      </c>
    </row>
    <row r="24" spans="1:44" ht="23.1" customHeight="1">
      <c r="A24" s="287" t="s">
        <v>151</v>
      </c>
      <c r="B24" s="240" t="s">
        <v>336</v>
      </c>
      <c r="C24" s="58">
        <v>2120</v>
      </c>
      <c r="D24" s="299"/>
      <c r="E24" s="258"/>
      <c r="F24" s="50">
        <v>115</v>
      </c>
      <c r="G24" s="299"/>
      <c r="H24" s="258"/>
      <c r="I24" s="50">
        <v>300</v>
      </c>
      <c r="J24" s="299"/>
      <c r="K24" s="258"/>
      <c r="L24" s="50">
        <v>30</v>
      </c>
      <c r="M24" s="299"/>
      <c r="N24" s="258"/>
      <c r="O24" s="50">
        <v>20</v>
      </c>
      <c r="P24" s="299"/>
      <c r="Q24" s="131"/>
      <c r="R24" s="303">
        <v>15</v>
      </c>
      <c r="S24" s="299"/>
      <c r="T24" s="258"/>
      <c r="U24" s="50">
        <v>30</v>
      </c>
      <c r="V24" s="275"/>
      <c r="X24" s="402">
        <f>★仕入先!$A$45</f>
        <v>10303</v>
      </c>
      <c r="Y24" s="402">
        <f>★仕入先!$A$185</f>
        <v>30017</v>
      </c>
      <c r="Z24" s="402">
        <f>★仕入先!$A$172</f>
        <v>20601</v>
      </c>
      <c r="AA24" s="402">
        <f>★仕入先!$A$45</f>
        <v>10303</v>
      </c>
      <c r="AB24" s="402">
        <f>★仕入先!$A$205</f>
        <v>30072</v>
      </c>
      <c r="AC24" s="402">
        <f>★仕入先!$A$172</f>
        <v>20601</v>
      </c>
      <c r="AD24" s="402">
        <f>★仕入先!$A$45</f>
        <v>10303</v>
      </c>
      <c r="AE24" s="546">
        <f>★仕入先!$A$205</f>
        <v>30072</v>
      </c>
      <c r="AF24" s="402">
        <f>★仕入先!$A$172</f>
        <v>20601</v>
      </c>
      <c r="AG24" s="402">
        <f>★仕入先!$A$45</f>
        <v>10303</v>
      </c>
      <c r="AH24" s="546">
        <f>★仕入先!$A$205</f>
        <v>30072</v>
      </c>
      <c r="AI24" s="402">
        <f>★仕入先!$A$172</f>
        <v>20601</v>
      </c>
      <c r="AJ24" s="402">
        <f>★仕入先!$A$45</f>
        <v>10303</v>
      </c>
      <c r="AK24" s="546">
        <f>★仕入先!$A$205</f>
        <v>30072</v>
      </c>
      <c r="AL24" s="402">
        <f>★仕入先!$A$172</f>
        <v>20601</v>
      </c>
      <c r="AM24" s="402">
        <f>★仕入先!$A$45</f>
        <v>10303</v>
      </c>
      <c r="AN24" s="546">
        <f>★仕入先!$A$205</f>
        <v>30072</v>
      </c>
      <c r="AO24" s="402">
        <f>★仕入先!$A$172</f>
        <v>20601</v>
      </c>
      <c r="AP24" s="402">
        <f>★仕入先!$A$45</f>
        <v>10303</v>
      </c>
      <c r="AQ24" s="402">
        <f>★仕入先!$A$205</f>
        <v>30072</v>
      </c>
      <c r="AR24" s="402">
        <f>★仕入先!$A$172</f>
        <v>20601</v>
      </c>
    </row>
    <row r="25" spans="1:44" ht="23.1" customHeight="1">
      <c r="A25" s="289" t="s">
        <v>93</v>
      </c>
      <c r="B25" s="240" t="s">
        <v>337</v>
      </c>
      <c r="C25" s="58">
        <v>1800</v>
      </c>
      <c r="D25" s="299"/>
      <c r="E25" s="258"/>
      <c r="F25" s="50">
        <v>40</v>
      </c>
      <c r="G25" s="299"/>
      <c r="H25" s="258"/>
      <c r="I25" s="50">
        <v>260</v>
      </c>
      <c r="J25" s="299"/>
      <c r="K25" s="258"/>
      <c r="L25" s="50">
        <v>60</v>
      </c>
      <c r="M25" s="299"/>
      <c r="N25" s="258"/>
      <c r="O25" s="50">
        <v>5</v>
      </c>
      <c r="P25" s="299"/>
      <c r="Q25" s="131"/>
      <c r="R25" s="303"/>
      <c r="S25" s="288"/>
      <c r="T25" s="258"/>
      <c r="U25" s="50">
        <v>30</v>
      </c>
      <c r="V25" s="275"/>
      <c r="X25" s="402">
        <f>★仕入先!$A$45</f>
        <v>10303</v>
      </c>
      <c r="Y25" s="402">
        <f>★仕入先!$A$186</f>
        <v>30018</v>
      </c>
      <c r="Z25" s="402">
        <f>★仕入先!$A$172</f>
        <v>20601</v>
      </c>
      <c r="AA25" s="402">
        <f>★仕入先!$A$45</f>
        <v>10303</v>
      </c>
      <c r="AB25" s="402">
        <f>★仕入先!$A$186</f>
        <v>30018</v>
      </c>
      <c r="AC25" s="402">
        <f>★仕入先!$A$172</f>
        <v>20601</v>
      </c>
      <c r="AD25" s="402">
        <f>★仕入先!$A$45</f>
        <v>10303</v>
      </c>
      <c r="AE25" s="402">
        <f>★仕入先!$A$201</f>
        <v>30066</v>
      </c>
      <c r="AF25" s="402">
        <f>★仕入先!$A$172</f>
        <v>20601</v>
      </c>
      <c r="AG25" s="402">
        <f>★仕入先!$A$45</f>
        <v>10303</v>
      </c>
      <c r="AH25" s="402">
        <f>★仕入先!$A$201</f>
        <v>30066</v>
      </c>
      <c r="AI25" s="402">
        <f>★仕入先!$A$172</f>
        <v>20601</v>
      </c>
      <c r="AJ25" s="402">
        <f>★仕入先!$A$45</f>
        <v>10303</v>
      </c>
      <c r="AK25" s="402">
        <f>★仕入先!$A$201</f>
        <v>30066</v>
      </c>
      <c r="AL25" s="402">
        <f>★仕入先!$A$172</f>
        <v>20601</v>
      </c>
      <c r="AP25" s="402">
        <f>★仕入先!$A$45</f>
        <v>10303</v>
      </c>
      <c r="AQ25" s="402">
        <f>★仕入先!$A$186</f>
        <v>30018</v>
      </c>
      <c r="AR25" s="402">
        <f>★仕入先!$A$172</f>
        <v>20601</v>
      </c>
    </row>
    <row r="26" spans="1:44" ht="23.1" customHeight="1">
      <c r="A26" s="291" t="s">
        <v>227</v>
      </c>
      <c r="B26" s="240" t="s">
        <v>338</v>
      </c>
      <c r="C26" s="58">
        <v>900</v>
      </c>
      <c r="D26" s="299"/>
      <c r="E26" s="258"/>
      <c r="F26" s="50">
        <v>30</v>
      </c>
      <c r="G26" s="299"/>
      <c r="H26" s="258"/>
      <c r="I26" s="50">
        <v>60</v>
      </c>
      <c r="J26" s="299"/>
      <c r="K26" s="258"/>
      <c r="L26" s="50">
        <v>5</v>
      </c>
      <c r="M26" s="299"/>
      <c r="N26" s="258"/>
      <c r="O26" s="50">
        <v>10</v>
      </c>
      <c r="P26" s="299"/>
      <c r="Q26" s="131"/>
      <c r="R26" s="303">
        <v>20</v>
      </c>
      <c r="S26" s="299"/>
      <c r="T26" s="258"/>
      <c r="U26" s="50">
        <v>15</v>
      </c>
      <c r="V26" s="275"/>
      <c r="X26" s="402">
        <f>★仕入先!$A$45</f>
        <v>10303</v>
      </c>
      <c r="Y26" s="402">
        <f>★仕入先!$A$187</f>
        <v>30019</v>
      </c>
      <c r="Z26" s="402">
        <f>★仕入先!$A$172</f>
        <v>20601</v>
      </c>
      <c r="AA26" s="402">
        <f>★仕入先!$A$45</f>
        <v>10303</v>
      </c>
      <c r="AB26" s="402">
        <f>★仕入先!$A$187</f>
        <v>30019</v>
      </c>
      <c r="AC26" s="402">
        <f>★仕入先!$A$172</f>
        <v>20601</v>
      </c>
      <c r="AD26" s="402">
        <f>★仕入先!$A$45</f>
        <v>10303</v>
      </c>
      <c r="AE26" s="402">
        <f>★仕入先!$A$201</f>
        <v>30066</v>
      </c>
      <c r="AF26" s="402">
        <f>★仕入先!$A$172</f>
        <v>20601</v>
      </c>
      <c r="AG26" s="402">
        <f>★仕入先!$A$45</f>
        <v>10303</v>
      </c>
      <c r="AH26" s="402">
        <f>★仕入先!$A$187</f>
        <v>30019</v>
      </c>
      <c r="AI26" s="402">
        <f>★仕入先!$A$172</f>
        <v>20601</v>
      </c>
      <c r="AJ26" s="402">
        <f>★仕入先!$A$45</f>
        <v>10303</v>
      </c>
      <c r="AK26" s="402">
        <f>★仕入先!$A$187</f>
        <v>30019</v>
      </c>
      <c r="AL26" s="402">
        <f>★仕入先!$A$172</f>
        <v>20601</v>
      </c>
      <c r="AM26" s="402">
        <f>★仕入先!$A$45</f>
        <v>10303</v>
      </c>
      <c r="AN26" s="402">
        <f>★仕入先!$A$201</f>
        <v>30066</v>
      </c>
      <c r="AO26" s="402">
        <f>★仕入先!$A$172</f>
        <v>20601</v>
      </c>
      <c r="AP26" s="402">
        <f>★仕入先!$A$45</f>
        <v>10303</v>
      </c>
      <c r="AQ26" s="402">
        <f>★仕入先!$A$187</f>
        <v>30019</v>
      </c>
      <c r="AR26" s="402">
        <f>★仕入先!$A$172</f>
        <v>20601</v>
      </c>
    </row>
    <row r="27" spans="1:44" ht="23.1" customHeight="1">
      <c r="A27" s="289"/>
      <c r="B27" s="240" t="s">
        <v>339</v>
      </c>
      <c r="C27" s="58">
        <v>1850</v>
      </c>
      <c r="D27" s="299"/>
      <c r="E27" s="258"/>
      <c r="F27" s="50">
        <v>85</v>
      </c>
      <c r="G27" s="299"/>
      <c r="H27" s="258"/>
      <c r="I27" s="50">
        <v>290</v>
      </c>
      <c r="J27" s="299"/>
      <c r="K27" s="258"/>
      <c r="L27" s="50">
        <v>40</v>
      </c>
      <c r="M27" s="299"/>
      <c r="N27" s="258"/>
      <c r="O27" s="50">
        <v>45</v>
      </c>
      <c r="P27" s="299"/>
      <c r="Q27" s="131"/>
      <c r="R27" s="303">
        <v>30</v>
      </c>
      <c r="S27" s="299"/>
      <c r="T27" s="258"/>
      <c r="U27" s="50">
        <v>30</v>
      </c>
      <c r="V27" s="275"/>
      <c r="X27" s="402">
        <f>★仕入先!$A$45</f>
        <v>10303</v>
      </c>
      <c r="Y27" s="402">
        <f>★仕入先!$A$188</f>
        <v>30020</v>
      </c>
      <c r="Z27" s="402">
        <f>★仕入先!$A$172</f>
        <v>20601</v>
      </c>
      <c r="AA27" s="402">
        <f>★仕入先!$A$45</f>
        <v>10303</v>
      </c>
      <c r="AB27" s="546">
        <f>★仕入先!$A$206</f>
        <v>30073</v>
      </c>
      <c r="AC27" s="402">
        <f>★仕入先!$A$172</f>
        <v>20601</v>
      </c>
      <c r="AD27" s="402">
        <f>★仕入先!$A$45</f>
        <v>10303</v>
      </c>
      <c r="AE27" s="546">
        <f>★仕入先!$A$206</f>
        <v>30073</v>
      </c>
      <c r="AF27" s="402">
        <f>★仕入先!$A$172</f>
        <v>20601</v>
      </c>
      <c r="AG27" s="402">
        <f>★仕入先!$A$45</f>
        <v>10303</v>
      </c>
      <c r="AH27" s="402">
        <f>★仕入先!$A$188</f>
        <v>30020</v>
      </c>
      <c r="AI27" s="402">
        <f>★仕入先!$A$172</f>
        <v>20601</v>
      </c>
      <c r="AJ27" s="402">
        <f>★仕入先!$A$45</f>
        <v>10303</v>
      </c>
      <c r="AK27" s="402">
        <f>★仕入先!$A$188</f>
        <v>30020</v>
      </c>
      <c r="AL27" s="402">
        <f>★仕入先!$A$172</f>
        <v>20601</v>
      </c>
      <c r="AM27" s="402">
        <f>★仕入先!$A$45</f>
        <v>10303</v>
      </c>
      <c r="AN27" s="402">
        <f>★仕入先!$A$201</f>
        <v>30066</v>
      </c>
      <c r="AO27" s="402">
        <f>★仕入先!$A$172</f>
        <v>20601</v>
      </c>
      <c r="AP27" s="402">
        <f>★仕入先!$A$45</f>
        <v>10303</v>
      </c>
      <c r="AQ27" s="546">
        <f>★仕入先!$A$206</f>
        <v>30073</v>
      </c>
      <c r="AR27" s="402">
        <f>★仕入先!$A$172</f>
        <v>20601</v>
      </c>
    </row>
    <row r="28" spans="1:44" ht="17.25" customHeight="1">
      <c r="A28" s="280" t="s">
        <v>12</v>
      </c>
      <c r="B28" s="243" t="s">
        <v>13</v>
      </c>
      <c r="C28" s="244"/>
      <c r="D28" s="281"/>
      <c r="E28" s="281"/>
      <c r="F28" s="282"/>
      <c r="G28" s="245"/>
      <c r="H28" s="281"/>
      <c r="I28" s="282"/>
      <c r="J28" s="245"/>
      <c r="K28" s="281"/>
      <c r="L28" s="282"/>
      <c r="M28" s="245"/>
      <c r="N28" s="281"/>
      <c r="O28" s="282"/>
      <c r="P28" s="245"/>
      <c r="Q28" s="226"/>
      <c r="R28" s="328"/>
      <c r="S28" s="245"/>
      <c r="T28" s="281"/>
      <c r="U28" s="282"/>
      <c r="V28" s="247"/>
      <c r="Y28" s="402"/>
    </row>
    <row r="29" spans="1:44" ht="22.5" customHeight="1" thickBot="1">
      <c r="A29" s="233">
        <f>SUM(C29,F29,I29,L29,O29,R29,U29)</f>
        <v>18290</v>
      </c>
      <c r="B29" s="234">
        <f>SUM(D29,G29,J29,M29,P29,S29,V29)</f>
        <v>0</v>
      </c>
      <c r="C29" s="71">
        <f>SUM(C18:C27)</f>
        <v>14760</v>
      </c>
      <c r="D29" s="235" t="str">
        <f>IF(SUM(D18:D27)=0," ",SUM(D18:D27))</f>
        <v xml:space="preserve"> </v>
      </c>
      <c r="E29" s="283"/>
      <c r="F29" s="73">
        <f>SUM(F18:F27)</f>
        <v>810</v>
      </c>
      <c r="G29" s="235" t="str">
        <f>IF(SUM(G18:G27)=0," ",SUM(G18:G27))</f>
        <v xml:space="preserve"> </v>
      </c>
      <c r="H29" s="283"/>
      <c r="I29" s="73">
        <f>SUM(I18:I27)</f>
        <v>1870</v>
      </c>
      <c r="J29" s="235" t="str">
        <f>IF(SUM(J18:J27)=0," ",SUM(J18:J27))</f>
        <v xml:space="preserve"> </v>
      </c>
      <c r="K29" s="283"/>
      <c r="L29" s="73">
        <f>SUM(L18:L27)</f>
        <v>340</v>
      </c>
      <c r="M29" s="235" t="str">
        <f>IF(SUM(M18:M27)=0," ",SUM(M18:M27))</f>
        <v xml:space="preserve"> </v>
      </c>
      <c r="N29" s="283"/>
      <c r="O29" s="73">
        <f>SUM(O18:O27)</f>
        <v>135</v>
      </c>
      <c r="P29" s="235" t="str">
        <f>IF(SUM(P18:P27)=0," ",SUM(P18:P27))</f>
        <v xml:space="preserve"> </v>
      </c>
      <c r="Q29" s="195"/>
      <c r="R29" s="73">
        <f>SUM(R18:R27)</f>
        <v>160</v>
      </c>
      <c r="S29" s="235" t="str">
        <f>IF(SUM(S18:S27)=0," ",SUM(S18:S27))</f>
        <v xml:space="preserve"> </v>
      </c>
      <c r="T29" s="283"/>
      <c r="U29" s="73">
        <f>SUM(U18:U27)</f>
        <v>215</v>
      </c>
      <c r="V29" s="236" t="str">
        <f>IF(SUM(V18:V27)=0," ",SUM(V18:V27))</f>
        <v xml:space="preserve"> </v>
      </c>
      <c r="Y29" s="402"/>
    </row>
    <row r="30" spans="1:44" ht="9.9499999999999993" customHeight="1" thickBot="1">
      <c r="A30" s="292"/>
      <c r="B30" s="266"/>
      <c r="C30" s="293"/>
      <c r="D30" s="294"/>
      <c r="E30" s="294"/>
      <c r="F30" s="293"/>
      <c r="G30" s="293"/>
      <c r="H30" s="293"/>
      <c r="I30" s="293"/>
      <c r="J30" s="293"/>
      <c r="K30" s="293"/>
      <c r="L30" s="293"/>
      <c r="M30" s="293"/>
      <c r="N30" s="293"/>
      <c r="O30" s="293"/>
      <c r="P30" s="369"/>
      <c r="Q30" s="421"/>
      <c r="R30" s="422"/>
      <c r="S30" s="294"/>
      <c r="T30" s="294"/>
      <c r="U30" s="293"/>
      <c r="V30" s="293"/>
      <c r="Y30" s="402"/>
    </row>
    <row r="31" spans="1:44" ht="23.1" customHeight="1">
      <c r="A31" s="286" t="s">
        <v>94</v>
      </c>
      <c r="B31" s="296" t="s">
        <v>229</v>
      </c>
      <c r="C31" s="154">
        <v>950</v>
      </c>
      <c r="D31" s="360"/>
      <c r="E31" s="251"/>
      <c r="F31" s="293"/>
      <c r="G31" s="297" t="s">
        <v>96</v>
      </c>
      <c r="H31" s="297"/>
      <c r="I31" s="293"/>
      <c r="J31" s="293"/>
      <c r="K31" s="293"/>
      <c r="L31" s="293"/>
      <c r="M31" s="293"/>
      <c r="N31" s="293"/>
      <c r="O31" s="293"/>
      <c r="P31" s="293"/>
      <c r="Q31" s="423"/>
      <c r="R31" s="293"/>
      <c r="S31" s="293"/>
      <c r="T31" s="293"/>
      <c r="U31" s="293"/>
      <c r="V31" s="293"/>
      <c r="X31" s="402">
        <f>★仕入先!$A$45</f>
        <v>10303</v>
      </c>
      <c r="Y31" s="402">
        <f>★仕入先!$A$193</f>
        <v>30051</v>
      </c>
      <c r="Z31" s="402">
        <f>★仕入先!$A$172</f>
        <v>20601</v>
      </c>
    </row>
    <row r="32" spans="1:44" ht="23.1" customHeight="1">
      <c r="A32" s="289"/>
      <c r="B32" s="267" t="s">
        <v>237</v>
      </c>
      <c r="C32" s="48">
        <v>150</v>
      </c>
      <c r="D32" s="275"/>
      <c r="E32" s="251"/>
      <c r="F32" s="293"/>
      <c r="G32" s="293"/>
      <c r="H32" s="293"/>
      <c r="I32" s="293"/>
      <c r="J32" s="293"/>
      <c r="K32" s="293"/>
      <c r="L32" s="293"/>
      <c r="M32" s="293"/>
      <c r="N32" s="293"/>
      <c r="O32" s="293"/>
      <c r="P32" s="293"/>
      <c r="Q32" s="32"/>
      <c r="R32" s="293"/>
      <c r="S32" s="293"/>
      <c r="T32" s="293"/>
      <c r="U32" s="293"/>
      <c r="V32" s="293"/>
      <c r="X32" s="402">
        <f>★仕入先!$A$45</f>
        <v>10303</v>
      </c>
      <c r="Y32" s="402">
        <f>★仕入先!$A$194</f>
        <v>30052</v>
      </c>
      <c r="Z32" s="402">
        <f>★仕入先!$A$172</f>
        <v>20601</v>
      </c>
    </row>
    <row r="33" spans="1:26" ht="23.1" customHeight="1">
      <c r="A33" s="223"/>
      <c r="B33" s="267" t="s">
        <v>95</v>
      </c>
      <c r="C33" s="48">
        <v>200</v>
      </c>
      <c r="D33" s="272"/>
      <c r="E33" s="251"/>
      <c r="F33" s="293"/>
      <c r="G33" s="293"/>
      <c r="H33" s="293"/>
      <c r="I33" s="293"/>
      <c r="J33" s="293"/>
      <c r="K33" s="293"/>
      <c r="L33" s="293"/>
      <c r="M33" s="293"/>
      <c r="N33" s="293"/>
      <c r="O33" s="293"/>
      <c r="P33" s="293"/>
      <c r="Q33" s="32"/>
      <c r="R33" s="293"/>
      <c r="S33" s="293"/>
      <c r="T33" s="293"/>
      <c r="U33" s="293"/>
      <c r="V33" s="293"/>
      <c r="X33" s="402">
        <f>★仕入先!$A$45</f>
        <v>10303</v>
      </c>
      <c r="Y33" s="402">
        <f>★仕入先!$A$195</f>
        <v>30053</v>
      </c>
      <c r="Z33" s="402">
        <f>★仕入先!$A$172</f>
        <v>20601</v>
      </c>
    </row>
    <row r="34" spans="1:26" ht="17.25" customHeight="1">
      <c r="A34" s="378" t="s">
        <v>12</v>
      </c>
      <c r="B34" s="331" t="s">
        <v>13</v>
      </c>
      <c r="C34" s="244"/>
      <c r="D34" s="247"/>
      <c r="E34" s="251"/>
      <c r="F34" s="293"/>
      <c r="G34" s="293"/>
      <c r="H34" s="293"/>
      <c r="I34" s="293"/>
      <c r="J34" s="293"/>
      <c r="K34" s="293"/>
      <c r="L34" s="293"/>
      <c r="M34" s="293"/>
      <c r="N34" s="293"/>
      <c r="O34" s="293"/>
      <c r="P34" s="293"/>
      <c r="Q34" s="32"/>
      <c r="R34" s="295"/>
      <c r="S34" s="293"/>
      <c r="T34" s="293"/>
      <c r="U34" s="293"/>
      <c r="V34" s="293"/>
    </row>
    <row r="35" spans="1:26" ht="22.5" customHeight="1" thickBot="1">
      <c r="A35" s="233">
        <f>SUM(C35,F35,I35,L35,O35,R35,U35)</f>
        <v>1300</v>
      </c>
      <c r="B35" s="381" t="str">
        <f>D35</f>
        <v xml:space="preserve"> </v>
      </c>
      <c r="C35" s="71">
        <f>SUM(C31:C34)</f>
        <v>1300</v>
      </c>
      <c r="D35" s="236" t="str">
        <f>IF(SUM(D31:D34)=0," ",SUM(D31:D34))</f>
        <v xml:space="preserve"> </v>
      </c>
      <c r="E35" s="251"/>
      <c r="F35" s="293"/>
      <c r="G35" s="293"/>
      <c r="H35" s="293"/>
      <c r="I35" s="293"/>
      <c r="J35" s="293"/>
      <c r="K35" s="293"/>
      <c r="L35" s="293"/>
      <c r="M35" s="293"/>
      <c r="N35" s="293"/>
      <c r="O35" s="293"/>
      <c r="P35" s="293"/>
      <c r="R35" s="293"/>
      <c r="S35" s="293"/>
      <c r="T35" s="293"/>
      <c r="U35" s="293"/>
      <c r="V35" s="293"/>
    </row>
    <row r="36" spans="1:26">
      <c r="A36" s="99"/>
      <c r="B36" s="99"/>
      <c r="C36" s="99"/>
      <c r="D36" s="99"/>
      <c r="E36" s="99"/>
      <c r="F36" s="99"/>
      <c r="G36" s="99"/>
      <c r="H36" s="99"/>
      <c r="I36" s="99"/>
      <c r="J36" s="99"/>
      <c r="K36" s="99"/>
      <c r="L36" s="99"/>
      <c r="M36" s="99"/>
      <c r="N36" s="99"/>
      <c r="O36" s="99"/>
      <c r="P36" s="99"/>
      <c r="R36" s="99"/>
      <c r="S36" s="99"/>
      <c r="T36" s="99"/>
      <c r="U36" s="99"/>
      <c r="V36" s="99"/>
    </row>
    <row r="37" spans="1:26">
      <c r="A37" s="99"/>
      <c r="B37" s="99"/>
      <c r="C37" s="99"/>
      <c r="D37" s="99"/>
      <c r="E37" s="99"/>
      <c r="F37" s="99"/>
      <c r="G37" s="99"/>
      <c r="H37" s="99"/>
      <c r="I37" s="99"/>
      <c r="J37" s="99"/>
      <c r="K37" s="99"/>
      <c r="L37" s="99"/>
      <c r="M37" s="99"/>
      <c r="N37" s="99"/>
      <c r="O37" s="99"/>
      <c r="P37" s="99"/>
      <c r="R37" s="99"/>
      <c r="S37" s="99"/>
      <c r="T37" s="99"/>
      <c r="U37" s="99"/>
      <c r="V37" s="99"/>
    </row>
    <row r="38" spans="1:26">
      <c r="A38" s="99"/>
      <c r="B38" s="99"/>
      <c r="C38" s="99"/>
      <c r="D38" s="99"/>
      <c r="E38" s="99"/>
      <c r="F38" s="99"/>
      <c r="G38" s="99"/>
      <c r="H38" s="99"/>
      <c r="I38" s="99"/>
      <c r="J38" s="99"/>
      <c r="K38" s="99"/>
      <c r="L38" s="99"/>
      <c r="M38" s="99"/>
      <c r="N38" s="99"/>
      <c r="O38" s="99"/>
      <c r="P38" s="99"/>
      <c r="T38" s="99"/>
      <c r="U38" s="99"/>
      <c r="V38" s="99"/>
    </row>
  </sheetData>
  <sheetProtection sheet="1" objects="1" scenarios="1"/>
  <mergeCells count="26">
    <mergeCell ref="AP5:AR5"/>
    <mergeCell ref="X5:Z5"/>
    <mergeCell ref="AA5:AC5"/>
    <mergeCell ref="AD5:AF5"/>
    <mergeCell ref="AG5:AI5"/>
    <mergeCell ref="AJ5:AL5"/>
    <mergeCell ref="AM5:AO5"/>
    <mergeCell ref="U6:V6"/>
    <mergeCell ref="C4:F4"/>
    <mergeCell ref="I6:J6"/>
    <mergeCell ref="L6:M6"/>
    <mergeCell ref="O6:P6"/>
    <mergeCell ref="C6:D6"/>
    <mergeCell ref="F6:G6"/>
    <mergeCell ref="Q3:R4"/>
    <mergeCell ref="Q6:S6"/>
    <mergeCell ref="G3:G4"/>
    <mergeCell ref="S3:V4"/>
    <mergeCell ref="A1:S1"/>
    <mergeCell ref="U1:V1"/>
    <mergeCell ref="A3:B3"/>
    <mergeCell ref="I3:J4"/>
    <mergeCell ref="K3:L4"/>
    <mergeCell ref="M3:O4"/>
    <mergeCell ref="P3:P4"/>
    <mergeCell ref="A4:B4"/>
  </mergeCells>
  <phoneticPr fontId="15"/>
  <printOptions horizontalCentered="1" verticalCentered="1"/>
  <pageMargins left="0.39370078740157483" right="0" top="0.39370078740157483" bottom="0.39370078740157483" header="0.51181102362204722" footer="0.11811023622047245"/>
  <pageSetup paperSize="9" scale="80" orientation="landscape" r:id="rId1"/>
  <headerFooter alignWithMargins="0">
    <oddFooter xml:space="preserve">&amp;C&amp;"ＭＳ Ｐゴシック,太字"日本海折込センター&amp;R&amp;"ＭＳ Ｐゴシック,太字"7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8901-3924-4414-BCCA-A8D4DA2F2C34}">
  <sheetPr codeName="Sheet14">
    <pageSetUpPr autoPageBreaks="0"/>
  </sheetPr>
  <dimension ref="A1:AU38"/>
  <sheetViews>
    <sheetView zoomScale="70" zoomScaleNormal="70" zoomScaleSheetLayoutView="75" workbookViewId="0">
      <pane xSplit="2" ySplit="7" topLeftCell="C8" activePane="bottomRight" state="frozen"/>
      <selection pane="topRight" activeCell="C1" sqref="C1"/>
      <selection pane="bottomLeft" activeCell="A8" sqref="A8"/>
      <selection pane="bottomRight" activeCell="AH12" sqref="AH12"/>
    </sheetView>
  </sheetViews>
  <sheetFormatPr defaultColWidth="9" defaultRowHeight="14.25"/>
  <cols>
    <col min="1" max="1" width="15.875" style="98" customWidth="1"/>
    <col min="2" max="2" width="11.25" style="98" bestFit="1" customWidth="1"/>
    <col min="3" max="3" width="9.625" style="98" customWidth="1"/>
    <col min="4" max="4" width="10.75" style="98" customWidth="1"/>
    <col min="5" max="5" width="2.125" style="98" customWidth="1"/>
    <col min="6" max="6" width="8.125" style="98" customWidth="1"/>
    <col min="7" max="7" width="9.625" style="98" customWidth="1"/>
    <col min="8" max="8" width="2.125" style="98" customWidth="1"/>
    <col min="9" max="9" width="8.125" style="98" customWidth="1"/>
    <col min="10" max="10" width="9.625" style="98" customWidth="1"/>
    <col min="11" max="11" width="2.125" style="98" customWidth="1"/>
    <col min="12" max="12" width="8.125" style="98" customWidth="1"/>
    <col min="13" max="13" width="9.625" style="98" customWidth="1"/>
    <col min="14" max="14" width="2.125" style="98" customWidth="1"/>
    <col min="15" max="15" width="8.125" style="98" customWidth="1"/>
    <col min="16" max="16" width="9.625" style="98" customWidth="1"/>
    <col min="17" max="17" width="2.125" style="30" customWidth="1"/>
    <col min="18" max="18" width="8.125" style="30" customWidth="1"/>
    <col min="19" max="19" width="9.625" style="30" customWidth="1"/>
    <col min="20" max="20" width="2.125" style="98" customWidth="1"/>
    <col min="21" max="21" width="8.125" style="98" customWidth="1"/>
    <col min="22" max="22" width="9.625" style="98" customWidth="1"/>
    <col min="23" max="23" width="9" style="98" customWidth="1"/>
    <col min="24" max="44" width="9" style="212" customWidth="1"/>
    <col min="45" max="45" width="9" style="31" customWidth="1"/>
    <col min="46" max="47" width="9" style="31"/>
    <col min="48" max="16384" width="9" style="98"/>
  </cols>
  <sheetData>
    <row r="1" spans="1:47">
      <c r="A1" s="778" t="s">
        <v>0</v>
      </c>
      <c r="B1" s="778"/>
      <c r="C1" s="778"/>
      <c r="D1" s="778"/>
      <c r="E1" s="778"/>
      <c r="F1" s="778"/>
      <c r="G1" s="778"/>
      <c r="H1" s="778"/>
      <c r="I1" s="778"/>
      <c r="J1" s="778"/>
      <c r="K1" s="778"/>
      <c r="L1" s="778"/>
      <c r="M1" s="778"/>
      <c r="N1" s="778"/>
      <c r="O1" s="778"/>
      <c r="P1" s="778"/>
      <c r="Q1" s="778"/>
      <c r="R1" s="778"/>
      <c r="S1" s="778"/>
      <c r="T1" s="212"/>
      <c r="U1" s="811">
        <f>①総合計!R1</f>
        <v>2023.1</v>
      </c>
      <c r="V1" s="811"/>
    </row>
    <row r="2" spans="1:47" ht="15" thickBot="1">
      <c r="A2" s="32"/>
      <c r="B2" s="32"/>
      <c r="C2" s="32"/>
      <c r="D2" s="32"/>
      <c r="E2" s="32"/>
      <c r="F2" s="32"/>
      <c r="G2" s="32"/>
      <c r="H2" s="32"/>
      <c r="I2" s="32"/>
      <c r="J2" s="32"/>
      <c r="K2" s="32"/>
      <c r="L2" s="32"/>
      <c r="M2" s="32"/>
      <c r="N2" s="32"/>
      <c r="O2" s="32"/>
      <c r="P2" s="32"/>
      <c r="Q2" s="32"/>
      <c r="R2" s="32"/>
      <c r="S2" s="32"/>
      <c r="T2" s="32"/>
      <c r="U2" s="32"/>
      <c r="V2" s="100" t="s">
        <v>88</v>
      </c>
    </row>
    <row r="3" spans="1:47" ht="20.100000000000001" customHeight="1">
      <c r="A3" s="783" t="s">
        <v>1</v>
      </c>
      <c r="B3" s="784"/>
      <c r="C3" s="33" t="s">
        <v>2</v>
      </c>
      <c r="D3" s="34"/>
      <c r="E3" s="34"/>
      <c r="F3" s="35"/>
      <c r="G3" s="785" t="s">
        <v>145</v>
      </c>
      <c r="H3" s="36"/>
      <c r="I3" s="787" t="str">
        <f>IF(①総合計!I3= 0," ",①総合計!I3)</f>
        <v xml:space="preserve"> </v>
      </c>
      <c r="J3" s="787"/>
      <c r="K3" s="785" t="s">
        <v>3</v>
      </c>
      <c r="L3" s="800"/>
      <c r="M3" s="792" t="str">
        <f>IF(SUM(B16,B29,B35)=0," ",SUM(B16,B29,B35))</f>
        <v xml:space="preserve"> </v>
      </c>
      <c r="N3" s="793"/>
      <c r="O3" s="793"/>
      <c r="P3" s="796" t="str">
        <f>①総合計!L3</f>
        <v xml:space="preserve"> </v>
      </c>
      <c r="Q3" s="785" t="s">
        <v>4</v>
      </c>
      <c r="R3" s="798"/>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86"/>
      <c r="H4" s="37"/>
      <c r="I4" s="788"/>
      <c r="J4" s="788"/>
      <c r="K4" s="786"/>
      <c r="L4" s="801"/>
      <c r="M4" s="794"/>
      <c r="N4" s="795"/>
      <c r="O4" s="795"/>
      <c r="P4" s="797"/>
      <c r="Q4" s="786"/>
      <c r="R4" s="799"/>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10</v>
      </c>
      <c r="AN5" s="609"/>
      <c r="AO5" s="609"/>
      <c r="AP5" s="806" t="s">
        <v>280</v>
      </c>
      <c r="AQ5" s="609"/>
      <c r="AR5" s="609"/>
    </row>
    <row r="6" spans="1:47">
      <c r="A6" s="38" t="s">
        <v>89</v>
      </c>
      <c r="B6" s="104"/>
      <c r="C6" s="696" t="s">
        <v>6</v>
      </c>
      <c r="D6" s="697"/>
      <c r="E6" s="104"/>
      <c r="F6" s="810" t="s">
        <v>7</v>
      </c>
      <c r="G6" s="696"/>
      <c r="H6" s="104"/>
      <c r="I6" s="810" t="s">
        <v>8</v>
      </c>
      <c r="J6" s="696"/>
      <c r="K6" s="104"/>
      <c r="L6" s="810" t="s">
        <v>9</v>
      </c>
      <c r="M6" s="696"/>
      <c r="N6" s="104"/>
      <c r="O6" s="810" t="s">
        <v>228</v>
      </c>
      <c r="P6" s="696"/>
      <c r="Q6" s="780" t="s">
        <v>10</v>
      </c>
      <c r="R6" s="781"/>
      <c r="S6" s="781"/>
      <c r="T6" s="104"/>
      <c r="U6" s="810" t="s">
        <v>11</v>
      </c>
      <c r="V6" s="714"/>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215" t="s">
        <v>47</v>
      </c>
      <c r="B7" s="41" t="s">
        <v>232</v>
      </c>
      <c r="C7" s="216" t="s">
        <v>14</v>
      </c>
      <c r="D7" s="217" t="s">
        <v>15</v>
      </c>
      <c r="E7" s="217"/>
      <c r="F7" s="277" t="s">
        <v>14</v>
      </c>
      <c r="G7" s="216" t="s">
        <v>15</v>
      </c>
      <c r="H7" s="217"/>
      <c r="I7" s="277" t="s">
        <v>14</v>
      </c>
      <c r="J7" s="216" t="s">
        <v>15</v>
      </c>
      <c r="K7" s="217"/>
      <c r="L7" s="277" t="s">
        <v>14</v>
      </c>
      <c r="M7" s="216" t="s">
        <v>15</v>
      </c>
      <c r="N7" s="217"/>
      <c r="O7" s="277" t="s">
        <v>14</v>
      </c>
      <c r="P7" s="216" t="s">
        <v>15</v>
      </c>
      <c r="Q7" s="43"/>
      <c r="R7" s="336" t="s">
        <v>14</v>
      </c>
      <c r="S7" s="216" t="s">
        <v>15</v>
      </c>
      <c r="T7" s="217"/>
      <c r="U7" s="277" t="s">
        <v>14</v>
      </c>
      <c r="V7" s="218" t="s">
        <v>15</v>
      </c>
      <c r="W7" s="26"/>
      <c r="X7" s="42">
        <v>1</v>
      </c>
      <c r="Y7" s="42">
        <v>1</v>
      </c>
      <c r="Z7" s="42">
        <v>1</v>
      </c>
      <c r="AA7" s="42">
        <v>3</v>
      </c>
      <c r="AB7" s="42">
        <v>3</v>
      </c>
      <c r="AC7" s="42">
        <v>3</v>
      </c>
      <c r="AD7" s="42">
        <v>2</v>
      </c>
      <c r="AE7" s="42">
        <v>2</v>
      </c>
      <c r="AF7" s="42">
        <v>2</v>
      </c>
      <c r="AG7" s="42">
        <v>4</v>
      </c>
      <c r="AH7" s="42">
        <v>4</v>
      </c>
      <c r="AI7" s="42">
        <v>4</v>
      </c>
      <c r="AJ7" s="42">
        <v>5</v>
      </c>
      <c r="AK7" s="42">
        <v>5</v>
      </c>
      <c r="AL7" s="42">
        <v>5</v>
      </c>
      <c r="AM7" s="42">
        <v>6</v>
      </c>
      <c r="AN7" s="42">
        <v>6</v>
      </c>
      <c r="AO7" s="42">
        <v>6</v>
      </c>
      <c r="AP7" s="42">
        <v>7</v>
      </c>
      <c r="AQ7" s="42">
        <v>7</v>
      </c>
      <c r="AR7" s="42">
        <v>7</v>
      </c>
      <c r="AS7" s="26"/>
      <c r="AT7" s="26"/>
      <c r="AU7" s="26"/>
    </row>
    <row r="8" spans="1:47" ht="23.1" customHeight="1">
      <c r="A8" s="219" t="s">
        <v>19</v>
      </c>
      <c r="B8" s="220" t="s">
        <v>322</v>
      </c>
      <c r="C8" s="48">
        <v>2250</v>
      </c>
      <c r="D8" s="3"/>
      <c r="E8" s="221"/>
      <c r="F8" s="155">
        <v>1000</v>
      </c>
      <c r="G8" s="3"/>
      <c r="H8" s="221"/>
      <c r="I8" s="155">
        <v>750</v>
      </c>
      <c r="J8" s="3"/>
      <c r="K8" s="221"/>
      <c r="L8" s="155">
        <v>300</v>
      </c>
      <c r="M8" s="3"/>
      <c r="N8" s="221"/>
      <c r="O8" s="155">
        <v>170</v>
      </c>
      <c r="P8" s="4"/>
      <c r="Q8" s="131"/>
      <c r="R8" s="303">
        <v>500</v>
      </c>
      <c r="S8" s="4"/>
      <c r="T8" s="221"/>
      <c r="U8" s="155">
        <v>450</v>
      </c>
      <c r="V8" s="272"/>
      <c r="X8" s="402">
        <f>★仕入先!$A$45</f>
        <v>10303</v>
      </c>
      <c r="Y8" s="402">
        <f>★仕入先!$A$174</f>
        <v>30001</v>
      </c>
      <c r="Z8" s="402">
        <f>★仕入先!$A$172</f>
        <v>20601</v>
      </c>
      <c r="AA8" s="402">
        <f>★仕入先!$A$45</f>
        <v>10303</v>
      </c>
      <c r="AB8" s="547">
        <f>★仕入先!$A$211</f>
        <v>30131</v>
      </c>
      <c r="AC8" s="402">
        <f>★仕入先!$A$172</f>
        <v>20601</v>
      </c>
      <c r="AD8" s="402">
        <f>★仕入先!$A$45</f>
        <v>10303</v>
      </c>
      <c r="AE8" s="547">
        <f>★仕入先!$A$211</f>
        <v>30131</v>
      </c>
      <c r="AF8" s="402">
        <f>★仕入先!$A$172</f>
        <v>20601</v>
      </c>
      <c r="AG8" s="402">
        <f>★仕入先!$A$45</f>
        <v>10303</v>
      </c>
      <c r="AH8" s="547">
        <f>★仕入先!$A$211</f>
        <v>30131</v>
      </c>
      <c r="AI8" s="402">
        <f>★仕入先!$A$172</f>
        <v>20601</v>
      </c>
      <c r="AJ8" s="402">
        <f>★仕入先!$A$45</f>
        <v>10303</v>
      </c>
      <c r="AK8" s="547">
        <f>★仕入先!$A$211</f>
        <v>30131</v>
      </c>
      <c r="AL8" s="402">
        <f>★仕入先!$A$172</f>
        <v>20601</v>
      </c>
      <c r="AM8" s="402">
        <f>★仕入先!$A$45</f>
        <v>10303</v>
      </c>
      <c r="AN8" s="547">
        <f>★仕入先!$A$211</f>
        <v>30131</v>
      </c>
      <c r="AO8" s="402">
        <f>★仕入先!$A$172</f>
        <v>20601</v>
      </c>
      <c r="AP8" s="402">
        <f>★仕入先!$A$45</f>
        <v>10303</v>
      </c>
      <c r="AQ8" s="547">
        <f>★仕入先!$A$211</f>
        <v>30131</v>
      </c>
      <c r="AR8" s="402">
        <f>★仕入先!$A$172</f>
        <v>20601</v>
      </c>
    </row>
    <row r="9" spans="1:47" ht="23.1" customHeight="1">
      <c r="A9" s="219"/>
      <c r="B9" s="220" t="s">
        <v>323</v>
      </c>
      <c r="C9" s="48">
        <v>3200</v>
      </c>
      <c r="D9" s="3"/>
      <c r="E9" s="49" t="s">
        <v>324</v>
      </c>
      <c r="F9" s="155">
        <v>370</v>
      </c>
      <c r="G9" s="3"/>
      <c r="H9" s="49" t="s">
        <v>324</v>
      </c>
      <c r="I9" s="155">
        <v>450</v>
      </c>
      <c r="J9" s="3"/>
      <c r="K9" s="49" t="s">
        <v>324</v>
      </c>
      <c r="L9" s="155">
        <v>150</v>
      </c>
      <c r="M9" s="3"/>
      <c r="N9" s="49" t="s">
        <v>324</v>
      </c>
      <c r="O9" s="155">
        <v>70</v>
      </c>
      <c r="P9" s="4"/>
      <c r="Q9" s="131"/>
      <c r="R9" s="303"/>
      <c r="S9" s="278"/>
      <c r="T9" s="49" t="s">
        <v>324</v>
      </c>
      <c r="U9" s="155">
        <v>250</v>
      </c>
      <c r="V9" s="272"/>
      <c r="X9" s="402">
        <f>★仕入先!$A$45</f>
        <v>10303</v>
      </c>
      <c r="Y9" s="546">
        <f>★仕入先!$A$178</f>
        <v>30007</v>
      </c>
      <c r="Z9" s="402">
        <f>★仕入先!$A$172</f>
        <v>20601</v>
      </c>
      <c r="AA9" s="402">
        <f>★仕入先!$A$45</f>
        <v>10303</v>
      </c>
      <c r="AB9" s="547">
        <f>★仕入先!$A$211</f>
        <v>30131</v>
      </c>
      <c r="AC9" s="402">
        <f>★仕入先!$A$172</f>
        <v>20601</v>
      </c>
      <c r="AD9" s="402">
        <f>★仕入先!$A$45</f>
        <v>10303</v>
      </c>
      <c r="AE9" s="547">
        <f>★仕入先!$A$211</f>
        <v>30131</v>
      </c>
      <c r="AF9" s="402">
        <f>★仕入先!$A$172</f>
        <v>20601</v>
      </c>
      <c r="AG9" s="402">
        <f>★仕入先!$A$45</f>
        <v>10303</v>
      </c>
      <c r="AH9" s="547">
        <f>★仕入先!$A$211</f>
        <v>30131</v>
      </c>
      <c r="AI9" s="402">
        <f>★仕入先!$A$172</f>
        <v>20601</v>
      </c>
      <c r="AJ9" s="402">
        <f>★仕入先!$A$45</f>
        <v>10303</v>
      </c>
      <c r="AK9" s="547">
        <f>★仕入先!$A$211</f>
        <v>30131</v>
      </c>
      <c r="AL9" s="402">
        <f>★仕入先!$A$172</f>
        <v>20601</v>
      </c>
      <c r="AP9" s="402">
        <f>★仕入先!$A$45</f>
        <v>10303</v>
      </c>
      <c r="AQ9" s="547">
        <f>★仕入先!$A$211</f>
        <v>30131</v>
      </c>
      <c r="AR9" s="402">
        <f>★仕入先!$A$172</f>
        <v>20601</v>
      </c>
    </row>
    <row r="10" spans="1:47" ht="23.1" customHeight="1">
      <c r="A10" s="219"/>
      <c r="B10" s="220" t="s">
        <v>325</v>
      </c>
      <c r="C10" s="48">
        <v>2900</v>
      </c>
      <c r="D10" s="3"/>
      <c r="E10" s="221"/>
      <c r="F10" s="155"/>
      <c r="G10" s="221"/>
      <c r="H10" s="221"/>
      <c r="I10" s="279"/>
      <c r="J10" s="221"/>
      <c r="K10" s="221"/>
      <c r="L10" s="155"/>
      <c r="M10" s="221"/>
      <c r="N10" s="221"/>
      <c r="O10" s="155"/>
      <c r="P10" s="278"/>
      <c r="Q10" s="131"/>
      <c r="R10" s="303"/>
      <c r="S10" s="278"/>
      <c r="T10" s="221"/>
      <c r="U10" s="155"/>
      <c r="V10" s="272"/>
      <c r="X10" s="402">
        <f>★仕入先!$A$45</f>
        <v>10303</v>
      </c>
      <c r="Y10" s="402">
        <f>★仕入先!$A$175</f>
        <v>30003</v>
      </c>
      <c r="Z10" s="402">
        <f>★仕入先!$A$172</f>
        <v>20601</v>
      </c>
      <c r="AB10" s="402"/>
      <c r="AD10" s="402"/>
      <c r="AE10" s="488"/>
      <c r="AF10" s="402"/>
      <c r="AP10" s="402">
        <f>★仕入先!$A$45</f>
        <v>10303</v>
      </c>
      <c r="AQ10" s="547">
        <f>★仕入先!$A$211</f>
        <v>30131</v>
      </c>
      <c r="AR10" s="402">
        <f>★仕入先!$A$172</f>
        <v>20601</v>
      </c>
    </row>
    <row r="11" spans="1:47" ht="23.1" customHeight="1">
      <c r="A11" s="219"/>
      <c r="B11" s="220" t="s">
        <v>326</v>
      </c>
      <c r="C11" s="48">
        <v>2810</v>
      </c>
      <c r="D11" s="3"/>
      <c r="E11" s="221"/>
      <c r="F11" s="155"/>
      <c r="G11" s="221"/>
      <c r="H11" s="221"/>
      <c r="I11" s="155"/>
      <c r="J11" s="221"/>
      <c r="K11" s="221"/>
      <c r="L11" s="155"/>
      <c r="M11" s="221"/>
      <c r="N11" s="221"/>
      <c r="O11" s="155"/>
      <c r="P11" s="278"/>
      <c r="Q11" s="131"/>
      <c r="R11" s="303"/>
      <c r="S11" s="278"/>
      <c r="T11" s="221"/>
      <c r="U11" s="155"/>
      <c r="V11" s="222"/>
      <c r="X11" s="402">
        <f>★仕入先!$A$45</f>
        <v>10303</v>
      </c>
      <c r="Y11" s="402">
        <f>★仕入先!$A$176</f>
        <v>30004</v>
      </c>
      <c r="Z11" s="402">
        <f>★仕入先!$A$172</f>
        <v>20601</v>
      </c>
      <c r="AB11" s="402"/>
    </row>
    <row r="12" spans="1:47" ht="23.1" customHeight="1">
      <c r="A12" s="219"/>
      <c r="B12" s="220" t="s">
        <v>327</v>
      </c>
      <c r="C12" s="48">
        <v>2130</v>
      </c>
      <c r="D12" s="3"/>
      <c r="E12" s="221"/>
      <c r="F12" s="155"/>
      <c r="G12" s="221"/>
      <c r="H12" s="221"/>
      <c r="I12" s="155"/>
      <c r="J12" s="221"/>
      <c r="K12" s="221"/>
      <c r="L12" s="155"/>
      <c r="M12" s="221"/>
      <c r="N12" s="221"/>
      <c r="O12" s="155"/>
      <c r="P12" s="278"/>
      <c r="Q12" s="131"/>
      <c r="R12" s="303"/>
      <c r="S12" s="278"/>
      <c r="T12" s="221"/>
      <c r="U12" s="155"/>
      <c r="V12" s="222"/>
      <c r="X12" s="402">
        <f>★仕入先!$A$45</f>
        <v>10303</v>
      </c>
      <c r="Y12" s="402">
        <f>★仕入先!$A$177</f>
        <v>30005</v>
      </c>
      <c r="Z12" s="402">
        <f>★仕入先!$A$172</f>
        <v>20601</v>
      </c>
      <c r="AB12" s="402"/>
    </row>
    <row r="13" spans="1:47" ht="23.1" customHeight="1">
      <c r="A13" s="223"/>
      <c r="B13" s="220" t="s">
        <v>328</v>
      </c>
      <c r="C13" s="48">
        <v>1590</v>
      </c>
      <c r="D13" s="3"/>
      <c r="E13" s="221"/>
      <c r="F13" s="155">
        <v>70</v>
      </c>
      <c r="G13" s="3"/>
      <c r="H13" s="221"/>
      <c r="I13" s="155">
        <v>100</v>
      </c>
      <c r="J13" s="3"/>
      <c r="K13" s="221"/>
      <c r="L13" s="155">
        <v>50</v>
      </c>
      <c r="M13" s="3"/>
      <c r="N13" s="221"/>
      <c r="O13" s="155">
        <v>20</v>
      </c>
      <c r="P13" s="4"/>
      <c r="Q13" s="131"/>
      <c r="R13" s="303"/>
      <c r="S13" s="278"/>
      <c r="T13" s="221"/>
      <c r="U13" s="155">
        <v>20</v>
      </c>
      <c r="V13" s="272"/>
      <c r="X13" s="402">
        <f>★仕入先!$A$45</f>
        <v>10303</v>
      </c>
      <c r="Y13" s="402">
        <f>★仕入先!$A$189</f>
        <v>30021</v>
      </c>
      <c r="Z13" s="402">
        <f>★仕入先!$A$172</f>
        <v>20601</v>
      </c>
      <c r="AA13" s="402">
        <f>★仕入先!$A$45</f>
        <v>10303</v>
      </c>
      <c r="AB13" s="547">
        <f>★仕入先!$A$211</f>
        <v>30131</v>
      </c>
      <c r="AC13" s="402">
        <f>★仕入先!$A$172</f>
        <v>20601</v>
      </c>
      <c r="AD13" s="402">
        <f>★仕入先!$A$45</f>
        <v>10303</v>
      </c>
      <c r="AE13" s="547">
        <f>★仕入先!$A$211</f>
        <v>30131</v>
      </c>
      <c r="AF13" s="402">
        <f>★仕入先!$A$172</f>
        <v>20601</v>
      </c>
      <c r="AG13" s="402">
        <f>★仕入先!$A$45</f>
        <v>10303</v>
      </c>
      <c r="AH13" s="547">
        <f>★仕入先!$A$211</f>
        <v>30131</v>
      </c>
      <c r="AI13" s="402">
        <f>★仕入先!$A$172</f>
        <v>20601</v>
      </c>
      <c r="AJ13" s="402">
        <f>★仕入先!$A$45</f>
        <v>10303</v>
      </c>
      <c r="AK13" s="547">
        <f>★仕入先!$A$211</f>
        <v>30131</v>
      </c>
      <c r="AL13" s="402">
        <f>★仕入先!$A$172</f>
        <v>20601</v>
      </c>
      <c r="AP13" s="402">
        <f>★仕入先!$A$45</f>
        <v>10303</v>
      </c>
      <c r="AQ13" s="547">
        <f>★仕入先!$A$211</f>
        <v>30131</v>
      </c>
      <c r="AR13" s="402">
        <f>★仕入先!$A$172</f>
        <v>20601</v>
      </c>
    </row>
    <row r="14" spans="1:47" ht="23.1" customHeight="1">
      <c r="A14" s="223"/>
      <c r="B14" s="220" t="s">
        <v>329</v>
      </c>
      <c r="C14" s="48">
        <v>250</v>
      </c>
      <c r="D14" s="3"/>
      <c r="E14" s="221"/>
      <c r="F14" s="155"/>
      <c r="G14" s="221"/>
      <c r="H14" s="221"/>
      <c r="I14" s="155"/>
      <c r="J14" s="221"/>
      <c r="K14" s="221"/>
      <c r="L14" s="155"/>
      <c r="M14" s="221"/>
      <c r="N14" s="221"/>
      <c r="O14" s="155"/>
      <c r="P14" s="278"/>
      <c r="Q14" s="131"/>
      <c r="R14" s="50"/>
      <c r="S14" s="278"/>
      <c r="T14" s="221"/>
      <c r="U14" s="155"/>
      <c r="V14" s="222"/>
      <c r="X14" s="402">
        <f>★仕入先!$A$45</f>
        <v>10303</v>
      </c>
      <c r="Y14" s="402">
        <f>★仕入先!$A$185</f>
        <v>30017</v>
      </c>
      <c r="Z14" s="402">
        <f>★仕入先!$A$172</f>
        <v>20601</v>
      </c>
      <c r="AB14" s="402"/>
    </row>
    <row r="15" spans="1:47" ht="17.25" customHeight="1">
      <c r="A15" s="280" t="s">
        <v>12</v>
      </c>
      <c r="B15" s="243" t="s">
        <v>13</v>
      </c>
      <c r="C15" s="244"/>
      <c r="D15" s="281"/>
      <c r="E15" s="281"/>
      <c r="F15" s="282"/>
      <c r="G15" s="245"/>
      <c r="H15" s="281"/>
      <c r="I15" s="282"/>
      <c r="J15" s="245"/>
      <c r="K15" s="281"/>
      <c r="L15" s="282"/>
      <c r="M15" s="245"/>
      <c r="N15" s="281"/>
      <c r="O15" s="282"/>
      <c r="P15" s="245"/>
      <c r="Q15" s="226"/>
      <c r="R15" s="328"/>
      <c r="S15" s="245"/>
      <c r="T15" s="281"/>
      <c r="U15" s="282"/>
      <c r="V15" s="247"/>
      <c r="Y15" s="402"/>
      <c r="AB15" s="402"/>
    </row>
    <row r="16" spans="1:47" ht="22.5" customHeight="1" thickBot="1">
      <c r="A16" s="233">
        <f>SUM(C16,F16,I16,L16,O16,R16,U16)</f>
        <v>19850</v>
      </c>
      <c r="B16" s="234">
        <f>SUM(D16,G16,J16,M16,P16,S16,V16)</f>
        <v>0</v>
      </c>
      <c r="C16" s="71">
        <f>SUM(C8:C14)</f>
        <v>15130</v>
      </c>
      <c r="D16" s="235" t="str">
        <f>IF(SUM(D8:D14)=0," ",SUM(D8:D14))</f>
        <v xml:space="preserve"> </v>
      </c>
      <c r="E16" s="283"/>
      <c r="F16" s="73">
        <f>SUM(F8:F14)</f>
        <v>1440</v>
      </c>
      <c r="G16" s="235" t="str">
        <f>IF(SUM(G8:G14)=0," ",SUM(G8:G14))</f>
        <v xml:space="preserve"> </v>
      </c>
      <c r="H16" s="283"/>
      <c r="I16" s="73">
        <f>SUM(I8:I14)</f>
        <v>1300</v>
      </c>
      <c r="J16" s="235" t="str">
        <f>IF(SUM(J8:J14)=0," ",SUM(J8:J14))</f>
        <v xml:space="preserve"> </v>
      </c>
      <c r="K16" s="283"/>
      <c r="L16" s="73">
        <f>SUM(L8:L14)</f>
        <v>500</v>
      </c>
      <c r="M16" s="235" t="str">
        <f>IF(SUM(M8:M14)=0," ",SUM(M8:M14))</f>
        <v xml:space="preserve"> </v>
      </c>
      <c r="N16" s="283"/>
      <c r="O16" s="73">
        <f>SUM(O8:O14)</f>
        <v>260</v>
      </c>
      <c r="P16" s="235" t="str">
        <f>IF(SUM(P8:P14)=0," ",SUM(P8:P14))</f>
        <v xml:space="preserve"> </v>
      </c>
      <c r="Q16" s="195"/>
      <c r="R16" s="73">
        <f>SUM(R8:R14)</f>
        <v>500</v>
      </c>
      <c r="S16" s="235" t="str">
        <f>IF(SUM(S8:S14)=0," ",SUM(S8:S14))</f>
        <v xml:space="preserve"> </v>
      </c>
      <c r="T16" s="283"/>
      <c r="U16" s="73">
        <f>SUM(U8:U14)</f>
        <v>720</v>
      </c>
      <c r="V16" s="236" t="str">
        <f>IF(SUM(V8:V14)=0," ",SUM(V8:V14))</f>
        <v xml:space="preserve"> </v>
      </c>
      <c r="Y16" s="402"/>
      <c r="AB16" s="402"/>
    </row>
    <row r="17" spans="1:44" ht="9.9499999999999993" customHeight="1" thickBot="1">
      <c r="A17" s="284"/>
      <c r="B17" s="248"/>
      <c r="C17" s="249"/>
      <c r="D17" s="285"/>
      <c r="E17" s="252"/>
      <c r="F17" s="249"/>
      <c r="G17" s="251"/>
      <c r="H17" s="251"/>
      <c r="I17" s="249"/>
      <c r="J17" s="251"/>
      <c r="K17" s="251"/>
      <c r="L17" s="249"/>
      <c r="M17" s="251"/>
      <c r="N17" s="251"/>
      <c r="O17" s="249"/>
      <c r="P17" s="251"/>
      <c r="Q17" s="249"/>
      <c r="R17" s="249"/>
      <c r="S17" s="251"/>
      <c r="T17" s="251"/>
      <c r="U17" s="249"/>
      <c r="V17" s="251"/>
      <c r="Y17" s="402"/>
      <c r="AB17" s="402"/>
    </row>
    <row r="18" spans="1:44" ht="23.1" customHeight="1">
      <c r="A18" s="286" t="s">
        <v>90</v>
      </c>
      <c r="B18" s="254" t="s">
        <v>330</v>
      </c>
      <c r="C18" s="154">
        <v>1270</v>
      </c>
      <c r="D18" s="298"/>
      <c r="E18" s="255"/>
      <c r="F18" s="180">
        <v>50</v>
      </c>
      <c r="G18" s="298"/>
      <c r="H18" s="255"/>
      <c r="I18" s="180">
        <v>150</v>
      </c>
      <c r="J18" s="298"/>
      <c r="K18" s="255"/>
      <c r="L18" s="180">
        <v>25</v>
      </c>
      <c r="M18" s="298"/>
      <c r="N18" s="255"/>
      <c r="O18" s="180">
        <v>20</v>
      </c>
      <c r="P18" s="298"/>
      <c r="Q18" s="118"/>
      <c r="R18" s="416">
        <v>60</v>
      </c>
      <c r="S18" s="298"/>
      <c r="T18" s="255"/>
      <c r="U18" s="180">
        <v>40</v>
      </c>
      <c r="V18" s="274"/>
      <c r="X18" s="402">
        <f>★仕入先!$A$45</f>
        <v>10303</v>
      </c>
      <c r="Y18" s="402">
        <f>★仕入先!$A$179</f>
        <v>30011</v>
      </c>
      <c r="Z18" s="402">
        <f>★仕入先!$A$172</f>
        <v>20601</v>
      </c>
      <c r="AA18" s="402">
        <f>★仕入先!$A$45</f>
        <v>10303</v>
      </c>
      <c r="AB18" s="547">
        <f>★仕入先!$A$211</f>
        <v>30131</v>
      </c>
      <c r="AC18" s="402">
        <f>★仕入先!$A$172</f>
        <v>20601</v>
      </c>
      <c r="AD18" s="402">
        <f>★仕入先!$A$45</f>
        <v>10303</v>
      </c>
      <c r="AE18" s="547">
        <f>★仕入先!$A$211</f>
        <v>30131</v>
      </c>
      <c r="AF18" s="402">
        <f>★仕入先!$A$172</f>
        <v>20601</v>
      </c>
      <c r="AG18" s="402">
        <f>★仕入先!$A$45</f>
        <v>10303</v>
      </c>
      <c r="AH18" s="547">
        <f>★仕入先!$A$211</f>
        <v>30131</v>
      </c>
      <c r="AI18" s="402">
        <f>★仕入先!$A$172</f>
        <v>20601</v>
      </c>
      <c r="AJ18" s="402">
        <f>★仕入先!$A$45</f>
        <v>10303</v>
      </c>
      <c r="AK18" s="547">
        <f>★仕入先!$A$211</f>
        <v>30131</v>
      </c>
      <c r="AL18" s="402">
        <f>★仕入先!$A$172</f>
        <v>20601</v>
      </c>
      <c r="AM18" s="402">
        <f>★仕入先!$A$45</f>
        <v>10303</v>
      </c>
      <c r="AN18" s="547">
        <f>★仕入先!$A$211</f>
        <v>30131</v>
      </c>
      <c r="AO18" s="402">
        <f>★仕入先!$A$172</f>
        <v>20601</v>
      </c>
      <c r="AP18" s="402">
        <f>★仕入先!$A$45</f>
        <v>10303</v>
      </c>
      <c r="AQ18" s="402">
        <f>★仕入先!$A$179</f>
        <v>30011</v>
      </c>
      <c r="AR18" s="402">
        <f>★仕入先!$A$172</f>
        <v>20601</v>
      </c>
    </row>
    <row r="19" spans="1:44" ht="23.1" customHeight="1">
      <c r="A19" s="287"/>
      <c r="B19" s="267" t="s">
        <v>331</v>
      </c>
      <c r="C19" s="48">
        <v>790</v>
      </c>
      <c r="D19" s="299"/>
      <c r="E19" s="258"/>
      <c r="F19" s="155">
        <v>100</v>
      </c>
      <c r="G19" s="299"/>
      <c r="H19" s="258"/>
      <c r="I19" s="155"/>
      <c r="J19" s="288"/>
      <c r="K19" s="258"/>
      <c r="L19" s="155"/>
      <c r="M19" s="288"/>
      <c r="N19" s="258"/>
      <c r="O19" s="155"/>
      <c r="P19" s="288"/>
      <c r="Q19" s="131"/>
      <c r="R19" s="303"/>
      <c r="S19" s="288"/>
      <c r="T19" s="258"/>
      <c r="U19" s="50"/>
      <c r="V19" s="260"/>
      <c r="X19" s="402">
        <f>★仕入先!$A$45</f>
        <v>10303</v>
      </c>
      <c r="Y19" s="402">
        <f>★仕入先!$A$180</f>
        <v>30012</v>
      </c>
      <c r="Z19" s="402">
        <f>★仕入先!$A$172</f>
        <v>20601</v>
      </c>
      <c r="AA19" s="402">
        <f>★仕入先!$A$45</f>
        <v>10303</v>
      </c>
      <c r="AB19" s="547">
        <f>★仕入先!$A$211</f>
        <v>30131</v>
      </c>
      <c r="AC19" s="402">
        <f>★仕入先!$A$172</f>
        <v>20601</v>
      </c>
      <c r="AJ19" s="402"/>
      <c r="AK19" s="403"/>
      <c r="AL19" s="402"/>
    </row>
    <row r="20" spans="1:44" ht="23.1" customHeight="1">
      <c r="A20" s="289" t="s">
        <v>91</v>
      </c>
      <c r="B20" s="240" t="s">
        <v>332</v>
      </c>
      <c r="C20" s="58">
        <v>1060</v>
      </c>
      <c r="D20" s="299"/>
      <c r="E20" s="258"/>
      <c r="F20" s="50">
        <v>140</v>
      </c>
      <c r="G20" s="299"/>
      <c r="H20" s="258"/>
      <c r="I20" s="50">
        <v>250</v>
      </c>
      <c r="J20" s="299"/>
      <c r="K20" s="258"/>
      <c r="L20" s="50">
        <v>110</v>
      </c>
      <c r="M20" s="299"/>
      <c r="N20" s="258"/>
      <c r="O20" s="50">
        <v>15</v>
      </c>
      <c r="P20" s="299"/>
      <c r="Q20" s="131"/>
      <c r="R20" s="303">
        <v>20</v>
      </c>
      <c r="S20" s="299"/>
      <c r="T20" s="258"/>
      <c r="U20" s="50">
        <v>30</v>
      </c>
      <c r="V20" s="275"/>
      <c r="X20" s="402">
        <f>★仕入先!$A$45</f>
        <v>10303</v>
      </c>
      <c r="Y20" s="402">
        <f>★仕入先!$A$181</f>
        <v>30013</v>
      </c>
      <c r="Z20" s="402">
        <f>★仕入先!$A$172</f>
        <v>20601</v>
      </c>
      <c r="AA20" s="402">
        <f>★仕入先!$A$45</f>
        <v>10303</v>
      </c>
      <c r="AB20" s="547">
        <f>★仕入先!$A$211</f>
        <v>30131</v>
      </c>
      <c r="AC20" s="402">
        <f>★仕入先!$A$172</f>
        <v>20601</v>
      </c>
      <c r="AD20" s="402">
        <f>★仕入先!$A$45</f>
        <v>10303</v>
      </c>
      <c r="AE20" s="547">
        <f>★仕入先!$A$211</f>
        <v>30131</v>
      </c>
      <c r="AF20" s="402">
        <f>★仕入先!$A$172</f>
        <v>20601</v>
      </c>
      <c r="AG20" s="402">
        <f>★仕入先!$A$45</f>
        <v>10303</v>
      </c>
      <c r="AH20" s="402">
        <f>★仕入先!$A$181</f>
        <v>30013</v>
      </c>
      <c r="AI20" s="402">
        <f>★仕入先!$A$172</f>
        <v>20601</v>
      </c>
      <c r="AJ20" s="402">
        <f>★仕入先!$A$45</f>
        <v>10303</v>
      </c>
      <c r="AK20" s="402">
        <f>★仕入先!$A$181</f>
        <v>30013</v>
      </c>
      <c r="AL20" s="402">
        <f>★仕入先!$A$172</f>
        <v>20601</v>
      </c>
      <c r="AM20" s="402">
        <f>★仕入先!$A$45</f>
        <v>10303</v>
      </c>
      <c r="AN20" s="547">
        <f>★仕入先!$A$211</f>
        <v>30131</v>
      </c>
      <c r="AO20" s="402">
        <f>★仕入先!$A$172</f>
        <v>20601</v>
      </c>
      <c r="AP20" s="402">
        <f>★仕入先!$A$45</f>
        <v>10303</v>
      </c>
      <c r="AQ20" s="547">
        <f>★仕入先!$A$211</f>
        <v>30131</v>
      </c>
      <c r="AR20" s="402">
        <f>★仕入先!$A$172</f>
        <v>20601</v>
      </c>
    </row>
    <row r="21" spans="1:44" ht="23.1" customHeight="1">
      <c r="A21" s="290" t="s">
        <v>92</v>
      </c>
      <c r="B21" s="240" t="s">
        <v>333</v>
      </c>
      <c r="C21" s="58">
        <v>1160</v>
      </c>
      <c r="D21" s="299"/>
      <c r="E21" s="258"/>
      <c r="F21" s="50">
        <v>40</v>
      </c>
      <c r="G21" s="299"/>
      <c r="H21" s="258"/>
      <c r="I21" s="50">
        <v>150</v>
      </c>
      <c r="J21" s="299"/>
      <c r="K21" s="258"/>
      <c r="L21" s="50">
        <v>25</v>
      </c>
      <c r="M21" s="299"/>
      <c r="N21" s="258"/>
      <c r="O21" s="50">
        <v>10</v>
      </c>
      <c r="P21" s="299"/>
      <c r="Q21" s="131"/>
      <c r="R21" s="303"/>
      <c r="S21" s="288"/>
      <c r="T21" s="258"/>
      <c r="U21" s="50">
        <v>10</v>
      </c>
      <c r="V21" s="275"/>
      <c r="X21" s="402">
        <f>★仕入先!$A$45</f>
        <v>10303</v>
      </c>
      <c r="Y21" s="402">
        <f>★仕入先!$A$182</f>
        <v>30014</v>
      </c>
      <c r="Z21" s="402">
        <f>★仕入先!$A$172</f>
        <v>20601</v>
      </c>
      <c r="AA21" s="402">
        <f>★仕入先!$A$45</f>
        <v>10303</v>
      </c>
      <c r="AB21" s="547">
        <f>★仕入先!$A$211</f>
        <v>30131</v>
      </c>
      <c r="AC21" s="402">
        <f>★仕入先!$A$172</f>
        <v>20601</v>
      </c>
      <c r="AD21" s="402">
        <f>★仕入先!$A$45</f>
        <v>10303</v>
      </c>
      <c r="AE21" s="547">
        <f>★仕入先!$A$211</f>
        <v>30131</v>
      </c>
      <c r="AF21" s="402">
        <f>★仕入先!$A$172</f>
        <v>20601</v>
      </c>
      <c r="AG21" s="402">
        <f>★仕入先!$A$45</f>
        <v>10303</v>
      </c>
      <c r="AH21" s="547">
        <f>★仕入先!$A$211</f>
        <v>30131</v>
      </c>
      <c r="AI21" s="402">
        <f>★仕入先!$A$172</f>
        <v>20601</v>
      </c>
      <c r="AJ21" s="402">
        <f>★仕入先!$A$45</f>
        <v>10303</v>
      </c>
      <c r="AK21" s="547">
        <f>★仕入先!$A$211</f>
        <v>30131</v>
      </c>
      <c r="AL21" s="402">
        <f>★仕入先!$A$172</f>
        <v>20601</v>
      </c>
      <c r="AP21" s="402">
        <f>★仕入先!$A$45</f>
        <v>10303</v>
      </c>
      <c r="AQ21" s="547">
        <f>★仕入先!$A$211</f>
        <v>30131</v>
      </c>
      <c r="AR21" s="402">
        <f>★仕入先!$A$172</f>
        <v>20601</v>
      </c>
    </row>
    <row r="22" spans="1:44" ht="23.1" customHeight="1">
      <c r="A22" s="287"/>
      <c r="B22" s="240" t="s">
        <v>334</v>
      </c>
      <c r="C22" s="58">
        <v>2280</v>
      </c>
      <c r="D22" s="299"/>
      <c r="E22" s="258"/>
      <c r="F22" s="50">
        <v>190</v>
      </c>
      <c r="G22" s="299"/>
      <c r="H22" s="258"/>
      <c r="I22" s="50">
        <v>150</v>
      </c>
      <c r="J22" s="299"/>
      <c r="K22" s="258"/>
      <c r="L22" s="50">
        <v>35</v>
      </c>
      <c r="M22" s="299"/>
      <c r="N22" s="258"/>
      <c r="O22" s="50">
        <v>30</v>
      </c>
      <c r="P22" s="299"/>
      <c r="Q22" s="131"/>
      <c r="R22" s="303">
        <v>45</v>
      </c>
      <c r="S22" s="299"/>
      <c r="T22" s="258"/>
      <c r="U22" s="50">
        <v>30</v>
      </c>
      <c r="V22" s="275"/>
      <c r="X22" s="402">
        <f>★仕入先!$A$45</f>
        <v>10303</v>
      </c>
      <c r="Y22" s="402">
        <f>★仕入先!$A$183</f>
        <v>30015</v>
      </c>
      <c r="Z22" s="402">
        <f>★仕入先!$A$172</f>
        <v>20601</v>
      </c>
      <c r="AA22" s="402">
        <f>★仕入先!$A$45</f>
        <v>10303</v>
      </c>
      <c r="AB22" s="547">
        <f>★仕入先!$A$211</f>
        <v>30131</v>
      </c>
      <c r="AC22" s="402">
        <f>★仕入先!$A$172</f>
        <v>20601</v>
      </c>
      <c r="AD22" s="402">
        <f>★仕入先!$A$45</f>
        <v>10303</v>
      </c>
      <c r="AE22" s="547">
        <f>★仕入先!$A$211</f>
        <v>30131</v>
      </c>
      <c r="AF22" s="402">
        <f>★仕入先!$A$172</f>
        <v>20601</v>
      </c>
      <c r="AG22" s="402">
        <f>★仕入先!$A$45</f>
        <v>10303</v>
      </c>
      <c r="AH22" s="547">
        <f>★仕入先!$A$211</f>
        <v>30131</v>
      </c>
      <c r="AI22" s="402">
        <f>★仕入先!$A$172</f>
        <v>20601</v>
      </c>
      <c r="AJ22" s="402">
        <f>★仕入先!$A$45</f>
        <v>10303</v>
      </c>
      <c r="AK22" s="547">
        <f>★仕入先!$A$211</f>
        <v>30131</v>
      </c>
      <c r="AL22" s="402">
        <f>★仕入先!$A$172</f>
        <v>20601</v>
      </c>
      <c r="AM22" s="402">
        <f>★仕入先!$A$45</f>
        <v>10303</v>
      </c>
      <c r="AN22" s="547">
        <f>★仕入先!$A$211</f>
        <v>30131</v>
      </c>
      <c r="AO22" s="402">
        <f>★仕入先!$A$172</f>
        <v>20601</v>
      </c>
      <c r="AP22" s="402">
        <f>★仕入先!$A$45</f>
        <v>10303</v>
      </c>
      <c r="AQ22" s="547">
        <f>★仕入先!$A$211</f>
        <v>30131</v>
      </c>
      <c r="AR22" s="402">
        <f>★仕入先!$A$172</f>
        <v>20601</v>
      </c>
    </row>
    <row r="23" spans="1:44" ht="23.1" customHeight="1">
      <c r="A23" s="224" t="s">
        <v>183</v>
      </c>
      <c r="B23" s="240" t="s">
        <v>335</v>
      </c>
      <c r="C23" s="58">
        <v>2000</v>
      </c>
      <c r="D23" s="299"/>
      <c r="E23" s="258"/>
      <c r="F23" s="50">
        <v>100</v>
      </c>
      <c r="G23" s="299"/>
      <c r="H23" s="258"/>
      <c r="I23" s="50">
        <v>350</v>
      </c>
      <c r="J23" s="299"/>
      <c r="K23" s="258"/>
      <c r="L23" s="50">
        <v>25</v>
      </c>
      <c r="M23" s="299"/>
      <c r="N23" s="258"/>
      <c r="O23" s="50">
        <v>15</v>
      </c>
      <c r="P23" s="299"/>
      <c r="Q23" s="131"/>
      <c r="R23" s="303">
        <v>20</v>
      </c>
      <c r="S23" s="299"/>
      <c r="T23" s="258"/>
      <c r="U23" s="50">
        <v>40</v>
      </c>
      <c r="V23" s="275"/>
      <c r="X23" s="402">
        <f>★仕入先!$A$45</f>
        <v>10303</v>
      </c>
      <c r="Y23" s="402">
        <f>★仕入先!$A$184</f>
        <v>30016</v>
      </c>
      <c r="Z23" s="402">
        <f>★仕入先!$A$172</f>
        <v>20601</v>
      </c>
      <c r="AA23" s="402">
        <f>★仕入先!$A$45</f>
        <v>10303</v>
      </c>
      <c r="AB23" s="402">
        <f>★仕入先!$A$184</f>
        <v>30016</v>
      </c>
      <c r="AC23" s="402">
        <f>★仕入先!$A$172</f>
        <v>20601</v>
      </c>
      <c r="AD23" s="402">
        <f>★仕入先!$A$45</f>
        <v>10303</v>
      </c>
      <c r="AE23" s="547">
        <f>★仕入先!$A$211</f>
        <v>30131</v>
      </c>
      <c r="AF23" s="402">
        <f>★仕入先!$A$172</f>
        <v>20601</v>
      </c>
      <c r="AG23" s="402">
        <f>★仕入先!$A$45</f>
        <v>10303</v>
      </c>
      <c r="AH23" s="547">
        <f>★仕入先!$A$211</f>
        <v>30131</v>
      </c>
      <c r="AI23" s="402">
        <f>★仕入先!$A$172</f>
        <v>20601</v>
      </c>
      <c r="AJ23" s="402">
        <f>★仕入先!$A$45</f>
        <v>10303</v>
      </c>
      <c r="AK23" s="547">
        <f>★仕入先!$A$211</f>
        <v>30131</v>
      </c>
      <c r="AL23" s="402">
        <f>★仕入先!$A$172</f>
        <v>20601</v>
      </c>
      <c r="AM23" s="402">
        <f>★仕入先!$A$45</f>
        <v>10303</v>
      </c>
      <c r="AN23" s="547">
        <f>★仕入先!$A$211</f>
        <v>30131</v>
      </c>
      <c r="AO23" s="402">
        <f>★仕入先!$A$172</f>
        <v>20601</v>
      </c>
      <c r="AP23" s="402">
        <f>★仕入先!$A$45</f>
        <v>10303</v>
      </c>
      <c r="AQ23" s="402">
        <f>★仕入先!$A$184</f>
        <v>30016</v>
      </c>
      <c r="AR23" s="402">
        <f>★仕入先!$A$172</f>
        <v>20601</v>
      </c>
    </row>
    <row r="24" spans="1:44" ht="23.1" customHeight="1">
      <c r="A24" s="287" t="s">
        <v>151</v>
      </c>
      <c r="B24" s="240" t="s">
        <v>336</v>
      </c>
      <c r="C24" s="58">
        <v>2220</v>
      </c>
      <c r="D24" s="299"/>
      <c r="E24" s="258"/>
      <c r="F24" s="50">
        <v>140</v>
      </c>
      <c r="G24" s="299"/>
      <c r="H24" s="258"/>
      <c r="I24" s="50">
        <v>350</v>
      </c>
      <c r="J24" s="299"/>
      <c r="K24" s="258"/>
      <c r="L24" s="50">
        <v>35</v>
      </c>
      <c r="M24" s="299"/>
      <c r="N24" s="258"/>
      <c r="O24" s="50">
        <v>20</v>
      </c>
      <c r="P24" s="299"/>
      <c r="Q24" s="131"/>
      <c r="R24" s="303">
        <v>20</v>
      </c>
      <c r="S24" s="299"/>
      <c r="T24" s="258"/>
      <c r="U24" s="50">
        <v>60</v>
      </c>
      <c r="V24" s="275"/>
      <c r="X24" s="402">
        <f>★仕入先!$A$45</f>
        <v>10303</v>
      </c>
      <c r="Y24" s="402">
        <f>★仕入先!$A$185</f>
        <v>30017</v>
      </c>
      <c r="Z24" s="402">
        <f>★仕入先!$A$172</f>
        <v>20601</v>
      </c>
      <c r="AA24" s="402">
        <f>★仕入先!$A$45</f>
        <v>10303</v>
      </c>
      <c r="AB24" s="547">
        <f>★仕入先!$A$211</f>
        <v>30131</v>
      </c>
      <c r="AC24" s="402">
        <f>★仕入先!$A$172</f>
        <v>20601</v>
      </c>
      <c r="AD24" s="402">
        <f>★仕入先!$A$45</f>
        <v>10303</v>
      </c>
      <c r="AE24" s="547">
        <f>★仕入先!$A$211</f>
        <v>30131</v>
      </c>
      <c r="AF24" s="402">
        <f>★仕入先!$A$172</f>
        <v>20601</v>
      </c>
      <c r="AG24" s="402">
        <f>★仕入先!$A$45</f>
        <v>10303</v>
      </c>
      <c r="AH24" s="547">
        <f>★仕入先!$A$211</f>
        <v>30131</v>
      </c>
      <c r="AI24" s="402">
        <f>★仕入先!$A$172</f>
        <v>20601</v>
      </c>
      <c r="AJ24" s="402">
        <f>★仕入先!$A$45</f>
        <v>10303</v>
      </c>
      <c r="AK24" s="547">
        <f>★仕入先!$A$211</f>
        <v>30131</v>
      </c>
      <c r="AL24" s="402">
        <f>★仕入先!$A$172</f>
        <v>20601</v>
      </c>
      <c r="AM24" s="402">
        <f>★仕入先!$A$45</f>
        <v>10303</v>
      </c>
      <c r="AN24" s="547">
        <f>★仕入先!$A$211</f>
        <v>30131</v>
      </c>
      <c r="AO24" s="402">
        <f>★仕入先!$A$172</f>
        <v>20601</v>
      </c>
      <c r="AP24" s="402">
        <f>★仕入先!$A$45</f>
        <v>10303</v>
      </c>
      <c r="AQ24" s="547">
        <f>★仕入先!$A$211</f>
        <v>30131</v>
      </c>
      <c r="AR24" s="402">
        <f>★仕入先!$A$172</f>
        <v>20601</v>
      </c>
    </row>
    <row r="25" spans="1:44" ht="23.1" customHeight="1">
      <c r="A25" s="289" t="s">
        <v>93</v>
      </c>
      <c r="B25" s="240" t="s">
        <v>337</v>
      </c>
      <c r="C25" s="58">
        <v>2120</v>
      </c>
      <c r="D25" s="299"/>
      <c r="E25" s="258"/>
      <c r="F25" s="50">
        <v>60</v>
      </c>
      <c r="G25" s="299"/>
      <c r="H25" s="258"/>
      <c r="I25" s="50">
        <v>300</v>
      </c>
      <c r="J25" s="299"/>
      <c r="K25" s="258"/>
      <c r="L25" s="50">
        <v>75</v>
      </c>
      <c r="M25" s="299"/>
      <c r="N25" s="258"/>
      <c r="O25" s="50">
        <v>10</v>
      </c>
      <c r="P25" s="299"/>
      <c r="Q25" s="131"/>
      <c r="R25" s="303"/>
      <c r="S25" s="288"/>
      <c r="T25" s="258"/>
      <c r="U25" s="50">
        <v>60</v>
      </c>
      <c r="V25" s="275"/>
      <c r="X25" s="402">
        <f>★仕入先!$A$45</f>
        <v>10303</v>
      </c>
      <c r="Y25" s="402">
        <f>★仕入先!$A$186</f>
        <v>30018</v>
      </c>
      <c r="Z25" s="402">
        <f>★仕入先!$A$172</f>
        <v>20601</v>
      </c>
      <c r="AA25" s="402">
        <f>★仕入先!$A$45</f>
        <v>10303</v>
      </c>
      <c r="AB25" s="402">
        <f>★仕入先!$A$186</f>
        <v>30018</v>
      </c>
      <c r="AC25" s="402">
        <f>★仕入先!$A$172</f>
        <v>20601</v>
      </c>
      <c r="AD25" s="402">
        <f>★仕入先!$A$45</f>
        <v>10303</v>
      </c>
      <c r="AE25" s="547">
        <f>★仕入先!$A$211</f>
        <v>30131</v>
      </c>
      <c r="AF25" s="402">
        <f>★仕入先!$A$172</f>
        <v>20601</v>
      </c>
      <c r="AG25" s="402">
        <f>★仕入先!$A$45</f>
        <v>10303</v>
      </c>
      <c r="AH25" s="547">
        <f>★仕入先!$A$211</f>
        <v>30131</v>
      </c>
      <c r="AI25" s="402">
        <f>★仕入先!$A$172</f>
        <v>20601</v>
      </c>
      <c r="AJ25" s="402">
        <f>★仕入先!$A$45</f>
        <v>10303</v>
      </c>
      <c r="AK25" s="547">
        <f>★仕入先!$A$211</f>
        <v>30131</v>
      </c>
      <c r="AL25" s="402">
        <f>★仕入先!$A$172</f>
        <v>20601</v>
      </c>
      <c r="AP25" s="402">
        <f>★仕入先!$A$45</f>
        <v>10303</v>
      </c>
      <c r="AQ25" s="402">
        <f>★仕入先!$A$186</f>
        <v>30018</v>
      </c>
      <c r="AR25" s="402">
        <f>★仕入先!$A$172</f>
        <v>20601</v>
      </c>
    </row>
    <row r="26" spans="1:44" ht="23.1" customHeight="1">
      <c r="A26" s="291" t="s">
        <v>227</v>
      </c>
      <c r="B26" s="240" t="s">
        <v>338</v>
      </c>
      <c r="C26" s="58">
        <v>840</v>
      </c>
      <c r="D26" s="299"/>
      <c r="E26" s="258"/>
      <c r="F26" s="50">
        <v>30</v>
      </c>
      <c r="G26" s="299"/>
      <c r="H26" s="258"/>
      <c r="I26" s="50">
        <v>80</v>
      </c>
      <c r="J26" s="299"/>
      <c r="K26" s="258"/>
      <c r="L26" s="50">
        <v>10</v>
      </c>
      <c r="M26" s="299"/>
      <c r="N26" s="258"/>
      <c r="O26" s="50">
        <v>15</v>
      </c>
      <c r="P26" s="299"/>
      <c r="Q26" s="131"/>
      <c r="R26" s="303">
        <v>30</v>
      </c>
      <c r="S26" s="299"/>
      <c r="T26" s="258"/>
      <c r="U26" s="50">
        <v>20</v>
      </c>
      <c r="V26" s="275"/>
      <c r="X26" s="402">
        <f>★仕入先!$A$45</f>
        <v>10303</v>
      </c>
      <c r="Y26" s="402">
        <f>★仕入先!$A$187</f>
        <v>30019</v>
      </c>
      <c r="Z26" s="402">
        <f>★仕入先!$A$172</f>
        <v>20601</v>
      </c>
      <c r="AA26" s="402">
        <f>★仕入先!$A$45</f>
        <v>10303</v>
      </c>
      <c r="AB26" s="402">
        <f>★仕入先!$A$187</f>
        <v>30019</v>
      </c>
      <c r="AC26" s="402">
        <f>★仕入先!$A$172</f>
        <v>20601</v>
      </c>
      <c r="AD26" s="402">
        <f>★仕入先!$A$45</f>
        <v>10303</v>
      </c>
      <c r="AE26" s="547">
        <f>★仕入先!$A$211</f>
        <v>30131</v>
      </c>
      <c r="AF26" s="402">
        <f>★仕入先!$A$172</f>
        <v>20601</v>
      </c>
      <c r="AG26" s="402">
        <f>★仕入先!$A$45</f>
        <v>10303</v>
      </c>
      <c r="AH26" s="402">
        <f>★仕入先!$A$187</f>
        <v>30019</v>
      </c>
      <c r="AI26" s="402">
        <f>★仕入先!$A$172</f>
        <v>20601</v>
      </c>
      <c r="AJ26" s="402">
        <f>★仕入先!$A$45</f>
        <v>10303</v>
      </c>
      <c r="AK26" s="402">
        <f>★仕入先!$A$187</f>
        <v>30019</v>
      </c>
      <c r="AL26" s="402">
        <f>★仕入先!$A$172</f>
        <v>20601</v>
      </c>
      <c r="AM26" s="402">
        <f>★仕入先!$A$45</f>
        <v>10303</v>
      </c>
      <c r="AN26" s="547">
        <f>★仕入先!$A$211</f>
        <v>30131</v>
      </c>
      <c r="AO26" s="402">
        <f>★仕入先!$A$172</f>
        <v>20601</v>
      </c>
      <c r="AP26" s="402">
        <f>★仕入先!$A$45</f>
        <v>10303</v>
      </c>
      <c r="AQ26" s="402">
        <f>★仕入先!$A$187</f>
        <v>30019</v>
      </c>
      <c r="AR26" s="402">
        <f>★仕入先!$A$172</f>
        <v>20601</v>
      </c>
    </row>
    <row r="27" spans="1:44" ht="23.1" customHeight="1">
      <c r="A27" s="289"/>
      <c r="B27" s="240" t="s">
        <v>339</v>
      </c>
      <c r="C27" s="58">
        <v>1980</v>
      </c>
      <c r="D27" s="299"/>
      <c r="E27" s="258"/>
      <c r="F27" s="50">
        <v>130</v>
      </c>
      <c r="G27" s="299"/>
      <c r="H27" s="258"/>
      <c r="I27" s="50">
        <v>400</v>
      </c>
      <c r="J27" s="299"/>
      <c r="K27" s="258"/>
      <c r="L27" s="50">
        <v>40</v>
      </c>
      <c r="M27" s="299"/>
      <c r="N27" s="258"/>
      <c r="O27" s="50">
        <v>45</v>
      </c>
      <c r="P27" s="299"/>
      <c r="Q27" s="131"/>
      <c r="R27" s="303">
        <v>35</v>
      </c>
      <c r="S27" s="299"/>
      <c r="T27" s="258"/>
      <c r="U27" s="50">
        <v>40</v>
      </c>
      <c r="V27" s="275"/>
      <c r="X27" s="402">
        <f>★仕入先!$A$45</f>
        <v>10303</v>
      </c>
      <c r="Y27" s="402">
        <f>★仕入先!$A$188</f>
        <v>30020</v>
      </c>
      <c r="Z27" s="402">
        <f>★仕入先!$A$172</f>
        <v>20601</v>
      </c>
      <c r="AA27" s="402">
        <f>★仕入先!$A$45</f>
        <v>10303</v>
      </c>
      <c r="AB27" s="547">
        <f>★仕入先!$A$211</f>
        <v>30131</v>
      </c>
      <c r="AC27" s="402">
        <f>★仕入先!$A$172</f>
        <v>20601</v>
      </c>
      <c r="AD27" s="402">
        <f>★仕入先!$A$45</f>
        <v>10303</v>
      </c>
      <c r="AE27" s="547">
        <f>★仕入先!$A$211</f>
        <v>30131</v>
      </c>
      <c r="AF27" s="402">
        <f>★仕入先!$A$172</f>
        <v>20601</v>
      </c>
      <c r="AG27" s="402">
        <f>★仕入先!$A$45</f>
        <v>10303</v>
      </c>
      <c r="AH27" s="402">
        <f>★仕入先!$A$188</f>
        <v>30020</v>
      </c>
      <c r="AI27" s="402">
        <f>★仕入先!$A$172</f>
        <v>20601</v>
      </c>
      <c r="AJ27" s="402">
        <f>★仕入先!$A$45</f>
        <v>10303</v>
      </c>
      <c r="AK27" s="402">
        <f>★仕入先!$A$188</f>
        <v>30020</v>
      </c>
      <c r="AL27" s="402">
        <f>★仕入先!$A$172</f>
        <v>20601</v>
      </c>
      <c r="AM27" s="402">
        <f>★仕入先!$A$45</f>
        <v>10303</v>
      </c>
      <c r="AN27" s="547">
        <f>★仕入先!$A$211</f>
        <v>30131</v>
      </c>
      <c r="AO27" s="402">
        <f>★仕入先!$A$172</f>
        <v>20601</v>
      </c>
      <c r="AP27" s="402">
        <f>★仕入先!$A$45</f>
        <v>10303</v>
      </c>
      <c r="AQ27" s="547">
        <f>★仕入先!$A$211</f>
        <v>30131</v>
      </c>
      <c r="AR27" s="402">
        <f>★仕入先!$A$172</f>
        <v>20601</v>
      </c>
    </row>
    <row r="28" spans="1:44" ht="17.25" customHeight="1">
      <c r="A28" s="280" t="s">
        <v>12</v>
      </c>
      <c r="B28" s="243" t="s">
        <v>13</v>
      </c>
      <c r="C28" s="244"/>
      <c r="D28" s="281"/>
      <c r="E28" s="281"/>
      <c r="F28" s="282"/>
      <c r="G28" s="245"/>
      <c r="H28" s="281"/>
      <c r="I28" s="282"/>
      <c r="J28" s="245"/>
      <c r="K28" s="281"/>
      <c r="L28" s="282"/>
      <c r="M28" s="245"/>
      <c r="N28" s="281"/>
      <c r="O28" s="282"/>
      <c r="P28" s="245"/>
      <c r="Q28" s="226"/>
      <c r="R28" s="328"/>
      <c r="S28" s="245"/>
      <c r="T28" s="281"/>
      <c r="U28" s="282"/>
      <c r="V28" s="247"/>
      <c r="Y28" s="402"/>
    </row>
    <row r="29" spans="1:44" ht="22.5" customHeight="1" thickBot="1">
      <c r="A29" s="233">
        <f>SUM(C29,F29,I29,L29,O29,R29,U29)</f>
        <v>20000</v>
      </c>
      <c r="B29" s="234">
        <f>SUM(D29,G29,J29,M29,P29,S29,V29)</f>
        <v>0</v>
      </c>
      <c r="C29" s="71">
        <f>SUM(C18:C27)</f>
        <v>15720</v>
      </c>
      <c r="D29" s="235" t="str">
        <f>IF(SUM(D18:D27)=0," ",SUM(D18:D27))</f>
        <v xml:space="preserve"> </v>
      </c>
      <c r="E29" s="283"/>
      <c r="F29" s="73">
        <f>SUM(F18:F27)</f>
        <v>980</v>
      </c>
      <c r="G29" s="235" t="str">
        <f>IF(SUM(G18:G27)=0," ",SUM(G18:G27))</f>
        <v xml:space="preserve"> </v>
      </c>
      <c r="H29" s="283"/>
      <c r="I29" s="73">
        <f>SUM(I18:I27)</f>
        <v>2180</v>
      </c>
      <c r="J29" s="235" t="str">
        <f>IF(SUM(J18:J27)=0," ",SUM(J18:J27))</f>
        <v xml:space="preserve"> </v>
      </c>
      <c r="K29" s="283"/>
      <c r="L29" s="73">
        <f>SUM(L18:L27)</f>
        <v>380</v>
      </c>
      <c r="M29" s="235" t="str">
        <f>IF(SUM(M18:M27)=0," ",SUM(M18:M27))</f>
        <v xml:space="preserve"> </v>
      </c>
      <c r="N29" s="283"/>
      <c r="O29" s="73">
        <f>SUM(O18:O27)</f>
        <v>180</v>
      </c>
      <c r="P29" s="235" t="str">
        <f>IF(SUM(P18:P27)=0," ",SUM(P18:P27))</f>
        <v xml:space="preserve"> </v>
      </c>
      <c r="Q29" s="195"/>
      <c r="R29" s="73">
        <f>SUM(R18:R27)</f>
        <v>230</v>
      </c>
      <c r="S29" s="235" t="str">
        <f>IF(SUM(S18:S27)=0," ",SUM(S18:S27))</f>
        <v xml:space="preserve"> </v>
      </c>
      <c r="T29" s="283"/>
      <c r="U29" s="73">
        <f>SUM(U18:U27)</f>
        <v>330</v>
      </c>
      <c r="V29" s="236" t="str">
        <f>IF(SUM(V18:V27)=0," ",SUM(V18:V27))</f>
        <v xml:space="preserve"> </v>
      </c>
      <c r="Y29" s="402"/>
    </row>
    <row r="30" spans="1:44" ht="9.9499999999999993" customHeight="1" thickBot="1">
      <c r="A30" s="292"/>
      <c r="B30" s="266"/>
      <c r="C30" s="293"/>
      <c r="D30" s="294"/>
      <c r="E30" s="294"/>
      <c r="F30" s="293"/>
      <c r="G30" s="293"/>
      <c r="H30" s="293"/>
      <c r="I30" s="293"/>
      <c r="J30" s="293"/>
      <c r="K30" s="293"/>
      <c r="L30" s="293"/>
      <c r="M30" s="293"/>
      <c r="N30" s="293"/>
      <c r="O30" s="293"/>
      <c r="P30" s="369"/>
      <c r="Q30" s="421"/>
      <c r="R30" s="422"/>
      <c r="S30" s="294"/>
      <c r="T30" s="294"/>
      <c r="U30" s="293"/>
      <c r="V30" s="293"/>
      <c r="Y30" s="402"/>
    </row>
    <row r="31" spans="1:44" ht="23.1" customHeight="1">
      <c r="A31" s="286" t="s">
        <v>94</v>
      </c>
      <c r="B31" s="296" t="s">
        <v>229</v>
      </c>
      <c r="C31" s="154">
        <v>1100</v>
      </c>
      <c r="D31" s="360"/>
      <c r="E31" s="251"/>
      <c r="F31" s="293"/>
      <c r="G31" s="297" t="s">
        <v>96</v>
      </c>
      <c r="H31" s="297"/>
      <c r="I31" s="293"/>
      <c r="J31" s="293"/>
      <c r="K31" s="293"/>
      <c r="L31" s="293"/>
      <c r="M31" s="293"/>
      <c r="N31" s="293"/>
      <c r="O31" s="293"/>
      <c r="P31" s="293"/>
      <c r="Q31" s="423"/>
      <c r="R31" s="293"/>
      <c r="S31" s="293"/>
      <c r="T31" s="293"/>
      <c r="U31" s="293"/>
      <c r="V31" s="293"/>
      <c r="X31" s="402">
        <f>★仕入先!$A$45</f>
        <v>10303</v>
      </c>
      <c r="Y31" s="402">
        <f>★仕入先!$A$193</f>
        <v>30051</v>
      </c>
      <c r="Z31" s="402">
        <f>★仕入先!$A$172</f>
        <v>20601</v>
      </c>
    </row>
    <row r="32" spans="1:44" ht="23.1" customHeight="1">
      <c r="A32" s="289"/>
      <c r="B32" s="267" t="s">
        <v>237</v>
      </c>
      <c r="C32" s="48">
        <v>200</v>
      </c>
      <c r="D32" s="275"/>
      <c r="E32" s="251"/>
      <c r="F32" s="293"/>
      <c r="G32" s="293"/>
      <c r="H32" s="293"/>
      <c r="I32" s="293"/>
      <c r="J32" s="293"/>
      <c r="K32" s="293"/>
      <c r="L32" s="293"/>
      <c r="M32" s="293"/>
      <c r="N32" s="293"/>
      <c r="O32" s="293"/>
      <c r="P32" s="293"/>
      <c r="Q32" s="32"/>
      <c r="R32" s="293"/>
      <c r="S32" s="293"/>
      <c r="T32" s="293"/>
      <c r="U32" s="293"/>
      <c r="V32" s="293"/>
      <c r="X32" s="402">
        <f>★仕入先!$A$45</f>
        <v>10303</v>
      </c>
      <c r="Y32" s="402">
        <f>★仕入先!$A$194</f>
        <v>30052</v>
      </c>
      <c r="Z32" s="402">
        <f>★仕入先!$A$172</f>
        <v>20601</v>
      </c>
    </row>
    <row r="33" spans="1:26" ht="23.1" customHeight="1">
      <c r="A33" s="223"/>
      <c r="B33" s="267" t="s">
        <v>95</v>
      </c>
      <c r="C33" s="48">
        <v>300</v>
      </c>
      <c r="D33" s="272"/>
      <c r="E33" s="251"/>
      <c r="F33" s="293"/>
      <c r="G33" s="293"/>
      <c r="H33" s="293"/>
      <c r="I33" s="293"/>
      <c r="J33" s="293"/>
      <c r="K33" s="293"/>
      <c r="L33" s="293"/>
      <c r="M33" s="293"/>
      <c r="N33" s="293"/>
      <c r="O33" s="293"/>
      <c r="P33" s="293"/>
      <c r="Q33" s="32"/>
      <c r="R33" s="293"/>
      <c r="S33" s="293"/>
      <c r="T33" s="293"/>
      <c r="U33" s="293"/>
      <c r="V33" s="293"/>
      <c r="X33" s="402">
        <f>★仕入先!$A$45</f>
        <v>10303</v>
      </c>
      <c r="Y33" s="402">
        <f>★仕入先!$A$195</f>
        <v>30053</v>
      </c>
      <c r="Z33" s="402">
        <f>★仕入先!$A$172</f>
        <v>20601</v>
      </c>
    </row>
    <row r="34" spans="1:26" ht="17.25" customHeight="1">
      <c r="A34" s="378" t="s">
        <v>12</v>
      </c>
      <c r="B34" s="331" t="s">
        <v>13</v>
      </c>
      <c r="C34" s="244"/>
      <c r="D34" s="247"/>
      <c r="E34" s="251"/>
      <c r="F34" s="293"/>
      <c r="G34" s="293"/>
      <c r="H34" s="293"/>
      <c r="I34" s="293"/>
      <c r="J34" s="293"/>
      <c r="K34" s="293"/>
      <c r="L34" s="293"/>
      <c r="M34" s="293"/>
      <c r="N34" s="293"/>
      <c r="O34" s="293"/>
      <c r="P34" s="293"/>
      <c r="Q34" s="32"/>
      <c r="R34" s="295"/>
      <c r="S34" s="293"/>
      <c r="T34" s="293"/>
      <c r="U34" s="293"/>
      <c r="V34" s="293"/>
    </row>
    <row r="35" spans="1:26" ht="22.5" customHeight="1" thickBot="1">
      <c r="A35" s="233">
        <f>SUM(C35,F35,I35,L35,O35,R35,U35)</f>
        <v>1600</v>
      </c>
      <c r="B35" s="381" t="str">
        <f>D35</f>
        <v xml:space="preserve"> </v>
      </c>
      <c r="C35" s="71">
        <f>SUM(C31:C34)</f>
        <v>1600</v>
      </c>
      <c r="D35" s="236" t="str">
        <f>IF(SUM(D31:D34)=0," ",SUM(D31:D34))</f>
        <v xml:space="preserve"> </v>
      </c>
      <c r="E35" s="251"/>
      <c r="F35" s="293"/>
      <c r="G35" s="293"/>
      <c r="H35" s="293"/>
      <c r="I35" s="293"/>
      <c r="J35" s="293"/>
      <c r="K35" s="293"/>
      <c r="L35" s="293"/>
      <c r="M35" s="293"/>
      <c r="N35" s="293"/>
      <c r="O35" s="293"/>
      <c r="P35" s="293"/>
      <c r="R35" s="293"/>
      <c r="S35" s="293"/>
      <c r="T35" s="293"/>
      <c r="U35" s="293"/>
      <c r="V35" s="293"/>
    </row>
    <row r="36" spans="1:26">
      <c r="A36" s="99"/>
      <c r="B36" s="99"/>
      <c r="C36" s="99"/>
      <c r="D36" s="99"/>
      <c r="E36" s="99"/>
      <c r="F36" s="99"/>
      <c r="G36" s="99"/>
      <c r="H36" s="99"/>
      <c r="I36" s="99"/>
      <c r="J36" s="99"/>
      <c r="K36" s="99"/>
      <c r="L36" s="99"/>
      <c r="M36" s="99"/>
      <c r="N36" s="99"/>
      <c r="O36" s="99"/>
      <c r="P36" s="99"/>
      <c r="R36" s="99"/>
      <c r="S36" s="99"/>
      <c r="T36" s="99"/>
      <c r="U36" s="99"/>
      <c r="V36" s="99"/>
    </row>
    <row r="37" spans="1:26">
      <c r="A37" s="99"/>
      <c r="B37" s="99"/>
      <c r="C37" s="99"/>
      <c r="D37" s="99"/>
      <c r="E37" s="99"/>
      <c r="F37" s="99"/>
      <c r="G37" s="99"/>
      <c r="H37" s="99"/>
      <c r="I37" s="99"/>
      <c r="J37" s="99"/>
      <c r="K37" s="99"/>
      <c r="L37" s="99"/>
      <c r="M37" s="99"/>
      <c r="N37" s="99"/>
      <c r="O37" s="99"/>
      <c r="P37" s="99"/>
      <c r="R37" s="99"/>
      <c r="S37" s="99"/>
      <c r="T37" s="99"/>
      <c r="U37" s="99"/>
      <c r="V37" s="99"/>
    </row>
    <row r="38" spans="1:26">
      <c r="A38" s="99"/>
      <c r="B38" s="99"/>
      <c r="C38" s="99"/>
      <c r="D38" s="99"/>
      <c r="E38" s="99"/>
      <c r="F38" s="99"/>
      <c r="G38" s="99"/>
      <c r="H38" s="99"/>
      <c r="I38" s="99"/>
      <c r="J38" s="99"/>
      <c r="K38" s="99"/>
      <c r="L38" s="99"/>
      <c r="M38" s="99"/>
      <c r="N38" s="99"/>
      <c r="O38" s="99"/>
      <c r="P38" s="99"/>
      <c r="T38" s="99"/>
      <c r="U38" s="99"/>
      <c r="V38" s="99"/>
    </row>
  </sheetData>
  <sheetProtection algorithmName="SHA-512" hashValue="EaO55Z9Qvpb4+7qS4XfcDyS02TR1isB5dyLXJJQqmTcswuYsgX2TMNjWwJvjvXymtry6xb+iMeM6G/VnlKql+A==" saltValue="VeFCLLmjPoiqodGITA3Qog==" spinCount="100000" sheet="1" objects="1" scenarios="1"/>
  <mergeCells count="26">
    <mergeCell ref="AP5:AR5"/>
    <mergeCell ref="C6:D6"/>
    <mergeCell ref="F6:G6"/>
    <mergeCell ref="I6:J6"/>
    <mergeCell ref="L6:M6"/>
    <mergeCell ref="O6:P6"/>
    <mergeCell ref="Q6:S6"/>
    <mergeCell ref="U6:V6"/>
    <mergeCell ref="AG5:AI5"/>
    <mergeCell ref="X5:Z5"/>
    <mergeCell ref="AA5:AC5"/>
    <mergeCell ref="AD5:AF5"/>
    <mergeCell ref="AJ5:AL5"/>
    <mergeCell ref="AM5:AO5"/>
    <mergeCell ref="A1:S1"/>
    <mergeCell ref="U1:V1"/>
    <mergeCell ref="A3:B3"/>
    <mergeCell ref="G3:G4"/>
    <mergeCell ref="I3:J4"/>
    <mergeCell ref="K3:L4"/>
    <mergeCell ref="M3:O4"/>
    <mergeCell ref="P3:P4"/>
    <mergeCell ref="Q3:R4"/>
    <mergeCell ref="S3:V4"/>
    <mergeCell ref="A4:B4"/>
    <mergeCell ref="C4:F4"/>
  </mergeCells>
  <phoneticPr fontId="15"/>
  <printOptions horizontalCentered="1" verticalCentered="1"/>
  <pageMargins left="0.39370078740157483" right="0" top="0.39370078740157483" bottom="0.39370078740157483" header="0.51181102362204722" footer="0.11811023622047245"/>
  <pageSetup paperSize="9" scale="80" orientation="landscape" r:id="rId1"/>
  <headerFooter alignWithMargins="0">
    <oddFooter xml:space="preserve">&amp;C&amp;"ＭＳ Ｐゴシック,太字"日本海折込センター&amp;R&amp;"ＭＳ Ｐゴシック,太字"7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U33"/>
  <sheetViews>
    <sheetView zoomScale="70" zoomScaleNormal="70" zoomScaleSheetLayoutView="70" workbookViewId="0">
      <pane xSplit="2" ySplit="7" topLeftCell="C8" activePane="bottomRight" state="frozen"/>
      <selection activeCell="I18" sqref="I18"/>
      <selection pane="topRight" activeCell="I18" sqref="I18"/>
      <selection pane="bottomLeft" activeCell="I18" sqref="I18"/>
      <selection pane="bottomRight" activeCell="AY10" sqref="AY10"/>
    </sheetView>
  </sheetViews>
  <sheetFormatPr defaultColWidth="9" defaultRowHeight="14.25"/>
  <cols>
    <col min="1" max="1" width="15.875" style="98" customWidth="1"/>
    <col min="2" max="2" width="11.25" style="98" bestFit="1" customWidth="1"/>
    <col min="3" max="3" width="9.625" style="98" customWidth="1"/>
    <col min="4" max="4" width="12.625" style="98" bestFit="1" customWidth="1"/>
    <col min="5" max="5" width="2.125" style="98" customWidth="1"/>
    <col min="6" max="6" width="8.125" style="98" customWidth="1"/>
    <col min="7" max="7" width="10.5" style="98" customWidth="1"/>
    <col min="8" max="8" width="2.125" style="98" customWidth="1"/>
    <col min="9" max="9" width="8.125" style="98" customWidth="1"/>
    <col min="10" max="10" width="10.625" style="98" customWidth="1"/>
    <col min="11" max="11" width="2.125" style="98" customWidth="1"/>
    <col min="12" max="12" width="8.125" style="98" customWidth="1"/>
    <col min="13" max="13" width="10.125" style="98" customWidth="1"/>
    <col min="14" max="14" width="2.125" style="98" customWidth="1"/>
    <col min="15" max="15" width="8.125" style="98" customWidth="1"/>
    <col min="16" max="16" width="10.75" style="98" customWidth="1"/>
    <col min="17" max="17" width="2.125" style="98" customWidth="1"/>
    <col min="18" max="18" width="8.125" style="98" customWidth="1"/>
    <col min="19" max="19" width="10.625" style="98" customWidth="1"/>
    <col min="20" max="20" width="2.125" style="98" customWidth="1"/>
    <col min="21" max="21" width="8.125" style="98" customWidth="1"/>
    <col min="22" max="22" width="11.125" style="98" customWidth="1"/>
    <col min="23" max="23" width="9" style="98" hidden="1" customWidth="1"/>
    <col min="24" max="44" width="9" style="212" hidden="1" customWidth="1"/>
    <col min="45" max="45" width="9" style="31" hidden="1" customWidth="1"/>
    <col min="46" max="47" width="9" style="31"/>
    <col min="48" max="16384" width="9" style="98"/>
  </cols>
  <sheetData>
    <row r="1" spans="1:47" ht="17.25">
      <c r="A1" s="703" t="s">
        <v>0</v>
      </c>
      <c r="B1" s="703"/>
      <c r="C1" s="703"/>
      <c r="D1" s="703"/>
      <c r="E1" s="703"/>
      <c r="F1" s="703"/>
      <c r="G1" s="703"/>
      <c r="H1" s="703"/>
      <c r="I1" s="703"/>
      <c r="J1" s="703"/>
      <c r="K1" s="703"/>
      <c r="L1" s="703"/>
      <c r="M1" s="703"/>
      <c r="N1" s="703"/>
      <c r="O1" s="703"/>
      <c r="P1" s="703"/>
      <c r="Q1" s="703"/>
      <c r="R1" s="703"/>
      <c r="S1" s="703"/>
      <c r="T1" s="703"/>
      <c r="U1" s="704">
        <f>①総合計!R1</f>
        <v>2023.1</v>
      </c>
      <c r="V1" s="704"/>
    </row>
    <row r="2" spans="1:47" ht="15" thickBot="1">
      <c r="A2" s="99"/>
      <c r="B2" s="99"/>
      <c r="C2" s="99"/>
      <c r="D2" s="99"/>
      <c r="E2" s="99"/>
      <c r="F2" s="99"/>
      <c r="G2" s="99"/>
      <c r="H2" s="99"/>
      <c r="I2" s="99"/>
      <c r="J2" s="99"/>
      <c r="K2" s="99"/>
      <c r="L2" s="99"/>
      <c r="M2" s="99"/>
      <c r="N2" s="99"/>
      <c r="O2" s="99"/>
      <c r="P2" s="99"/>
      <c r="Q2" s="99"/>
      <c r="R2" s="99"/>
      <c r="S2" s="99"/>
      <c r="T2" s="99"/>
      <c r="U2" s="99"/>
      <c r="V2" s="100" t="s">
        <v>97</v>
      </c>
    </row>
    <row r="3" spans="1:47" ht="20.100000000000001" customHeight="1">
      <c r="A3" s="705" t="s">
        <v>1</v>
      </c>
      <c r="B3" s="706"/>
      <c r="C3" s="214" t="s">
        <v>2</v>
      </c>
      <c r="D3" s="102"/>
      <c r="E3" s="102"/>
      <c r="F3" s="103"/>
      <c r="G3" s="729" t="s">
        <v>145</v>
      </c>
      <c r="H3" s="209"/>
      <c r="I3" s="816" t="str">
        <f>IF(①総合計!I3= 0," ",①総合計!I3)</f>
        <v xml:space="preserve"> </v>
      </c>
      <c r="J3" s="787"/>
      <c r="K3" s="729" t="s">
        <v>3</v>
      </c>
      <c r="L3" s="818"/>
      <c r="M3" s="820" t="str">
        <f>IF(B32=0," ",B32)</f>
        <v xml:space="preserve"> </v>
      </c>
      <c r="N3" s="821"/>
      <c r="O3" s="821"/>
      <c r="P3" s="824" t="str">
        <f>①総合計!$L$3</f>
        <v xml:space="preserve"> </v>
      </c>
      <c r="Q3" s="729" t="s">
        <v>4</v>
      </c>
      <c r="R3" s="730"/>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31"/>
      <c r="H4" s="210"/>
      <c r="I4" s="817"/>
      <c r="J4" s="788"/>
      <c r="K4" s="731"/>
      <c r="L4" s="819"/>
      <c r="M4" s="822"/>
      <c r="N4" s="823"/>
      <c r="O4" s="823"/>
      <c r="P4" s="825"/>
      <c r="Q4" s="731"/>
      <c r="R4" s="732"/>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10</v>
      </c>
      <c r="AN5" s="609"/>
      <c r="AO5" s="609"/>
      <c r="AP5" s="806" t="s">
        <v>280</v>
      </c>
      <c r="AQ5" s="609"/>
      <c r="AR5" s="609"/>
    </row>
    <row r="6" spans="1:47">
      <c r="A6" s="38" t="s">
        <v>98</v>
      </c>
      <c r="B6" s="104"/>
      <c r="C6" s="696" t="s">
        <v>6</v>
      </c>
      <c r="D6" s="697"/>
      <c r="E6" s="697" t="s">
        <v>7</v>
      </c>
      <c r="F6" s="812"/>
      <c r="G6" s="810"/>
      <c r="H6" s="697" t="s">
        <v>8</v>
      </c>
      <c r="I6" s="812"/>
      <c r="J6" s="810"/>
      <c r="K6" s="697" t="s">
        <v>9</v>
      </c>
      <c r="L6" s="812"/>
      <c r="M6" s="810"/>
      <c r="N6" s="697" t="s">
        <v>228</v>
      </c>
      <c r="O6" s="812"/>
      <c r="P6" s="810"/>
      <c r="Q6" s="697" t="s">
        <v>10</v>
      </c>
      <c r="R6" s="812"/>
      <c r="S6" s="810"/>
      <c r="T6" s="697" t="s">
        <v>11</v>
      </c>
      <c r="U6" s="812"/>
      <c r="V6" s="813"/>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215" t="s">
        <v>47</v>
      </c>
      <c r="B7" s="41" t="s">
        <v>232</v>
      </c>
      <c r="C7" s="216" t="s">
        <v>14</v>
      </c>
      <c r="D7" s="217" t="s">
        <v>15</v>
      </c>
      <c r="E7" s="814" t="s">
        <v>14</v>
      </c>
      <c r="F7" s="815"/>
      <c r="G7" s="216" t="s">
        <v>15</v>
      </c>
      <c r="H7" s="814" t="s">
        <v>14</v>
      </c>
      <c r="I7" s="815"/>
      <c r="J7" s="216" t="s">
        <v>15</v>
      </c>
      <c r="K7" s="814" t="s">
        <v>14</v>
      </c>
      <c r="L7" s="815"/>
      <c r="M7" s="216" t="s">
        <v>15</v>
      </c>
      <c r="N7" s="217"/>
      <c r="O7" s="277" t="s">
        <v>14</v>
      </c>
      <c r="P7" s="216" t="s">
        <v>15</v>
      </c>
      <c r="Q7" s="814" t="s">
        <v>14</v>
      </c>
      <c r="R7" s="815"/>
      <c r="S7" s="216" t="s">
        <v>15</v>
      </c>
      <c r="T7" s="814" t="s">
        <v>14</v>
      </c>
      <c r="U7" s="815"/>
      <c r="V7" s="218" t="s">
        <v>15</v>
      </c>
      <c r="W7" s="26"/>
      <c r="X7" s="42">
        <v>1</v>
      </c>
      <c r="Y7" s="42">
        <v>1</v>
      </c>
      <c r="Z7" s="42">
        <v>1</v>
      </c>
      <c r="AA7" s="42">
        <v>3</v>
      </c>
      <c r="AB7" s="42">
        <v>3</v>
      </c>
      <c r="AC7" s="42">
        <v>3</v>
      </c>
      <c r="AD7" s="42">
        <v>2</v>
      </c>
      <c r="AE7" s="42">
        <v>2</v>
      </c>
      <c r="AF7" s="42">
        <v>2</v>
      </c>
      <c r="AG7" s="42">
        <v>4</v>
      </c>
      <c r="AH7" s="42">
        <v>4</v>
      </c>
      <c r="AI7" s="42">
        <v>4</v>
      </c>
      <c r="AJ7" s="42">
        <v>5</v>
      </c>
      <c r="AK7" s="42">
        <v>5</v>
      </c>
      <c r="AL7" s="42">
        <v>5</v>
      </c>
      <c r="AM7" s="42">
        <v>6</v>
      </c>
      <c r="AN7" s="42">
        <v>6</v>
      </c>
      <c r="AO7" s="42">
        <v>6</v>
      </c>
      <c r="AP7" s="42">
        <v>7</v>
      </c>
      <c r="AQ7" s="42">
        <v>7</v>
      </c>
      <c r="AR7" s="42">
        <v>7</v>
      </c>
    </row>
    <row r="8" spans="1:47" ht="23.1" customHeight="1">
      <c r="A8" s="219" t="s">
        <v>105</v>
      </c>
      <c r="B8" s="220" t="s">
        <v>322</v>
      </c>
      <c r="C8" s="48">
        <v>2780</v>
      </c>
      <c r="D8" s="300"/>
      <c r="E8" s="49" t="s">
        <v>340</v>
      </c>
      <c r="F8" s="50">
        <v>600</v>
      </c>
      <c r="G8" s="4"/>
      <c r="H8" s="49" t="s">
        <v>322</v>
      </c>
      <c r="I8" s="50">
        <v>1250</v>
      </c>
      <c r="J8" s="4"/>
      <c r="K8" s="302" t="s">
        <v>341</v>
      </c>
      <c r="L8" s="50">
        <v>580</v>
      </c>
      <c r="M8" s="4"/>
      <c r="N8" s="49" t="s">
        <v>340</v>
      </c>
      <c r="O8" s="155">
        <v>120</v>
      </c>
      <c r="P8" s="4"/>
      <c r="Q8" s="49" t="s">
        <v>322</v>
      </c>
      <c r="R8" s="303">
        <v>3770</v>
      </c>
      <c r="S8" s="4"/>
      <c r="T8" s="49" t="s">
        <v>340</v>
      </c>
      <c r="U8" s="50">
        <v>390</v>
      </c>
      <c r="V8" s="272"/>
      <c r="X8" s="402">
        <f>★仕入先!$A$91</f>
        <v>10561</v>
      </c>
      <c r="Y8" s="402">
        <f>★仕入先!$A$209</f>
        <v>30111</v>
      </c>
      <c r="Z8" s="402">
        <f>★仕入先!$A$99</f>
        <v>20003</v>
      </c>
      <c r="AA8" s="402">
        <f>★仕入先!$A$91</f>
        <v>10561</v>
      </c>
      <c r="AB8" s="402">
        <f>★仕入先!$A$209</f>
        <v>30111</v>
      </c>
      <c r="AC8" s="402">
        <f>★仕入先!$A$173</f>
        <v>20900</v>
      </c>
      <c r="AD8" s="402">
        <f>★仕入先!$A$91</f>
        <v>10561</v>
      </c>
      <c r="AE8" s="402">
        <f>★仕入先!$A$209</f>
        <v>30111</v>
      </c>
      <c r="AF8" s="402">
        <f>★仕入先!$A$149</f>
        <v>20251</v>
      </c>
      <c r="AG8" s="402">
        <f>★仕入先!$A$91</f>
        <v>10561</v>
      </c>
      <c r="AH8" s="402">
        <f>★仕入先!$A$209</f>
        <v>30111</v>
      </c>
      <c r="AI8" s="402">
        <f>★仕入先!$A$173</f>
        <v>20900</v>
      </c>
      <c r="AJ8" s="402">
        <f>★仕入先!$A$91</f>
        <v>10561</v>
      </c>
      <c r="AK8" s="402">
        <f>★仕入先!$A$209</f>
        <v>30111</v>
      </c>
      <c r="AL8" s="402">
        <f>★仕入先!$A$173</f>
        <v>20900</v>
      </c>
      <c r="AM8" s="402">
        <f>★仕入先!$A$91</f>
        <v>10561</v>
      </c>
      <c r="AN8" s="402">
        <f>★仕入先!$A$209</f>
        <v>30111</v>
      </c>
      <c r="AO8" s="402">
        <f>★仕入先!$A$156</f>
        <v>20261</v>
      </c>
      <c r="AP8" s="402">
        <f>★仕入先!$A$91</f>
        <v>10561</v>
      </c>
      <c r="AQ8" s="402">
        <f>★仕入先!$A$209</f>
        <v>30111</v>
      </c>
      <c r="AR8" s="402">
        <f>★仕入先!$A$173</f>
        <v>20900</v>
      </c>
    </row>
    <row r="9" spans="1:47" ht="23.1" customHeight="1">
      <c r="A9" s="223"/>
      <c r="B9" s="220" t="s">
        <v>323</v>
      </c>
      <c r="C9" s="48">
        <v>1800</v>
      </c>
      <c r="D9" s="300"/>
      <c r="E9" s="49" t="s">
        <v>323</v>
      </c>
      <c r="F9" s="50">
        <v>350</v>
      </c>
      <c r="G9" s="4"/>
      <c r="H9" s="49" t="s">
        <v>323</v>
      </c>
      <c r="I9" s="155">
        <v>700</v>
      </c>
      <c r="J9" s="4"/>
      <c r="K9" s="49"/>
      <c r="L9" s="55"/>
      <c r="M9" s="278"/>
      <c r="N9" s="49" t="s">
        <v>323</v>
      </c>
      <c r="O9" s="155">
        <v>110</v>
      </c>
      <c r="P9" s="4"/>
      <c r="Q9" s="49"/>
      <c r="R9" s="304"/>
      <c r="S9" s="278"/>
      <c r="T9" s="49" t="s">
        <v>323</v>
      </c>
      <c r="U9" s="155">
        <v>270</v>
      </c>
      <c r="V9" s="272"/>
      <c r="X9" s="402">
        <f>★仕入先!$A$91</f>
        <v>10561</v>
      </c>
      <c r="Y9" s="402">
        <f>★仕入先!$A$209</f>
        <v>30111</v>
      </c>
      <c r="Z9" s="402">
        <f>★仕入先!$A$100</f>
        <v>20004</v>
      </c>
      <c r="AA9" s="402">
        <f>★仕入先!$A$91</f>
        <v>10561</v>
      </c>
      <c r="AB9" s="402">
        <f>★仕入先!$A$209</f>
        <v>30111</v>
      </c>
      <c r="AC9" s="402">
        <f>★仕入先!$A$173</f>
        <v>20900</v>
      </c>
      <c r="AD9" s="402">
        <f>★仕入先!$A$91</f>
        <v>10561</v>
      </c>
      <c r="AE9" s="402">
        <f>★仕入先!$A$209</f>
        <v>30111</v>
      </c>
      <c r="AF9" s="402">
        <f>★仕入先!$A$150</f>
        <v>20252</v>
      </c>
      <c r="AJ9" s="402">
        <f>★仕入先!$A$91</f>
        <v>10561</v>
      </c>
      <c r="AK9" s="402">
        <f>★仕入先!$A$209</f>
        <v>30111</v>
      </c>
      <c r="AL9" s="402">
        <f>★仕入先!$A$173</f>
        <v>20900</v>
      </c>
      <c r="AP9" s="402">
        <f>★仕入先!$A$91</f>
        <v>10561</v>
      </c>
      <c r="AQ9" s="402">
        <f>★仕入先!$A$209</f>
        <v>30111</v>
      </c>
      <c r="AR9" s="402">
        <f>★仕入先!$A$173</f>
        <v>20900</v>
      </c>
    </row>
    <row r="10" spans="1:47" ht="23.1" customHeight="1">
      <c r="A10" s="223"/>
      <c r="B10" s="220" t="s">
        <v>326</v>
      </c>
      <c r="C10" s="48">
        <v>2500</v>
      </c>
      <c r="D10" s="300"/>
      <c r="E10" s="49" t="s">
        <v>326</v>
      </c>
      <c r="F10" s="50">
        <v>570</v>
      </c>
      <c r="G10" s="4"/>
      <c r="H10" s="49" t="s">
        <v>326</v>
      </c>
      <c r="I10" s="155">
        <v>700</v>
      </c>
      <c r="J10" s="4"/>
      <c r="K10" s="49"/>
      <c r="L10" s="55"/>
      <c r="M10" s="278"/>
      <c r="N10" s="49" t="s">
        <v>325</v>
      </c>
      <c r="O10" s="155">
        <v>110</v>
      </c>
      <c r="P10" s="4"/>
      <c r="Q10" s="49"/>
      <c r="R10" s="304"/>
      <c r="S10" s="278"/>
      <c r="T10" s="49" t="s">
        <v>326</v>
      </c>
      <c r="U10" s="155">
        <v>140</v>
      </c>
      <c r="V10" s="272"/>
      <c r="X10" s="402">
        <f>★仕入先!$A$91</f>
        <v>10561</v>
      </c>
      <c r="Y10" s="402">
        <f>★仕入先!$A$209</f>
        <v>30111</v>
      </c>
      <c r="Z10" s="402">
        <f>★仕入先!$A$101</f>
        <v>20006</v>
      </c>
      <c r="AA10" s="402">
        <f>★仕入先!$A$91</f>
        <v>10561</v>
      </c>
      <c r="AB10" s="402">
        <f>★仕入先!$A$209</f>
        <v>30111</v>
      </c>
      <c r="AC10" s="402">
        <f>★仕入先!$A$173</f>
        <v>20900</v>
      </c>
      <c r="AD10" s="402">
        <f>★仕入先!$A$91</f>
        <v>10561</v>
      </c>
      <c r="AE10" s="402">
        <f>★仕入先!$A$209</f>
        <v>30111</v>
      </c>
      <c r="AF10" s="402">
        <f>★仕入先!$A$151</f>
        <v>20253</v>
      </c>
      <c r="AJ10" s="402">
        <f>★仕入先!$A$91</f>
        <v>10561</v>
      </c>
      <c r="AK10" s="402">
        <f>★仕入先!$A$209</f>
        <v>30111</v>
      </c>
      <c r="AL10" s="402">
        <f>★仕入先!$A$173</f>
        <v>20900</v>
      </c>
      <c r="AP10" s="402">
        <f>★仕入先!$A$91</f>
        <v>10561</v>
      </c>
      <c r="AQ10" s="402">
        <f>★仕入先!$A$209</f>
        <v>30111</v>
      </c>
      <c r="AR10" s="402">
        <f>★仕入先!$A$173</f>
        <v>20900</v>
      </c>
    </row>
    <row r="11" spans="1:47" ht="23.1" customHeight="1">
      <c r="A11" s="223"/>
      <c r="B11" s="220"/>
      <c r="C11" s="48"/>
      <c r="D11" s="305"/>
      <c r="E11" s="49" t="s">
        <v>50</v>
      </c>
      <c r="F11" s="50">
        <v>1050</v>
      </c>
      <c r="G11" s="4"/>
      <c r="H11" s="49" t="s">
        <v>327</v>
      </c>
      <c r="I11" s="155">
        <v>450</v>
      </c>
      <c r="J11" s="4"/>
      <c r="K11" s="49" t="s">
        <v>342</v>
      </c>
      <c r="L11" s="155">
        <v>50</v>
      </c>
      <c r="M11" s="4"/>
      <c r="N11" s="306"/>
      <c r="O11" s="155"/>
      <c r="P11" s="278"/>
      <c r="Q11" s="49" t="s">
        <v>327</v>
      </c>
      <c r="R11" s="307">
        <v>600</v>
      </c>
      <c r="S11" s="4"/>
      <c r="T11" s="49" t="s">
        <v>325</v>
      </c>
      <c r="U11" s="155">
        <v>340</v>
      </c>
      <c r="V11" s="272"/>
      <c r="X11" s="402"/>
      <c r="Y11" s="402"/>
      <c r="Z11" s="402"/>
      <c r="AA11" s="402">
        <f>★仕入先!$A$91</f>
        <v>10561</v>
      </c>
      <c r="AB11" s="402">
        <f>★仕入先!$A$209</f>
        <v>30111</v>
      </c>
      <c r="AC11" s="402">
        <f>★仕入先!$A$173</f>
        <v>20900</v>
      </c>
      <c r="AD11" s="402">
        <f>★仕入先!$A$91</f>
        <v>10561</v>
      </c>
      <c r="AE11" s="402">
        <f>★仕入先!$A$209</f>
        <v>30111</v>
      </c>
      <c r="AF11" s="402">
        <f>★仕入先!$A$155</f>
        <v>20258</v>
      </c>
      <c r="AG11" s="402">
        <f>★仕入先!$A$91</f>
        <v>10561</v>
      </c>
      <c r="AH11" s="402">
        <f>★仕入先!$A$209</f>
        <v>30111</v>
      </c>
      <c r="AI11" s="402">
        <f>★仕入先!$A$173</f>
        <v>20900</v>
      </c>
      <c r="AM11" s="402">
        <f>★仕入先!$A$91</f>
        <v>10561</v>
      </c>
      <c r="AN11" s="402">
        <f>★仕入先!$A$209</f>
        <v>30111</v>
      </c>
      <c r="AO11" s="402">
        <f>★仕入先!$A$157</f>
        <v>20262</v>
      </c>
      <c r="AP11" s="402">
        <f>★仕入先!$A$91</f>
        <v>10561</v>
      </c>
      <c r="AQ11" s="402">
        <f>★仕入先!$A$209</f>
        <v>30111</v>
      </c>
      <c r="AR11" s="402">
        <f>★仕入先!$A$173</f>
        <v>20900</v>
      </c>
    </row>
    <row r="12" spans="1:47" ht="23.1" customHeight="1">
      <c r="A12" s="223"/>
      <c r="B12" s="220"/>
      <c r="C12" s="48"/>
      <c r="D12" s="305"/>
      <c r="E12" s="49" t="s">
        <v>102</v>
      </c>
      <c r="F12" s="155">
        <v>400</v>
      </c>
      <c r="G12" s="4"/>
      <c r="H12" s="49" t="s">
        <v>343</v>
      </c>
      <c r="I12" s="155">
        <v>2150</v>
      </c>
      <c r="J12" s="4"/>
      <c r="K12" s="308"/>
      <c r="L12" s="309"/>
      <c r="M12" s="278"/>
      <c r="N12" s="221"/>
      <c r="O12" s="155"/>
      <c r="P12" s="278"/>
      <c r="Q12" s="310"/>
      <c r="R12" s="303"/>
      <c r="S12" s="278"/>
      <c r="T12" s="49"/>
      <c r="U12" s="155"/>
      <c r="V12" s="222"/>
      <c r="X12" s="402"/>
      <c r="Y12" s="402"/>
      <c r="Z12" s="402"/>
      <c r="AA12" s="402">
        <f>★仕入先!$A$91</f>
        <v>10561</v>
      </c>
      <c r="AB12" s="402">
        <f>★仕入先!$A$209</f>
        <v>30111</v>
      </c>
      <c r="AC12" s="402">
        <f>★仕入先!$A$173</f>
        <v>20900</v>
      </c>
      <c r="AD12" s="402">
        <f>★仕入先!$A$91</f>
        <v>10561</v>
      </c>
      <c r="AE12" s="402">
        <f>★仕入先!$A$209</f>
        <v>30111</v>
      </c>
      <c r="AF12" s="402">
        <f>★仕入先!$A$154</f>
        <v>20257</v>
      </c>
    </row>
    <row r="13" spans="1:47" ht="23.1" customHeight="1">
      <c r="A13" s="223"/>
      <c r="B13" s="220" t="s">
        <v>99</v>
      </c>
      <c r="C13" s="48">
        <v>2600</v>
      </c>
      <c r="D13" s="300"/>
      <c r="E13" s="311"/>
      <c r="F13" s="155"/>
      <c r="G13" s="278"/>
      <c r="H13" s="312"/>
      <c r="I13" s="155"/>
      <c r="J13" s="278"/>
      <c r="K13" s="313"/>
      <c r="L13" s="50"/>
      <c r="M13" s="278"/>
      <c r="N13" s="221"/>
      <c r="O13" s="155"/>
      <c r="P13" s="278"/>
      <c r="Q13" s="310"/>
      <c r="R13" s="303"/>
      <c r="S13" s="278"/>
      <c r="T13" s="312"/>
      <c r="U13" s="155"/>
      <c r="V13" s="222"/>
      <c r="X13" s="402">
        <f>★仕入先!$A$91</f>
        <v>10561</v>
      </c>
      <c r="Y13" s="402">
        <f>★仕入先!$A$209</f>
        <v>30111</v>
      </c>
      <c r="Z13" s="402">
        <f>★仕入先!$A$102</f>
        <v>20010</v>
      </c>
    </row>
    <row r="14" spans="1:47" ht="23.1" customHeight="1">
      <c r="A14" s="223"/>
      <c r="B14" s="220" t="s">
        <v>52</v>
      </c>
      <c r="C14" s="48">
        <v>1850</v>
      </c>
      <c r="D14" s="300"/>
      <c r="E14" s="311"/>
      <c r="F14" s="155"/>
      <c r="G14" s="278"/>
      <c r="H14" s="312"/>
      <c r="I14" s="155"/>
      <c r="J14" s="278"/>
      <c r="K14" s="314"/>
      <c r="L14" s="155"/>
      <c r="M14" s="278"/>
      <c r="N14" s="221"/>
      <c r="O14" s="155"/>
      <c r="P14" s="278"/>
      <c r="Q14" s="310"/>
      <c r="R14" s="303"/>
      <c r="S14" s="278"/>
      <c r="T14" s="312"/>
      <c r="U14" s="155"/>
      <c r="V14" s="222"/>
      <c r="X14" s="402">
        <f>★仕入先!$A$91</f>
        <v>10561</v>
      </c>
      <c r="Y14" s="402">
        <f>★仕入先!$A$209</f>
        <v>30111</v>
      </c>
      <c r="Z14" s="402">
        <f>★仕入先!$A$104</f>
        <v>20012</v>
      </c>
    </row>
    <row r="15" spans="1:47" ht="23.1" customHeight="1">
      <c r="A15" s="223"/>
      <c r="B15" s="220" t="s">
        <v>100</v>
      </c>
      <c r="C15" s="47" t="s">
        <v>1688</v>
      </c>
      <c r="D15" s="300"/>
      <c r="E15" s="311"/>
      <c r="F15" s="155"/>
      <c r="G15" s="278"/>
      <c r="H15" s="312"/>
      <c r="I15" s="155"/>
      <c r="J15" s="278"/>
      <c r="K15" s="314"/>
      <c r="L15" s="155"/>
      <c r="M15" s="278"/>
      <c r="N15" s="221"/>
      <c r="O15" s="155"/>
      <c r="P15" s="278"/>
      <c r="Q15" s="310"/>
      <c r="R15" s="303"/>
      <c r="S15" s="278"/>
      <c r="T15" s="312"/>
      <c r="U15" s="155"/>
      <c r="V15" s="222"/>
      <c r="X15" s="402">
        <f>★仕入先!$A$91</f>
        <v>10561</v>
      </c>
      <c r="Y15" s="402">
        <f>★仕入先!$A$209</f>
        <v>30111</v>
      </c>
      <c r="Z15" s="402">
        <f>★仕入先!$A$106</f>
        <v>20017</v>
      </c>
    </row>
    <row r="16" spans="1:47" ht="23.1" customHeight="1">
      <c r="A16" s="223"/>
      <c r="B16" s="220" t="s">
        <v>318</v>
      </c>
      <c r="C16" s="48">
        <v>2550</v>
      </c>
      <c r="D16" s="300"/>
      <c r="E16" s="311"/>
      <c r="F16" s="155"/>
      <c r="G16" s="278"/>
      <c r="H16" s="312"/>
      <c r="I16" s="155"/>
      <c r="J16" s="278"/>
      <c r="K16" s="314"/>
      <c r="L16" s="155"/>
      <c r="M16" s="278"/>
      <c r="N16" s="221"/>
      <c r="O16" s="155"/>
      <c r="P16" s="278"/>
      <c r="Q16" s="310"/>
      <c r="R16" s="303"/>
      <c r="S16" s="278"/>
      <c r="T16" s="312"/>
      <c r="U16" s="155"/>
      <c r="V16" s="222"/>
      <c r="X16" s="402">
        <f>★仕入先!$A$91</f>
        <v>10561</v>
      </c>
      <c r="Y16" s="402">
        <f>★仕入先!$A$209</f>
        <v>30111</v>
      </c>
      <c r="Z16" s="402">
        <f>★仕入先!$A$108</f>
        <v>20019</v>
      </c>
    </row>
    <row r="17" spans="1:44" ht="23.1" customHeight="1">
      <c r="A17" s="223"/>
      <c r="B17" s="220" t="s">
        <v>101</v>
      </c>
      <c r="C17" s="48">
        <v>1920</v>
      </c>
      <c r="D17" s="300"/>
      <c r="E17" s="311"/>
      <c r="F17" s="155"/>
      <c r="G17" s="278"/>
      <c r="H17" s="312"/>
      <c r="I17" s="155"/>
      <c r="J17" s="278"/>
      <c r="K17" s="314"/>
      <c r="L17" s="155"/>
      <c r="M17" s="278"/>
      <c r="N17" s="221"/>
      <c r="O17" s="155"/>
      <c r="P17" s="278"/>
      <c r="Q17" s="310"/>
      <c r="R17" s="303"/>
      <c r="S17" s="278"/>
      <c r="T17" s="312"/>
      <c r="U17" s="155"/>
      <c r="V17" s="222"/>
      <c r="X17" s="402">
        <f>★仕入先!$A$91</f>
        <v>10561</v>
      </c>
      <c r="Y17" s="402">
        <f>★仕入先!$A$209</f>
        <v>30111</v>
      </c>
      <c r="Z17" s="402">
        <f>★仕入先!$A$107</f>
        <v>20018</v>
      </c>
    </row>
    <row r="18" spans="1:44" ht="23.1" customHeight="1">
      <c r="A18" s="315"/>
      <c r="B18" s="220" t="s">
        <v>103</v>
      </c>
      <c r="C18" s="48">
        <v>3280</v>
      </c>
      <c r="D18" s="300"/>
      <c r="E18" s="311"/>
      <c r="F18" s="155"/>
      <c r="G18" s="278"/>
      <c r="H18" s="312"/>
      <c r="I18" s="155"/>
      <c r="J18" s="278"/>
      <c r="K18" s="314"/>
      <c r="L18" s="155"/>
      <c r="M18" s="278"/>
      <c r="N18" s="221"/>
      <c r="O18" s="155"/>
      <c r="P18" s="278"/>
      <c r="Q18" s="310"/>
      <c r="R18" s="50"/>
      <c r="S18" s="278"/>
      <c r="T18" s="312"/>
      <c r="U18" s="155"/>
      <c r="V18" s="222"/>
      <c r="X18" s="402">
        <f>★仕入先!$A$91</f>
        <v>10561</v>
      </c>
      <c r="Y18" s="402">
        <f>★仕入先!$A$209</f>
        <v>30111</v>
      </c>
      <c r="Z18" s="402">
        <f>★仕入先!$A$105</f>
        <v>20015</v>
      </c>
    </row>
    <row r="19" spans="1:44" ht="23.1" customHeight="1">
      <c r="A19" s="315"/>
      <c r="B19" s="220" t="s">
        <v>102</v>
      </c>
      <c r="C19" s="48">
        <v>2560</v>
      </c>
      <c r="D19" s="300"/>
      <c r="E19" s="311"/>
      <c r="F19" s="155"/>
      <c r="G19" s="278"/>
      <c r="H19" s="312"/>
      <c r="I19" s="155"/>
      <c r="J19" s="278"/>
      <c r="K19" s="314"/>
      <c r="L19" s="155"/>
      <c r="M19" s="278"/>
      <c r="N19" s="221"/>
      <c r="O19" s="155"/>
      <c r="P19" s="278"/>
      <c r="Q19" s="310"/>
      <c r="R19" s="316"/>
      <c r="S19" s="278"/>
      <c r="T19" s="312"/>
      <c r="U19" s="155"/>
      <c r="V19" s="222"/>
      <c r="X19" s="402">
        <f>★仕入先!$A$91</f>
        <v>10561</v>
      </c>
      <c r="Y19" s="402">
        <f>★仕入先!$A$209</f>
        <v>30111</v>
      </c>
      <c r="Z19" s="546">
        <f>★仕入先!$A$114</f>
        <v>20028</v>
      </c>
    </row>
    <row r="20" spans="1:44" ht="23.1" customHeight="1" thickBot="1">
      <c r="A20" s="317" t="s">
        <v>148</v>
      </c>
      <c r="B20" s="220" t="s">
        <v>104</v>
      </c>
      <c r="C20" s="48">
        <v>2680</v>
      </c>
      <c r="D20" s="300"/>
      <c r="E20" s="311"/>
      <c r="F20" s="155"/>
      <c r="G20" s="278"/>
      <c r="H20" s="312"/>
      <c r="I20" s="155"/>
      <c r="J20" s="278"/>
      <c r="K20" s="314"/>
      <c r="L20" s="155"/>
      <c r="M20" s="278"/>
      <c r="N20" s="221"/>
      <c r="O20" s="155"/>
      <c r="P20" s="278"/>
      <c r="Q20" s="310"/>
      <c r="R20" s="316"/>
      <c r="S20" s="278"/>
      <c r="T20" s="312"/>
      <c r="U20" s="155"/>
      <c r="V20" s="222"/>
      <c r="X20" s="402">
        <f>★仕入先!$A$91</f>
        <v>10561</v>
      </c>
      <c r="Y20" s="402">
        <f>★仕入先!$A$209</f>
        <v>30111</v>
      </c>
      <c r="Z20" s="402">
        <f>★仕入先!$A$109</f>
        <v>20020</v>
      </c>
    </row>
    <row r="21" spans="1:44" ht="15" customHeight="1" thickTop="1" thickBot="1">
      <c r="A21" s="318">
        <f>SUM(D21,G21,J21,M21,P21,S21,V21)</f>
        <v>0</v>
      </c>
      <c r="B21" s="319" t="s">
        <v>146</v>
      </c>
      <c r="C21" s="489">
        <f>SUM(C8:C20)</f>
        <v>24520</v>
      </c>
      <c r="D21" s="490" t="str">
        <f>IF(SUM(D8:D20)=0," ",SUM(D8:D20))</f>
        <v xml:space="preserve"> </v>
      </c>
      <c r="E21" s="491"/>
      <c r="F21" s="492">
        <f>SUM(F8:F20)</f>
        <v>2970</v>
      </c>
      <c r="G21" s="493" t="str">
        <f>IF(SUM(G8:G20)=0," ",SUM(G8:G20))</f>
        <v xml:space="preserve"> </v>
      </c>
      <c r="H21" s="494"/>
      <c r="I21" s="492">
        <f>SUM(I8:I20)</f>
        <v>5250</v>
      </c>
      <c r="J21" s="493" t="str">
        <f>IF(SUM(J8:J20)=0," ",SUM(J8:J20))</f>
        <v xml:space="preserve"> </v>
      </c>
      <c r="K21" s="494"/>
      <c r="L21" s="492">
        <f>SUM(L8:L20)</f>
        <v>630</v>
      </c>
      <c r="M21" s="493" t="str">
        <f>IF(SUM(M8:M20)=0," ",SUM(M8:M20))</f>
        <v xml:space="preserve"> </v>
      </c>
      <c r="N21" s="493"/>
      <c r="O21" s="492">
        <f>SUM(O8:O20)</f>
        <v>340</v>
      </c>
      <c r="P21" s="493" t="str">
        <f>IF(SUM(P8:P20)=0," ",SUM(P8:P20))</f>
        <v xml:space="preserve"> </v>
      </c>
      <c r="Q21" s="493"/>
      <c r="R21" s="492">
        <f>SUM(R8:R20)</f>
        <v>4370</v>
      </c>
      <c r="S21" s="495" t="str">
        <f>IF(SUM(S8:S20)=0," ",SUM(S8:S20))</f>
        <v xml:space="preserve"> </v>
      </c>
      <c r="T21" s="494"/>
      <c r="U21" s="492">
        <f>SUM(U8:U20)</f>
        <v>1140</v>
      </c>
      <c r="V21" s="496" t="str">
        <f>IF(SUM(V8:V20)=0," ",SUM(V8:V20))</f>
        <v xml:space="preserve"> </v>
      </c>
    </row>
    <row r="22" spans="1:44" ht="23.1" customHeight="1">
      <c r="A22" s="289" t="s">
        <v>106</v>
      </c>
      <c r="B22" s="267" t="s">
        <v>108</v>
      </c>
      <c r="C22" s="48">
        <v>1430</v>
      </c>
      <c r="D22" s="22"/>
      <c r="E22" s="49" t="s">
        <v>325</v>
      </c>
      <c r="F22" s="155">
        <v>100</v>
      </c>
      <c r="G22" s="301"/>
      <c r="H22" s="49"/>
      <c r="I22" s="155">
        <v>190</v>
      </c>
      <c r="J22" s="4"/>
      <c r="K22" s="314"/>
      <c r="L22" s="155"/>
      <c r="M22" s="278"/>
      <c r="N22" s="221"/>
      <c r="O22" s="155"/>
      <c r="P22" s="278"/>
      <c r="Q22" s="221"/>
      <c r="R22" s="316">
        <v>40</v>
      </c>
      <c r="S22" s="4"/>
      <c r="T22" s="312"/>
      <c r="U22" s="155">
        <v>260</v>
      </c>
      <c r="V22" s="272"/>
      <c r="X22" s="402">
        <f>★仕入先!$A$91</f>
        <v>10561</v>
      </c>
      <c r="Y22" s="402">
        <f>★仕入先!$A$209</f>
        <v>30111</v>
      </c>
      <c r="Z22" s="402">
        <f>★仕入先!$A$103</f>
        <v>20011</v>
      </c>
      <c r="AA22" s="402">
        <f>★仕入先!$A$91</f>
        <v>10561</v>
      </c>
      <c r="AB22" s="402">
        <f>★仕入先!$A$209</f>
        <v>30111</v>
      </c>
      <c r="AC22" s="402">
        <f>★仕入先!$A$173</f>
        <v>20900</v>
      </c>
      <c r="AD22" s="402">
        <f>★仕入先!$A$91</f>
        <v>10561</v>
      </c>
      <c r="AE22" s="402">
        <f>★仕入先!$A$209</f>
        <v>30111</v>
      </c>
      <c r="AF22" s="402">
        <f>★仕入先!$A$155</f>
        <v>20258</v>
      </c>
      <c r="AM22" s="402">
        <f>★仕入先!$A$91</f>
        <v>10561</v>
      </c>
      <c r="AN22" s="402">
        <f>★仕入先!$A$209</f>
        <v>30111</v>
      </c>
      <c r="AO22" s="402">
        <f>★仕入先!$A$158</f>
        <v>20263</v>
      </c>
      <c r="AP22" s="402">
        <f>★仕入先!$A$91</f>
        <v>10561</v>
      </c>
      <c r="AQ22" s="402">
        <f>★仕入先!$A$209</f>
        <v>30111</v>
      </c>
      <c r="AR22" s="402">
        <f>★仕入先!$A$173</f>
        <v>20900</v>
      </c>
    </row>
    <row r="23" spans="1:44" ht="23.1" customHeight="1">
      <c r="A23" s="320" t="s">
        <v>107</v>
      </c>
      <c r="B23" s="240" t="s">
        <v>109</v>
      </c>
      <c r="C23" s="58">
        <v>1970</v>
      </c>
      <c r="D23" s="22"/>
      <c r="E23" s="49" t="s">
        <v>325</v>
      </c>
      <c r="F23" s="50">
        <v>100</v>
      </c>
      <c r="G23" s="301"/>
      <c r="H23" s="49"/>
      <c r="I23" s="50">
        <v>170</v>
      </c>
      <c r="J23" s="4"/>
      <c r="K23" s="49"/>
      <c r="L23" s="50"/>
      <c r="M23" s="278"/>
      <c r="N23" s="321"/>
      <c r="O23" s="50"/>
      <c r="P23" s="278"/>
      <c r="Q23" s="321" t="s">
        <v>344</v>
      </c>
      <c r="R23" s="322">
        <v>150</v>
      </c>
      <c r="S23" s="4"/>
      <c r="T23" s="323"/>
      <c r="U23" s="50"/>
      <c r="V23" s="222"/>
      <c r="X23" s="402">
        <f>★仕入先!$A$91</f>
        <v>10561</v>
      </c>
      <c r="Y23" s="402">
        <f>★仕入先!$A$209</f>
        <v>30111</v>
      </c>
      <c r="Z23" s="546">
        <f>★仕入先!$A$111</f>
        <v>20023</v>
      </c>
      <c r="AA23" s="402">
        <f>★仕入先!$A$91</f>
        <v>10561</v>
      </c>
      <c r="AB23" s="402">
        <f>★仕入先!$A$209</f>
        <v>30111</v>
      </c>
      <c r="AC23" s="402">
        <f>★仕入先!$A$173</f>
        <v>20900</v>
      </c>
      <c r="AD23" s="402">
        <f>★仕入先!$A$91</f>
        <v>10561</v>
      </c>
      <c r="AE23" s="402">
        <f>★仕入先!$A$209</f>
        <v>30111</v>
      </c>
      <c r="AF23" s="402">
        <f>★仕入先!$A$155</f>
        <v>20258</v>
      </c>
      <c r="AM23" s="402">
        <f>★仕入先!$A$91</f>
        <v>10561</v>
      </c>
      <c r="AN23" s="402">
        <f>★仕入先!$A$209</f>
        <v>30111</v>
      </c>
      <c r="AO23" s="402">
        <f>★仕入先!$A$161</f>
        <v>20268</v>
      </c>
    </row>
    <row r="24" spans="1:44" ht="23.1" customHeight="1">
      <c r="A24" s="289"/>
      <c r="B24" s="240" t="s">
        <v>110</v>
      </c>
      <c r="C24" s="58">
        <v>1200</v>
      </c>
      <c r="D24" s="22"/>
      <c r="E24" s="49"/>
      <c r="F24" s="50"/>
      <c r="G24" s="324"/>
      <c r="H24" s="49"/>
      <c r="I24" s="50">
        <v>170</v>
      </c>
      <c r="J24" s="4"/>
      <c r="K24" s="49"/>
      <c r="L24" s="50"/>
      <c r="M24" s="278"/>
      <c r="N24" s="258"/>
      <c r="O24" s="50"/>
      <c r="P24" s="278"/>
      <c r="Q24" s="321"/>
      <c r="R24" s="303"/>
      <c r="S24" s="278"/>
      <c r="T24" s="323"/>
      <c r="U24" s="50"/>
      <c r="V24" s="222"/>
      <c r="X24" s="402">
        <f>★仕入先!$A$91</f>
        <v>10561</v>
      </c>
      <c r="Y24" s="402">
        <f>★仕入先!$A$209</f>
        <v>30111</v>
      </c>
      <c r="Z24" s="402">
        <f>★仕入先!$A$110</f>
        <v>20022</v>
      </c>
      <c r="AA24" s="402">
        <f>★仕入先!$A$91</f>
        <v>10561</v>
      </c>
      <c r="AB24" s="402">
        <f>★仕入先!$A$209</f>
        <v>30111</v>
      </c>
      <c r="AC24" s="402">
        <f>★仕入先!$A$173</f>
        <v>20900</v>
      </c>
      <c r="AD24" s="402">
        <f>★仕入先!$A$91</f>
        <v>10561</v>
      </c>
      <c r="AE24" s="402">
        <f>★仕入先!$A$209</f>
        <v>30111</v>
      </c>
      <c r="AF24" s="402">
        <f>★仕入先!$A$155</f>
        <v>20258</v>
      </c>
    </row>
    <row r="25" spans="1:44" ht="23.1" customHeight="1">
      <c r="A25" s="289"/>
      <c r="B25" s="240" t="s">
        <v>111</v>
      </c>
      <c r="C25" s="58">
        <v>610</v>
      </c>
      <c r="D25" s="22"/>
      <c r="E25" s="49" t="s">
        <v>325</v>
      </c>
      <c r="F25" s="50">
        <v>50</v>
      </c>
      <c r="G25" s="301"/>
      <c r="H25" s="49"/>
      <c r="I25" s="50">
        <v>140</v>
      </c>
      <c r="J25" s="4"/>
      <c r="K25" s="49"/>
      <c r="L25" s="50"/>
      <c r="M25" s="278"/>
      <c r="N25" s="321"/>
      <c r="O25" s="50"/>
      <c r="P25" s="278"/>
      <c r="Q25" s="321" t="s">
        <v>345</v>
      </c>
      <c r="R25" s="303">
        <v>310</v>
      </c>
      <c r="S25" s="4"/>
      <c r="T25" s="323"/>
      <c r="U25" s="50"/>
      <c r="V25" s="222"/>
      <c r="X25" s="402">
        <f>★仕入先!$A$91</f>
        <v>10561</v>
      </c>
      <c r="Y25" s="402">
        <f>★仕入先!$A$209</f>
        <v>30111</v>
      </c>
      <c r="Z25" s="402">
        <f>★仕入先!$A$110</f>
        <v>20022</v>
      </c>
      <c r="AA25" s="402">
        <f>★仕入先!$A$91</f>
        <v>10561</v>
      </c>
      <c r="AB25" s="402">
        <f>★仕入先!$A$209</f>
        <v>30111</v>
      </c>
      <c r="AC25" s="402">
        <f>★仕入先!$A$173</f>
        <v>20900</v>
      </c>
      <c r="AD25" s="402">
        <f>★仕入先!$A$91</f>
        <v>10561</v>
      </c>
      <c r="AE25" s="402">
        <f>★仕入先!$A$209</f>
        <v>30111</v>
      </c>
      <c r="AF25" s="402">
        <f>★仕入先!$A$155</f>
        <v>20258</v>
      </c>
      <c r="AM25" s="402">
        <f>★仕入先!$A$91</f>
        <v>10561</v>
      </c>
      <c r="AN25" s="402">
        <f>★仕入先!$A$209</f>
        <v>30111</v>
      </c>
      <c r="AO25" s="402">
        <f>★仕入先!$A$160</f>
        <v>20267</v>
      </c>
    </row>
    <row r="26" spans="1:44" ht="23.1" customHeight="1">
      <c r="A26" s="287"/>
      <c r="B26" s="240" t="s">
        <v>112</v>
      </c>
      <c r="C26" s="58">
        <v>490</v>
      </c>
      <c r="D26" s="22"/>
      <c r="E26" s="49" t="s">
        <v>325</v>
      </c>
      <c r="F26" s="50">
        <v>50</v>
      </c>
      <c r="G26" s="301"/>
      <c r="H26" s="49"/>
      <c r="I26" s="50">
        <v>170</v>
      </c>
      <c r="J26" s="4"/>
      <c r="K26" s="49"/>
      <c r="L26" s="50"/>
      <c r="M26" s="278"/>
      <c r="N26" s="321"/>
      <c r="O26" s="50"/>
      <c r="P26" s="278"/>
      <c r="Q26" s="321"/>
      <c r="R26" s="303"/>
      <c r="S26" s="278"/>
      <c r="T26" s="321"/>
      <c r="U26" s="50"/>
      <c r="V26" s="222"/>
      <c r="X26" s="402">
        <f>★仕入先!$A$91</f>
        <v>10561</v>
      </c>
      <c r="Y26" s="402">
        <f>★仕入先!$A$209</f>
        <v>30111</v>
      </c>
      <c r="Z26" s="402">
        <f>★仕入先!$A$120</f>
        <v>20063</v>
      </c>
      <c r="AA26" s="402">
        <f>★仕入先!$A$91</f>
        <v>10561</v>
      </c>
      <c r="AB26" s="402">
        <f>★仕入先!$A$209</f>
        <v>30111</v>
      </c>
      <c r="AC26" s="402">
        <f>★仕入先!$A$173</f>
        <v>20900</v>
      </c>
      <c r="AD26" s="402">
        <f>★仕入先!$A$91</f>
        <v>10561</v>
      </c>
      <c r="AE26" s="402">
        <f>★仕入先!$A$209</f>
        <v>30111</v>
      </c>
      <c r="AF26" s="402">
        <f>★仕入先!$A$155</f>
        <v>20258</v>
      </c>
    </row>
    <row r="27" spans="1:44" ht="23.1" customHeight="1">
      <c r="A27" s="219" t="s">
        <v>113</v>
      </c>
      <c r="B27" s="257" t="s">
        <v>114</v>
      </c>
      <c r="C27" s="58">
        <v>2870</v>
      </c>
      <c r="D27" s="22"/>
      <c r="E27" s="49"/>
      <c r="F27" s="50">
        <v>120</v>
      </c>
      <c r="G27" s="301"/>
      <c r="H27" s="49"/>
      <c r="I27" s="50">
        <v>930</v>
      </c>
      <c r="J27" s="4"/>
      <c r="K27" s="49"/>
      <c r="L27" s="50">
        <v>50</v>
      </c>
      <c r="M27" s="4"/>
      <c r="N27" s="258"/>
      <c r="O27" s="50">
        <v>50</v>
      </c>
      <c r="P27" s="4"/>
      <c r="Q27" s="325" t="s">
        <v>346</v>
      </c>
      <c r="R27" s="303">
        <v>130</v>
      </c>
      <c r="S27" s="4"/>
      <c r="T27" s="323"/>
      <c r="U27" s="50">
        <v>100</v>
      </c>
      <c r="V27" s="272"/>
      <c r="X27" s="402">
        <f>★仕入先!$A$91</f>
        <v>10561</v>
      </c>
      <c r="Y27" s="402">
        <f>★仕入先!$A$209</f>
        <v>30111</v>
      </c>
      <c r="Z27" s="402">
        <f>★仕入先!$A$112</f>
        <v>20026</v>
      </c>
      <c r="AA27" s="402">
        <f>★仕入先!$A$91</f>
        <v>10561</v>
      </c>
      <c r="AB27" s="402">
        <f>★仕入先!$A$209</f>
        <v>30111</v>
      </c>
      <c r="AC27" s="402">
        <f>★仕入先!$A$112</f>
        <v>20026</v>
      </c>
      <c r="AD27" s="402">
        <f>★仕入先!$A$91</f>
        <v>10561</v>
      </c>
      <c r="AE27" s="402">
        <f>★仕入先!$A$209</f>
        <v>30111</v>
      </c>
      <c r="AF27" s="402">
        <f>★仕入先!$A$152</f>
        <v>20255</v>
      </c>
      <c r="AG27" s="402">
        <f>★仕入先!$A$91</f>
        <v>10561</v>
      </c>
      <c r="AH27" s="402">
        <f>★仕入先!$A$209</f>
        <v>30111</v>
      </c>
      <c r="AI27" s="402">
        <f>★仕入先!$A$112</f>
        <v>20026</v>
      </c>
      <c r="AJ27" s="402">
        <f>★仕入先!$A$91</f>
        <v>10561</v>
      </c>
      <c r="AK27" s="402">
        <f>★仕入先!$A$209</f>
        <v>30111</v>
      </c>
      <c r="AL27" s="402">
        <f>★仕入先!$A$112</f>
        <v>20026</v>
      </c>
      <c r="AM27" s="402">
        <f>★仕入先!$A$91</f>
        <v>10561</v>
      </c>
      <c r="AN27" s="402">
        <f>★仕入先!$A$209</f>
        <v>30111</v>
      </c>
      <c r="AO27" s="402">
        <f>★仕入先!$A$159</f>
        <v>20266</v>
      </c>
      <c r="AP27" s="402">
        <f>★仕入先!$A$91</f>
        <v>10561</v>
      </c>
      <c r="AQ27" s="402">
        <f>★仕入先!$A$209</f>
        <v>30111</v>
      </c>
      <c r="AR27" s="402">
        <f>★仕入先!$A$112</f>
        <v>20026</v>
      </c>
    </row>
    <row r="28" spans="1:44" ht="23.1" customHeight="1">
      <c r="A28" s="219"/>
      <c r="B28" s="257" t="s">
        <v>319</v>
      </c>
      <c r="C28" s="58">
        <v>1640</v>
      </c>
      <c r="D28" s="424"/>
      <c r="E28" s="313"/>
      <c r="F28" s="50">
        <v>60</v>
      </c>
      <c r="G28" s="425"/>
      <c r="H28" s="313"/>
      <c r="I28" s="50"/>
      <c r="J28" s="288"/>
      <c r="K28" s="313"/>
      <c r="L28" s="50">
        <v>20</v>
      </c>
      <c r="M28" s="4"/>
      <c r="N28" s="281"/>
      <c r="O28" s="50">
        <v>15</v>
      </c>
      <c r="P28" s="4"/>
      <c r="Q28" s="327"/>
      <c r="R28" s="328"/>
      <c r="S28" s="278"/>
      <c r="T28" s="329"/>
      <c r="U28" s="282">
        <v>40</v>
      </c>
      <c r="V28" s="272"/>
      <c r="X28" s="402">
        <f>★仕入先!$A$91</f>
        <v>10561</v>
      </c>
      <c r="Y28" s="402">
        <f>★仕入先!$A$209</f>
        <v>30111</v>
      </c>
      <c r="Z28" s="546">
        <f>★仕入先!$A$113</f>
        <v>20027</v>
      </c>
      <c r="AA28" s="402">
        <f>★仕入先!$A$91</f>
        <v>10561</v>
      </c>
      <c r="AB28" s="402">
        <f>★仕入先!$A$209</f>
        <v>30111</v>
      </c>
      <c r="AC28" s="546">
        <f>★仕入先!$A$113</f>
        <v>20027</v>
      </c>
      <c r="AG28" s="402">
        <f>★仕入先!$A$91</f>
        <v>10561</v>
      </c>
      <c r="AH28" s="402">
        <f>★仕入先!$A$209</f>
        <v>30111</v>
      </c>
      <c r="AI28" s="546">
        <f>★仕入先!$A$113</f>
        <v>20027</v>
      </c>
      <c r="AJ28" s="402">
        <f>★仕入先!$A$91</f>
        <v>10561</v>
      </c>
      <c r="AK28" s="402">
        <f>★仕入先!$A$209</f>
        <v>30111</v>
      </c>
      <c r="AL28" s="546">
        <f>★仕入先!$A$113</f>
        <v>20027</v>
      </c>
      <c r="AP28" s="402">
        <f>★仕入先!$A$91</f>
        <v>10561</v>
      </c>
      <c r="AQ28" s="402">
        <f>★仕入先!$A$209</f>
        <v>30111</v>
      </c>
      <c r="AR28" s="546">
        <f>★仕入先!$A$113</f>
        <v>20027</v>
      </c>
    </row>
    <row r="29" spans="1:44" ht="23.1" customHeight="1" thickBot="1">
      <c r="A29" s="330" t="s">
        <v>149</v>
      </c>
      <c r="B29" s="331" t="s">
        <v>115</v>
      </c>
      <c r="C29" s="58">
        <v>1380</v>
      </c>
      <c r="D29" s="22"/>
      <c r="E29" s="334"/>
      <c r="F29" s="79">
        <v>100</v>
      </c>
      <c r="G29" s="301"/>
      <c r="H29" s="326"/>
      <c r="I29" s="155">
        <v>210</v>
      </c>
      <c r="J29" s="4"/>
      <c r="K29" s="326"/>
      <c r="L29" s="79">
        <v>200</v>
      </c>
      <c r="M29" s="4"/>
      <c r="N29" s="281"/>
      <c r="O29" s="50">
        <v>15</v>
      </c>
      <c r="P29" s="4"/>
      <c r="Q29" s="281"/>
      <c r="R29" s="328">
        <v>110</v>
      </c>
      <c r="S29" s="4"/>
      <c r="T29" s="329"/>
      <c r="U29" s="282">
        <v>80</v>
      </c>
      <c r="V29" s="272"/>
      <c r="X29" s="402">
        <f>★仕入先!$A$91</f>
        <v>10561</v>
      </c>
      <c r="Y29" s="402">
        <f>★仕入先!$A$209</f>
        <v>30111</v>
      </c>
      <c r="Z29" s="546">
        <f>★仕入先!$A$115</f>
        <v>20029</v>
      </c>
      <c r="AA29" s="402">
        <f>★仕入先!$A$91</f>
        <v>10561</v>
      </c>
      <c r="AB29" s="402">
        <f>★仕入先!$A$209</f>
        <v>30111</v>
      </c>
      <c r="AC29" s="546">
        <f>★仕入先!$A$115</f>
        <v>20029</v>
      </c>
      <c r="AD29" s="402">
        <f>★仕入先!$A$91</f>
        <v>10561</v>
      </c>
      <c r="AE29" s="402">
        <f>★仕入先!$A$209</f>
        <v>30111</v>
      </c>
      <c r="AF29" s="402">
        <f>★仕入先!$A$153</f>
        <v>20256</v>
      </c>
      <c r="AG29" s="402">
        <f>★仕入先!$A$91</f>
        <v>10561</v>
      </c>
      <c r="AH29" s="402">
        <f>★仕入先!$A$209</f>
        <v>30111</v>
      </c>
      <c r="AI29" s="546">
        <f>★仕入先!$A$115</f>
        <v>20029</v>
      </c>
      <c r="AJ29" s="402">
        <f>★仕入先!$A$91</f>
        <v>10561</v>
      </c>
      <c r="AK29" s="402">
        <f>★仕入先!$A$209</f>
        <v>30111</v>
      </c>
      <c r="AL29" s="546">
        <f>★仕入先!$A$115</f>
        <v>20029</v>
      </c>
      <c r="AM29" s="402">
        <f>★仕入先!$A$91</f>
        <v>10561</v>
      </c>
      <c r="AN29" s="402">
        <f>★仕入先!$A$209</f>
        <v>30111</v>
      </c>
      <c r="AO29" s="402">
        <f>★仕入先!$A$162</f>
        <v>20269</v>
      </c>
      <c r="AP29" s="402">
        <f>★仕入先!$A$91</f>
        <v>10561</v>
      </c>
      <c r="AQ29" s="402">
        <f>★仕入先!$A$209</f>
        <v>30111</v>
      </c>
      <c r="AR29" s="546">
        <f>★仕入先!$A$115</f>
        <v>20029</v>
      </c>
    </row>
    <row r="30" spans="1:44" ht="15" customHeight="1" thickTop="1" thickBot="1">
      <c r="A30" s="318">
        <f>SUM(D30,G30,J30,M30,P30,S30,V30)</f>
        <v>0</v>
      </c>
      <c r="B30" s="319" t="s">
        <v>147</v>
      </c>
      <c r="C30" s="489">
        <f>SUM(C22:C29)</f>
        <v>11590</v>
      </c>
      <c r="D30" s="490" t="str">
        <f>IF(SUM(D22:D29)=0," ",SUM(D22:D29))</f>
        <v xml:space="preserve"> </v>
      </c>
      <c r="E30" s="491"/>
      <c r="F30" s="497">
        <f>SUM(F22:F29)</f>
        <v>580</v>
      </c>
      <c r="G30" s="493" t="str">
        <f>IF(SUM(G22:G29)=0," ",SUM(G22:G29))</f>
        <v xml:space="preserve"> </v>
      </c>
      <c r="H30" s="494"/>
      <c r="I30" s="492">
        <f>SUM(I22:I29)</f>
        <v>1980</v>
      </c>
      <c r="J30" s="493" t="str">
        <f>IF(SUM(J22:J29)=0," ",SUM(J22:J29))</f>
        <v xml:space="preserve"> </v>
      </c>
      <c r="K30" s="494"/>
      <c r="L30" s="492">
        <f>SUM(L22:L29)</f>
        <v>270</v>
      </c>
      <c r="M30" s="493" t="str">
        <f>IF(SUM(M22:M29)=0," ",SUM(M22:M29))</f>
        <v xml:space="preserve"> </v>
      </c>
      <c r="N30" s="493"/>
      <c r="O30" s="492">
        <f>SUM(O22:O29)</f>
        <v>80</v>
      </c>
      <c r="P30" s="493" t="str">
        <f>IF(SUM(P22:P29)=0," ",SUM(P22:P29))</f>
        <v xml:space="preserve"> </v>
      </c>
      <c r="Q30" s="493"/>
      <c r="R30" s="498">
        <f>SUM(R22:R29)</f>
        <v>740</v>
      </c>
      <c r="S30" s="495" t="str">
        <f>IF(SUM(S22:S29)=0," ",SUM(S22:S29))</f>
        <v xml:space="preserve"> </v>
      </c>
      <c r="T30" s="494"/>
      <c r="U30" s="492">
        <f>SUM(U22:U29)</f>
        <v>480</v>
      </c>
      <c r="V30" s="496" t="str">
        <f>IF(SUM(V22:V29)=0," ",SUM(V22:V29))</f>
        <v xml:space="preserve"> </v>
      </c>
      <c r="Y30" s="402"/>
    </row>
    <row r="31" spans="1:44" ht="17.25" customHeight="1">
      <c r="A31" s="223" t="s">
        <v>12</v>
      </c>
      <c r="B31" s="333" t="s">
        <v>13</v>
      </c>
      <c r="C31" s="499"/>
      <c r="D31" s="500"/>
      <c r="E31" s="501"/>
      <c r="F31" s="502"/>
      <c r="G31" s="503"/>
      <c r="H31" s="504"/>
      <c r="I31" s="502"/>
      <c r="J31" s="503"/>
      <c r="K31" s="505"/>
      <c r="L31" s="502"/>
      <c r="M31" s="503"/>
      <c r="N31" s="506"/>
      <c r="O31" s="502"/>
      <c r="P31" s="503"/>
      <c r="Q31" s="506"/>
      <c r="R31" s="507"/>
      <c r="S31" s="503"/>
      <c r="T31" s="504"/>
      <c r="U31" s="502"/>
      <c r="V31" s="508"/>
    </row>
    <row r="32" spans="1:44" ht="22.5" customHeight="1" thickBot="1">
      <c r="A32" s="270">
        <f>SUM(C32,F32,I32,L32,O32,R32,U32)</f>
        <v>54940</v>
      </c>
      <c r="B32" s="271">
        <f>SUM(D32,G32,J32,M32,P32,S32,V32)</f>
        <v>0</v>
      </c>
      <c r="C32" s="509">
        <f>SUM(C8:C20,C22:C29)</f>
        <v>36110</v>
      </c>
      <c r="D32" s="510" t="str">
        <f>IF(SUM(D21,D30)=0," ",SUM(D21,D30))</f>
        <v xml:space="preserve"> </v>
      </c>
      <c r="E32" s="511"/>
      <c r="F32" s="512">
        <f>SUM(F8:F20,F22:F29)</f>
        <v>3550</v>
      </c>
      <c r="G32" s="513" t="str">
        <f>IF(SUM(G21,G30)=0," ",SUM(G21,G30))</f>
        <v xml:space="preserve"> </v>
      </c>
      <c r="H32" s="511"/>
      <c r="I32" s="512">
        <f>SUM(I8:I20,I22:I29)</f>
        <v>7230</v>
      </c>
      <c r="J32" s="513" t="str">
        <f>IF(SUM(J21,J30)=0," ",SUM(J21,J30))</f>
        <v xml:space="preserve"> </v>
      </c>
      <c r="K32" s="514"/>
      <c r="L32" s="512">
        <f>SUM(L8:L20,L22:L29)</f>
        <v>900</v>
      </c>
      <c r="M32" s="513" t="str">
        <f>IF(SUM(M21,M30)=0," ",SUM(M21,M30))</f>
        <v xml:space="preserve"> </v>
      </c>
      <c r="N32" s="515"/>
      <c r="O32" s="512">
        <f>SUM(O8:O20,O22:O29)</f>
        <v>420</v>
      </c>
      <c r="P32" s="513" t="str">
        <f>IF(SUM(P21,P30)=0," ",SUM(P21,P30))</f>
        <v xml:space="preserve"> </v>
      </c>
      <c r="Q32" s="515"/>
      <c r="R32" s="512">
        <f>SUM(R8:R20,R22:R29)</f>
        <v>5110</v>
      </c>
      <c r="S32" s="513" t="str">
        <f>IF(SUM(S21,S30)=0," ",SUM(S21,S30))</f>
        <v xml:space="preserve"> </v>
      </c>
      <c r="T32" s="511"/>
      <c r="U32" s="512">
        <f>SUM(U8:U20,U22:U29)</f>
        <v>1620</v>
      </c>
      <c r="V32" s="516" t="str">
        <f>IF(SUM(V21,V30)=0," ",SUM(V21,V30))</f>
        <v xml:space="preserve"> </v>
      </c>
    </row>
    <row r="33" spans="1:22">
      <c r="A33" s="293"/>
      <c r="B33" s="100"/>
      <c r="C33" s="293"/>
      <c r="D33" s="293"/>
      <c r="E33" s="293"/>
      <c r="F33" s="293"/>
      <c r="G33" s="293"/>
      <c r="H33" s="293"/>
      <c r="I33" s="293"/>
      <c r="J33" s="293"/>
      <c r="K33" s="293"/>
      <c r="L33" s="293"/>
      <c r="M33" s="293"/>
      <c r="N33" s="293"/>
      <c r="O33" s="293"/>
      <c r="P33" s="293"/>
      <c r="Q33" s="293"/>
      <c r="R33" s="293"/>
      <c r="S33" s="293"/>
      <c r="T33" s="293"/>
      <c r="U33" s="293"/>
      <c r="V33" s="293"/>
    </row>
  </sheetData>
  <sheetProtection sheet="1" objects="1" scenarios="1"/>
  <mergeCells count="31">
    <mergeCell ref="AP5:AR5"/>
    <mergeCell ref="X5:Z5"/>
    <mergeCell ref="AA5:AC5"/>
    <mergeCell ref="AD5:AF5"/>
    <mergeCell ref="AG5:AI5"/>
    <mergeCell ref="AJ5:AL5"/>
    <mergeCell ref="AM5:AO5"/>
    <mergeCell ref="A1:T1"/>
    <mergeCell ref="U1:V1"/>
    <mergeCell ref="A3:B3"/>
    <mergeCell ref="G3:G4"/>
    <mergeCell ref="I3:J4"/>
    <mergeCell ref="S3:V4"/>
    <mergeCell ref="A4:B4"/>
    <mergeCell ref="K3:L4"/>
    <mergeCell ref="C4:F4"/>
    <mergeCell ref="M3:O4"/>
    <mergeCell ref="P3:P4"/>
    <mergeCell ref="Q3:R4"/>
    <mergeCell ref="T6:V6"/>
    <mergeCell ref="T7:U7"/>
    <mergeCell ref="K7:L7"/>
    <mergeCell ref="C6:D6"/>
    <mergeCell ref="K6:M6"/>
    <mergeCell ref="E7:F7"/>
    <mergeCell ref="E6:G6"/>
    <mergeCell ref="H6:J6"/>
    <mergeCell ref="H7:I7"/>
    <mergeCell ref="Q7:R7"/>
    <mergeCell ref="Q6:S6"/>
    <mergeCell ref="N6:P6"/>
  </mergeCells>
  <phoneticPr fontId="15"/>
  <printOptions horizontalCentered="1" verticalCentered="1"/>
  <pageMargins left="0.39370078740157483" right="0" top="0.59055118110236227" bottom="0.59055118110236227" header="0.51181102362204722" footer="0"/>
  <pageSetup paperSize="9" scale="80" orientation="landscape" r:id="rId1"/>
  <headerFooter alignWithMargins="0">
    <oddFooter xml:space="preserve">&amp;C&amp;"ＭＳ Ｐゴシック,太字"日本海折込センター&amp;R&amp;"ＭＳ Ｐゴシック,太字"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U36"/>
  <sheetViews>
    <sheetView zoomScale="70" zoomScaleNormal="70" zoomScaleSheetLayoutView="70" workbookViewId="0">
      <pane xSplit="2" ySplit="7" topLeftCell="C8" activePane="bottomRight" state="frozen"/>
      <selection activeCell="I18" sqref="I18"/>
      <selection pane="topRight" activeCell="I18" sqref="I18"/>
      <selection pane="bottomLeft" activeCell="I18" sqref="I18"/>
      <selection pane="bottomRight" activeCell="AZ20" sqref="AZ20"/>
    </sheetView>
  </sheetViews>
  <sheetFormatPr defaultColWidth="9" defaultRowHeight="14.25"/>
  <cols>
    <col min="1" max="1" width="15.875" style="98" customWidth="1"/>
    <col min="2" max="2" width="11.25" style="98" bestFit="1" customWidth="1"/>
    <col min="3" max="3" width="9.625" style="98" customWidth="1"/>
    <col min="4" max="4" width="12.625" style="98" bestFit="1" customWidth="1"/>
    <col min="5" max="5" width="2.125" style="98" customWidth="1"/>
    <col min="6" max="6" width="8.125" style="98" customWidth="1"/>
    <col min="7" max="7" width="9.625" style="98" customWidth="1"/>
    <col min="8" max="8" width="2.125" style="98" customWidth="1"/>
    <col min="9" max="9" width="8.125" style="98" customWidth="1"/>
    <col min="10" max="10" width="9.625" style="98" customWidth="1"/>
    <col min="11" max="11" width="2.125" style="98" customWidth="1"/>
    <col min="12" max="12" width="8.125" style="98" customWidth="1"/>
    <col min="13" max="13" width="9.625" style="98" customWidth="1"/>
    <col min="14" max="14" width="2.125" style="98" customWidth="1"/>
    <col min="15" max="15" width="8.125" style="98" customWidth="1"/>
    <col min="16" max="16" width="9.625" style="98" customWidth="1"/>
    <col min="17" max="17" width="2.125" style="98" customWidth="1"/>
    <col min="18" max="18" width="8.125" style="98" customWidth="1"/>
    <col min="19" max="19" width="9.625" style="98" customWidth="1"/>
    <col min="20" max="20" width="2.125" style="98" customWidth="1"/>
    <col min="21" max="21" width="8.125" style="98" customWidth="1"/>
    <col min="22" max="22" width="9.625" style="98" customWidth="1"/>
    <col min="23" max="23" width="9" style="98" hidden="1" customWidth="1"/>
    <col min="24" max="44" width="9" style="212" hidden="1" customWidth="1"/>
    <col min="45" max="45" width="9" style="31" hidden="1" customWidth="1"/>
    <col min="46" max="47" width="9" style="31"/>
    <col min="48" max="16384" width="9" style="98"/>
  </cols>
  <sheetData>
    <row r="1" spans="1:47" ht="17.25">
      <c r="A1" s="703" t="s">
        <v>0</v>
      </c>
      <c r="B1" s="703"/>
      <c r="C1" s="703"/>
      <c r="D1" s="703"/>
      <c r="E1" s="703"/>
      <c r="F1" s="703"/>
      <c r="G1" s="703"/>
      <c r="H1" s="703"/>
      <c r="I1" s="703"/>
      <c r="J1" s="703"/>
      <c r="K1" s="703"/>
      <c r="L1" s="703"/>
      <c r="M1" s="703"/>
      <c r="N1" s="703"/>
      <c r="O1" s="703"/>
      <c r="P1" s="703"/>
      <c r="Q1" s="703"/>
      <c r="R1" s="703"/>
      <c r="S1" s="703"/>
      <c r="T1" s="97"/>
      <c r="U1" s="704">
        <f>①総合計!R1</f>
        <v>2023.1</v>
      </c>
      <c r="V1" s="704"/>
    </row>
    <row r="2" spans="1:47" ht="15" thickBot="1">
      <c r="A2" s="99"/>
      <c r="B2" s="99"/>
      <c r="C2" s="99"/>
      <c r="D2" s="99"/>
      <c r="E2" s="99"/>
      <c r="F2" s="99"/>
      <c r="G2" s="99"/>
      <c r="H2" s="99"/>
      <c r="I2" s="99"/>
      <c r="J2" s="99"/>
      <c r="K2" s="99"/>
      <c r="L2" s="99"/>
      <c r="M2" s="99"/>
      <c r="N2" s="99"/>
      <c r="O2" s="99"/>
      <c r="P2" s="99"/>
      <c r="Q2" s="99"/>
      <c r="R2" s="99"/>
      <c r="S2" s="99"/>
      <c r="T2" s="99"/>
      <c r="V2" s="100" t="s">
        <v>117</v>
      </c>
    </row>
    <row r="3" spans="1:47" ht="20.100000000000001" customHeight="1">
      <c r="A3" s="705" t="s">
        <v>1</v>
      </c>
      <c r="B3" s="706"/>
      <c r="C3" s="214" t="s">
        <v>2</v>
      </c>
      <c r="D3" s="102"/>
      <c r="E3" s="102"/>
      <c r="F3" s="103"/>
      <c r="G3" s="729" t="s">
        <v>145</v>
      </c>
      <c r="H3" s="209"/>
      <c r="I3" s="816" t="str">
        <f>IF(①総合計!I3= 0," ",①総合計!I3)</f>
        <v xml:space="preserve"> </v>
      </c>
      <c r="J3" s="787"/>
      <c r="K3" s="729" t="s">
        <v>3</v>
      </c>
      <c r="L3" s="818"/>
      <c r="M3" s="820" t="str">
        <f>IF(SUM(B18,B31)=0," ",SUM(B18,B31))</f>
        <v xml:space="preserve"> </v>
      </c>
      <c r="N3" s="821"/>
      <c r="O3" s="821"/>
      <c r="P3" s="824" t="str">
        <f>①総合計!$L$3</f>
        <v xml:space="preserve"> </v>
      </c>
      <c r="Q3" s="729" t="s">
        <v>4</v>
      </c>
      <c r="R3" s="730"/>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31"/>
      <c r="H4" s="210"/>
      <c r="I4" s="817"/>
      <c r="J4" s="788"/>
      <c r="K4" s="731"/>
      <c r="L4" s="819"/>
      <c r="M4" s="822"/>
      <c r="N4" s="823"/>
      <c r="O4" s="823"/>
      <c r="P4" s="825"/>
      <c r="Q4" s="731"/>
      <c r="R4" s="732"/>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10</v>
      </c>
      <c r="AN5" s="609"/>
      <c r="AO5" s="609"/>
      <c r="AP5" s="806" t="s">
        <v>280</v>
      </c>
      <c r="AQ5" s="609"/>
      <c r="AR5" s="609"/>
    </row>
    <row r="6" spans="1:47">
      <c r="A6" s="38" t="s">
        <v>98</v>
      </c>
      <c r="B6" s="104"/>
      <c r="C6" s="696" t="s">
        <v>6</v>
      </c>
      <c r="D6" s="697"/>
      <c r="E6" s="697" t="s">
        <v>7</v>
      </c>
      <c r="F6" s="812"/>
      <c r="G6" s="810"/>
      <c r="H6" s="697" t="s">
        <v>8</v>
      </c>
      <c r="I6" s="812"/>
      <c r="J6" s="810"/>
      <c r="K6" s="697" t="s">
        <v>9</v>
      </c>
      <c r="L6" s="812"/>
      <c r="M6" s="810"/>
      <c r="N6" s="697" t="s">
        <v>228</v>
      </c>
      <c r="O6" s="812"/>
      <c r="P6" s="810"/>
      <c r="Q6" s="697" t="s">
        <v>10</v>
      </c>
      <c r="R6" s="812"/>
      <c r="S6" s="810"/>
      <c r="T6" s="697" t="s">
        <v>11</v>
      </c>
      <c r="U6" s="812"/>
      <c r="V6" s="813"/>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215" t="s">
        <v>47</v>
      </c>
      <c r="B7" s="41" t="s">
        <v>232</v>
      </c>
      <c r="C7" s="216" t="s">
        <v>14</v>
      </c>
      <c r="D7" s="217" t="s">
        <v>15</v>
      </c>
      <c r="E7" s="217"/>
      <c r="F7" s="277" t="s">
        <v>14</v>
      </c>
      <c r="G7" s="216" t="s">
        <v>15</v>
      </c>
      <c r="H7" s="217"/>
      <c r="I7" s="277" t="s">
        <v>14</v>
      </c>
      <c r="J7" s="216" t="s">
        <v>15</v>
      </c>
      <c r="K7" s="217"/>
      <c r="L7" s="277" t="s">
        <v>14</v>
      </c>
      <c r="M7" s="216" t="s">
        <v>15</v>
      </c>
      <c r="N7" s="217"/>
      <c r="O7" s="277" t="s">
        <v>14</v>
      </c>
      <c r="P7" s="216" t="s">
        <v>15</v>
      </c>
      <c r="Q7" s="217"/>
      <c r="R7" s="336" t="s">
        <v>14</v>
      </c>
      <c r="S7" s="216" t="s">
        <v>15</v>
      </c>
      <c r="T7" s="217"/>
      <c r="U7" s="277" t="s">
        <v>14</v>
      </c>
      <c r="V7" s="218" t="s">
        <v>15</v>
      </c>
      <c r="W7" s="26"/>
      <c r="X7" s="42">
        <v>1</v>
      </c>
      <c r="Y7" s="42">
        <v>1</v>
      </c>
      <c r="Z7" s="42">
        <v>1</v>
      </c>
      <c r="AA7" s="42">
        <v>3</v>
      </c>
      <c r="AB7" s="42">
        <v>3</v>
      </c>
      <c r="AC7" s="42">
        <v>3</v>
      </c>
      <c r="AD7" s="42">
        <v>2</v>
      </c>
      <c r="AE7" s="42">
        <v>2</v>
      </c>
      <c r="AF7" s="42">
        <v>2</v>
      </c>
      <c r="AG7" s="42">
        <v>4</v>
      </c>
      <c r="AH7" s="42">
        <v>4</v>
      </c>
      <c r="AI7" s="42">
        <v>4</v>
      </c>
      <c r="AJ7" s="42">
        <v>5</v>
      </c>
      <c r="AK7" s="42">
        <v>5</v>
      </c>
      <c r="AL7" s="42">
        <v>5</v>
      </c>
      <c r="AM7" s="42">
        <v>6</v>
      </c>
      <c r="AN7" s="42">
        <v>6</v>
      </c>
      <c r="AO7" s="42">
        <v>6</v>
      </c>
      <c r="AP7" s="42">
        <v>7</v>
      </c>
      <c r="AQ7" s="42">
        <v>7</v>
      </c>
      <c r="AR7" s="42">
        <v>7</v>
      </c>
    </row>
    <row r="8" spans="1:47" ht="23.1" customHeight="1">
      <c r="A8" s="219" t="s">
        <v>118</v>
      </c>
      <c r="B8" s="220" t="s">
        <v>347</v>
      </c>
      <c r="C8" s="48">
        <v>1020</v>
      </c>
      <c r="D8" s="3"/>
      <c r="E8" s="221"/>
      <c r="F8" s="155">
        <v>40</v>
      </c>
      <c r="G8" s="4"/>
      <c r="H8" s="221"/>
      <c r="I8" s="155">
        <v>220</v>
      </c>
      <c r="J8" s="4"/>
      <c r="K8" s="221"/>
      <c r="L8" s="155">
        <v>20</v>
      </c>
      <c r="M8" s="4"/>
      <c r="N8" s="221"/>
      <c r="O8" s="155">
        <v>5</v>
      </c>
      <c r="P8" s="4"/>
      <c r="Q8" s="221"/>
      <c r="R8" s="303">
        <v>30</v>
      </c>
      <c r="S8" s="4"/>
      <c r="T8" s="221"/>
      <c r="U8" s="155">
        <v>20</v>
      </c>
      <c r="V8" s="272"/>
      <c r="X8" s="402">
        <f>★仕入先!$A$91</f>
        <v>10561</v>
      </c>
      <c r="Y8" s="402">
        <f>★仕入先!$A$190</f>
        <v>30031</v>
      </c>
      <c r="Z8" s="402">
        <f>★仕入先!$A$122</f>
        <v>20070</v>
      </c>
      <c r="AA8" s="402">
        <f>★仕入先!$A$91</f>
        <v>10561</v>
      </c>
      <c r="AB8" s="402">
        <f>★仕入先!$A$209</f>
        <v>30111</v>
      </c>
      <c r="AC8" s="402">
        <f>★仕入先!$A$122</f>
        <v>20070</v>
      </c>
      <c r="AD8" s="402">
        <f>★仕入先!$A$91</f>
        <v>10561</v>
      </c>
      <c r="AE8" s="402">
        <f>★仕入先!$A$209</f>
        <v>30111</v>
      </c>
      <c r="AF8" s="402">
        <f>★仕入先!$A$173</f>
        <v>20900</v>
      </c>
      <c r="AG8" s="402">
        <f>★仕入先!$A$91</f>
        <v>10561</v>
      </c>
      <c r="AH8" s="402">
        <f>★仕入先!$A$209</f>
        <v>30111</v>
      </c>
      <c r="AI8" s="402">
        <f>★仕入先!$A$122</f>
        <v>20070</v>
      </c>
      <c r="AJ8" s="402">
        <f>★仕入先!$A$91</f>
        <v>10561</v>
      </c>
      <c r="AK8" s="402">
        <f>★仕入先!$A$209</f>
        <v>30111</v>
      </c>
      <c r="AL8" s="402">
        <f>★仕入先!$A$122</f>
        <v>20070</v>
      </c>
      <c r="AM8" s="402">
        <f>★仕入先!$A$91</f>
        <v>10561</v>
      </c>
      <c r="AN8" s="402">
        <f>★仕入先!$A$209</f>
        <v>30111</v>
      </c>
      <c r="AO8" s="402">
        <f>★仕入先!$A$173</f>
        <v>20900</v>
      </c>
      <c r="AP8" s="402">
        <f>★仕入先!$A$91</f>
        <v>10561</v>
      </c>
      <c r="AQ8" s="402">
        <f>★仕入先!$A$209</f>
        <v>30111</v>
      </c>
      <c r="AR8" s="402">
        <f>★仕入先!$A$122</f>
        <v>20070</v>
      </c>
    </row>
    <row r="9" spans="1:47" ht="23.1" customHeight="1">
      <c r="A9" s="219"/>
      <c r="B9" s="220" t="s">
        <v>348</v>
      </c>
      <c r="C9" s="48">
        <v>1510</v>
      </c>
      <c r="D9" s="3"/>
      <c r="E9" s="221"/>
      <c r="F9" s="155">
        <v>80</v>
      </c>
      <c r="G9" s="4"/>
      <c r="H9" s="221"/>
      <c r="I9" s="155">
        <v>150</v>
      </c>
      <c r="J9" s="4"/>
      <c r="K9" s="221"/>
      <c r="L9" s="155">
        <v>30</v>
      </c>
      <c r="M9" s="4"/>
      <c r="N9" s="221"/>
      <c r="O9" s="155">
        <v>10</v>
      </c>
      <c r="P9" s="4"/>
      <c r="Q9" s="221"/>
      <c r="R9" s="303">
        <v>30</v>
      </c>
      <c r="S9" s="4"/>
      <c r="T9" s="221"/>
      <c r="U9" s="155">
        <v>40</v>
      </c>
      <c r="V9" s="272"/>
      <c r="X9" s="402">
        <f>★仕入先!$A$91</f>
        <v>10561</v>
      </c>
      <c r="Y9" s="402">
        <f>★仕入先!$A$191</f>
        <v>30033</v>
      </c>
      <c r="Z9" s="402">
        <f>★仕入先!$A$123</f>
        <v>20072</v>
      </c>
      <c r="AA9" s="402">
        <f>★仕入先!$A$91</f>
        <v>10561</v>
      </c>
      <c r="AB9" s="402">
        <f>★仕入先!$A$209</f>
        <v>30111</v>
      </c>
      <c r="AC9" s="402">
        <f>★仕入先!$A$123</f>
        <v>20072</v>
      </c>
      <c r="AD9" s="402">
        <f>★仕入先!$A$91</f>
        <v>10561</v>
      </c>
      <c r="AE9" s="402">
        <f>★仕入先!$A$209</f>
        <v>30111</v>
      </c>
      <c r="AF9" s="402">
        <f>★仕入先!$A$173</f>
        <v>20900</v>
      </c>
      <c r="AG9" s="402">
        <f>★仕入先!$A$91</f>
        <v>10561</v>
      </c>
      <c r="AH9" s="402">
        <f>★仕入先!$A$209</f>
        <v>30111</v>
      </c>
      <c r="AI9" s="402">
        <f>★仕入先!$A$123</f>
        <v>20072</v>
      </c>
      <c r="AJ9" s="402">
        <f>★仕入先!$A$91</f>
        <v>10561</v>
      </c>
      <c r="AK9" s="402">
        <f>★仕入先!$A$209</f>
        <v>30111</v>
      </c>
      <c r="AL9" s="402">
        <f>★仕入先!$A$123</f>
        <v>20072</v>
      </c>
      <c r="AM9" s="402">
        <f>★仕入先!$A$91</f>
        <v>10561</v>
      </c>
      <c r="AN9" s="402">
        <f>★仕入先!$A$209</f>
        <v>30111</v>
      </c>
      <c r="AO9" s="402">
        <f>★仕入先!$A$173</f>
        <v>20900</v>
      </c>
      <c r="AP9" s="402">
        <f>★仕入先!$A$91</f>
        <v>10561</v>
      </c>
      <c r="AQ9" s="402">
        <f>★仕入先!$A$209</f>
        <v>30111</v>
      </c>
      <c r="AR9" s="402">
        <f>★仕入先!$A$123</f>
        <v>20072</v>
      </c>
    </row>
    <row r="10" spans="1:47" ht="23.1" customHeight="1">
      <c r="A10" s="287"/>
      <c r="B10" s="220" t="s">
        <v>349</v>
      </c>
      <c r="C10" s="48">
        <v>1330</v>
      </c>
      <c r="D10" s="3"/>
      <c r="E10" s="221"/>
      <c r="F10" s="155">
        <v>50</v>
      </c>
      <c r="G10" s="4"/>
      <c r="H10" s="221"/>
      <c r="I10" s="155">
        <v>70</v>
      </c>
      <c r="J10" s="4"/>
      <c r="K10" s="221"/>
      <c r="L10" s="155">
        <v>100</v>
      </c>
      <c r="M10" s="4"/>
      <c r="N10" s="221"/>
      <c r="O10" s="155">
        <v>20</v>
      </c>
      <c r="P10" s="4"/>
      <c r="Q10" s="221"/>
      <c r="R10" s="303">
        <v>15</v>
      </c>
      <c r="S10" s="4"/>
      <c r="T10" s="221"/>
      <c r="U10" s="155">
        <v>80</v>
      </c>
      <c r="V10" s="272"/>
      <c r="X10" s="402">
        <f>★仕入先!$A$91</f>
        <v>10561</v>
      </c>
      <c r="Y10" s="402">
        <f>★仕入先!$A$209</f>
        <v>30111</v>
      </c>
      <c r="Z10" s="546">
        <f>★仕入先!$A$131</f>
        <v>20083</v>
      </c>
      <c r="AA10" s="402">
        <f>★仕入先!$A$91</f>
        <v>10561</v>
      </c>
      <c r="AB10" s="402">
        <f>★仕入先!$A$209</f>
        <v>30111</v>
      </c>
      <c r="AC10" s="546">
        <f>★仕入先!$A$131</f>
        <v>20083</v>
      </c>
      <c r="AD10" s="402">
        <f>★仕入先!$A$91</f>
        <v>10561</v>
      </c>
      <c r="AE10" s="402">
        <f>★仕入先!$A$209</f>
        <v>30111</v>
      </c>
      <c r="AF10" s="402">
        <f>★仕入先!$A$173</f>
        <v>20900</v>
      </c>
      <c r="AG10" s="402">
        <f>★仕入先!$A$91</f>
        <v>10561</v>
      </c>
      <c r="AH10" s="402">
        <f>★仕入先!$A$209</f>
        <v>30111</v>
      </c>
      <c r="AI10" s="546">
        <f>★仕入先!$A$131</f>
        <v>20083</v>
      </c>
      <c r="AJ10" s="402">
        <f>★仕入先!$A$91</f>
        <v>10561</v>
      </c>
      <c r="AK10" s="402">
        <f>★仕入先!$A$209</f>
        <v>30111</v>
      </c>
      <c r="AL10" s="546">
        <f>★仕入先!$A$131</f>
        <v>20083</v>
      </c>
      <c r="AM10" s="402">
        <f>★仕入先!$A$91</f>
        <v>10561</v>
      </c>
      <c r="AN10" s="402">
        <f>★仕入先!$A$209</f>
        <v>30111</v>
      </c>
      <c r="AO10" s="402">
        <f>★仕入先!$A$173</f>
        <v>20900</v>
      </c>
      <c r="AP10" s="402">
        <f>★仕入先!$A$91</f>
        <v>10561</v>
      </c>
      <c r="AQ10" s="402">
        <f>★仕入先!$A$209</f>
        <v>30111</v>
      </c>
      <c r="AR10" s="546">
        <f>★仕入先!$A$131</f>
        <v>20083</v>
      </c>
    </row>
    <row r="11" spans="1:47" ht="23.1" customHeight="1">
      <c r="A11" s="219" t="s">
        <v>119</v>
      </c>
      <c r="B11" s="220" t="s">
        <v>350</v>
      </c>
      <c r="C11" s="48">
        <v>810</v>
      </c>
      <c r="D11" s="3"/>
      <c r="E11" s="221"/>
      <c r="F11" s="155">
        <v>20</v>
      </c>
      <c r="G11" s="4"/>
      <c r="H11" s="221"/>
      <c r="I11" s="155">
        <v>50</v>
      </c>
      <c r="J11" s="4"/>
      <c r="K11" s="221"/>
      <c r="L11" s="155">
        <v>10</v>
      </c>
      <c r="M11" s="4"/>
      <c r="N11" s="221"/>
      <c r="O11" s="155">
        <v>5</v>
      </c>
      <c r="P11" s="4"/>
      <c r="Q11" s="221"/>
      <c r="R11" s="303">
        <v>60</v>
      </c>
      <c r="S11" s="4"/>
      <c r="T11" s="221"/>
      <c r="U11" s="155">
        <v>10</v>
      </c>
      <c r="V11" s="272"/>
      <c r="X11" s="402">
        <f>★仕入先!$A$91</f>
        <v>10561</v>
      </c>
      <c r="Y11" s="402">
        <f>★仕入先!$A$209</f>
        <v>30111</v>
      </c>
      <c r="Z11" s="546">
        <f>★仕入先!$A$127</f>
        <v>20079</v>
      </c>
      <c r="AA11" s="402">
        <f>★仕入先!$A$91</f>
        <v>10561</v>
      </c>
      <c r="AB11" s="402">
        <f>★仕入先!$A$209</f>
        <v>30111</v>
      </c>
      <c r="AC11" s="546">
        <f>★仕入先!$A$127</f>
        <v>20079</v>
      </c>
      <c r="AD11" s="402">
        <f>★仕入先!$A$91</f>
        <v>10561</v>
      </c>
      <c r="AE11" s="402">
        <f>★仕入先!$A$209</f>
        <v>30111</v>
      </c>
      <c r="AF11" s="402">
        <f>★仕入先!$A$173</f>
        <v>20900</v>
      </c>
      <c r="AG11" s="402">
        <f>★仕入先!$A$91</f>
        <v>10561</v>
      </c>
      <c r="AH11" s="402">
        <f>★仕入先!$A$209</f>
        <v>30111</v>
      </c>
      <c r="AI11" s="546">
        <f>★仕入先!$A$127</f>
        <v>20079</v>
      </c>
      <c r="AJ11" s="402">
        <f>★仕入先!$A$91</f>
        <v>10561</v>
      </c>
      <c r="AK11" s="402">
        <f>★仕入先!$A$209</f>
        <v>30111</v>
      </c>
      <c r="AL11" s="546">
        <f>★仕入先!$A$127</f>
        <v>20079</v>
      </c>
      <c r="AM11" s="402">
        <f>★仕入先!$A$91</f>
        <v>10561</v>
      </c>
      <c r="AN11" s="402">
        <f>★仕入先!$A$209</f>
        <v>30111</v>
      </c>
      <c r="AO11" s="402">
        <f>★仕入先!$A$173</f>
        <v>20900</v>
      </c>
      <c r="AP11" s="402">
        <f>★仕入先!$A$91</f>
        <v>10561</v>
      </c>
      <c r="AQ11" s="402">
        <f>★仕入先!$A$209</f>
        <v>30111</v>
      </c>
      <c r="AR11" s="546">
        <f>★仕入先!$A$127</f>
        <v>20079</v>
      </c>
    </row>
    <row r="12" spans="1:47" ht="23.1" customHeight="1">
      <c r="A12" s="287"/>
      <c r="B12" s="220" t="s">
        <v>351</v>
      </c>
      <c r="C12" s="48">
        <v>1530</v>
      </c>
      <c r="D12" s="3"/>
      <c r="E12" s="221"/>
      <c r="F12" s="155">
        <v>75</v>
      </c>
      <c r="G12" s="4"/>
      <c r="H12" s="221"/>
      <c r="I12" s="155">
        <v>210</v>
      </c>
      <c r="J12" s="4"/>
      <c r="K12" s="221"/>
      <c r="L12" s="155">
        <v>30</v>
      </c>
      <c r="M12" s="4"/>
      <c r="N12" s="221"/>
      <c r="O12" s="155">
        <v>20</v>
      </c>
      <c r="P12" s="4"/>
      <c r="Q12" s="221"/>
      <c r="R12" s="303">
        <v>220</v>
      </c>
      <c r="S12" s="4"/>
      <c r="T12" s="221"/>
      <c r="U12" s="155">
        <v>30</v>
      </c>
      <c r="V12" s="272"/>
      <c r="X12" s="402">
        <f>★仕入先!$A$91</f>
        <v>10561</v>
      </c>
      <c r="Y12" s="402">
        <f>★仕入先!$A$209</f>
        <v>30111</v>
      </c>
      <c r="Z12" s="546">
        <f>★仕入先!$A$126</f>
        <v>20078</v>
      </c>
      <c r="AA12" s="402">
        <f>★仕入先!$A$91</f>
        <v>10561</v>
      </c>
      <c r="AB12" s="402">
        <f>★仕入先!$A$209</f>
        <v>30111</v>
      </c>
      <c r="AC12" s="402">
        <f>★仕入先!$A$124</f>
        <v>20076</v>
      </c>
      <c r="AD12" s="402">
        <f>★仕入先!$A$91</f>
        <v>10561</v>
      </c>
      <c r="AE12" s="402">
        <f>★仕入先!$A$209</f>
        <v>30111</v>
      </c>
      <c r="AF12" s="402">
        <f>★仕入先!$A$173</f>
        <v>20900</v>
      </c>
      <c r="AG12" s="402">
        <f>★仕入先!$A$91</f>
        <v>10561</v>
      </c>
      <c r="AH12" s="402">
        <f>★仕入先!$A$209</f>
        <v>30111</v>
      </c>
      <c r="AI12" s="402">
        <f>★仕入先!$A$124</f>
        <v>20076</v>
      </c>
      <c r="AJ12" s="402">
        <f>★仕入先!$A$91</f>
        <v>10561</v>
      </c>
      <c r="AK12" s="402">
        <f>★仕入先!$A$209</f>
        <v>30111</v>
      </c>
      <c r="AL12" s="402">
        <f>★仕入先!$A$124</f>
        <v>20076</v>
      </c>
      <c r="AM12" s="402">
        <f>★仕入先!$A$91</f>
        <v>10561</v>
      </c>
      <c r="AN12" s="402">
        <f>★仕入先!$A$209</f>
        <v>30111</v>
      </c>
      <c r="AO12" s="402">
        <f>★仕入先!$A$173</f>
        <v>20900</v>
      </c>
      <c r="AP12" s="402">
        <f>★仕入先!$A$91</f>
        <v>10561</v>
      </c>
      <c r="AQ12" s="402">
        <f>★仕入先!$A$209</f>
        <v>30111</v>
      </c>
      <c r="AR12" s="402">
        <f>★仕入先!$A$124</f>
        <v>20076</v>
      </c>
    </row>
    <row r="13" spans="1:47" ht="23.1" customHeight="1">
      <c r="A13" s="337" t="s">
        <v>120</v>
      </c>
      <c r="B13" s="220" t="s">
        <v>352</v>
      </c>
      <c r="C13" s="48">
        <v>1600</v>
      </c>
      <c r="D13" s="3"/>
      <c r="E13" s="221"/>
      <c r="F13" s="155">
        <v>80</v>
      </c>
      <c r="G13" s="4"/>
      <c r="H13" s="221"/>
      <c r="I13" s="155">
        <v>150</v>
      </c>
      <c r="J13" s="4"/>
      <c r="K13" s="221"/>
      <c r="L13" s="155">
        <v>25</v>
      </c>
      <c r="M13" s="4"/>
      <c r="N13" s="221"/>
      <c r="O13" s="155">
        <v>15</v>
      </c>
      <c r="P13" s="4"/>
      <c r="Q13" s="221"/>
      <c r="R13" s="303">
        <v>45</v>
      </c>
      <c r="S13" s="4"/>
      <c r="T13" s="221"/>
      <c r="U13" s="155">
        <v>40</v>
      </c>
      <c r="V13" s="272"/>
      <c r="X13" s="402">
        <f>★仕入先!$A$91</f>
        <v>10561</v>
      </c>
      <c r="Y13" s="402">
        <f>★仕入先!$A$209</f>
        <v>30111</v>
      </c>
      <c r="Z13" s="402">
        <f>★仕入先!$A$125</f>
        <v>20077</v>
      </c>
      <c r="AA13" s="402">
        <f>★仕入先!$A$91</f>
        <v>10561</v>
      </c>
      <c r="AB13" s="402">
        <f>★仕入先!$A$209</f>
        <v>30111</v>
      </c>
      <c r="AC13" s="402">
        <f>★仕入先!$A$173</f>
        <v>20900</v>
      </c>
      <c r="AD13" s="402">
        <f>★仕入先!$A$91</f>
        <v>10561</v>
      </c>
      <c r="AE13" s="402">
        <f>★仕入先!$A$209</f>
        <v>30111</v>
      </c>
      <c r="AF13" s="402">
        <f>★仕入先!$A$173</f>
        <v>20900</v>
      </c>
      <c r="AG13" s="402">
        <f>★仕入先!$A$91</f>
        <v>10561</v>
      </c>
      <c r="AH13" s="402">
        <f>★仕入先!$A$209</f>
        <v>30111</v>
      </c>
      <c r="AI13" s="402">
        <f>★仕入先!$A$125</f>
        <v>20077</v>
      </c>
      <c r="AJ13" s="402">
        <f>★仕入先!$A$91</f>
        <v>10561</v>
      </c>
      <c r="AK13" s="402">
        <f>★仕入先!$A$209</f>
        <v>30111</v>
      </c>
      <c r="AL13" s="402">
        <f>★仕入先!$A$125</f>
        <v>20077</v>
      </c>
      <c r="AM13" s="402">
        <f>★仕入先!$A$91</f>
        <v>10561</v>
      </c>
      <c r="AN13" s="402">
        <f>★仕入先!$A$209</f>
        <v>30111</v>
      </c>
      <c r="AO13" s="402">
        <f>★仕入先!$A$173</f>
        <v>20900</v>
      </c>
      <c r="AP13" s="402">
        <f>★仕入先!$A$91</f>
        <v>10561</v>
      </c>
      <c r="AQ13" s="402">
        <f>★仕入先!$A$209</f>
        <v>30111</v>
      </c>
      <c r="AR13" s="402">
        <f>★仕入先!$A$125</f>
        <v>20077</v>
      </c>
    </row>
    <row r="14" spans="1:47" ht="23.1" customHeight="1">
      <c r="A14" s="223"/>
      <c r="B14" s="338" t="s">
        <v>353</v>
      </c>
      <c r="C14" s="48">
        <v>1170</v>
      </c>
      <c r="D14" s="3"/>
      <c r="E14" s="221"/>
      <c r="F14" s="155">
        <v>35</v>
      </c>
      <c r="G14" s="4"/>
      <c r="H14" s="221"/>
      <c r="I14" s="155">
        <v>40</v>
      </c>
      <c r="J14" s="4"/>
      <c r="K14" s="221"/>
      <c r="L14" s="155">
        <v>15</v>
      </c>
      <c r="M14" s="4"/>
      <c r="N14" s="221"/>
      <c r="O14" s="155">
        <v>20</v>
      </c>
      <c r="P14" s="4"/>
      <c r="Q14" s="221"/>
      <c r="R14" s="303">
        <v>20</v>
      </c>
      <c r="S14" s="4"/>
      <c r="T14" s="221"/>
      <c r="U14" s="155">
        <v>20</v>
      </c>
      <c r="V14" s="272"/>
      <c r="X14" s="402">
        <f>★仕入先!$A$91</f>
        <v>10561</v>
      </c>
      <c r="Y14" s="402">
        <f>★仕入先!$A$209</f>
        <v>30111</v>
      </c>
      <c r="Z14" s="402">
        <f>★仕入先!$A$128</f>
        <v>20080</v>
      </c>
      <c r="AA14" s="402">
        <f>★仕入先!$A$91</f>
        <v>10561</v>
      </c>
      <c r="AB14" s="402">
        <f>★仕入先!$A$209</f>
        <v>30111</v>
      </c>
      <c r="AC14" s="402">
        <f>★仕入先!$A$128</f>
        <v>20080</v>
      </c>
      <c r="AD14" s="402">
        <f>★仕入先!$A$91</f>
        <v>10561</v>
      </c>
      <c r="AE14" s="402">
        <f>★仕入先!$A$209</f>
        <v>30111</v>
      </c>
      <c r="AF14" s="402">
        <f>★仕入先!$A$128</f>
        <v>20080</v>
      </c>
      <c r="AG14" s="402">
        <f>★仕入先!$A$91</f>
        <v>10561</v>
      </c>
      <c r="AH14" s="402">
        <f>★仕入先!$A$209</f>
        <v>30111</v>
      </c>
      <c r="AI14" s="402">
        <f>★仕入先!$A$128</f>
        <v>20080</v>
      </c>
      <c r="AJ14" s="402">
        <f>★仕入先!$A$91</f>
        <v>10561</v>
      </c>
      <c r="AK14" s="402">
        <f>★仕入先!$A$209</f>
        <v>30111</v>
      </c>
      <c r="AL14" s="402">
        <f>★仕入先!$A$128</f>
        <v>20080</v>
      </c>
      <c r="AM14" s="402">
        <f>★仕入先!$A$91</f>
        <v>10561</v>
      </c>
      <c r="AN14" s="402">
        <f>★仕入先!$A$209</f>
        <v>30111</v>
      </c>
      <c r="AO14" s="402">
        <f>★仕入先!$A$128</f>
        <v>20080</v>
      </c>
      <c r="AP14" s="402">
        <f>★仕入先!$A$91</f>
        <v>10561</v>
      </c>
      <c r="AQ14" s="402">
        <f>★仕入先!$A$209</f>
        <v>30111</v>
      </c>
      <c r="AR14" s="402">
        <f>★仕入先!$A$128</f>
        <v>20080</v>
      </c>
    </row>
    <row r="15" spans="1:47" ht="23.1" customHeight="1">
      <c r="A15" s="223"/>
      <c r="B15" s="220" t="s">
        <v>354</v>
      </c>
      <c r="C15" s="48" t="s">
        <v>1685</v>
      </c>
      <c r="D15" s="3"/>
      <c r="E15" s="221"/>
      <c r="F15" s="155"/>
      <c r="G15" s="4"/>
      <c r="H15" s="221"/>
      <c r="I15" s="155"/>
      <c r="J15" s="4"/>
      <c r="K15" s="221"/>
      <c r="L15" s="155"/>
      <c r="M15" s="4"/>
      <c r="N15" s="221"/>
      <c r="O15" s="155"/>
      <c r="P15" s="4"/>
      <c r="Q15" s="221"/>
      <c r="R15" s="303"/>
      <c r="S15" s="4"/>
      <c r="T15" s="221"/>
      <c r="U15" s="155"/>
      <c r="V15" s="272"/>
      <c r="X15" s="402">
        <f>★仕入先!$A$91</f>
        <v>10561</v>
      </c>
      <c r="Y15" s="402">
        <f>★仕入先!$A$209</f>
        <v>30111</v>
      </c>
      <c r="Z15" s="402">
        <f>★仕入先!$A$129</f>
        <v>20081</v>
      </c>
      <c r="AA15" s="402">
        <f>★仕入先!$A$91</f>
        <v>10561</v>
      </c>
      <c r="AB15" s="402">
        <f>★仕入先!$A$209</f>
        <v>30111</v>
      </c>
      <c r="AC15" s="402">
        <f>★仕入先!$A$129</f>
        <v>20081</v>
      </c>
      <c r="AD15" s="402">
        <f>★仕入先!$A$91</f>
        <v>10561</v>
      </c>
      <c r="AE15" s="402">
        <f>★仕入先!$A$209</f>
        <v>30111</v>
      </c>
      <c r="AF15" s="402">
        <f>★仕入先!$A$129</f>
        <v>20081</v>
      </c>
      <c r="AG15" s="402">
        <f>★仕入先!$A$91</f>
        <v>10561</v>
      </c>
      <c r="AH15" s="402">
        <f>★仕入先!$A$209</f>
        <v>30111</v>
      </c>
      <c r="AI15" s="402">
        <f>★仕入先!$A$129</f>
        <v>20081</v>
      </c>
      <c r="AJ15" s="402">
        <f>★仕入先!$A$91</f>
        <v>10561</v>
      </c>
      <c r="AK15" s="402">
        <f>★仕入先!$A$209</f>
        <v>30111</v>
      </c>
      <c r="AL15" s="402">
        <f>★仕入先!$A$129</f>
        <v>20081</v>
      </c>
      <c r="AM15" s="402">
        <f>★仕入先!$A$91</f>
        <v>10561</v>
      </c>
      <c r="AN15" s="402">
        <f>★仕入先!$A$209</f>
        <v>30111</v>
      </c>
      <c r="AO15" s="402">
        <f>★仕入先!$A$129</f>
        <v>20081</v>
      </c>
      <c r="AP15" s="402">
        <f>★仕入先!$A$91</f>
        <v>10561</v>
      </c>
      <c r="AQ15" s="402">
        <f>★仕入先!$A$209</f>
        <v>30111</v>
      </c>
      <c r="AR15" s="402">
        <f>★仕入先!$A$129</f>
        <v>20081</v>
      </c>
    </row>
    <row r="16" spans="1:47" ht="23.1" customHeight="1">
      <c r="A16" s="223"/>
      <c r="B16" s="220"/>
      <c r="C16" s="48"/>
      <c r="D16" s="339"/>
      <c r="E16" s="221"/>
      <c r="F16" s="155"/>
      <c r="G16" s="278"/>
      <c r="H16" s="221"/>
      <c r="I16" s="155"/>
      <c r="J16" s="340"/>
      <c r="K16" s="221"/>
      <c r="L16" s="155"/>
      <c r="M16" s="340"/>
      <c r="N16" s="221"/>
      <c r="O16" s="155"/>
      <c r="P16" s="340"/>
      <c r="Q16" s="221"/>
      <c r="R16" s="50"/>
      <c r="S16" s="340"/>
      <c r="T16" s="221"/>
      <c r="U16" s="155"/>
      <c r="V16" s="341"/>
    </row>
    <row r="17" spans="1:44" ht="17.25" customHeight="1">
      <c r="A17" s="280" t="s">
        <v>12</v>
      </c>
      <c r="B17" s="243" t="s">
        <v>13</v>
      </c>
      <c r="C17" s="244"/>
      <c r="D17" s="281"/>
      <c r="E17" s="281"/>
      <c r="F17" s="282"/>
      <c r="G17" s="245"/>
      <c r="H17" s="281"/>
      <c r="I17" s="282"/>
      <c r="J17" s="245"/>
      <c r="K17" s="281"/>
      <c r="L17" s="282"/>
      <c r="M17" s="245"/>
      <c r="N17" s="281"/>
      <c r="O17" s="282"/>
      <c r="P17" s="245"/>
      <c r="Q17" s="281"/>
      <c r="R17" s="328"/>
      <c r="S17" s="245"/>
      <c r="T17" s="281"/>
      <c r="U17" s="282"/>
      <c r="V17" s="247"/>
    </row>
    <row r="18" spans="1:44" ht="22.5" customHeight="1" thickBot="1">
      <c r="A18" s="233">
        <f>SUM(C18,F18,I18,L18,O18,R18,U18)</f>
        <v>11225</v>
      </c>
      <c r="B18" s="234">
        <f>SUM(D18,G18,J18,M18,P18,S18,V18)</f>
        <v>0</v>
      </c>
      <c r="C18" s="71">
        <f>SUM(C8:C16)</f>
        <v>8970</v>
      </c>
      <c r="D18" s="235" t="str">
        <f>IF(SUM(D8:D16)=0," ",SUM(D8:D16))</f>
        <v xml:space="preserve"> </v>
      </c>
      <c r="E18" s="283"/>
      <c r="F18" s="73">
        <f>SUM(F8:F16)</f>
        <v>380</v>
      </c>
      <c r="G18" s="235" t="str">
        <f>IF(SUM(G8:G16)=0," ",SUM(G8:G16))</f>
        <v xml:space="preserve"> </v>
      </c>
      <c r="H18" s="283"/>
      <c r="I18" s="73">
        <f>SUM(I8:I16)</f>
        <v>890</v>
      </c>
      <c r="J18" s="235" t="str">
        <f>IF(SUM(J8:J16)=0," ",SUM(J8:J16))</f>
        <v xml:space="preserve"> </v>
      </c>
      <c r="K18" s="283"/>
      <c r="L18" s="73">
        <f>SUM(L8:L16)</f>
        <v>230</v>
      </c>
      <c r="M18" s="235" t="str">
        <f>IF(SUM(M8:M16)=0," ",SUM(M8:M16))</f>
        <v xml:space="preserve"> </v>
      </c>
      <c r="N18" s="283"/>
      <c r="O18" s="73">
        <f>SUM(O8:O16)</f>
        <v>95</v>
      </c>
      <c r="P18" s="235" t="str">
        <f>IF(SUM(P8:P16)=0," ",SUM(P8:P16))</f>
        <v xml:space="preserve"> </v>
      </c>
      <c r="Q18" s="283"/>
      <c r="R18" s="73">
        <f>SUM(R8:R16)</f>
        <v>420</v>
      </c>
      <c r="S18" s="235" t="str">
        <f>IF(SUM(S8:S16)=0," ",SUM(S8:S16))</f>
        <v xml:space="preserve"> </v>
      </c>
      <c r="T18" s="283"/>
      <c r="U18" s="73">
        <f>SUM(U8:U16)</f>
        <v>240</v>
      </c>
      <c r="V18" s="236" t="str">
        <f>IF(SUM(V8:V16)=0," ",SUM(V8:V16))</f>
        <v xml:space="preserve"> </v>
      </c>
    </row>
    <row r="19" spans="1:44" ht="9.9499999999999993" customHeight="1" thickBot="1">
      <c r="A19" s="342"/>
      <c r="B19" s="248"/>
      <c r="C19" s="249"/>
      <c r="D19" s="343"/>
      <c r="E19" s="343"/>
      <c r="F19" s="249"/>
      <c r="G19" s="343"/>
      <c r="H19" s="343"/>
      <c r="I19" s="249"/>
      <c r="J19" s="343"/>
      <c r="K19" s="343"/>
      <c r="L19" s="249"/>
      <c r="M19" s="343"/>
      <c r="N19" s="343"/>
      <c r="O19" s="249"/>
      <c r="P19" s="343"/>
      <c r="Q19" s="343"/>
      <c r="R19" s="249"/>
      <c r="S19" s="343"/>
      <c r="T19" s="343"/>
      <c r="U19" s="249"/>
      <c r="V19" s="252"/>
    </row>
    <row r="20" spans="1:44" ht="23.1" customHeight="1">
      <c r="A20" s="344" t="s">
        <v>121</v>
      </c>
      <c r="B20" s="254" t="s">
        <v>124</v>
      </c>
      <c r="C20" s="154">
        <v>790</v>
      </c>
      <c r="D20" s="298"/>
      <c r="E20" s="345"/>
      <c r="F20" s="180">
        <v>25</v>
      </c>
      <c r="G20" s="359"/>
      <c r="H20" s="345"/>
      <c r="I20" s="180">
        <v>20</v>
      </c>
      <c r="J20" s="359"/>
      <c r="K20" s="255"/>
      <c r="L20" s="180">
        <v>15</v>
      </c>
      <c r="M20" s="359"/>
      <c r="N20" s="230"/>
      <c r="O20" s="180">
        <v>5</v>
      </c>
      <c r="P20" s="359"/>
      <c r="Q20" s="230"/>
      <c r="R20" s="346">
        <v>80</v>
      </c>
      <c r="S20" s="359"/>
      <c r="T20" s="230"/>
      <c r="U20" s="347">
        <v>10</v>
      </c>
      <c r="V20" s="360"/>
      <c r="X20" s="402">
        <f>★仕入先!$A$91</f>
        <v>10561</v>
      </c>
      <c r="Y20" s="402">
        <f>★仕入先!$A$209</f>
        <v>30111</v>
      </c>
      <c r="Z20" s="402">
        <f>★仕入先!$A$130</f>
        <v>20082</v>
      </c>
      <c r="AA20" s="402">
        <f>★仕入先!$A$91</f>
        <v>10561</v>
      </c>
      <c r="AB20" s="402">
        <f>★仕入先!$A$209</f>
        <v>30111</v>
      </c>
      <c r="AC20" s="402">
        <f>★仕入先!$A$130</f>
        <v>20082</v>
      </c>
      <c r="AD20" s="402">
        <f>★仕入先!$A$91</f>
        <v>10561</v>
      </c>
      <c r="AE20" s="402">
        <f>★仕入先!$A$209</f>
        <v>30111</v>
      </c>
      <c r="AF20" s="402">
        <f>★仕入先!$A$130</f>
        <v>20082</v>
      </c>
      <c r="AG20" s="402">
        <f>★仕入先!$A$91</f>
        <v>10561</v>
      </c>
      <c r="AH20" s="402">
        <f>★仕入先!$A$209</f>
        <v>30111</v>
      </c>
      <c r="AI20" s="402">
        <f>★仕入先!$A$130</f>
        <v>20082</v>
      </c>
      <c r="AJ20" s="402">
        <f>★仕入先!$A$91</f>
        <v>10561</v>
      </c>
      <c r="AK20" s="402">
        <f>★仕入先!$A$209</f>
        <v>30111</v>
      </c>
      <c r="AL20" s="402">
        <f>★仕入先!$A$130</f>
        <v>20082</v>
      </c>
      <c r="AM20" s="402">
        <f>★仕入先!$A$91</f>
        <v>10561</v>
      </c>
      <c r="AN20" s="402">
        <f>★仕入先!$A$209</f>
        <v>30111</v>
      </c>
      <c r="AO20" s="402">
        <f>★仕入先!$A$173</f>
        <v>20900</v>
      </c>
      <c r="AP20" s="402">
        <f>★仕入先!$A$91</f>
        <v>10561</v>
      </c>
      <c r="AQ20" s="402">
        <f>★仕入先!$A$209</f>
        <v>30111</v>
      </c>
      <c r="AR20" s="402">
        <f>★仕入先!$A$130</f>
        <v>20082</v>
      </c>
    </row>
    <row r="21" spans="1:44" ht="22.5" customHeight="1">
      <c r="A21" s="289" t="s">
        <v>122</v>
      </c>
      <c r="B21" s="240" t="s">
        <v>125</v>
      </c>
      <c r="C21" s="828">
        <v>890</v>
      </c>
      <c r="D21" s="826"/>
      <c r="E21" s="321"/>
      <c r="F21" s="50">
        <v>45</v>
      </c>
      <c r="G21" s="299"/>
      <c r="H21" s="321"/>
      <c r="I21" s="50">
        <v>130</v>
      </c>
      <c r="J21" s="299"/>
      <c r="K21" s="348"/>
      <c r="L21" s="50">
        <v>10</v>
      </c>
      <c r="M21" s="299"/>
      <c r="N21" s="348"/>
      <c r="O21" s="50">
        <v>5</v>
      </c>
      <c r="P21" s="299"/>
      <c r="Q21" s="348"/>
      <c r="R21" s="303"/>
      <c r="S21" s="288"/>
      <c r="T21" s="348"/>
      <c r="U21" s="50">
        <v>10</v>
      </c>
      <c r="V21" s="275"/>
      <c r="X21" s="402">
        <f>★仕入先!$A$91</f>
        <v>10561</v>
      </c>
      <c r="Y21" s="402">
        <f>★仕入先!$A$209</f>
        <v>30111</v>
      </c>
      <c r="Z21" s="546">
        <f>★仕入先!$A$137</f>
        <v>20092</v>
      </c>
      <c r="AA21" s="402">
        <f>★仕入先!$A$91</f>
        <v>10561</v>
      </c>
      <c r="AB21" s="402">
        <f>★仕入先!$A$209</f>
        <v>30111</v>
      </c>
      <c r="AC21" s="402">
        <f>★仕入先!$A$173</f>
        <v>20900</v>
      </c>
      <c r="AD21" s="402">
        <f>★仕入先!$A$91</f>
        <v>10561</v>
      </c>
      <c r="AE21" s="402">
        <f>★仕入先!$A$209</f>
        <v>30111</v>
      </c>
      <c r="AF21" s="402">
        <f>★仕入先!$A$173</f>
        <v>20900</v>
      </c>
      <c r="AG21" s="402">
        <f>★仕入先!$A$91</f>
        <v>10561</v>
      </c>
      <c r="AH21" s="402">
        <f>★仕入先!$A$209</f>
        <v>30111</v>
      </c>
      <c r="AI21" s="402">
        <f>★仕入先!$A$173</f>
        <v>20900</v>
      </c>
      <c r="AJ21" s="402">
        <f>★仕入先!$A$91</f>
        <v>10561</v>
      </c>
      <c r="AK21" s="402">
        <f>★仕入先!$A$209</f>
        <v>30111</v>
      </c>
      <c r="AL21" s="402">
        <f>★仕入先!$A$173</f>
        <v>20900</v>
      </c>
      <c r="AM21" s="402"/>
      <c r="AN21" s="402"/>
      <c r="AO21" s="402"/>
      <c r="AP21" s="402">
        <f>★仕入先!$A$91</f>
        <v>10561</v>
      </c>
      <c r="AQ21" s="402">
        <f>★仕入先!$A$209</f>
        <v>30111</v>
      </c>
      <c r="AR21" s="402">
        <f>★仕入先!$A$173</f>
        <v>20900</v>
      </c>
    </row>
    <row r="22" spans="1:44" ht="23.1" customHeight="1">
      <c r="A22" s="349"/>
      <c r="B22" s="240" t="s">
        <v>126</v>
      </c>
      <c r="C22" s="829"/>
      <c r="D22" s="827"/>
      <c r="E22" s="321"/>
      <c r="F22" s="50">
        <v>20</v>
      </c>
      <c r="G22" s="299"/>
      <c r="H22" s="321"/>
      <c r="I22" s="50">
        <v>90</v>
      </c>
      <c r="J22" s="4"/>
      <c r="K22" s="350"/>
      <c r="L22" s="50">
        <v>5</v>
      </c>
      <c r="M22" s="299"/>
      <c r="N22" s="348"/>
      <c r="O22" s="50">
        <v>10</v>
      </c>
      <c r="P22" s="299"/>
      <c r="Q22" s="348"/>
      <c r="R22" s="50">
        <v>110</v>
      </c>
      <c r="S22" s="299"/>
      <c r="T22" s="348"/>
      <c r="U22" s="50">
        <v>5</v>
      </c>
      <c r="V22" s="275"/>
      <c r="X22" s="402">
        <f>★仕入先!$A$91</f>
        <v>10561</v>
      </c>
      <c r="Y22" s="402">
        <f>★仕入先!$A$209</f>
        <v>30111</v>
      </c>
      <c r="Z22" s="546">
        <f>★仕入先!$A$137</f>
        <v>20092</v>
      </c>
      <c r="AA22" s="402">
        <f>★仕入先!$A$91</f>
        <v>10561</v>
      </c>
      <c r="AB22" s="402">
        <f>★仕入先!$A$209</f>
        <v>30111</v>
      </c>
      <c r="AC22" s="546">
        <f>★仕入先!$A$137</f>
        <v>20092</v>
      </c>
      <c r="AD22" s="402">
        <f>★仕入先!$A$91</f>
        <v>10561</v>
      </c>
      <c r="AE22" s="402">
        <f>★仕入先!$A$209</f>
        <v>30111</v>
      </c>
      <c r="AF22" s="402">
        <f>★仕入先!$A$173</f>
        <v>20900</v>
      </c>
      <c r="AG22" s="402">
        <f>★仕入先!$A$91</f>
        <v>10561</v>
      </c>
      <c r="AH22" s="402">
        <f>★仕入先!$A$209</f>
        <v>30111</v>
      </c>
      <c r="AI22" s="546">
        <f>★仕入先!$A$137</f>
        <v>20092</v>
      </c>
      <c r="AJ22" s="402">
        <f>★仕入先!$A$91</f>
        <v>10561</v>
      </c>
      <c r="AK22" s="402">
        <f>★仕入先!$A$209</f>
        <v>30111</v>
      </c>
      <c r="AL22" s="546">
        <f>★仕入先!$A$137</f>
        <v>20092</v>
      </c>
      <c r="AM22" s="402">
        <f>★仕入先!$A$91</f>
        <v>10561</v>
      </c>
      <c r="AN22" s="402">
        <f>★仕入先!$A$209</f>
        <v>30111</v>
      </c>
      <c r="AO22" s="402">
        <f>★仕入先!$A$173</f>
        <v>20900</v>
      </c>
      <c r="AP22" s="402">
        <f>★仕入先!$A$91</f>
        <v>10561</v>
      </c>
      <c r="AQ22" s="402">
        <f>★仕入先!$A$209</f>
        <v>30111</v>
      </c>
      <c r="AR22" s="546">
        <f>★仕入先!$A$137</f>
        <v>20092</v>
      </c>
    </row>
    <row r="23" spans="1:44" ht="23.1" customHeight="1">
      <c r="A23" s="224" t="s">
        <v>123</v>
      </c>
      <c r="B23" s="240" t="s">
        <v>127</v>
      </c>
      <c r="C23" s="351" t="s">
        <v>317</v>
      </c>
      <c r="D23" s="352"/>
      <c r="E23" s="321"/>
      <c r="F23" s="50">
        <v>15</v>
      </c>
      <c r="G23" s="299"/>
      <c r="H23" s="353"/>
      <c r="I23" s="830">
        <v>120</v>
      </c>
      <c r="J23" s="826"/>
      <c r="K23" s="258"/>
      <c r="L23" s="50">
        <v>5</v>
      </c>
      <c r="M23" s="299"/>
      <c r="N23" s="258"/>
      <c r="O23" s="50">
        <v>5</v>
      </c>
      <c r="P23" s="299"/>
      <c r="Q23" s="258"/>
      <c r="R23" s="50">
        <v>50</v>
      </c>
      <c r="S23" s="299"/>
      <c r="T23" s="258"/>
      <c r="U23" s="50">
        <v>10</v>
      </c>
      <c r="V23" s="275"/>
      <c r="Z23" s="546"/>
      <c r="AA23" s="402">
        <f>★仕入先!$A$91</f>
        <v>10561</v>
      </c>
      <c r="AB23" s="402">
        <f>★仕入先!$A$209</f>
        <v>30111</v>
      </c>
      <c r="AC23" s="402">
        <f>★仕入先!$A$133</f>
        <v>20088</v>
      </c>
      <c r="AD23" s="402">
        <f>★仕入先!$A$91</f>
        <v>10561</v>
      </c>
      <c r="AE23" s="402">
        <f>★仕入先!$A$209</f>
        <v>30111</v>
      </c>
      <c r="AF23" s="402">
        <f>★仕入先!$A$173</f>
        <v>20900</v>
      </c>
      <c r="AG23" s="402">
        <f>★仕入先!$A$91</f>
        <v>10561</v>
      </c>
      <c r="AH23" s="402">
        <f>★仕入先!$A$209</f>
        <v>30111</v>
      </c>
      <c r="AI23" s="402">
        <f>★仕入先!$A$133</f>
        <v>20088</v>
      </c>
      <c r="AJ23" s="402">
        <f>★仕入先!$A$91</f>
        <v>10561</v>
      </c>
      <c r="AK23" s="402">
        <f>★仕入先!$A$209</f>
        <v>30111</v>
      </c>
      <c r="AL23" s="402">
        <f>★仕入先!$A$133</f>
        <v>20088</v>
      </c>
      <c r="AM23" s="402">
        <f>★仕入先!$A$91</f>
        <v>10561</v>
      </c>
      <c r="AN23" s="402">
        <f>★仕入先!$A$209</f>
        <v>30111</v>
      </c>
      <c r="AO23" s="402">
        <f>★仕入先!$A$173</f>
        <v>20900</v>
      </c>
      <c r="AP23" s="402">
        <f>★仕入先!$A$91</f>
        <v>10561</v>
      </c>
      <c r="AQ23" s="402">
        <f>★仕入先!$A$209</f>
        <v>30111</v>
      </c>
      <c r="AR23" s="402">
        <f>★仕入先!$A$133</f>
        <v>20088</v>
      </c>
    </row>
    <row r="24" spans="1:44" ht="23.1" customHeight="1">
      <c r="A24" s="289"/>
      <c r="B24" s="331" t="s">
        <v>128</v>
      </c>
      <c r="C24" s="828">
        <v>310</v>
      </c>
      <c r="D24" s="826"/>
      <c r="E24" s="321"/>
      <c r="F24" s="50">
        <v>10</v>
      </c>
      <c r="G24" s="299"/>
      <c r="H24" s="354"/>
      <c r="I24" s="831"/>
      <c r="J24" s="827"/>
      <c r="K24" s="258"/>
      <c r="L24" s="50">
        <v>10</v>
      </c>
      <c r="M24" s="299"/>
      <c r="N24" s="258"/>
      <c r="O24" s="50">
        <v>5</v>
      </c>
      <c r="P24" s="299"/>
      <c r="Q24" s="321"/>
      <c r="R24" s="303"/>
      <c r="S24" s="288"/>
      <c r="T24" s="258"/>
      <c r="U24" s="50">
        <v>5</v>
      </c>
      <c r="V24" s="275"/>
      <c r="X24" s="402">
        <f>★仕入先!$A$91</f>
        <v>10561</v>
      </c>
      <c r="Y24" s="402">
        <f>★仕入先!$A$209</f>
        <v>30111</v>
      </c>
      <c r="Z24" s="402">
        <f>★仕入先!$A$132</f>
        <v>20086</v>
      </c>
      <c r="AA24" s="402">
        <f>★仕入先!$A$91</f>
        <v>10561</v>
      </c>
      <c r="AB24" s="402">
        <f>★仕入先!$A$209</f>
        <v>30111</v>
      </c>
      <c r="AC24" s="402">
        <f>★仕入先!$A$132</f>
        <v>20086</v>
      </c>
      <c r="AD24" s="402">
        <f>★仕入先!$A$91</f>
        <v>10561</v>
      </c>
      <c r="AE24" s="402">
        <f>★仕入先!$A$209</f>
        <v>30111</v>
      </c>
      <c r="AF24" s="402">
        <f>★仕入先!$A$173</f>
        <v>20900</v>
      </c>
      <c r="AG24" s="402">
        <f>★仕入先!$A$91</f>
        <v>10561</v>
      </c>
      <c r="AH24" s="402">
        <f>★仕入先!$A$209</f>
        <v>30111</v>
      </c>
      <c r="AI24" s="402">
        <f>★仕入先!$A$132</f>
        <v>20086</v>
      </c>
      <c r="AJ24" s="402">
        <f>★仕入先!$A$91</f>
        <v>10561</v>
      </c>
      <c r="AK24" s="402">
        <f>★仕入先!$A$209</f>
        <v>30111</v>
      </c>
      <c r="AL24" s="402">
        <f>★仕入先!$A$132</f>
        <v>20086</v>
      </c>
      <c r="AP24" s="402">
        <f>★仕入先!$A$91</f>
        <v>10561</v>
      </c>
      <c r="AQ24" s="402">
        <f>★仕入先!$A$209</f>
        <v>30111</v>
      </c>
      <c r="AR24" s="402">
        <f>★仕入先!$A$132</f>
        <v>20086</v>
      </c>
    </row>
    <row r="25" spans="1:44" ht="23.1" customHeight="1">
      <c r="A25" s="289"/>
      <c r="B25" s="355" t="s">
        <v>267</v>
      </c>
      <c r="C25" s="829"/>
      <c r="D25" s="827"/>
      <c r="E25" s="321"/>
      <c r="F25" s="50">
        <v>10</v>
      </c>
      <c r="G25" s="299"/>
      <c r="H25" s="321"/>
      <c r="I25" s="50">
        <v>40</v>
      </c>
      <c r="J25" s="299"/>
      <c r="K25" s="258"/>
      <c r="L25" s="50">
        <v>5</v>
      </c>
      <c r="M25" s="299"/>
      <c r="N25" s="258"/>
      <c r="O25" s="50">
        <v>5</v>
      </c>
      <c r="P25" s="299"/>
      <c r="Q25" s="258"/>
      <c r="R25" s="303"/>
      <c r="S25" s="288"/>
      <c r="T25" s="258"/>
      <c r="U25" s="50">
        <v>5</v>
      </c>
      <c r="V25" s="275"/>
      <c r="X25" s="402"/>
      <c r="Y25" s="402"/>
      <c r="Z25" s="546"/>
      <c r="AA25" s="402">
        <f>★仕入先!$A$91</f>
        <v>10561</v>
      </c>
      <c r="AB25" s="402">
        <f>★仕入先!$A$209</f>
        <v>30111</v>
      </c>
      <c r="AC25" s="402">
        <f>★仕入先!$A$132</f>
        <v>20086</v>
      </c>
      <c r="AD25" s="402">
        <f>★仕入先!$A$91</f>
        <v>10561</v>
      </c>
      <c r="AE25" s="402">
        <f>★仕入先!$A$209</f>
        <v>30111</v>
      </c>
      <c r="AF25" s="402">
        <f>★仕入先!$A$173</f>
        <v>20900</v>
      </c>
      <c r="AG25" s="402">
        <f>★仕入先!$A$91</f>
        <v>10561</v>
      </c>
      <c r="AH25" s="402">
        <f>★仕入先!$A$209</f>
        <v>30111</v>
      </c>
      <c r="AI25" s="402">
        <f>★仕入先!$A$132</f>
        <v>20086</v>
      </c>
      <c r="AJ25" s="402">
        <f>★仕入先!$A$91</f>
        <v>10561</v>
      </c>
      <c r="AK25" s="402">
        <f>★仕入先!$A$209</f>
        <v>30111</v>
      </c>
      <c r="AL25" s="402">
        <f>★仕入先!$A$132</f>
        <v>20086</v>
      </c>
      <c r="AP25" s="402">
        <f>★仕入先!$A$91</f>
        <v>10561</v>
      </c>
      <c r="AQ25" s="402">
        <f>★仕入先!$A$209</f>
        <v>30111</v>
      </c>
      <c r="AR25" s="402">
        <f>★仕入先!$A$132</f>
        <v>20086</v>
      </c>
    </row>
    <row r="26" spans="1:44" ht="23.1" customHeight="1">
      <c r="A26" s="289"/>
      <c r="B26" s="240" t="s">
        <v>320</v>
      </c>
      <c r="C26" s="58">
        <v>410</v>
      </c>
      <c r="D26" s="299"/>
      <c r="E26" s="321"/>
      <c r="F26" s="50">
        <v>10</v>
      </c>
      <c r="G26" s="299"/>
      <c r="H26" s="321"/>
      <c r="I26" s="50">
        <v>10</v>
      </c>
      <c r="J26" s="299"/>
      <c r="K26" s="258"/>
      <c r="L26" s="50">
        <v>5</v>
      </c>
      <c r="M26" s="299"/>
      <c r="N26" s="258"/>
      <c r="O26" s="50">
        <v>5</v>
      </c>
      <c r="P26" s="299"/>
      <c r="Q26" s="258"/>
      <c r="R26" s="303">
        <v>10</v>
      </c>
      <c r="S26" s="299"/>
      <c r="T26" s="258"/>
      <c r="U26" s="50"/>
      <c r="V26" s="260"/>
      <c r="X26" s="402">
        <f>★仕入先!$A$91</f>
        <v>10561</v>
      </c>
      <c r="Y26" s="402">
        <f>★仕入先!$A$209</f>
        <v>30111</v>
      </c>
      <c r="Z26" s="402">
        <f>★仕入先!$A$133</f>
        <v>20088</v>
      </c>
      <c r="AA26" s="402">
        <f>★仕入先!$A$91</f>
        <v>10561</v>
      </c>
      <c r="AB26" s="402">
        <f>★仕入先!$A$209</f>
        <v>30111</v>
      </c>
      <c r="AC26" s="402">
        <f>★仕入先!$A$133</f>
        <v>20088</v>
      </c>
      <c r="AD26" s="402">
        <f>★仕入先!$A$91</f>
        <v>10561</v>
      </c>
      <c r="AE26" s="402">
        <f>★仕入先!$A$209</f>
        <v>30111</v>
      </c>
      <c r="AF26" s="402">
        <f>★仕入先!$A$133</f>
        <v>20088</v>
      </c>
      <c r="AG26" s="402">
        <f>★仕入先!$A$91</f>
        <v>10561</v>
      </c>
      <c r="AH26" s="402">
        <f>★仕入先!$A$209</f>
        <v>30111</v>
      </c>
      <c r="AI26" s="402">
        <f>★仕入先!$A$133</f>
        <v>20088</v>
      </c>
      <c r="AJ26" s="402">
        <f>★仕入先!$A$91</f>
        <v>10561</v>
      </c>
      <c r="AK26" s="402">
        <f>★仕入先!$A$209</f>
        <v>30111</v>
      </c>
      <c r="AL26" s="402">
        <f>★仕入先!$A$133</f>
        <v>20088</v>
      </c>
      <c r="AM26" s="402">
        <f>★仕入先!$A$91</f>
        <v>10561</v>
      </c>
      <c r="AN26" s="402">
        <f>★仕入先!$A$209</f>
        <v>30111</v>
      </c>
      <c r="AO26" s="402">
        <f>★仕入先!$A$133</f>
        <v>20088</v>
      </c>
      <c r="AP26" s="402">
        <f>★仕入先!$A$91</f>
        <v>10561</v>
      </c>
      <c r="AQ26" s="402">
        <f>★仕入先!$A$209</f>
        <v>30111</v>
      </c>
      <c r="AR26" s="402">
        <f>★仕入先!$A$133</f>
        <v>20088</v>
      </c>
    </row>
    <row r="27" spans="1:44" ht="23.1" customHeight="1">
      <c r="A27" s="289"/>
      <c r="B27" s="240" t="s">
        <v>129</v>
      </c>
      <c r="C27" s="58">
        <v>170</v>
      </c>
      <c r="D27" s="299"/>
      <c r="E27" s="321"/>
      <c r="F27" s="50"/>
      <c r="G27" s="288"/>
      <c r="H27" s="321"/>
      <c r="I27" s="50"/>
      <c r="J27" s="288"/>
      <c r="K27" s="321"/>
      <c r="L27" s="50"/>
      <c r="M27" s="288"/>
      <c r="N27" s="321"/>
      <c r="O27" s="50"/>
      <c r="P27" s="288"/>
      <c r="Q27" s="258"/>
      <c r="R27" s="303">
        <v>15</v>
      </c>
      <c r="S27" s="299"/>
      <c r="T27" s="321"/>
      <c r="U27" s="50"/>
      <c r="V27" s="260"/>
      <c r="X27" s="402">
        <f>★仕入先!$A$91</f>
        <v>10561</v>
      </c>
      <c r="Y27" s="402">
        <f>★仕入先!$A$209</f>
        <v>30111</v>
      </c>
      <c r="Z27" s="402">
        <f>★仕入先!$A$134</f>
        <v>20089</v>
      </c>
      <c r="AM27" s="402">
        <f>★仕入先!$A$91</f>
        <v>10561</v>
      </c>
      <c r="AN27" s="402">
        <f>★仕入先!$A$209</f>
        <v>30111</v>
      </c>
      <c r="AO27" s="402">
        <f>★仕入先!$A$134</f>
        <v>20089</v>
      </c>
    </row>
    <row r="28" spans="1:44" ht="23.1" customHeight="1">
      <c r="A28" s="289"/>
      <c r="B28" s="240"/>
      <c r="C28" s="58"/>
      <c r="D28" s="288"/>
      <c r="E28" s="321"/>
      <c r="F28" s="50"/>
      <c r="G28" s="278"/>
      <c r="H28" s="321"/>
      <c r="I28" s="50"/>
      <c r="J28" s="288"/>
      <c r="K28" s="321"/>
      <c r="L28" s="50"/>
      <c r="M28" s="278"/>
      <c r="N28" s="354"/>
      <c r="O28" s="50"/>
      <c r="P28" s="278"/>
      <c r="Q28" s="221"/>
      <c r="R28" s="316"/>
      <c r="S28" s="278"/>
      <c r="T28" s="354"/>
      <c r="U28" s="155"/>
      <c r="V28" s="222"/>
      <c r="X28" s="402">
        <f>★仕入先!$A$91</f>
        <v>10561</v>
      </c>
      <c r="Y28" s="402">
        <f>★仕入先!$A$209</f>
        <v>30111</v>
      </c>
      <c r="Z28" s="546">
        <f>★仕入先!$A$135</f>
        <v>20090</v>
      </c>
      <c r="AM28" s="402">
        <f>★仕入先!$A$91</f>
        <v>10561</v>
      </c>
      <c r="AN28" s="402">
        <f>★仕入先!$A$209</f>
        <v>30111</v>
      </c>
      <c r="AO28" s="546">
        <f>★仕入先!$A$135</f>
        <v>20090</v>
      </c>
    </row>
    <row r="29" spans="1:44" ht="23.1" customHeight="1">
      <c r="A29" s="289"/>
      <c r="B29" s="240" t="s">
        <v>130</v>
      </c>
      <c r="C29" s="58">
        <v>380</v>
      </c>
      <c r="D29" s="299"/>
      <c r="E29" s="321"/>
      <c r="F29" s="50">
        <v>20</v>
      </c>
      <c r="G29" s="4"/>
      <c r="H29" s="321"/>
      <c r="I29" s="50">
        <v>200</v>
      </c>
      <c r="J29" s="299"/>
      <c r="K29" s="258"/>
      <c r="L29" s="50">
        <v>5</v>
      </c>
      <c r="M29" s="4"/>
      <c r="N29" s="221"/>
      <c r="O29" s="50">
        <v>5</v>
      </c>
      <c r="P29" s="4"/>
      <c r="Q29" s="221"/>
      <c r="R29" s="316">
        <v>30</v>
      </c>
      <c r="S29" s="4"/>
      <c r="T29" s="221"/>
      <c r="U29" s="155">
        <v>10</v>
      </c>
      <c r="V29" s="272"/>
      <c r="X29" s="402">
        <f>★仕入先!$A$91</f>
        <v>10561</v>
      </c>
      <c r="Y29" s="402">
        <f>★仕入先!$A$209</f>
        <v>30111</v>
      </c>
      <c r="Z29" s="402">
        <f>★仕入先!$A$136</f>
        <v>20091</v>
      </c>
      <c r="AA29" s="402">
        <f>★仕入先!$A$91</f>
        <v>10561</v>
      </c>
      <c r="AB29" s="402">
        <f>★仕入先!$A$209</f>
        <v>30111</v>
      </c>
      <c r="AC29" s="402">
        <f>★仕入先!$A$173</f>
        <v>20900</v>
      </c>
      <c r="AD29" s="402">
        <f>★仕入先!$A$91</f>
        <v>10561</v>
      </c>
      <c r="AE29" s="402">
        <f>★仕入先!$A$209</f>
        <v>30111</v>
      </c>
      <c r="AF29" s="402">
        <f>★仕入先!$A$173</f>
        <v>20900</v>
      </c>
      <c r="AG29" s="402">
        <f>★仕入先!$A$91</f>
        <v>10561</v>
      </c>
      <c r="AH29" s="402">
        <f>★仕入先!$A$209</f>
        <v>30111</v>
      </c>
      <c r="AI29" s="402">
        <f>★仕入先!$A$173</f>
        <v>20900</v>
      </c>
      <c r="AJ29" s="402">
        <f>★仕入先!$A$91</f>
        <v>10561</v>
      </c>
      <c r="AK29" s="402">
        <f>★仕入先!$A$209</f>
        <v>30111</v>
      </c>
      <c r="AL29" s="402">
        <f>★仕入先!$A$173</f>
        <v>20900</v>
      </c>
      <c r="AM29" s="402">
        <f>★仕入先!$A$91</f>
        <v>10561</v>
      </c>
      <c r="AN29" s="402">
        <f>★仕入先!$A$209</f>
        <v>30111</v>
      </c>
      <c r="AO29" s="402">
        <f>★仕入先!$A$173</f>
        <v>20900</v>
      </c>
      <c r="AP29" s="402">
        <f>★仕入先!$A$91</f>
        <v>10561</v>
      </c>
      <c r="AQ29" s="402">
        <f>★仕入先!$A$209</f>
        <v>30111</v>
      </c>
      <c r="AR29" s="402">
        <f>★仕入先!$A$173</f>
        <v>20900</v>
      </c>
    </row>
    <row r="30" spans="1:44" ht="17.25" customHeight="1">
      <c r="A30" s="280" t="s">
        <v>12</v>
      </c>
      <c r="B30" s="243" t="s">
        <v>13</v>
      </c>
      <c r="C30" s="244"/>
      <c r="D30" s="356"/>
      <c r="E30" s="281"/>
      <c r="F30" s="282"/>
      <c r="G30" s="245"/>
      <c r="H30" s="281"/>
      <c r="I30" s="282"/>
      <c r="J30" s="245"/>
      <c r="K30" s="281"/>
      <c r="L30" s="282"/>
      <c r="M30" s="245"/>
      <c r="N30" s="281"/>
      <c r="O30" s="282"/>
      <c r="P30" s="245"/>
      <c r="Q30" s="281"/>
      <c r="R30" s="328"/>
      <c r="S30" s="245"/>
      <c r="T30" s="281"/>
      <c r="U30" s="282"/>
      <c r="V30" s="247"/>
    </row>
    <row r="31" spans="1:44" ht="22.5" customHeight="1" thickBot="1">
      <c r="A31" s="233">
        <f>SUM(C31,F31,I31,L31,O31,R31,U31)</f>
        <v>4170</v>
      </c>
      <c r="B31" s="234">
        <f>SUM(D31,G31,J31,M31,P31,S31,V31)</f>
        <v>0</v>
      </c>
      <c r="C31" s="71">
        <f>SUM(C20:C29)</f>
        <v>2950</v>
      </c>
      <c r="D31" s="357" t="str">
        <f>IF(SUM(D20:D29)=0," ",SUM(D20:D29))</f>
        <v xml:space="preserve"> </v>
      </c>
      <c r="E31" s="283"/>
      <c r="F31" s="73">
        <f>SUM(F20:F29)</f>
        <v>155</v>
      </c>
      <c r="G31" s="235" t="str">
        <f>IF(SUM(G20:G29)=0," ",SUM(G20:G29))</f>
        <v xml:space="preserve"> </v>
      </c>
      <c r="H31" s="283"/>
      <c r="I31" s="73">
        <f>SUM(I20:I29)</f>
        <v>610</v>
      </c>
      <c r="J31" s="235" t="str">
        <f>IF(SUM(J20:J29)=0," ",SUM(J20:J29))</f>
        <v xml:space="preserve"> </v>
      </c>
      <c r="K31" s="283"/>
      <c r="L31" s="73">
        <f>SUM(L20:L29)</f>
        <v>60</v>
      </c>
      <c r="M31" s="235" t="str">
        <f>IF(SUM(M20:M29)=0," ",SUM(M20:M29))</f>
        <v xml:space="preserve"> </v>
      </c>
      <c r="N31" s="283"/>
      <c r="O31" s="73">
        <f>SUM(O20:O29)</f>
        <v>45</v>
      </c>
      <c r="P31" s="235" t="str">
        <f>IF(SUM(P20:P29)=0," ",SUM(P20:P29))</f>
        <v xml:space="preserve"> </v>
      </c>
      <c r="Q31" s="283"/>
      <c r="R31" s="73">
        <f>SUM(R20:R29)</f>
        <v>295</v>
      </c>
      <c r="S31" s="235" t="str">
        <f>IF(SUM(S20:S29)=0," ",SUM(S20:S29))</f>
        <v xml:space="preserve"> </v>
      </c>
      <c r="T31" s="283"/>
      <c r="U31" s="73">
        <f>SUM(U20:U29)</f>
        <v>55</v>
      </c>
      <c r="V31" s="236" t="str">
        <f>IF(SUM(V20:V29)=0," ",SUM(V20:V29))</f>
        <v xml:space="preserve"> </v>
      </c>
    </row>
    <row r="32" spans="1:44">
      <c r="A32" s="99"/>
      <c r="B32" s="99"/>
      <c r="C32" s="99"/>
      <c r="D32" s="99"/>
      <c r="E32" s="99"/>
      <c r="F32" s="99"/>
      <c r="G32" s="99"/>
      <c r="H32" s="99"/>
      <c r="I32" s="99"/>
      <c r="J32" s="99"/>
      <c r="K32" s="99"/>
      <c r="L32" s="99"/>
      <c r="M32" s="99"/>
      <c r="N32" s="99"/>
      <c r="O32" s="99"/>
      <c r="P32" s="99"/>
      <c r="Q32" s="99"/>
      <c r="R32" s="99"/>
      <c r="S32" s="99"/>
      <c r="T32" s="99"/>
      <c r="U32" s="99"/>
      <c r="V32" s="99"/>
    </row>
    <row r="33" spans="1:22" ht="24">
      <c r="A33" s="197"/>
      <c r="B33" s="99"/>
      <c r="C33" s="99"/>
      <c r="D33" s="99"/>
      <c r="E33" s="99"/>
      <c r="F33" s="99"/>
      <c r="G33" s="99"/>
      <c r="H33" s="99"/>
      <c r="I33" s="99"/>
      <c r="J33" s="99"/>
      <c r="K33" s="99"/>
      <c r="L33" s="99"/>
      <c r="M33" s="99"/>
      <c r="N33" s="99"/>
      <c r="O33" s="99"/>
      <c r="P33" s="99"/>
      <c r="Q33" s="99"/>
      <c r="R33" s="99"/>
      <c r="S33" s="99"/>
      <c r="T33" s="99"/>
      <c r="U33" s="99"/>
      <c r="V33" s="99"/>
    </row>
    <row r="34" spans="1:22" ht="24">
      <c r="A34" s="197"/>
      <c r="B34" s="99"/>
      <c r="C34" s="99"/>
      <c r="D34" s="293"/>
      <c r="E34" s="99"/>
      <c r="F34" s="99"/>
      <c r="G34" s="99"/>
      <c r="H34" s="99"/>
      <c r="I34" s="99"/>
      <c r="J34" s="99"/>
      <c r="K34" s="99"/>
      <c r="L34" s="99"/>
      <c r="M34" s="99"/>
      <c r="N34" s="99"/>
      <c r="O34" s="99"/>
      <c r="P34" s="99"/>
      <c r="Q34" s="99"/>
      <c r="R34" s="99"/>
      <c r="S34" s="99"/>
      <c r="T34" s="99"/>
      <c r="U34" s="99"/>
      <c r="V34" s="99"/>
    </row>
    <row r="35" spans="1:22" ht="24">
      <c r="A35" s="197"/>
      <c r="D35" s="241"/>
    </row>
    <row r="36" spans="1:22" ht="24">
      <c r="A36" s="358"/>
    </row>
  </sheetData>
  <sheetProtection sheet="1" objects="1" scenarios="1"/>
  <mergeCells count="32">
    <mergeCell ref="AP5:AR5"/>
    <mergeCell ref="X5:Z5"/>
    <mergeCell ref="AA5:AC5"/>
    <mergeCell ref="AD5:AF5"/>
    <mergeCell ref="AG5:AI5"/>
    <mergeCell ref="AJ5:AL5"/>
    <mergeCell ref="AM5:AO5"/>
    <mergeCell ref="U1:V1"/>
    <mergeCell ref="A3:B3"/>
    <mergeCell ref="G3:G4"/>
    <mergeCell ref="I3:J4"/>
    <mergeCell ref="S3:V4"/>
    <mergeCell ref="A4:B4"/>
    <mergeCell ref="C4:F4"/>
    <mergeCell ref="A1:S1"/>
    <mergeCell ref="M3:O4"/>
    <mergeCell ref="P3:P4"/>
    <mergeCell ref="K3:L4"/>
    <mergeCell ref="Q3:R4"/>
    <mergeCell ref="C21:C22"/>
    <mergeCell ref="I23:I24"/>
    <mergeCell ref="C6:D6"/>
    <mergeCell ref="D21:D22"/>
    <mergeCell ref="E6:G6"/>
    <mergeCell ref="D24:D25"/>
    <mergeCell ref="C24:C25"/>
    <mergeCell ref="T6:V6"/>
    <mergeCell ref="Q6:S6"/>
    <mergeCell ref="N6:P6"/>
    <mergeCell ref="K6:M6"/>
    <mergeCell ref="J23:J24"/>
    <mergeCell ref="H6:J6"/>
  </mergeCells>
  <phoneticPr fontId="15"/>
  <printOptions horizontalCentered="1" vertic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
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U34"/>
  <sheetViews>
    <sheetView zoomScale="70" zoomScaleNormal="70" zoomScaleSheetLayoutView="70" workbookViewId="0">
      <pane xSplit="2" ySplit="7" topLeftCell="C8" activePane="bottomRight" state="frozen"/>
      <selection activeCell="I18" sqref="I18"/>
      <selection pane="topRight" activeCell="I18" sqref="I18"/>
      <selection pane="bottomLeft" activeCell="I18" sqref="I18"/>
      <selection pane="bottomRight" activeCell="AX20" sqref="AX19:AX20"/>
    </sheetView>
  </sheetViews>
  <sheetFormatPr defaultColWidth="9" defaultRowHeight="14.25"/>
  <cols>
    <col min="1" max="1" width="15.875" style="98" customWidth="1"/>
    <col min="2" max="2" width="11.25" style="98" bestFit="1" customWidth="1"/>
    <col min="3" max="3" width="9.625" style="98" customWidth="1"/>
    <col min="4" max="4" width="12.625" style="98" bestFit="1" customWidth="1"/>
    <col min="5" max="5" width="2.125" style="98" customWidth="1"/>
    <col min="6" max="6" width="8.125" style="98" customWidth="1"/>
    <col min="7" max="7" width="9.625" style="98" customWidth="1"/>
    <col min="8" max="8" width="2.125" style="98" customWidth="1"/>
    <col min="9" max="9" width="8.125" style="98" customWidth="1"/>
    <col min="10" max="10" width="9.625" style="98" customWidth="1"/>
    <col min="11" max="11" width="2.125" style="98" customWidth="1"/>
    <col min="12" max="12" width="8.125" style="98" customWidth="1"/>
    <col min="13" max="13" width="9.625" style="98" customWidth="1"/>
    <col min="14" max="14" width="2.125" style="98" customWidth="1"/>
    <col min="15" max="15" width="8.125" style="98" customWidth="1"/>
    <col min="16" max="16" width="9.625" style="98" customWidth="1"/>
    <col min="17" max="17" width="2.125" style="98" customWidth="1"/>
    <col min="18" max="18" width="8.125" style="98" customWidth="1"/>
    <col min="19" max="19" width="9.625" style="98" customWidth="1"/>
    <col min="20" max="20" width="2.125" style="98" customWidth="1"/>
    <col min="21" max="21" width="8.125" style="98" customWidth="1"/>
    <col min="22" max="22" width="9.625" style="98" customWidth="1"/>
    <col min="23" max="23" width="9" style="98" hidden="1" customWidth="1"/>
    <col min="24" max="44" width="9" style="212" hidden="1" customWidth="1"/>
    <col min="45" max="45" width="9" style="31" hidden="1" customWidth="1"/>
    <col min="46" max="47" width="9" style="31"/>
    <col min="48" max="16384" width="9" style="98"/>
  </cols>
  <sheetData>
    <row r="1" spans="1:47" ht="17.25">
      <c r="A1" s="703" t="s">
        <v>0</v>
      </c>
      <c r="B1" s="703"/>
      <c r="C1" s="703"/>
      <c r="D1" s="703"/>
      <c r="E1" s="703"/>
      <c r="F1" s="703"/>
      <c r="G1" s="703"/>
      <c r="H1" s="703"/>
      <c r="I1" s="703"/>
      <c r="J1" s="703"/>
      <c r="K1" s="703"/>
      <c r="L1" s="703"/>
      <c r="M1" s="703"/>
      <c r="N1" s="703"/>
      <c r="O1" s="703"/>
      <c r="P1" s="703"/>
      <c r="Q1" s="703"/>
      <c r="R1" s="703"/>
      <c r="S1" s="703"/>
      <c r="T1" s="703"/>
      <c r="U1" s="704">
        <f>①総合計!R1</f>
        <v>2023.1</v>
      </c>
      <c r="V1" s="704"/>
    </row>
    <row r="2" spans="1:47" ht="15" thickBot="1">
      <c r="A2" s="99"/>
      <c r="B2" s="99"/>
      <c r="C2" s="99"/>
      <c r="D2" s="99"/>
      <c r="E2" s="99"/>
      <c r="F2" s="99"/>
      <c r="G2" s="99"/>
      <c r="H2" s="99"/>
      <c r="I2" s="99"/>
      <c r="J2" s="99"/>
      <c r="K2" s="99"/>
      <c r="L2" s="99"/>
      <c r="M2" s="99"/>
      <c r="N2" s="99"/>
      <c r="O2" s="99"/>
      <c r="P2" s="99"/>
      <c r="Q2" s="99"/>
      <c r="R2" s="99"/>
      <c r="S2" s="99"/>
      <c r="T2" s="99"/>
      <c r="U2" s="99"/>
      <c r="V2" s="100" t="s">
        <v>131</v>
      </c>
    </row>
    <row r="3" spans="1:47" ht="20.100000000000001" customHeight="1">
      <c r="A3" s="705" t="s">
        <v>1</v>
      </c>
      <c r="B3" s="706"/>
      <c r="C3" s="214" t="s">
        <v>2</v>
      </c>
      <c r="D3" s="102"/>
      <c r="E3" s="102"/>
      <c r="F3" s="103"/>
      <c r="G3" s="729" t="s">
        <v>145</v>
      </c>
      <c r="H3" s="209"/>
      <c r="I3" s="816" t="str">
        <f>IF(①総合計!I3= 0," ",①総合計!I3)</f>
        <v xml:space="preserve"> </v>
      </c>
      <c r="J3" s="787"/>
      <c r="K3" s="729" t="s">
        <v>3</v>
      </c>
      <c r="L3" s="818"/>
      <c r="M3" s="820" t="str">
        <f>IF(SUM(B15,B31)=0," ",SUM(B15,B31))</f>
        <v xml:space="preserve"> </v>
      </c>
      <c r="N3" s="821"/>
      <c r="O3" s="821"/>
      <c r="P3" s="824" t="str">
        <f>①総合計!$L$3</f>
        <v xml:space="preserve"> </v>
      </c>
      <c r="Q3" s="729" t="s">
        <v>4</v>
      </c>
      <c r="R3" s="730"/>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31"/>
      <c r="H4" s="210"/>
      <c r="I4" s="817"/>
      <c r="J4" s="788"/>
      <c r="K4" s="731"/>
      <c r="L4" s="819"/>
      <c r="M4" s="822"/>
      <c r="N4" s="823"/>
      <c r="O4" s="823"/>
      <c r="P4" s="825"/>
      <c r="Q4" s="731"/>
      <c r="R4" s="732"/>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10</v>
      </c>
      <c r="AN5" s="609"/>
      <c r="AO5" s="609"/>
      <c r="AP5" s="806" t="s">
        <v>280</v>
      </c>
      <c r="AQ5" s="609"/>
      <c r="AR5" s="609"/>
    </row>
    <row r="6" spans="1:47">
      <c r="A6" s="38" t="s">
        <v>98</v>
      </c>
      <c r="B6" s="104"/>
      <c r="C6" s="696" t="s">
        <v>6</v>
      </c>
      <c r="D6" s="697"/>
      <c r="E6" s="697" t="s">
        <v>7</v>
      </c>
      <c r="F6" s="812"/>
      <c r="G6" s="810"/>
      <c r="H6" s="697" t="s">
        <v>8</v>
      </c>
      <c r="I6" s="812"/>
      <c r="J6" s="810"/>
      <c r="K6" s="697" t="s">
        <v>9</v>
      </c>
      <c r="L6" s="812"/>
      <c r="M6" s="810"/>
      <c r="N6" s="697" t="s">
        <v>228</v>
      </c>
      <c r="O6" s="812"/>
      <c r="P6" s="810"/>
      <c r="Q6" s="361"/>
      <c r="R6" s="810" t="s">
        <v>10</v>
      </c>
      <c r="S6" s="696"/>
      <c r="T6" s="697" t="s">
        <v>11</v>
      </c>
      <c r="U6" s="812"/>
      <c r="V6" s="813"/>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215" t="s">
        <v>47</v>
      </c>
      <c r="B7" s="41" t="s">
        <v>232</v>
      </c>
      <c r="C7" s="216" t="s">
        <v>14</v>
      </c>
      <c r="D7" s="217" t="s">
        <v>15</v>
      </c>
      <c r="E7" s="814" t="s">
        <v>14</v>
      </c>
      <c r="F7" s="815"/>
      <c r="G7" s="216" t="s">
        <v>15</v>
      </c>
      <c r="H7" s="814" t="s">
        <v>14</v>
      </c>
      <c r="I7" s="815"/>
      <c r="J7" s="216" t="s">
        <v>15</v>
      </c>
      <c r="K7" s="814" t="s">
        <v>14</v>
      </c>
      <c r="L7" s="815"/>
      <c r="M7" s="216" t="s">
        <v>15</v>
      </c>
      <c r="N7" s="814" t="s">
        <v>14</v>
      </c>
      <c r="O7" s="815"/>
      <c r="P7" s="216" t="s">
        <v>15</v>
      </c>
      <c r="Q7" s="217"/>
      <c r="R7" s="336" t="s">
        <v>14</v>
      </c>
      <c r="S7" s="216" t="s">
        <v>15</v>
      </c>
      <c r="T7" s="814" t="s">
        <v>14</v>
      </c>
      <c r="U7" s="815"/>
      <c r="V7" s="218" t="s">
        <v>15</v>
      </c>
      <c r="W7" s="26"/>
      <c r="X7" s="42">
        <v>1</v>
      </c>
      <c r="Y7" s="42">
        <v>1</v>
      </c>
      <c r="Z7" s="42">
        <v>1</v>
      </c>
      <c r="AA7" s="42">
        <v>3</v>
      </c>
      <c r="AB7" s="42">
        <v>3</v>
      </c>
      <c r="AC7" s="42">
        <v>3</v>
      </c>
      <c r="AD7" s="42">
        <v>2</v>
      </c>
      <c r="AE7" s="42">
        <v>2</v>
      </c>
      <c r="AF7" s="42">
        <v>2</v>
      </c>
      <c r="AG7" s="42">
        <v>4</v>
      </c>
      <c r="AH7" s="42">
        <v>4</v>
      </c>
      <c r="AI7" s="42">
        <v>4</v>
      </c>
      <c r="AJ7" s="42">
        <v>5</v>
      </c>
      <c r="AK7" s="42">
        <v>5</v>
      </c>
      <c r="AL7" s="42">
        <v>5</v>
      </c>
      <c r="AM7" s="42">
        <v>6</v>
      </c>
      <c r="AN7" s="42">
        <v>6</v>
      </c>
      <c r="AO7" s="42">
        <v>6</v>
      </c>
      <c r="AP7" s="42">
        <v>7</v>
      </c>
      <c r="AQ7" s="42">
        <v>7</v>
      </c>
      <c r="AR7" s="42">
        <v>7</v>
      </c>
      <c r="AS7" s="26"/>
      <c r="AT7" s="26"/>
      <c r="AU7" s="26"/>
    </row>
    <row r="8" spans="1:47" ht="23.1" customHeight="1">
      <c r="A8" s="219" t="s">
        <v>25</v>
      </c>
      <c r="B8" s="220" t="s">
        <v>355</v>
      </c>
      <c r="C8" s="48">
        <v>1360</v>
      </c>
      <c r="D8" s="22"/>
      <c r="E8" s="49"/>
      <c r="F8" s="50">
        <v>110</v>
      </c>
      <c r="G8" s="4"/>
      <c r="H8" s="117"/>
      <c r="I8" s="50">
        <v>230</v>
      </c>
      <c r="J8" s="4"/>
      <c r="K8" s="362"/>
      <c r="L8" s="50">
        <v>150</v>
      </c>
      <c r="M8" s="4"/>
      <c r="N8" s="362"/>
      <c r="O8" s="50">
        <v>30</v>
      </c>
      <c r="P8" s="4"/>
      <c r="Q8" s="313"/>
      <c r="R8" s="303">
        <v>1260</v>
      </c>
      <c r="S8" s="4"/>
      <c r="T8" s="362"/>
      <c r="U8" s="50">
        <v>200</v>
      </c>
      <c r="V8" s="272"/>
      <c r="X8" s="402">
        <f>★仕入先!$A$91</f>
        <v>10561</v>
      </c>
      <c r="Y8" s="402">
        <f>★仕入先!$A$209</f>
        <v>30111</v>
      </c>
      <c r="Z8" s="402">
        <f>★仕入先!$A$116</f>
        <v>20050</v>
      </c>
      <c r="AA8" s="402">
        <f>★仕入先!$A$91</f>
        <v>10561</v>
      </c>
      <c r="AB8" s="402">
        <f>★仕入先!$A$209</f>
        <v>30111</v>
      </c>
      <c r="AC8" s="402">
        <f>★仕入先!$A$164</f>
        <v>20302</v>
      </c>
      <c r="AD8" s="402">
        <f>★仕入先!$A$91</f>
        <v>10561</v>
      </c>
      <c r="AE8" s="402">
        <f>★仕入先!$A$209</f>
        <v>30111</v>
      </c>
      <c r="AF8" s="402">
        <f>★仕入先!$A$165</f>
        <v>20311</v>
      </c>
      <c r="AG8" s="402">
        <f>★仕入先!$A$91</f>
        <v>10561</v>
      </c>
      <c r="AH8" s="402">
        <f>★仕入先!$A$209</f>
        <v>30111</v>
      </c>
      <c r="AI8" s="402">
        <f>★仕入先!$A$167</f>
        <v>20318</v>
      </c>
      <c r="AJ8" s="402">
        <f>★仕入先!$A$91</f>
        <v>10561</v>
      </c>
      <c r="AK8" s="402">
        <f>★仕入先!$A$209</f>
        <v>30111</v>
      </c>
      <c r="AL8" s="402">
        <f>★仕入先!$A$167</f>
        <v>20318</v>
      </c>
      <c r="AM8" s="402">
        <f>★仕入先!$A$91</f>
        <v>10561</v>
      </c>
      <c r="AN8" s="402">
        <f>★仕入先!$A$209</f>
        <v>30111</v>
      </c>
      <c r="AO8" s="402">
        <f>★仕入先!$A$168</f>
        <v>20321</v>
      </c>
      <c r="AP8" s="402">
        <f>★仕入先!$A$91</f>
        <v>10561</v>
      </c>
      <c r="AQ8" s="402">
        <f>★仕入先!$A$209</f>
        <v>30111</v>
      </c>
      <c r="AR8" s="402">
        <f>★仕入先!$A$169</f>
        <v>20331</v>
      </c>
    </row>
    <row r="9" spans="1:47" ht="23.1" customHeight="1">
      <c r="A9" s="223"/>
      <c r="B9" s="220" t="s">
        <v>356</v>
      </c>
      <c r="C9" s="48">
        <v>1690</v>
      </c>
      <c r="D9" s="22"/>
      <c r="E9" s="49"/>
      <c r="F9" s="50">
        <v>50</v>
      </c>
      <c r="G9" s="4"/>
      <c r="H9" s="117"/>
      <c r="I9" s="155">
        <v>50</v>
      </c>
      <c r="J9" s="4"/>
      <c r="K9" s="362"/>
      <c r="L9" s="155">
        <v>10</v>
      </c>
      <c r="M9" s="4"/>
      <c r="N9" s="362"/>
      <c r="O9" s="155">
        <v>10</v>
      </c>
      <c r="P9" s="4"/>
      <c r="Q9" s="313"/>
      <c r="R9" s="303"/>
      <c r="S9" s="278"/>
      <c r="T9" s="362"/>
      <c r="U9" s="155"/>
      <c r="V9" s="222"/>
      <c r="X9" s="402">
        <f>★仕入先!$A$91</f>
        <v>10561</v>
      </c>
      <c r="Y9" s="402">
        <f>★仕入先!$A$209</f>
        <v>30111</v>
      </c>
      <c r="Z9" s="402">
        <f>★仕入先!$A$117</f>
        <v>20051</v>
      </c>
      <c r="AA9" s="402">
        <f>★仕入先!$A$91</f>
        <v>10561</v>
      </c>
      <c r="AB9" s="402">
        <f>★仕入先!$A$209</f>
        <v>30111</v>
      </c>
      <c r="AC9" s="402">
        <f>★仕入先!$A$164</f>
        <v>20302</v>
      </c>
      <c r="AD9" s="402">
        <f>★仕入先!$A$91</f>
        <v>10561</v>
      </c>
      <c r="AE9" s="402">
        <f>★仕入先!$A$209</f>
        <v>30111</v>
      </c>
      <c r="AF9" s="402">
        <f>★仕入先!$A$165</f>
        <v>20311</v>
      </c>
      <c r="AG9" s="402">
        <f>★仕入先!$A$91</f>
        <v>10561</v>
      </c>
      <c r="AH9" s="402">
        <f>★仕入先!$A$209</f>
        <v>30111</v>
      </c>
      <c r="AI9" s="402">
        <f>★仕入先!$A$167</f>
        <v>20318</v>
      </c>
      <c r="AJ9" s="402">
        <f>★仕入先!$A$91</f>
        <v>10561</v>
      </c>
      <c r="AK9" s="402">
        <f>★仕入先!$A$209</f>
        <v>30111</v>
      </c>
      <c r="AL9" s="402">
        <f>★仕入先!$A$167</f>
        <v>20318</v>
      </c>
      <c r="AM9" s="402">
        <f>★仕入先!$A$91</f>
        <v>10561</v>
      </c>
      <c r="AN9" s="402">
        <f>★仕入先!$A$209</f>
        <v>30111</v>
      </c>
      <c r="AO9" s="402">
        <f>★仕入先!$A$168</f>
        <v>20321</v>
      </c>
    </row>
    <row r="10" spans="1:47" ht="23.1" customHeight="1">
      <c r="A10" s="223"/>
      <c r="B10" s="220" t="s">
        <v>357</v>
      </c>
      <c r="C10" s="48">
        <v>1280</v>
      </c>
      <c r="D10" s="22"/>
      <c r="E10" s="49"/>
      <c r="F10" s="50">
        <v>40</v>
      </c>
      <c r="G10" s="4"/>
      <c r="H10" s="117"/>
      <c r="I10" s="155">
        <v>490</v>
      </c>
      <c r="J10" s="4"/>
      <c r="K10" s="362"/>
      <c r="L10" s="155">
        <v>40</v>
      </c>
      <c r="M10" s="4"/>
      <c r="N10" s="362"/>
      <c r="O10" s="155">
        <v>25</v>
      </c>
      <c r="P10" s="4"/>
      <c r="Q10" s="313"/>
      <c r="R10" s="303">
        <v>190</v>
      </c>
      <c r="S10" s="4"/>
      <c r="T10" s="362"/>
      <c r="U10" s="155"/>
      <c r="V10" s="222"/>
      <c r="X10" s="402">
        <f>★仕入先!$A$91</f>
        <v>10561</v>
      </c>
      <c r="Y10" s="402">
        <f>★仕入先!$A$209</f>
        <v>30111</v>
      </c>
      <c r="Z10" s="402">
        <f>★仕入先!$A$118</f>
        <v>20060</v>
      </c>
      <c r="AA10" s="402">
        <f>★仕入先!$A$91</f>
        <v>10561</v>
      </c>
      <c r="AB10" s="402">
        <f>★仕入先!$A$209</f>
        <v>30111</v>
      </c>
      <c r="AC10" s="402">
        <f>★仕入先!$A$164</f>
        <v>20302</v>
      </c>
      <c r="AD10" s="402">
        <f>★仕入先!$A$91</f>
        <v>10561</v>
      </c>
      <c r="AE10" s="402">
        <f>★仕入先!$A$209</f>
        <v>30111</v>
      </c>
      <c r="AF10" s="402">
        <f>★仕入先!$A$166</f>
        <v>20314</v>
      </c>
      <c r="AG10" s="402">
        <f>★仕入先!$A$91</f>
        <v>10561</v>
      </c>
      <c r="AH10" s="402">
        <f>★仕入先!$A$209</f>
        <v>30111</v>
      </c>
      <c r="AI10" s="402">
        <f>★仕入先!$A$167</f>
        <v>20318</v>
      </c>
      <c r="AJ10" s="402">
        <f>★仕入先!$A$91</f>
        <v>10561</v>
      </c>
      <c r="AK10" s="402">
        <f>★仕入先!$A$209</f>
        <v>30111</v>
      </c>
      <c r="AL10" s="402">
        <f>★仕入先!$A$167</f>
        <v>20318</v>
      </c>
      <c r="AM10" s="402">
        <f>★仕入先!$A$91</f>
        <v>10561</v>
      </c>
      <c r="AN10" s="402">
        <f>★仕入先!$A$209</f>
        <v>30111</v>
      </c>
      <c r="AO10" s="402">
        <f>★仕入先!$A$168</f>
        <v>20321</v>
      </c>
    </row>
    <row r="11" spans="1:47" ht="23.1" customHeight="1">
      <c r="A11" s="223"/>
      <c r="B11" s="220" t="s">
        <v>358</v>
      </c>
      <c r="C11" s="48">
        <v>1560</v>
      </c>
      <c r="D11" s="22"/>
      <c r="E11" s="49"/>
      <c r="F11" s="50">
        <v>40</v>
      </c>
      <c r="G11" s="4"/>
      <c r="H11" s="117"/>
      <c r="I11" s="155">
        <v>190</v>
      </c>
      <c r="J11" s="4"/>
      <c r="K11" s="362"/>
      <c r="L11" s="155">
        <v>20</v>
      </c>
      <c r="M11" s="4"/>
      <c r="N11" s="362"/>
      <c r="O11" s="155">
        <v>15</v>
      </c>
      <c r="P11" s="4"/>
      <c r="Q11" s="313"/>
      <c r="R11" s="303">
        <v>280</v>
      </c>
      <c r="S11" s="4"/>
      <c r="T11" s="362"/>
      <c r="U11" s="155"/>
      <c r="V11" s="222"/>
      <c r="X11" s="402">
        <f>★仕入先!$A$91</f>
        <v>10561</v>
      </c>
      <c r="Y11" s="402">
        <f>★仕入先!$A$209</f>
        <v>30111</v>
      </c>
      <c r="Z11" s="402">
        <f>★仕入先!$A$121</f>
        <v>20065</v>
      </c>
      <c r="AA11" s="402">
        <f>★仕入先!$A$91</f>
        <v>10561</v>
      </c>
      <c r="AB11" s="402">
        <f>★仕入先!$A$209</f>
        <v>30111</v>
      </c>
      <c r="AC11" s="402">
        <f>★仕入先!$A$164</f>
        <v>20302</v>
      </c>
      <c r="AD11" s="402">
        <f>★仕入先!$A$91</f>
        <v>10561</v>
      </c>
      <c r="AE11" s="402">
        <f>★仕入先!$A$209</f>
        <v>30111</v>
      </c>
      <c r="AF11" s="402">
        <f>★仕入先!$A$165</f>
        <v>20311</v>
      </c>
      <c r="AG11" s="402">
        <f>★仕入先!$A$91</f>
        <v>10561</v>
      </c>
      <c r="AH11" s="402">
        <f>★仕入先!$A$209</f>
        <v>30111</v>
      </c>
      <c r="AI11" s="402">
        <f>★仕入先!$A$167</f>
        <v>20318</v>
      </c>
      <c r="AJ11" s="402">
        <f>★仕入先!$A$91</f>
        <v>10561</v>
      </c>
      <c r="AK11" s="402">
        <f>★仕入先!$A$209</f>
        <v>30111</v>
      </c>
      <c r="AL11" s="402">
        <f>★仕入先!$A$167</f>
        <v>20318</v>
      </c>
      <c r="AM11" s="402">
        <f>★仕入先!$A$91</f>
        <v>10561</v>
      </c>
      <c r="AN11" s="402">
        <f>★仕入先!$A$209</f>
        <v>30111</v>
      </c>
      <c r="AO11" s="402">
        <f>★仕入先!$A$168</f>
        <v>20321</v>
      </c>
    </row>
    <row r="12" spans="1:47" ht="23.1" customHeight="1">
      <c r="A12" s="223"/>
      <c r="B12" s="220" t="s">
        <v>359</v>
      </c>
      <c r="C12" s="48">
        <v>1450</v>
      </c>
      <c r="D12" s="22"/>
      <c r="E12" s="49"/>
      <c r="F12" s="50">
        <v>50</v>
      </c>
      <c r="G12" s="4"/>
      <c r="H12" s="117"/>
      <c r="I12" s="155">
        <v>140</v>
      </c>
      <c r="J12" s="4"/>
      <c r="K12" s="362"/>
      <c r="L12" s="155">
        <v>60</v>
      </c>
      <c r="M12" s="4"/>
      <c r="N12" s="362"/>
      <c r="O12" s="155">
        <v>15</v>
      </c>
      <c r="P12" s="4"/>
      <c r="Q12" s="313"/>
      <c r="R12" s="303">
        <v>340</v>
      </c>
      <c r="S12" s="4"/>
      <c r="T12" s="362"/>
      <c r="U12" s="155"/>
      <c r="V12" s="222"/>
      <c r="X12" s="402">
        <f>★仕入先!$A$91</f>
        <v>10561</v>
      </c>
      <c r="Y12" s="402">
        <f>★仕入先!$A$209</f>
        <v>30111</v>
      </c>
      <c r="Z12" s="402">
        <f>★仕入先!$A$119</f>
        <v>20062</v>
      </c>
      <c r="AA12" s="402">
        <f>★仕入先!$A$91</f>
        <v>10561</v>
      </c>
      <c r="AB12" s="402">
        <f>★仕入先!$A$209</f>
        <v>30111</v>
      </c>
      <c r="AC12" s="402">
        <f>★仕入先!$A$164</f>
        <v>20302</v>
      </c>
      <c r="AD12" s="402">
        <f>★仕入先!$A$91</f>
        <v>10561</v>
      </c>
      <c r="AE12" s="402">
        <f>★仕入先!$A$209</f>
        <v>30111</v>
      </c>
      <c r="AF12" s="402">
        <f>★仕入先!$A$165</f>
        <v>20311</v>
      </c>
      <c r="AG12" s="402">
        <f>★仕入先!$A$91</f>
        <v>10561</v>
      </c>
      <c r="AH12" s="402">
        <f>★仕入先!$A$209</f>
        <v>30111</v>
      </c>
      <c r="AI12" s="402">
        <f>★仕入先!$A$167</f>
        <v>20318</v>
      </c>
      <c r="AJ12" s="402">
        <f>★仕入先!$A$91</f>
        <v>10561</v>
      </c>
      <c r="AK12" s="402">
        <f>★仕入先!$A$209</f>
        <v>30111</v>
      </c>
      <c r="AL12" s="402">
        <f>★仕入先!$A$167</f>
        <v>20318</v>
      </c>
      <c r="AM12" s="402">
        <f>★仕入先!$A$91</f>
        <v>10561</v>
      </c>
      <c r="AN12" s="402">
        <f>★仕入先!$A$209</f>
        <v>30111</v>
      </c>
      <c r="AO12" s="402">
        <f>★仕入先!$A$168</f>
        <v>20321</v>
      </c>
    </row>
    <row r="13" spans="1:47" ht="23.1" customHeight="1">
      <c r="A13" s="223"/>
      <c r="B13" s="220" t="s">
        <v>360</v>
      </c>
      <c r="C13" s="48">
        <v>1360</v>
      </c>
      <c r="D13" s="22"/>
      <c r="E13" s="49"/>
      <c r="F13" s="155">
        <v>60</v>
      </c>
      <c r="G13" s="4"/>
      <c r="H13" s="49"/>
      <c r="I13" s="363"/>
      <c r="J13" s="278"/>
      <c r="K13" s="117"/>
      <c r="L13" s="155">
        <v>50</v>
      </c>
      <c r="M13" s="4"/>
      <c r="N13" s="362"/>
      <c r="O13" s="155">
        <v>25</v>
      </c>
      <c r="P13" s="4"/>
      <c r="Q13" s="313"/>
      <c r="R13" s="303">
        <v>70</v>
      </c>
      <c r="S13" s="4"/>
      <c r="T13" s="117"/>
      <c r="U13" s="155"/>
      <c r="V13" s="222"/>
      <c r="X13" s="402">
        <f>★仕入先!$A$91</f>
        <v>10561</v>
      </c>
      <c r="Y13" s="402">
        <f>★仕入先!$A$209</f>
        <v>30111</v>
      </c>
      <c r="Z13" s="402">
        <f>★仕入先!$A$120</f>
        <v>20063</v>
      </c>
      <c r="AA13" s="402">
        <f>★仕入先!$A$91</f>
        <v>10561</v>
      </c>
      <c r="AB13" s="402">
        <f>★仕入先!$A$209</f>
        <v>30111</v>
      </c>
      <c r="AC13" s="402">
        <f>★仕入先!$A$164</f>
        <v>20302</v>
      </c>
      <c r="AG13" s="402">
        <f>★仕入先!$A$91</f>
        <v>10561</v>
      </c>
      <c r="AH13" s="402">
        <f>★仕入先!$A$209</f>
        <v>30111</v>
      </c>
      <c r="AI13" s="402">
        <f>★仕入先!$A$167</f>
        <v>20318</v>
      </c>
      <c r="AJ13" s="402">
        <f>★仕入先!$A$91</f>
        <v>10561</v>
      </c>
      <c r="AK13" s="402">
        <f>★仕入先!$A$209</f>
        <v>30111</v>
      </c>
      <c r="AL13" s="402">
        <f>★仕入先!$A$167</f>
        <v>20318</v>
      </c>
      <c r="AM13" s="402">
        <f>★仕入先!$A$91</f>
        <v>10561</v>
      </c>
      <c r="AN13" s="402">
        <f>★仕入先!$A$209</f>
        <v>30111</v>
      </c>
      <c r="AO13" s="402">
        <f>★仕入先!$A$168</f>
        <v>20321</v>
      </c>
    </row>
    <row r="14" spans="1:47" ht="17.25" customHeight="1">
      <c r="A14" s="280" t="s">
        <v>12</v>
      </c>
      <c r="B14" s="243" t="s">
        <v>13</v>
      </c>
      <c r="C14" s="244"/>
      <c r="D14" s="281"/>
      <c r="E14" s="332"/>
      <c r="F14" s="282"/>
      <c r="G14" s="245"/>
      <c r="H14" s="226"/>
      <c r="I14" s="282"/>
      <c r="J14" s="245"/>
      <c r="K14" s="226"/>
      <c r="L14" s="282"/>
      <c r="M14" s="245"/>
      <c r="N14" s="226"/>
      <c r="O14" s="282"/>
      <c r="P14" s="245"/>
      <c r="Q14" s="281"/>
      <c r="R14" s="328"/>
      <c r="S14" s="245"/>
      <c r="T14" s="226"/>
      <c r="U14" s="282"/>
      <c r="V14" s="247"/>
    </row>
    <row r="15" spans="1:47" ht="22.5" customHeight="1" thickBot="1">
      <c r="A15" s="270">
        <f>SUM(C15,F15,I15,L15,O15,R15,U15)</f>
        <v>12940</v>
      </c>
      <c r="B15" s="271">
        <f>SUM(D15,G15,J15,M15,P15,S15,V15)</f>
        <v>0</v>
      </c>
      <c r="C15" s="71">
        <f>SUM(C8:C13)</f>
        <v>8700</v>
      </c>
      <c r="D15" s="235" t="str">
        <f>IF(SUM(D8:D13)=0," ",SUM(D8:D13))</f>
        <v xml:space="preserve"> </v>
      </c>
      <c r="E15" s="335"/>
      <c r="F15" s="73">
        <f>SUM(F8:F13)</f>
        <v>350</v>
      </c>
      <c r="G15" s="235" t="str">
        <f>IF(SUM(G8:G13)=0," ",SUM(G8:G13))</f>
        <v xml:space="preserve"> </v>
      </c>
      <c r="H15" s="195"/>
      <c r="I15" s="73">
        <f>SUM(I8:I14)</f>
        <v>1100</v>
      </c>
      <c r="J15" s="235" t="str">
        <f>IF(SUM(J8:J13)=0," ",SUM(J8:J13))</f>
        <v xml:space="preserve"> </v>
      </c>
      <c r="K15" s="195"/>
      <c r="L15" s="73">
        <f>SUM(L8:L13)</f>
        <v>330</v>
      </c>
      <c r="M15" s="235" t="str">
        <f>IF(SUM(M8:M13)=0," ",SUM(M8:M13))</f>
        <v xml:space="preserve"> </v>
      </c>
      <c r="N15" s="195"/>
      <c r="O15" s="73">
        <f>SUM(O8:O13)</f>
        <v>120</v>
      </c>
      <c r="P15" s="235" t="str">
        <f>IF(SUM(P8:P13)=0," ",SUM(P8:P13))</f>
        <v xml:space="preserve"> </v>
      </c>
      <c r="Q15" s="283"/>
      <c r="R15" s="73">
        <f>SUM(R8:R13)</f>
        <v>2140</v>
      </c>
      <c r="S15" s="235" t="str">
        <f>IF(SUM(S8:S13)=0," ",SUM(S8:S13))</f>
        <v xml:space="preserve"> </v>
      </c>
      <c r="T15" s="195"/>
      <c r="U15" s="73">
        <f>SUM(U8:U13)</f>
        <v>200</v>
      </c>
      <c r="V15" s="236" t="str">
        <f>IF(SUM(V8:V13)=0," ",SUM(V8:V13))</f>
        <v xml:space="preserve"> </v>
      </c>
    </row>
    <row r="16" spans="1:47" ht="23.1" customHeight="1" thickBot="1">
      <c r="A16" s="364"/>
      <c r="B16" s="365"/>
      <c r="C16" s="366"/>
      <c r="D16" s="367"/>
      <c r="E16" s="368"/>
      <c r="F16" s="369"/>
      <c r="G16" s="369"/>
      <c r="H16" s="369"/>
      <c r="I16" s="369"/>
      <c r="J16" s="369"/>
      <c r="K16" s="370"/>
      <c r="L16" s="369"/>
      <c r="M16" s="369"/>
      <c r="N16" s="369"/>
      <c r="O16" s="369"/>
      <c r="P16" s="369"/>
      <c r="Q16" s="369"/>
      <c r="R16" s="369"/>
      <c r="S16" s="369"/>
      <c r="T16" s="369"/>
      <c r="U16" s="369"/>
      <c r="V16" s="369"/>
    </row>
    <row r="17" spans="1:26">
      <c r="A17" s="38" t="s">
        <v>133</v>
      </c>
      <c r="B17" s="104"/>
      <c r="C17" s="696" t="s">
        <v>6</v>
      </c>
      <c r="D17" s="714"/>
      <c r="E17" s="832"/>
      <c r="F17" s="832"/>
      <c r="G17" s="832"/>
      <c r="H17" s="832"/>
      <c r="I17" s="832"/>
      <c r="J17" s="832"/>
      <c r="K17" s="832"/>
      <c r="L17" s="832"/>
      <c r="M17" s="832"/>
      <c r="N17" s="832"/>
      <c r="O17" s="832"/>
      <c r="P17" s="832"/>
      <c r="Q17" s="371"/>
      <c r="R17" s="832"/>
      <c r="S17" s="832"/>
      <c r="T17" s="832"/>
      <c r="U17" s="832"/>
      <c r="V17" s="832"/>
    </row>
    <row r="18" spans="1:26">
      <c r="A18" s="215" t="s">
        <v>47</v>
      </c>
      <c r="B18" s="217" t="s">
        <v>48</v>
      </c>
      <c r="C18" s="216" t="s">
        <v>14</v>
      </c>
      <c r="D18" s="218" t="s">
        <v>15</v>
      </c>
      <c r="E18" s="832"/>
      <c r="F18" s="832"/>
      <c r="G18" s="371"/>
      <c r="H18" s="832"/>
      <c r="I18" s="832"/>
      <c r="J18" s="371"/>
      <c r="K18" s="832"/>
      <c r="L18" s="832"/>
      <c r="M18" s="371"/>
      <c r="N18" s="832"/>
      <c r="O18" s="832"/>
      <c r="P18" s="371"/>
      <c r="Q18" s="371"/>
      <c r="R18" s="371"/>
      <c r="S18" s="371"/>
      <c r="T18" s="832"/>
      <c r="U18" s="832"/>
      <c r="V18" s="371"/>
    </row>
    <row r="19" spans="1:26" ht="23.1" customHeight="1">
      <c r="A19" s="223"/>
      <c r="B19" s="220" t="s">
        <v>134</v>
      </c>
      <c r="C19" s="48">
        <v>220</v>
      </c>
      <c r="D19" s="272"/>
      <c r="E19" s="297"/>
      <c r="F19" s="293"/>
      <c r="G19" s="293"/>
      <c r="H19" s="293"/>
      <c r="I19" s="293"/>
      <c r="J19" s="293"/>
      <c r="K19" s="372"/>
      <c r="L19" s="293"/>
      <c r="M19" s="293"/>
      <c r="N19" s="293"/>
      <c r="O19" s="293"/>
      <c r="P19" s="293"/>
      <c r="Q19" s="293"/>
      <c r="R19" s="293"/>
      <c r="S19" s="293"/>
      <c r="T19" s="293"/>
      <c r="U19" s="293"/>
      <c r="V19" s="293"/>
      <c r="X19" s="402">
        <f>★仕入先!$A$91</f>
        <v>10561</v>
      </c>
      <c r="Y19" s="402">
        <f>★仕入先!$A$209</f>
        <v>30111</v>
      </c>
      <c r="Z19" s="402">
        <f>★仕入先!$A$138</f>
        <v>20111</v>
      </c>
    </row>
    <row r="20" spans="1:26" ht="23.1" customHeight="1">
      <c r="A20" s="223"/>
      <c r="B20" s="220" t="s">
        <v>135</v>
      </c>
      <c r="C20" s="48">
        <v>30</v>
      </c>
      <c r="D20" s="272"/>
      <c r="E20" s="297"/>
      <c r="F20" s="293"/>
      <c r="G20" s="293"/>
      <c r="H20" s="293"/>
      <c r="I20" s="293"/>
      <c r="J20" s="293"/>
      <c r="K20" s="372"/>
      <c r="L20" s="293"/>
      <c r="M20" s="293"/>
      <c r="N20" s="293"/>
      <c r="O20" s="293"/>
      <c r="P20" s="293"/>
      <c r="Q20" s="293"/>
      <c r="R20" s="293"/>
      <c r="S20" s="293"/>
      <c r="T20" s="293"/>
      <c r="U20" s="293"/>
      <c r="V20" s="293"/>
      <c r="X20" s="402">
        <f>★仕入先!$A$91</f>
        <v>10561</v>
      </c>
      <c r="Y20" s="402">
        <f>★仕入先!$A$209</f>
        <v>30111</v>
      </c>
      <c r="Z20" s="402">
        <f>★仕入先!$A$139</f>
        <v>20120</v>
      </c>
    </row>
    <row r="21" spans="1:26" ht="23.1" customHeight="1">
      <c r="A21" s="373"/>
      <c r="B21" s="220" t="s">
        <v>1687</v>
      </c>
      <c r="C21" s="48">
        <v>30</v>
      </c>
      <c r="D21" s="272"/>
      <c r="E21" s="297"/>
      <c r="F21" s="293"/>
      <c r="G21" s="293"/>
      <c r="H21" s="293"/>
      <c r="I21" s="293"/>
      <c r="J21" s="293"/>
      <c r="K21" s="372"/>
      <c r="L21" s="293"/>
      <c r="M21" s="293"/>
      <c r="N21" s="293"/>
      <c r="O21" s="293"/>
      <c r="P21" s="293"/>
      <c r="Q21" s="293"/>
      <c r="R21" s="293"/>
      <c r="S21" s="293"/>
      <c r="T21" s="293"/>
      <c r="U21" s="293"/>
      <c r="V21" s="293"/>
      <c r="X21" s="402">
        <f>★仕入先!$A$91</f>
        <v>10561</v>
      </c>
      <c r="Y21" s="402">
        <f>★仕入先!$A$209</f>
        <v>30111</v>
      </c>
      <c r="Z21" s="402">
        <f>★仕入先!$A$140</f>
        <v>20121</v>
      </c>
    </row>
    <row r="22" spans="1:26" ht="22.9" customHeight="1">
      <c r="A22" s="289"/>
      <c r="B22" s="240" t="s">
        <v>1686</v>
      </c>
      <c r="C22" s="58">
        <v>30</v>
      </c>
      <c r="D22" s="272"/>
      <c r="E22" s="374"/>
      <c r="F22" s="293"/>
      <c r="G22" s="374"/>
      <c r="H22" s="374"/>
      <c r="I22" s="293"/>
      <c r="J22" s="293"/>
      <c r="K22" s="374"/>
      <c r="L22" s="293"/>
      <c r="M22" s="293"/>
      <c r="N22" s="293"/>
      <c r="O22" s="293"/>
      <c r="P22" s="293"/>
      <c r="Q22" s="293"/>
      <c r="R22" s="293"/>
      <c r="S22" s="293"/>
      <c r="T22" s="293"/>
      <c r="U22" s="293"/>
      <c r="V22" s="293"/>
      <c r="X22" s="402">
        <f>★仕入先!$A$91</f>
        <v>10561</v>
      </c>
      <c r="Y22" s="402">
        <f>★仕入先!$A$209</f>
        <v>30111</v>
      </c>
      <c r="Z22" s="402">
        <f>★仕入先!$A$145</f>
        <v>20134</v>
      </c>
    </row>
    <row r="23" spans="1:26" ht="22.9" customHeight="1">
      <c r="A23" s="373"/>
      <c r="B23" s="220" t="s">
        <v>136</v>
      </c>
      <c r="C23" s="48">
        <v>180</v>
      </c>
      <c r="D23" s="272"/>
      <c r="E23" s="297"/>
      <c r="F23" s="293"/>
      <c r="G23" s="293"/>
      <c r="H23" s="293"/>
      <c r="I23" s="293"/>
      <c r="J23" s="293"/>
      <c r="K23" s="372"/>
      <c r="L23" s="293"/>
      <c r="M23" s="293"/>
      <c r="N23" s="293"/>
      <c r="O23" s="293"/>
      <c r="P23" s="293"/>
      <c r="Q23" s="293"/>
      <c r="R23" s="293"/>
      <c r="S23" s="293"/>
      <c r="T23" s="293"/>
      <c r="U23" s="293"/>
      <c r="V23" s="293"/>
      <c r="X23" s="402">
        <f>★仕入先!$A$91</f>
        <v>10561</v>
      </c>
      <c r="Y23" s="402">
        <f>★仕入先!$A$209</f>
        <v>30111</v>
      </c>
      <c r="Z23" s="402">
        <f>★仕入先!$A$141</f>
        <v>20122</v>
      </c>
    </row>
    <row r="24" spans="1:26" ht="23.1" customHeight="1">
      <c r="A24" s="373"/>
      <c r="B24" s="220" t="s">
        <v>137</v>
      </c>
      <c r="C24" s="48">
        <v>60</v>
      </c>
      <c r="D24" s="272"/>
      <c r="E24" s="297"/>
      <c r="F24" s="293"/>
      <c r="G24" s="293"/>
      <c r="H24" s="293"/>
      <c r="I24" s="293"/>
      <c r="J24" s="293"/>
      <c r="K24" s="372"/>
      <c r="L24" s="293"/>
      <c r="M24" s="293"/>
      <c r="N24" s="293"/>
      <c r="O24" s="293"/>
      <c r="P24" s="293"/>
      <c r="Q24" s="293"/>
      <c r="R24" s="293"/>
      <c r="S24" s="293"/>
      <c r="T24" s="293"/>
      <c r="U24" s="293"/>
      <c r="V24" s="293"/>
      <c r="X24" s="402">
        <f>★仕入先!$A$91</f>
        <v>10561</v>
      </c>
      <c r="Y24" s="402">
        <f>★仕入先!$A$209</f>
        <v>30111</v>
      </c>
      <c r="Z24" s="402">
        <f>★仕入先!$A$142</f>
        <v>20131</v>
      </c>
    </row>
    <row r="25" spans="1:26" ht="23.1" customHeight="1">
      <c r="A25" s="320"/>
      <c r="B25" s="240" t="s">
        <v>58</v>
      </c>
      <c r="C25" s="58">
        <v>20</v>
      </c>
      <c r="D25" s="272"/>
      <c r="E25" s="374"/>
      <c r="F25" s="293"/>
      <c r="G25" s="374"/>
      <c r="H25" s="374"/>
      <c r="I25" s="293"/>
      <c r="J25" s="293"/>
      <c r="K25" s="374"/>
      <c r="L25" s="293"/>
      <c r="M25" s="293"/>
      <c r="N25" s="293"/>
      <c r="O25" s="293"/>
      <c r="P25" s="293"/>
      <c r="Q25" s="293"/>
      <c r="R25" s="293"/>
      <c r="S25" s="293"/>
      <c r="T25" s="293"/>
      <c r="U25" s="293"/>
      <c r="V25" s="293"/>
      <c r="X25" s="402">
        <f>★仕入先!$A$91</f>
        <v>10561</v>
      </c>
      <c r="Y25" s="402">
        <f>★仕入先!$A$209</f>
        <v>30111</v>
      </c>
      <c r="Z25" s="402">
        <f>★仕入先!$A$143</f>
        <v>20132</v>
      </c>
    </row>
    <row r="26" spans="1:26" ht="23.1" customHeight="1">
      <c r="A26" s="289"/>
      <c r="B26" s="240" t="s">
        <v>60</v>
      </c>
      <c r="C26" s="58">
        <v>90</v>
      </c>
      <c r="D26" s="272"/>
      <c r="E26" s="374"/>
      <c r="F26" s="293"/>
      <c r="G26" s="374"/>
      <c r="H26" s="374"/>
      <c r="I26" s="293"/>
      <c r="J26" s="293"/>
      <c r="K26" s="374"/>
      <c r="L26" s="293"/>
      <c r="M26" s="293"/>
      <c r="N26" s="293"/>
      <c r="O26" s="293"/>
      <c r="P26" s="293"/>
      <c r="Q26" s="293"/>
      <c r="R26" s="293"/>
      <c r="S26" s="293"/>
      <c r="T26" s="293"/>
      <c r="U26" s="293"/>
      <c r="V26" s="293"/>
      <c r="X26" s="402">
        <f>★仕入先!$A$91</f>
        <v>10561</v>
      </c>
      <c r="Y26" s="402">
        <f>★仕入先!$A$209</f>
        <v>30111</v>
      </c>
      <c r="Z26" s="402">
        <f>★仕入先!$A$144</f>
        <v>20133</v>
      </c>
    </row>
    <row r="27" spans="1:26" ht="23.1" customHeight="1">
      <c r="A27" s="289"/>
      <c r="B27" s="240" t="s">
        <v>1139</v>
      </c>
      <c r="C27" s="58">
        <v>30</v>
      </c>
      <c r="D27" s="272"/>
      <c r="E27" s="374"/>
      <c r="F27" s="293"/>
      <c r="G27" s="374"/>
      <c r="H27" s="374"/>
      <c r="I27" s="293"/>
      <c r="J27" s="293"/>
      <c r="K27" s="374"/>
      <c r="L27" s="293"/>
      <c r="M27" s="293"/>
      <c r="N27" s="293"/>
      <c r="O27" s="293"/>
      <c r="P27" s="293"/>
      <c r="Q27" s="293"/>
      <c r="R27" s="293"/>
      <c r="S27" s="293"/>
      <c r="T27" s="293"/>
      <c r="U27" s="293"/>
      <c r="V27" s="293"/>
      <c r="X27" s="402">
        <f>★仕入先!$A$91</f>
        <v>10561</v>
      </c>
      <c r="Y27" s="402">
        <f>★仕入先!$A$209</f>
        <v>30111</v>
      </c>
      <c r="Z27" s="402">
        <f>★仕入先!$A$148</f>
        <v>20143</v>
      </c>
    </row>
    <row r="28" spans="1:26" ht="23.1" customHeight="1">
      <c r="A28" s="289"/>
      <c r="B28" s="240" t="s">
        <v>138</v>
      </c>
      <c r="C28" s="58">
        <v>30</v>
      </c>
      <c r="D28" s="272"/>
      <c r="E28" s="374"/>
      <c r="F28" s="293"/>
      <c r="G28" s="374"/>
      <c r="H28" s="374"/>
      <c r="I28" s="293"/>
      <c r="J28" s="293"/>
      <c r="K28" s="374"/>
      <c r="L28" s="293"/>
      <c r="M28" s="293"/>
      <c r="N28" s="293"/>
      <c r="O28" s="293"/>
      <c r="P28" s="293"/>
      <c r="Q28" s="293"/>
      <c r="R28" s="293"/>
      <c r="S28" s="293"/>
      <c r="T28" s="293"/>
      <c r="U28" s="293"/>
      <c r="V28" s="293"/>
      <c r="X28" s="402">
        <f>★仕入先!$A$91</f>
        <v>10561</v>
      </c>
      <c r="Y28" s="402">
        <f>★仕入先!$A$209</f>
        <v>30111</v>
      </c>
      <c r="Z28" s="402">
        <f>★仕入先!$A$146</f>
        <v>20140</v>
      </c>
    </row>
    <row r="29" spans="1:26" ht="23.1" customHeight="1">
      <c r="A29" s="289"/>
      <c r="B29" s="240" t="s">
        <v>139</v>
      </c>
      <c r="C29" s="58">
        <v>40</v>
      </c>
      <c r="D29" s="272"/>
      <c r="E29" s="297"/>
      <c r="F29" s="293"/>
      <c r="G29" s="374"/>
      <c r="H29" s="374"/>
      <c r="I29" s="293"/>
      <c r="J29" s="293"/>
      <c r="K29" s="374"/>
      <c r="L29" s="293"/>
      <c r="M29" s="293"/>
      <c r="N29" s="293"/>
      <c r="O29" s="293"/>
      <c r="P29" s="293"/>
      <c r="Q29" s="293"/>
      <c r="R29" s="293"/>
      <c r="S29" s="293"/>
      <c r="T29" s="293"/>
      <c r="U29" s="293"/>
      <c r="V29" s="293"/>
      <c r="X29" s="402">
        <f>★仕入先!$A$91</f>
        <v>10561</v>
      </c>
      <c r="Y29" s="402">
        <f>★仕入先!$A$209</f>
        <v>30111</v>
      </c>
      <c r="Z29" s="402">
        <f>★仕入先!$A$147</f>
        <v>20141</v>
      </c>
    </row>
    <row r="30" spans="1:26" ht="17.25" customHeight="1">
      <c r="A30" s="280" t="s">
        <v>12</v>
      </c>
      <c r="B30" s="243" t="s">
        <v>13</v>
      </c>
      <c r="C30" s="244"/>
      <c r="D30" s="247"/>
      <c r="E30" s="297"/>
      <c r="F30" s="293"/>
      <c r="G30" s="293"/>
      <c r="H30" s="293"/>
      <c r="I30" s="293"/>
      <c r="J30" s="293"/>
      <c r="K30" s="372"/>
      <c r="L30" s="293"/>
      <c r="M30" s="293"/>
      <c r="N30" s="293"/>
      <c r="O30" s="293"/>
      <c r="P30" s="293"/>
      <c r="Q30" s="293"/>
      <c r="R30" s="295"/>
      <c r="S30" s="293"/>
      <c r="T30" s="293"/>
      <c r="U30" s="293"/>
      <c r="V30" s="293"/>
    </row>
    <row r="31" spans="1:26" ht="22.5" customHeight="1" thickBot="1">
      <c r="A31" s="270">
        <f>SUM(C31,F31,I31,L31,O31,R31,U31)</f>
        <v>760</v>
      </c>
      <c r="B31" s="271" t="str">
        <f>D31</f>
        <v xml:space="preserve"> </v>
      </c>
      <c r="C31" s="71">
        <f>SUM(C19:C30)</f>
        <v>760</v>
      </c>
      <c r="D31" s="236" t="str">
        <f>IF(SUM(D19:D29)=0," ",SUM(D19:D29))</f>
        <v xml:space="preserve"> </v>
      </c>
      <c r="E31" s="293"/>
      <c r="F31" s="293"/>
      <c r="G31" s="293"/>
      <c r="H31" s="293"/>
      <c r="I31" s="293"/>
      <c r="J31" s="293"/>
      <c r="K31" s="372"/>
      <c r="L31" s="293"/>
      <c r="M31" s="293"/>
      <c r="N31" s="293"/>
      <c r="O31" s="293"/>
      <c r="P31" s="293"/>
      <c r="Q31" s="293"/>
      <c r="R31" s="293"/>
      <c r="S31" s="293"/>
      <c r="T31" s="293"/>
      <c r="U31" s="293"/>
      <c r="V31" s="293"/>
    </row>
    <row r="32" spans="1:26">
      <c r="A32" s="99"/>
      <c r="B32" s="99"/>
      <c r="C32" s="99"/>
      <c r="D32" s="99"/>
      <c r="E32" s="99"/>
      <c r="F32" s="99"/>
      <c r="G32" s="99"/>
      <c r="H32" s="99"/>
      <c r="I32" s="99"/>
      <c r="J32" s="99"/>
      <c r="K32" s="99"/>
      <c r="L32" s="99"/>
      <c r="M32" s="99"/>
      <c r="N32" s="99"/>
      <c r="O32" s="99"/>
      <c r="P32" s="99"/>
      <c r="Q32" s="99"/>
      <c r="R32" s="99"/>
      <c r="S32" s="99"/>
      <c r="T32" s="99"/>
      <c r="U32" s="99"/>
      <c r="V32" s="99"/>
    </row>
    <row r="33" spans="1:22">
      <c r="A33" s="99"/>
      <c r="B33" s="99"/>
      <c r="C33" s="99"/>
      <c r="D33" s="99"/>
      <c r="E33" s="99"/>
      <c r="F33" s="99"/>
      <c r="G33" s="99"/>
      <c r="H33" s="99"/>
      <c r="I33" s="99"/>
      <c r="J33" s="99"/>
      <c r="K33" s="99"/>
      <c r="L33" s="99"/>
      <c r="M33" s="99"/>
      <c r="N33" s="99"/>
      <c r="O33" s="99"/>
      <c r="P33" s="99"/>
      <c r="Q33" s="99"/>
      <c r="R33" s="99"/>
      <c r="S33" s="99"/>
      <c r="T33" s="99"/>
      <c r="U33" s="99"/>
      <c r="V33" s="99"/>
    </row>
    <row r="34" spans="1:22">
      <c r="A34" s="99"/>
      <c r="B34" s="99"/>
      <c r="C34" s="99"/>
      <c r="D34" s="293"/>
      <c r="E34" s="99"/>
      <c r="F34" s="99"/>
      <c r="G34" s="99"/>
      <c r="H34" s="99"/>
      <c r="I34" s="99"/>
      <c r="J34" s="99"/>
      <c r="K34" s="99"/>
      <c r="L34" s="99"/>
      <c r="M34" s="99"/>
      <c r="N34" s="99"/>
      <c r="O34" s="99"/>
      <c r="P34" s="99"/>
      <c r="Q34" s="99"/>
      <c r="R34" s="99"/>
      <c r="S34" s="99"/>
      <c r="T34" s="99"/>
      <c r="U34" s="99"/>
      <c r="V34" s="99"/>
    </row>
  </sheetData>
  <sheetProtection sheet="1" objects="1" scenarios="1"/>
  <mergeCells count="43">
    <mergeCell ref="AP5:AR5"/>
    <mergeCell ref="X5:Z5"/>
    <mergeCell ref="AA5:AC5"/>
    <mergeCell ref="AD5:AF5"/>
    <mergeCell ref="AG5:AI5"/>
    <mergeCell ref="AJ5:AL5"/>
    <mergeCell ref="AM5:AO5"/>
    <mergeCell ref="A1:T1"/>
    <mergeCell ref="U1:V1"/>
    <mergeCell ref="A3:B3"/>
    <mergeCell ref="G3:G4"/>
    <mergeCell ref="I3:J4"/>
    <mergeCell ref="Q3:R4"/>
    <mergeCell ref="M3:O4"/>
    <mergeCell ref="S3:V4"/>
    <mergeCell ref="A4:B4"/>
    <mergeCell ref="C6:D6"/>
    <mergeCell ref="C4:F4"/>
    <mergeCell ref="P3:P4"/>
    <mergeCell ref="T6:V6"/>
    <mergeCell ref="E6:G6"/>
    <mergeCell ref="N6:P6"/>
    <mergeCell ref="R6:S6"/>
    <mergeCell ref="H6:J6"/>
    <mergeCell ref="K6:M6"/>
    <mergeCell ref="K3:L4"/>
    <mergeCell ref="C17:D17"/>
    <mergeCell ref="E17:G17"/>
    <mergeCell ref="E7:F7"/>
    <mergeCell ref="N7:O7"/>
    <mergeCell ref="H17:J17"/>
    <mergeCell ref="K7:L7"/>
    <mergeCell ref="H7:I7"/>
    <mergeCell ref="K17:M17"/>
    <mergeCell ref="N17:P17"/>
    <mergeCell ref="R17:S17"/>
    <mergeCell ref="T17:V17"/>
    <mergeCell ref="T7:U7"/>
    <mergeCell ref="E18:F18"/>
    <mergeCell ref="H18:I18"/>
    <mergeCell ref="K18:L18"/>
    <mergeCell ref="N18:O18"/>
    <mergeCell ref="T18:U18"/>
  </mergeCells>
  <phoneticPr fontId="15"/>
  <printOptions horizont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Ｐゴシック,太字"10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U18"/>
  <sheetViews>
    <sheetView zoomScale="70" zoomScaleNormal="70" zoomScaleSheetLayoutView="75" workbookViewId="0">
      <pane xSplit="2" ySplit="7" topLeftCell="C8" activePane="bottomRight" state="frozen"/>
      <selection activeCell="I18" sqref="I18"/>
      <selection pane="topRight" activeCell="I18" sqref="I18"/>
      <selection pane="bottomLeft" activeCell="I18" sqref="I18"/>
      <selection pane="bottomRight" activeCell="AZ21" sqref="AZ21"/>
    </sheetView>
  </sheetViews>
  <sheetFormatPr defaultColWidth="9" defaultRowHeight="14.25"/>
  <cols>
    <col min="1" max="1" width="15.875" style="98" customWidth="1"/>
    <col min="2" max="2" width="11.25" style="98" bestFit="1" customWidth="1"/>
    <col min="3" max="4" width="9.625" style="98" customWidth="1"/>
    <col min="5" max="5" width="2.125" style="98" customWidth="1"/>
    <col min="6" max="6" width="8.125" style="98" customWidth="1"/>
    <col min="7" max="7" width="9.625" style="98" customWidth="1"/>
    <col min="8" max="8" width="2.125" style="98" customWidth="1"/>
    <col min="9" max="9" width="8.125" style="98" customWidth="1"/>
    <col min="10" max="10" width="9.625" style="98" customWidth="1"/>
    <col min="11" max="11" width="2.125" style="98" customWidth="1"/>
    <col min="12" max="12" width="8.125" style="98" customWidth="1"/>
    <col min="13" max="13" width="9.625" style="98" customWidth="1"/>
    <col min="14" max="14" width="2.125" style="98" customWidth="1"/>
    <col min="15" max="15" width="8.125" style="98" customWidth="1"/>
    <col min="16" max="16" width="9.625" style="98" customWidth="1"/>
    <col min="17" max="17" width="2.125" style="98" customWidth="1"/>
    <col min="18" max="18" width="8.125" style="98" customWidth="1"/>
    <col min="19" max="19" width="9.625" style="98" customWidth="1"/>
    <col min="20" max="20" width="2.125" style="98" customWidth="1"/>
    <col min="21" max="21" width="8.125" style="98" customWidth="1"/>
    <col min="22" max="22" width="9.625" style="98" customWidth="1"/>
    <col min="23" max="23" width="9" style="98" hidden="1" customWidth="1"/>
    <col min="24" max="30" width="9" style="212" hidden="1" customWidth="1"/>
    <col min="31" max="31" width="9.375" style="212" hidden="1" customWidth="1"/>
    <col min="32" max="44" width="9" style="212" hidden="1" customWidth="1"/>
    <col min="45" max="45" width="9" style="31" hidden="1" customWidth="1"/>
    <col min="46" max="47" width="9" style="31"/>
    <col min="48" max="16384" width="9" style="98"/>
  </cols>
  <sheetData>
    <row r="1" spans="1:47" ht="17.25">
      <c r="A1" s="703" t="s">
        <v>0</v>
      </c>
      <c r="B1" s="703"/>
      <c r="C1" s="703"/>
      <c r="D1" s="703"/>
      <c r="E1" s="703"/>
      <c r="F1" s="703"/>
      <c r="G1" s="703"/>
      <c r="H1" s="703"/>
      <c r="I1" s="703"/>
      <c r="J1" s="703"/>
      <c r="K1" s="703"/>
      <c r="L1" s="703"/>
      <c r="M1" s="703"/>
      <c r="N1" s="703"/>
      <c r="O1" s="703"/>
      <c r="P1" s="703"/>
      <c r="Q1" s="703"/>
      <c r="R1" s="703"/>
      <c r="S1" s="703"/>
      <c r="T1" s="703"/>
      <c r="U1" s="704">
        <f>①総合計!R1</f>
        <v>2023.1</v>
      </c>
      <c r="V1" s="704"/>
    </row>
    <row r="2" spans="1:47" ht="15" thickBot="1">
      <c r="A2" s="99"/>
      <c r="B2" s="99"/>
      <c r="C2" s="99"/>
      <c r="D2" s="99"/>
      <c r="E2" s="99"/>
      <c r="F2" s="99"/>
      <c r="G2" s="99"/>
      <c r="H2" s="99"/>
      <c r="I2" s="99"/>
      <c r="J2" s="99"/>
      <c r="K2" s="99"/>
      <c r="L2" s="99"/>
      <c r="M2" s="99"/>
      <c r="N2" s="99"/>
      <c r="O2" s="99"/>
      <c r="P2" s="99"/>
      <c r="Q2" s="99"/>
      <c r="R2" s="99"/>
      <c r="S2" s="99"/>
      <c r="T2" s="99"/>
      <c r="U2" s="99"/>
      <c r="V2" s="100" t="s">
        <v>140</v>
      </c>
    </row>
    <row r="3" spans="1:47" ht="20.100000000000001" customHeight="1">
      <c r="A3" s="705" t="s">
        <v>1</v>
      </c>
      <c r="B3" s="706"/>
      <c r="C3" s="835" t="s">
        <v>2</v>
      </c>
      <c r="D3" s="706"/>
      <c r="E3" s="706"/>
      <c r="F3" s="707"/>
      <c r="G3" s="729" t="s">
        <v>145</v>
      </c>
      <c r="H3" s="816" t="str">
        <f>IF(①総合計!I3= 0," ",①総合計!I3)</f>
        <v xml:space="preserve"> </v>
      </c>
      <c r="I3" s="787"/>
      <c r="J3" s="787"/>
      <c r="K3" s="729" t="s">
        <v>3</v>
      </c>
      <c r="L3" s="818"/>
      <c r="M3" s="820" t="str">
        <f>IF(B16=0," ",B16)</f>
        <v xml:space="preserve"> </v>
      </c>
      <c r="N3" s="821"/>
      <c r="O3" s="821"/>
      <c r="P3" s="833" t="str">
        <f>①総合計!$L$3</f>
        <v xml:space="preserve"> </v>
      </c>
      <c r="Q3" s="729" t="s">
        <v>4</v>
      </c>
      <c r="R3" s="730"/>
      <c r="S3" s="802" t="str">
        <f>IF(①総合計!Q3=0," ",①総合計!Q3)</f>
        <v xml:space="preserve"> </v>
      </c>
      <c r="T3" s="802"/>
      <c r="U3" s="802"/>
      <c r="V3" s="803"/>
    </row>
    <row r="4" spans="1:47" ht="20.100000000000001" customHeight="1" thickBot="1">
      <c r="A4" s="776" t="str">
        <f>IF(①総合計!A4=0," ",①総合計!A4)</f>
        <v xml:space="preserve"> </v>
      </c>
      <c r="B4" s="777"/>
      <c r="C4" s="789" t="str">
        <f>IF(①総合計!E4=0," ",①総合計!E4)</f>
        <v xml:space="preserve"> </v>
      </c>
      <c r="D4" s="777"/>
      <c r="E4" s="777"/>
      <c r="F4" s="790"/>
      <c r="G4" s="731"/>
      <c r="H4" s="817"/>
      <c r="I4" s="788"/>
      <c r="J4" s="788"/>
      <c r="K4" s="731"/>
      <c r="L4" s="819"/>
      <c r="M4" s="822"/>
      <c r="N4" s="823"/>
      <c r="O4" s="823"/>
      <c r="P4" s="834"/>
      <c r="Q4" s="731"/>
      <c r="R4" s="732"/>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26"/>
      <c r="AT4" s="26"/>
      <c r="AU4" s="26"/>
    </row>
    <row r="5" spans="1:47"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6" t="s">
        <v>277</v>
      </c>
      <c r="AB5" s="609"/>
      <c r="AC5" s="609"/>
      <c r="AD5" s="806" t="s">
        <v>278</v>
      </c>
      <c r="AE5" s="609"/>
      <c r="AF5" s="609"/>
      <c r="AG5" s="806" t="s">
        <v>279</v>
      </c>
      <c r="AH5" s="609"/>
      <c r="AI5" s="609"/>
      <c r="AJ5" s="806" t="s">
        <v>228</v>
      </c>
      <c r="AK5" s="609"/>
      <c r="AL5" s="609"/>
      <c r="AM5" s="806" t="s">
        <v>43</v>
      </c>
      <c r="AN5" s="609"/>
      <c r="AO5" s="609"/>
      <c r="AP5" s="806" t="s">
        <v>280</v>
      </c>
      <c r="AQ5" s="609"/>
      <c r="AR5" s="609"/>
    </row>
    <row r="6" spans="1:47">
      <c r="A6" s="38" t="s">
        <v>141</v>
      </c>
      <c r="B6" s="207"/>
      <c r="C6" s="696" t="s">
        <v>6</v>
      </c>
      <c r="D6" s="697"/>
      <c r="E6" s="697" t="s">
        <v>7</v>
      </c>
      <c r="F6" s="812"/>
      <c r="G6" s="810"/>
      <c r="H6" s="697" t="s">
        <v>8</v>
      </c>
      <c r="I6" s="812"/>
      <c r="J6" s="810"/>
      <c r="K6" s="697" t="s">
        <v>9</v>
      </c>
      <c r="L6" s="812"/>
      <c r="M6" s="810"/>
      <c r="N6" s="697" t="s">
        <v>228</v>
      </c>
      <c r="O6" s="812"/>
      <c r="P6" s="810"/>
      <c r="Q6" s="697" t="s">
        <v>43</v>
      </c>
      <c r="R6" s="812"/>
      <c r="S6" s="810"/>
      <c r="T6" s="697" t="s">
        <v>11</v>
      </c>
      <c r="U6" s="812"/>
      <c r="V6" s="813"/>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row>
    <row r="7" spans="1:47">
      <c r="A7" s="215" t="s">
        <v>47</v>
      </c>
      <c r="B7" s="41" t="s">
        <v>232</v>
      </c>
      <c r="C7" s="216" t="s">
        <v>14</v>
      </c>
      <c r="D7" s="217" t="s">
        <v>15</v>
      </c>
      <c r="E7" s="814" t="s">
        <v>14</v>
      </c>
      <c r="F7" s="815"/>
      <c r="G7" s="216" t="s">
        <v>15</v>
      </c>
      <c r="H7" s="814" t="s">
        <v>14</v>
      </c>
      <c r="I7" s="815"/>
      <c r="J7" s="216" t="s">
        <v>15</v>
      </c>
      <c r="K7" s="814" t="s">
        <v>14</v>
      </c>
      <c r="L7" s="815"/>
      <c r="M7" s="216" t="s">
        <v>15</v>
      </c>
      <c r="N7" s="814" t="s">
        <v>14</v>
      </c>
      <c r="O7" s="815"/>
      <c r="P7" s="216" t="s">
        <v>15</v>
      </c>
      <c r="Q7" s="814" t="s">
        <v>14</v>
      </c>
      <c r="R7" s="815"/>
      <c r="S7" s="216" t="s">
        <v>15</v>
      </c>
      <c r="T7" s="814" t="s">
        <v>14</v>
      </c>
      <c r="U7" s="815"/>
      <c r="V7" s="218" t="s">
        <v>15</v>
      </c>
      <c r="X7" s="42">
        <v>1</v>
      </c>
      <c r="Y7" s="42">
        <v>1</v>
      </c>
      <c r="Z7" s="42">
        <v>1</v>
      </c>
      <c r="AA7" s="42">
        <v>3</v>
      </c>
      <c r="AB7" s="42">
        <v>3</v>
      </c>
      <c r="AC7" s="42">
        <v>3</v>
      </c>
      <c r="AD7" s="42">
        <v>2</v>
      </c>
      <c r="AE7" s="42">
        <v>2</v>
      </c>
      <c r="AF7" s="42">
        <v>2</v>
      </c>
      <c r="AG7" s="42">
        <v>4</v>
      </c>
      <c r="AH7" s="42">
        <v>4</v>
      </c>
      <c r="AI7" s="42">
        <v>4</v>
      </c>
      <c r="AJ7" s="42">
        <v>5</v>
      </c>
      <c r="AK7" s="42">
        <v>5</v>
      </c>
      <c r="AL7" s="42">
        <v>5</v>
      </c>
      <c r="AM7" s="42">
        <v>8</v>
      </c>
      <c r="AN7" s="42">
        <v>8</v>
      </c>
      <c r="AO7" s="42">
        <v>8</v>
      </c>
      <c r="AP7" s="42">
        <v>7</v>
      </c>
      <c r="AQ7" s="42">
        <v>7</v>
      </c>
      <c r="AR7" s="42">
        <v>7</v>
      </c>
    </row>
    <row r="8" spans="1:47" ht="23.1" customHeight="1">
      <c r="A8" s="219" t="s">
        <v>152</v>
      </c>
      <c r="B8" s="220" t="s">
        <v>142</v>
      </c>
      <c r="C8" s="48">
        <v>2200</v>
      </c>
      <c r="D8" s="3"/>
      <c r="E8" s="362"/>
      <c r="F8" s="50"/>
      <c r="G8" s="278"/>
      <c r="H8" s="49"/>
      <c r="I8" s="50">
        <v>400</v>
      </c>
      <c r="J8" s="4"/>
      <c r="K8" s="362"/>
      <c r="L8" s="50"/>
      <c r="M8" s="278"/>
      <c r="N8" s="362"/>
      <c r="O8" s="50"/>
      <c r="P8" s="278"/>
      <c r="Q8" s="49" t="s">
        <v>236</v>
      </c>
      <c r="R8" s="50">
        <v>550</v>
      </c>
      <c r="S8" s="4"/>
      <c r="T8" s="362"/>
      <c r="U8" s="50"/>
      <c r="V8" s="375"/>
      <c r="X8" s="402">
        <f>★仕入先!$A$69</f>
        <v>10502</v>
      </c>
      <c r="Y8" s="402">
        <f>★仕入先!$A$208</f>
        <v>30101</v>
      </c>
      <c r="Z8" s="402">
        <f>★仕入先!$A$170</f>
        <v>20351</v>
      </c>
      <c r="AD8" s="402">
        <f>★仕入先!$A$70</f>
        <v>10504</v>
      </c>
      <c r="AE8" s="402">
        <f>★仕入先!$A$208</f>
        <v>30101</v>
      </c>
      <c r="AF8" s="402">
        <f>★仕入先!$A$170</f>
        <v>20351</v>
      </c>
      <c r="AM8" s="402">
        <f>★仕入先!$A$71</f>
        <v>10507</v>
      </c>
      <c r="AN8" s="402">
        <f>★仕入先!$A$208</f>
        <v>30101</v>
      </c>
      <c r="AO8" s="402">
        <f>★仕入先!$A$170</f>
        <v>20351</v>
      </c>
    </row>
    <row r="9" spans="1:47" ht="23.1" customHeight="1">
      <c r="A9" s="376"/>
      <c r="B9" s="220" t="s">
        <v>143</v>
      </c>
      <c r="C9" s="48">
        <v>1450</v>
      </c>
      <c r="D9" s="3"/>
      <c r="E9" s="362"/>
      <c r="F9" s="50"/>
      <c r="G9" s="278"/>
      <c r="H9" s="49"/>
      <c r="I9" s="155">
        <v>250</v>
      </c>
      <c r="J9" s="4"/>
      <c r="K9" s="362"/>
      <c r="L9" s="155"/>
      <c r="M9" s="278"/>
      <c r="N9" s="362"/>
      <c r="O9" s="155"/>
      <c r="P9" s="278"/>
      <c r="Q9" s="49" t="s">
        <v>236</v>
      </c>
      <c r="R9" s="50">
        <v>300</v>
      </c>
      <c r="S9" s="4"/>
      <c r="T9" s="362"/>
      <c r="U9" s="155"/>
      <c r="V9" s="375"/>
      <c r="X9" s="402">
        <f>★仕入先!$A$72</f>
        <v>10515</v>
      </c>
      <c r="Y9" s="402">
        <f>★仕入先!$A$208</f>
        <v>30101</v>
      </c>
      <c r="Z9" s="402">
        <f>★仕入先!$A$170</f>
        <v>20351</v>
      </c>
      <c r="AD9" s="402">
        <f>★仕入先!$A$73</f>
        <v>10516</v>
      </c>
      <c r="AE9" s="402">
        <f>★仕入先!$A$208</f>
        <v>30101</v>
      </c>
      <c r="AF9" s="402">
        <f>★仕入先!$A$170</f>
        <v>20351</v>
      </c>
      <c r="AM9" s="402">
        <f>★仕入先!$A$74</f>
        <v>10518</v>
      </c>
      <c r="AN9" s="402">
        <f>★仕入先!$A$208</f>
        <v>30101</v>
      </c>
      <c r="AO9" s="402">
        <f>★仕入先!$A$170</f>
        <v>20351</v>
      </c>
    </row>
    <row r="10" spans="1:47" ht="23.1" customHeight="1">
      <c r="A10" s="219" t="s">
        <v>144</v>
      </c>
      <c r="B10" s="220" t="s">
        <v>37</v>
      </c>
      <c r="C10" s="48">
        <v>600</v>
      </c>
      <c r="D10" s="3"/>
      <c r="E10" s="362"/>
      <c r="F10" s="50"/>
      <c r="G10" s="278"/>
      <c r="H10" s="49"/>
      <c r="I10" s="155">
        <v>300</v>
      </c>
      <c r="J10" s="4"/>
      <c r="K10" s="362"/>
      <c r="L10" s="155"/>
      <c r="M10" s="278"/>
      <c r="N10" s="362"/>
      <c r="O10" s="155"/>
      <c r="P10" s="278"/>
      <c r="Q10" s="49" t="s">
        <v>236</v>
      </c>
      <c r="R10" s="50">
        <v>500</v>
      </c>
      <c r="S10" s="4"/>
      <c r="T10" s="362"/>
      <c r="U10" s="155"/>
      <c r="V10" s="375"/>
      <c r="X10" s="402">
        <f>★仕入先!$A$87</f>
        <v>10538</v>
      </c>
      <c r="Y10" s="402">
        <f>★仕入先!$A$208</f>
        <v>30101</v>
      </c>
      <c r="Z10" s="402">
        <f>★仕入先!$A$170</f>
        <v>20351</v>
      </c>
      <c r="AD10" s="402">
        <f>★仕入先!$A$86</f>
        <v>10537</v>
      </c>
      <c r="AE10" s="402">
        <f>★仕入先!$A$208</f>
        <v>30101</v>
      </c>
      <c r="AF10" s="402">
        <f>★仕入先!$A$170</f>
        <v>20351</v>
      </c>
      <c r="AM10" s="402">
        <f>★仕入先!$A$84</f>
        <v>10534</v>
      </c>
      <c r="AN10" s="402">
        <f>★仕入先!$A$208</f>
        <v>30101</v>
      </c>
      <c r="AO10" s="402">
        <f>★仕入先!$A$170</f>
        <v>20351</v>
      </c>
    </row>
    <row r="11" spans="1:47" ht="23.1" customHeight="1">
      <c r="A11" s="373"/>
      <c r="B11" s="220" t="s">
        <v>230</v>
      </c>
      <c r="C11" s="48"/>
      <c r="D11" s="221"/>
      <c r="E11" s="362"/>
      <c r="F11" s="155"/>
      <c r="G11" s="278"/>
      <c r="H11" s="49"/>
      <c r="I11" s="155">
        <v>150</v>
      </c>
      <c r="J11" s="4"/>
      <c r="K11" s="362"/>
      <c r="L11" s="155"/>
      <c r="M11" s="278"/>
      <c r="N11" s="362"/>
      <c r="O11" s="155"/>
      <c r="P11" s="278"/>
      <c r="Q11" s="49" t="s">
        <v>236</v>
      </c>
      <c r="R11" s="50">
        <v>300</v>
      </c>
      <c r="S11" s="4"/>
      <c r="T11" s="362"/>
      <c r="U11" s="155"/>
      <c r="V11" s="375"/>
      <c r="AD11" s="402">
        <f>★仕入先!$A$83</f>
        <v>10533</v>
      </c>
      <c r="AE11" s="402">
        <f>★仕入先!$A$208</f>
        <v>30101</v>
      </c>
      <c r="AF11" s="402">
        <f>★仕入先!$A$170</f>
        <v>20351</v>
      </c>
      <c r="AM11" s="402">
        <f>★仕入先!$A$85</f>
        <v>10535</v>
      </c>
      <c r="AN11" s="402">
        <f>★仕入先!$A$208</f>
        <v>30101</v>
      </c>
      <c r="AO11" s="402">
        <f>★仕入先!$A$170</f>
        <v>20351</v>
      </c>
    </row>
    <row r="12" spans="1:47" ht="23.1" customHeight="1">
      <c r="A12" s="373"/>
      <c r="B12" s="220" t="s">
        <v>231</v>
      </c>
      <c r="C12" s="48"/>
      <c r="D12" s="221"/>
      <c r="E12" s="362"/>
      <c r="F12" s="155"/>
      <c r="G12" s="278"/>
      <c r="H12" s="49"/>
      <c r="I12" s="155">
        <v>50</v>
      </c>
      <c r="J12" s="4"/>
      <c r="K12" s="362"/>
      <c r="L12" s="155"/>
      <c r="M12" s="278"/>
      <c r="N12" s="362"/>
      <c r="O12" s="155"/>
      <c r="P12" s="278"/>
      <c r="Q12" s="49" t="s">
        <v>236</v>
      </c>
      <c r="R12" s="377"/>
      <c r="S12" s="4"/>
      <c r="T12" s="362"/>
      <c r="U12" s="155"/>
      <c r="V12" s="375"/>
      <c r="AD12" s="402">
        <f>★仕入先!$A$86</f>
        <v>10537</v>
      </c>
      <c r="AE12" s="402">
        <f>★仕入先!$A$208</f>
        <v>30101</v>
      </c>
      <c r="AF12" s="402">
        <f>★仕入先!$A$170</f>
        <v>20351</v>
      </c>
      <c r="AM12" s="403"/>
      <c r="AN12" s="402">
        <f>★仕入先!$A$208</f>
        <v>30101</v>
      </c>
      <c r="AO12" s="402">
        <f>★仕入先!$A$170</f>
        <v>20351</v>
      </c>
    </row>
    <row r="13" spans="1:47" ht="23.1" customHeight="1">
      <c r="A13" s="373"/>
      <c r="B13" s="220" t="s">
        <v>36</v>
      </c>
      <c r="C13" s="48">
        <v>450</v>
      </c>
      <c r="D13" s="3"/>
      <c r="E13" s="362"/>
      <c r="F13" s="155"/>
      <c r="G13" s="278"/>
      <c r="H13" s="49"/>
      <c r="I13" s="155">
        <v>100</v>
      </c>
      <c r="J13" s="4"/>
      <c r="K13" s="117"/>
      <c r="L13" s="155"/>
      <c r="M13" s="278"/>
      <c r="N13" s="362"/>
      <c r="O13" s="155"/>
      <c r="P13" s="278"/>
      <c r="Q13" s="49" t="s">
        <v>236</v>
      </c>
      <c r="R13" s="50">
        <v>200</v>
      </c>
      <c r="S13" s="4"/>
      <c r="T13" s="117"/>
      <c r="U13" s="155"/>
      <c r="V13" s="548"/>
      <c r="X13" s="402">
        <f>★仕入先!$A$88</f>
        <v>10540</v>
      </c>
      <c r="Y13" s="402">
        <f>★仕入先!$A$208</f>
        <v>30101</v>
      </c>
      <c r="Z13" s="402">
        <f>★仕入先!$A$170</f>
        <v>20351</v>
      </c>
      <c r="AD13" s="402">
        <f>★仕入先!$A$89</f>
        <v>10543</v>
      </c>
      <c r="AE13" s="402">
        <f>★仕入先!$A$208</f>
        <v>30101</v>
      </c>
      <c r="AF13" s="402">
        <f>★仕入先!$A$170</f>
        <v>20351</v>
      </c>
      <c r="AM13" s="402">
        <f>★仕入先!$A$89</f>
        <v>10543</v>
      </c>
      <c r="AN13" s="402">
        <f>★仕入先!$A$208</f>
        <v>30101</v>
      </c>
      <c r="AO13" s="402">
        <f>★仕入先!$A$170</f>
        <v>20351</v>
      </c>
      <c r="AP13" s="402">
        <f>★仕入先!$A$80</f>
        <v>10527</v>
      </c>
      <c r="AQ13" s="402">
        <f>★仕入先!$A$208</f>
        <v>30101</v>
      </c>
      <c r="AR13" s="402">
        <f>★仕入先!$A$170</f>
        <v>20351</v>
      </c>
    </row>
    <row r="14" spans="1:47" ht="23.1" customHeight="1">
      <c r="A14" s="373"/>
      <c r="B14" s="220" t="s">
        <v>38</v>
      </c>
      <c r="C14" s="48">
        <v>1150</v>
      </c>
      <c r="D14" s="3"/>
      <c r="E14" s="362"/>
      <c r="F14" s="155">
        <v>250</v>
      </c>
      <c r="G14" s="4"/>
      <c r="H14" s="49"/>
      <c r="I14" s="155">
        <v>400</v>
      </c>
      <c r="J14" s="4"/>
      <c r="K14" s="117"/>
      <c r="L14" s="155">
        <v>250</v>
      </c>
      <c r="M14" s="4"/>
      <c r="N14" s="362"/>
      <c r="O14" s="155"/>
      <c r="P14" s="278"/>
      <c r="Q14" s="49"/>
      <c r="R14" s="50">
        <v>850</v>
      </c>
      <c r="S14" s="4"/>
      <c r="T14" s="117"/>
      <c r="U14" s="155"/>
      <c r="V14" s="549"/>
      <c r="X14" s="402">
        <f>★仕入先!$A$75</f>
        <v>10521</v>
      </c>
      <c r="Y14" s="402">
        <f>★仕入先!$A$208</f>
        <v>30101</v>
      </c>
      <c r="Z14" s="402">
        <f>★仕入先!$A$170</f>
        <v>20351</v>
      </c>
      <c r="AA14" s="402">
        <f>★仕入先!$A$77</f>
        <v>10523</v>
      </c>
      <c r="AB14" s="402">
        <f>★仕入先!$A$208</f>
        <v>30101</v>
      </c>
      <c r="AC14" s="402">
        <f>★仕入先!$A$170</f>
        <v>20351</v>
      </c>
      <c r="AD14" s="402">
        <f>★仕入先!$A$76</f>
        <v>10522</v>
      </c>
      <c r="AE14" s="402">
        <f>★仕入先!$A$208</f>
        <v>30101</v>
      </c>
      <c r="AF14" s="402">
        <f>★仕入先!$A$170</f>
        <v>20351</v>
      </c>
      <c r="AG14" s="402">
        <f>★仕入先!$A$78</f>
        <v>10530</v>
      </c>
      <c r="AH14" s="402">
        <f>★仕入先!$A$208</f>
        <v>30101</v>
      </c>
      <c r="AI14" s="402">
        <f>★仕入先!$A$170</f>
        <v>20351</v>
      </c>
      <c r="AJ14" s="402">
        <f>★仕入先!$A$79</f>
        <v>10526</v>
      </c>
      <c r="AK14" s="402">
        <f>★仕入先!$A$208</f>
        <v>30101</v>
      </c>
      <c r="AL14" s="402">
        <f>★仕入先!$A$170</f>
        <v>20351</v>
      </c>
      <c r="AM14" s="402">
        <f>★仕入先!$A$79</f>
        <v>10526</v>
      </c>
      <c r="AN14" s="402">
        <f>★仕入先!$A$208</f>
        <v>30101</v>
      </c>
      <c r="AO14" s="402">
        <f>★仕入先!$A$170</f>
        <v>20351</v>
      </c>
      <c r="AP14" s="402">
        <f>★仕入先!$A$81</f>
        <v>10528</v>
      </c>
      <c r="AQ14" s="402">
        <f>★仕入先!$A$208</f>
        <v>30101</v>
      </c>
      <c r="AR14" s="402">
        <f>★仕入先!$A$170</f>
        <v>20351</v>
      </c>
    </row>
    <row r="15" spans="1:47" ht="17.25" customHeight="1">
      <c r="A15" s="378" t="s">
        <v>12</v>
      </c>
      <c r="B15" s="331" t="s">
        <v>13</v>
      </c>
      <c r="C15" s="244"/>
      <c r="D15" s="281"/>
      <c r="E15" s="379"/>
      <c r="F15" s="282"/>
      <c r="G15" s="245"/>
      <c r="H15" s="329"/>
      <c r="I15" s="282"/>
      <c r="J15" s="245"/>
      <c r="K15" s="226"/>
      <c r="L15" s="282"/>
      <c r="M15" s="245"/>
      <c r="N15" s="226"/>
      <c r="O15" s="282"/>
      <c r="P15" s="245"/>
      <c r="Q15" s="329"/>
      <c r="R15" s="282"/>
      <c r="S15" s="245"/>
      <c r="T15" s="226"/>
      <c r="U15" s="282"/>
      <c r="V15" s="380"/>
    </row>
    <row r="16" spans="1:47" ht="22.5" customHeight="1" thickBot="1">
      <c r="A16" s="233">
        <f>SUM(C16,F16,I16,L16,O16,R16,U16)</f>
        <v>10700</v>
      </c>
      <c r="B16" s="381">
        <f>SUM(D16,G16,J16,M16,P16,S16,V16)</f>
        <v>0</v>
      </c>
      <c r="C16" s="71">
        <f>SUM(C8:C14)</f>
        <v>5850</v>
      </c>
      <c r="D16" s="235" t="str">
        <f>IF(SUM(D8:D14)=0," ",SUM(D8:D14))</f>
        <v xml:space="preserve"> </v>
      </c>
      <c r="E16" s="195"/>
      <c r="F16" s="73">
        <f>SUM(F8:F14)</f>
        <v>250</v>
      </c>
      <c r="G16" s="235" t="str">
        <f>IF(SUM(G8:G14)=0," ",SUM(G8:G14))</f>
        <v xml:space="preserve"> </v>
      </c>
      <c r="H16" s="335"/>
      <c r="I16" s="73">
        <f>SUM(I8:I14)</f>
        <v>1650</v>
      </c>
      <c r="J16" s="235" t="str">
        <f>IF(SUM(J8:J14)=0," ",SUM(J8:J14))</f>
        <v xml:space="preserve"> </v>
      </c>
      <c r="K16" s="195"/>
      <c r="L16" s="73">
        <f>SUM(L8:L14)</f>
        <v>250</v>
      </c>
      <c r="M16" s="235" t="str">
        <f>IF(SUM(M8:M14)=0," ",SUM(M8:M14))</f>
        <v xml:space="preserve"> </v>
      </c>
      <c r="N16" s="195"/>
      <c r="O16" s="73">
        <f>SUM(O8:O14)</f>
        <v>0</v>
      </c>
      <c r="P16" s="235" t="str">
        <f>IF(SUM(P8:P14)=0," ",SUM(P8:P14))</f>
        <v xml:space="preserve"> </v>
      </c>
      <c r="Q16" s="335"/>
      <c r="R16" s="73">
        <f>SUM(R8:R14)</f>
        <v>2700</v>
      </c>
      <c r="S16" s="235" t="str">
        <f>IF(SUM(S8:S14)=0," ",SUM(S8:S14))</f>
        <v xml:space="preserve"> </v>
      </c>
      <c r="T16" s="195"/>
      <c r="U16" s="73"/>
      <c r="V16" s="236" t="str">
        <f>IF(SUM(V8:V14)=0," ",SUM(V8:V14))</f>
        <v xml:space="preserve"> </v>
      </c>
    </row>
    <row r="17" spans="1:22" ht="23.1" customHeight="1">
      <c r="A17" s="364"/>
      <c r="B17" s="382"/>
      <c r="C17" s="369"/>
      <c r="D17" s="368"/>
      <c r="E17" s="368"/>
      <c r="F17" s="369"/>
      <c r="G17" s="369"/>
      <c r="H17" s="369"/>
      <c r="I17" s="369"/>
      <c r="J17" s="369"/>
      <c r="K17" s="370"/>
      <c r="L17" s="369"/>
      <c r="M17" s="369"/>
      <c r="N17" s="369"/>
      <c r="O17" s="369"/>
      <c r="P17" s="369"/>
      <c r="Q17" s="369"/>
      <c r="R17" s="369"/>
      <c r="S17" s="369"/>
      <c r="T17" s="369"/>
      <c r="U17" s="369"/>
      <c r="V17" s="369"/>
    </row>
    <row r="18" spans="1:22">
      <c r="A18" s="99"/>
      <c r="B18" s="99"/>
      <c r="C18" s="99"/>
      <c r="D18" s="99"/>
      <c r="E18" s="99"/>
      <c r="F18" s="99"/>
      <c r="G18" s="99"/>
      <c r="H18" s="99"/>
      <c r="I18" s="99"/>
      <c r="J18" s="99"/>
      <c r="K18" s="99"/>
      <c r="L18" s="99"/>
      <c r="M18" s="99"/>
      <c r="N18" s="99"/>
      <c r="O18" s="99"/>
      <c r="P18" s="99"/>
      <c r="Q18" s="99"/>
      <c r="R18" s="99"/>
      <c r="S18" s="99"/>
      <c r="T18" s="99"/>
      <c r="U18" s="99"/>
      <c r="V18" s="99"/>
    </row>
  </sheetData>
  <sheetProtection sheet="1" objects="1" scenarios="1"/>
  <mergeCells count="33">
    <mergeCell ref="AP5:AR5"/>
    <mergeCell ref="AM5:AO5"/>
    <mergeCell ref="X5:Z5"/>
    <mergeCell ref="AA5:AC5"/>
    <mergeCell ref="AD5:AF5"/>
    <mergeCell ref="AG5:AI5"/>
    <mergeCell ref="AJ5:AL5"/>
    <mergeCell ref="U1:V1"/>
    <mergeCell ref="S3:V4"/>
    <mergeCell ref="A1:T1"/>
    <mergeCell ref="A3:B3"/>
    <mergeCell ref="G3:G4"/>
    <mergeCell ref="H3:J4"/>
    <mergeCell ref="K3:L4"/>
    <mergeCell ref="A4:B4"/>
    <mergeCell ref="C4:F4"/>
    <mergeCell ref="C6:D6"/>
    <mergeCell ref="K6:M6"/>
    <mergeCell ref="Q3:R4"/>
    <mergeCell ref="P3:P4"/>
    <mergeCell ref="M3:O4"/>
    <mergeCell ref="C3:F3"/>
    <mergeCell ref="T7:U7"/>
    <mergeCell ref="E7:F7"/>
    <mergeCell ref="E6:G6"/>
    <mergeCell ref="H6:J6"/>
    <mergeCell ref="T6:V6"/>
    <mergeCell ref="K7:L7"/>
    <mergeCell ref="H7:I7"/>
    <mergeCell ref="N7:O7"/>
    <mergeCell ref="Q6:S6"/>
    <mergeCell ref="N6:P6"/>
    <mergeCell ref="Q7:R7"/>
  </mergeCells>
  <phoneticPr fontId="15"/>
  <printOptions horizont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Ｐゴシック,太字"11
</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27BA-258F-4464-B7F9-CF1AF060FC41}">
  <sheetPr codeName="Sheet27"/>
  <dimension ref="A1:AT95"/>
  <sheetViews>
    <sheetView view="pageBreakPreview" zoomScale="70" zoomScaleNormal="75" zoomScaleSheetLayoutView="70" workbookViewId="0">
      <pane xSplit="2" ySplit="7" topLeftCell="C8" activePane="bottomRight" state="frozen"/>
      <selection pane="topRight" activeCell="C1" sqref="C1"/>
      <selection pane="bottomLeft" activeCell="A8" sqref="A8"/>
      <selection pane="bottomRight" activeCell="D8" sqref="D8"/>
    </sheetView>
  </sheetViews>
  <sheetFormatPr defaultColWidth="9" defaultRowHeight="14.25"/>
  <cols>
    <col min="1" max="1" width="15.875" style="98" customWidth="1"/>
    <col min="2" max="2" width="23.75" style="98" bestFit="1" customWidth="1"/>
    <col min="3" max="3" width="9.625" style="98" customWidth="1"/>
    <col min="4" max="4" width="12.625" style="98" bestFit="1" customWidth="1"/>
    <col min="5" max="5" width="2.125" style="98" customWidth="1"/>
    <col min="6" max="6" width="8.125" style="98" customWidth="1"/>
    <col min="7" max="7" width="9.625" style="98" customWidth="1"/>
    <col min="8" max="8" width="2.125" style="98" customWidth="1"/>
    <col min="9" max="9" width="8.125" style="98" customWidth="1"/>
    <col min="10" max="10" width="9.625" style="98" customWidth="1"/>
    <col min="11" max="11" width="2.125" style="98" customWidth="1"/>
    <col min="12" max="12" width="8.125" style="98" customWidth="1"/>
    <col min="13" max="13" width="9.625" style="98" customWidth="1"/>
    <col min="14" max="14" width="2.125" style="98" customWidth="1"/>
    <col min="15" max="15" width="8.125" style="98" customWidth="1"/>
    <col min="16" max="16" width="9.625" style="98" customWidth="1"/>
    <col min="17" max="17" width="2.125" style="98" customWidth="1"/>
    <col min="18" max="18" width="8.125" style="98" customWidth="1"/>
    <col min="19" max="19" width="9.625" style="98" customWidth="1"/>
    <col min="20" max="20" width="2.125" style="98" customWidth="1"/>
    <col min="21" max="21" width="8.125" style="98" customWidth="1"/>
    <col min="22" max="22" width="9.625" style="98" customWidth="1"/>
    <col min="23" max="23" width="9" style="98" customWidth="1"/>
    <col min="24" max="44" width="9" style="212" hidden="1" customWidth="1"/>
    <col min="45" max="45" width="9" style="212" customWidth="1"/>
    <col min="46" max="46" width="9" style="31" customWidth="1"/>
    <col min="47" max="16384" width="9" style="98"/>
  </cols>
  <sheetData>
    <row r="1" spans="1:46" ht="17.25">
      <c r="A1" s="703" t="s">
        <v>0</v>
      </c>
      <c r="B1" s="703"/>
      <c r="C1" s="703"/>
      <c r="D1" s="703"/>
      <c r="E1" s="703"/>
      <c r="F1" s="703"/>
      <c r="G1" s="703"/>
      <c r="H1" s="703"/>
      <c r="I1" s="703"/>
      <c r="J1" s="703"/>
      <c r="K1" s="703"/>
      <c r="L1" s="703"/>
      <c r="M1" s="703"/>
      <c r="N1" s="703"/>
      <c r="O1" s="703"/>
      <c r="P1" s="703"/>
      <c r="Q1" s="703"/>
      <c r="R1" s="703"/>
      <c r="S1" s="703"/>
      <c r="T1" s="703"/>
      <c r="U1" s="811">
        <f>①総合計!R1</f>
        <v>2023.1</v>
      </c>
      <c r="V1" s="811"/>
    </row>
    <row r="2" spans="1:46" ht="15" thickBot="1">
      <c r="A2" s="99"/>
      <c r="B2" s="99"/>
      <c r="C2" s="99"/>
      <c r="D2" s="99"/>
      <c r="E2" s="99"/>
      <c r="F2" s="99"/>
      <c r="G2" s="99"/>
      <c r="H2" s="99"/>
      <c r="I2" s="99"/>
      <c r="J2" s="99"/>
      <c r="K2" s="99"/>
      <c r="L2" s="99"/>
      <c r="M2" s="99"/>
      <c r="N2" s="99"/>
      <c r="O2" s="99"/>
      <c r="P2" s="99"/>
      <c r="Q2" s="99"/>
      <c r="R2" s="99"/>
      <c r="S2" s="99"/>
      <c r="T2" s="99"/>
      <c r="U2" s="99"/>
      <c r="V2" s="100" t="s">
        <v>1155</v>
      </c>
    </row>
    <row r="3" spans="1:46" ht="20.100000000000001" customHeight="1">
      <c r="A3" s="705" t="s">
        <v>1</v>
      </c>
      <c r="B3" s="706"/>
      <c r="C3" s="214" t="s">
        <v>2</v>
      </c>
      <c r="D3" s="102"/>
      <c r="E3" s="102"/>
      <c r="F3" s="103"/>
      <c r="G3" s="729" t="s">
        <v>145</v>
      </c>
      <c r="H3" s="209"/>
      <c r="I3" s="816" t="str">
        <f>IF(①総合計!I3= 0," ",①総合計!I3)</f>
        <v xml:space="preserve"> </v>
      </c>
      <c r="J3" s="787"/>
      <c r="K3" s="729" t="s">
        <v>3</v>
      </c>
      <c r="L3" s="818"/>
      <c r="M3" s="820" t="str">
        <f>IF(SUM(B92)=0," ",SUM(B92))</f>
        <v xml:space="preserve"> </v>
      </c>
      <c r="N3" s="821"/>
      <c r="O3" s="821"/>
      <c r="P3" s="833" t="str">
        <f>①総合計!$L$3</f>
        <v xml:space="preserve"> </v>
      </c>
      <c r="Q3" s="729" t="s">
        <v>4</v>
      </c>
      <c r="R3" s="730"/>
      <c r="S3" s="802" t="str">
        <f>IF(①総合計!Q3=0," ",①総合計!Q3)</f>
        <v xml:space="preserve"> </v>
      </c>
      <c r="T3" s="802"/>
      <c r="U3" s="802"/>
      <c r="V3" s="803"/>
    </row>
    <row r="4" spans="1:46" ht="20.100000000000001" customHeight="1" thickBot="1">
      <c r="A4" s="776" t="str">
        <f>IF(①総合計!A4=0," ",①総合計!A4)</f>
        <v xml:space="preserve"> </v>
      </c>
      <c r="B4" s="777"/>
      <c r="C4" s="789" t="str">
        <f>IF(①総合計!E4=0," ",①総合計!E4)</f>
        <v xml:space="preserve"> </v>
      </c>
      <c r="D4" s="777"/>
      <c r="E4" s="777"/>
      <c r="F4" s="790"/>
      <c r="G4" s="731"/>
      <c r="H4" s="210"/>
      <c r="I4" s="817"/>
      <c r="J4" s="788"/>
      <c r="K4" s="731"/>
      <c r="L4" s="819"/>
      <c r="M4" s="822"/>
      <c r="N4" s="823"/>
      <c r="O4" s="823"/>
      <c r="P4" s="834"/>
      <c r="Q4" s="731"/>
      <c r="R4" s="732"/>
      <c r="S4" s="804"/>
      <c r="T4" s="804"/>
      <c r="U4" s="804"/>
      <c r="V4" s="805"/>
      <c r="X4" s="401"/>
      <c r="Y4" s="401"/>
      <c r="Z4" s="401"/>
      <c r="AA4" s="401"/>
      <c r="AB4" s="401"/>
      <c r="AC4" s="401"/>
      <c r="AD4" s="401"/>
      <c r="AE4" s="401"/>
      <c r="AF4" s="401"/>
      <c r="AG4" s="401"/>
      <c r="AH4" s="401"/>
      <c r="AI4" s="401"/>
      <c r="AJ4" s="401"/>
      <c r="AK4" s="401"/>
      <c r="AL4" s="401"/>
      <c r="AM4" s="401"/>
      <c r="AN4" s="401"/>
      <c r="AO4" s="401"/>
      <c r="AP4" s="401"/>
      <c r="AQ4" s="401"/>
      <c r="AR4" s="401"/>
      <c r="AS4" s="401"/>
      <c r="AT4" s="26"/>
    </row>
    <row r="5" spans="1:46" ht="15" thickBot="1">
      <c r="A5" s="26"/>
      <c r="B5" s="26"/>
      <c r="C5" s="26"/>
      <c r="D5" s="26"/>
      <c r="E5" s="26"/>
      <c r="F5" s="26"/>
      <c r="G5" s="26"/>
      <c r="H5" s="26"/>
      <c r="I5" s="26"/>
      <c r="J5" s="26"/>
      <c r="K5" s="26"/>
      <c r="L5" s="26"/>
      <c r="M5" s="26"/>
      <c r="N5" s="26"/>
      <c r="O5" s="26"/>
      <c r="P5" s="26"/>
      <c r="Q5" s="26"/>
      <c r="R5" s="26"/>
      <c r="S5" s="26"/>
      <c r="T5" s="26"/>
      <c r="U5" s="26"/>
      <c r="V5" s="26"/>
      <c r="W5" s="26"/>
      <c r="X5" s="807" t="s">
        <v>6</v>
      </c>
      <c r="Y5" s="808"/>
      <c r="Z5" s="809"/>
      <c r="AA5" s="807" t="s">
        <v>277</v>
      </c>
      <c r="AB5" s="808"/>
      <c r="AC5" s="809"/>
      <c r="AD5" s="807" t="s">
        <v>278</v>
      </c>
      <c r="AE5" s="808"/>
      <c r="AF5" s="809"/>
      <c r="AG5" s="807" t="s">
        <v>279</v>
      </c>
      <c r="AH5" s="808"/>
      <c r="AI5" s="809"/>
      <c r="AJ5" s="807" t="s">
        <v>228</v>
      </c>
      <c r="AK5" s="808"/>
      <c r="AL5" s="809"/>
      <c r="AM5" s="807" t="s">
        <v>10</v>
      </c>
      <c r="AN5" s="808"/>
      <c r="AO5" s="809"/>
      <c r="AP5" s="807" t="s">
        <v>280</v>
      </c>
      <c r="AQ5" s="808"/>
      <c r="AR5" s="809"/>
      <c r="AS5" s="42" t="s">
        <v>6</v>
      </c>
    </row>
    <row r="6" spans="1:46">
      <c r="A6" s="38" t="s">
        <v>1156</v>
      </c>
      <c r="B6" s="104"/>
      <c r="C6" s="696" t="s">
        <v>6</v>
      </c>
      <c r="D6" s="697"/>
      <c r="E6" s="697" t="s">
        <v>7</v>
      </c>
      <c r="F6" s="812"/>
      <c r="G6" s="810"/>
      <c r="H6" s="697" t="s">
        <v>8</v>
      </c>
      <c r="I6" s="812"/>
      <c r="J6" s="810"/>
      <c r="K6" s="697" t="s">
        <v>9</v>
      </c>
      <c r="L6" s="812"/>
      <c r="M6" s="810"/>
      <c r="N6" s="697" t="s">
        <v>228</v>
      </c>
      <c r="O6" s="812"/>
      <c r="P6" s="810"/>
      <c r="Q6" s="361"/>
      <c r="R6" s="810" t="s">
        <v>10</v>
      </c>
      <c r="S6" s="696"/>
      <c r="T6" s="697" t="s">
        <v>11</v>
      </c>
      <c r="U6" s="812"/>
      <c r="V6" s="813"/>
      <c r="W6" s="26"/>
      <c r="X6" s="42" t="s">
        <v>275</v>
      </c>
      <c r="Y6" s="42" t="s">
        <v>116</v>
      </c>
      <c r="Z6" s="42" t="s">
        <v>276</v>
      </c>
      <c r="AA6" s="42" t="s">
        <v>275</v>
      </c>
      <c r="AB6" s="42" t="s">
        <v>116</v>
      </c>
      <c r="AC6" s="42" t="s">
        <v>276</v>
      </c>
      <c r="AD6" s="42" t="s">
        <v>275</v>
      </c>
      <c r="AE6" s="42" t="s">
        <v>116</v>
      </c>
      <c r="AF6" s="42" t="s">
        <v>276</v>
      </c>
      <c r="AG6" s="42" t="s">
        <v>275</v>
      </c>
      <c r="AH6" s="42" t="s">
        <v>116</v>
      </c>
      <c r="AI6" s="42" t="s">
        <v>276</v>
      </c>
      <c r="AJ6" s="42" t="s">
        <v>275</v>
      </c>
      <c r="AK6" s="42" t="s">
        <v>116</v>
      </c>
      <c r="AL6" s="42" t="s">
        <v>276</v>
      </c>
      <c r="AM6" s="42" t="s">
        <v>275</v>
      </c>
      <c r="AN6" s="42" t="s">
        <v>116</v>
      </c>
      <c r="AO6" s="42" t="s">
        <v>276</v>
      </c>
      <c r="AP6" s="42" t="s">
        <v>275</v>
      </c>
      <c r="AQ6" s="42" t="s">
        <v>116</v>
      </c>
      <c r="AR6" s="42" t="s">
        <v>276</v>
      </c>
      <c r="AS6" s="42" t="s">
        <v>1157</v>
      </c>
    </row>
    <row r="7" spans="1:46">
      <c r="A7" s="215"/>
      <c r="B7" s="41" t="s">
        <v>232</v>
      </c>
      <c r="C7" s="216" t="s">
        <v>14</v>
      </c>
      <c r="D7" s="217" t="s">
        <v>15</v>
      </c>
      <c r="E7" s="814" t="s">
        <v>14</v>
      </c>
      <c r="F7" s="815"/>
      <c r="G7" s="216" t="s">
        <v>15</v>
      </c>
      <c r="H7" s="814" t="s">
        <v>14</v>
      </c>
      <c r="I7" s="815"/>
      <c r="J7" s="216" t="s">
        <v>15</v>
      </c>
      <c r="K7" s="814" t="s">
        <v>14</v>
      </c>
      <c r="L7" s="815"/>
      <c r="M7" s="216" t="s">
        <v>15</v>
      </c>
      <c r="N7" s="814" t="s">
        <v>14</v>
      </c>
      <c r="O7" s="815"/>
      <c r="P7" s="216" t="s">
        <v>15</v>
      </c>
      <c r="Q7" s="217"/>
      <c r="R7" s="336" t="s">
        <v>14</v>
      </c>
      <c r="S7" s="216" t="s">
        <v>15</v>
      </c>
      <c r="T7" s="814" t="s">
        <v>14</v>
      </c>
      <c r="U7" s="815"/>
      <c r="V7" s="218" t="s">
        <v>15</v>
      </c>
      <c r="W7" s="26"/>
      <c r="X7" s="42">
        <v>1</v>
      </c>
      <c r="Y7" s="42"/>
      <c r="Z7" s="42"/>
      <c r="AA7" s="42">
        <v>3</v>
      </c>
      <c r="AB7" s="42"/>
      <c r="AC7" s="42"/>
      <c r="AD7" s="42">
        <v>2</v>
      </c>
      <c r="AE7" s="42"/>
      <c r="AF7" s="42"/>
      <c r="AG7" s="42">
        <v>4</v>
      </c>
      <c r="AH7" s="42"/>
      <c r="AI7" s="42"/>
      <c r="AJ7" s="42">
        <v>5</v>
      </c>
      <c r="AK7" s="42"/>
      <c r="AL7" s="42"/>
      <c r="AM7" s="42">
        <v>6</v>
      </c>
      <c r="AN7" s="42"/>
      <c r="AO7" s="42"/>
      <c r="AP7" s="42">
        <v>7</v>
      </c>
      <c r="AQ7" s="42"/>
      <c r="AR7" s="42"/>
      <c r="AS7" s="42">
        <v>1</v>
      </c>
      <c r="AT7" s="26"/>
    </row>
    <row r="8" spans="1:46" ht="23.1" customHeight="1">
      <c r="A8" s="219" t="s">
        <v>1158</v>
      </c>
      <c r="B8" s="220" t="s">
        <v>1159</v>
      </c>
      <c r="C8" s="48"/>
      <c r="D8" s="22"/>
      <c r="E8" s="49"/>
      <c r="F8" s="50"/>
      <c r="G8" s="278"/>
      <c r="H8" s="117"/>
      <c r="I8" s="50"/>
      <c r="J8" s="278"/>
      <c r="K8" s="362"/>
      <c r="L8" s="50"/>
      <c r="M8" s="278"/>
      <c r="N8" s="362"/>
      <c r="O8" s="50"/>
      <c r="P8" s="278"/>
      <c r="Q8" s="313"/>
      <c r="R8" s="303"/>
      <c r="S8" s="278"/>
      <c r="T8" s="362"/>
      <c r="U8" s="50"/>
      <c r="V8" s="222"/>
      <c r="X8" s="402"/>
      <c r="Y8" s="402"/>
      <c r="Z8" s="402"/>
      <c r="AA8" s="402"/>
      <c r="AB8" s="402"/>
      <c r="AC8" s="403"/>
      <c r="AD8" s="402"/>
      <c r="AE8" s="402"/>
      <c r="AF8" s="403"/>
      <c r="AG8" s="402"/>
      <c r="AH8" s="402"/>
      <c r="AI8" s="403"/>
      <c r="AJ8" s="402"/>
      <c r="AK8" s="402"/>
      <c r="AL8" s="403"/>
      <c r="AM8" s="402"/>
      <c r="AN8" s="402"/>
      <c r="AO8" s="403"/>
      <c r="AP8" s="402"/>
      <c r="AQ8" s="402"/>
      <c r="AR8" s="403"/>
      <c r="AS8" s="402">
        <f>★仕入先_大阪!$A$5</f>
        <v>40004</v>
      </c>
    </row>
    <row r="9" spans="1:46" ht="23.1" customHeight="1">
      <c r="A9" s="223"/>
      <c r="B9" s="220" t="s">
        <v>1160</v>
      </c>
      <c r="C9" s="48"/>
      <c r="D9" s="22"/>
      <c r="E9" s="49"/>
      <c r="F9" s="50"/>
      <c r="G9" s="278"/>
      <c r="H9" s="117"/>
      <c r="I9" s="155"/>
      <c r="J9" s="278"/>
      <c r="K9" s="362"/>
      <c r="L9" s="155"/>
      <c r="M9" s="278"/>
      <c r="N9" s="362"/>
      <c r="O9" s="155"/>
      <c r="P9" s="278"/>
      <c r="Q9" s="313"/>
      <c r="R9" s="303"/>
      <c r="S9" s="278"/>
      <c r="T9" s="362"/>
      <c r="U9" s="155"/>
      <c r="V9" s="222"/>
      <c r="X9" s="402"/>
      <c r="Y9" s="402"/>
      <c r="Z9" s="402"/>
      <c r="AA9" s="402"/>
      <c r="AB9" s="402"/>
      <c r="AC9" s="403"/>
      <c r="AD9" s="402"/>
      <c r="AE9" s="402"/>
      <c r="AF9" s="403"/>
      <c r="AG9" s="402"/>
      <c r="AH9" s="402"/>
      <c r="AI9" s="403"/>
      <c r="AJ9" s="402"/>
      <c r="AK9" s="402"/>
      <c r="AL9" s="403"/>
      <c r="AM9" s="402"/>
      <c r="AN9" s="402"/>
      <c r="AO9" s="403"/>
      <c r="AS9" s="402">
        <f>★仕入先_大阪!$A$30</f>
        <v>40029</v>
      </c>
    </row>
    <row r="10" spans="1:46" ht="23.1" customHeight="1">
      <c r="A10" s="223"/>
      <c r="B10" s="220" t="s">
        <v>1161</v>
      </c>
      <c r="C10" s="48"/>
      <c r="D10" s="22"/>
      <c r="E10" s="49"/>
      <c r="F10" s="50"/>
      <c r="G10" s="278"/>
      <c r="H10" s="117"/>
      <c r="I10" s="155"/>
      <c r="J10" s="278"/>
      <c r="K10" s="362"/>
      <c r="L10" s="155"/>
      <c r="M10" s="278"/>
      <c r="N10" s="362"/>
      <c r="O10" s="155"/>
      <c r="P10" s="278"/>
      <c r="Q10" s="313"/>
      <c r="R10" s="303"/>
      <c r="S10" s="278"/>
      <c r="T10" s="362"/>
      <c r="U10" s="155"/>
      <c r="V10" s="222"/>
      <c r="X10" s="402"/>
      <c r="Y10" s="402"/>
      <c r="Z10" s="402"/>
      <c r="AA10" s="402"/>
      <c r="AB10" s="402"/>
      <c r="AC10" s="403"/>
      <c r="AD10" s="402"/>
      <c r="AE10" s="402"/>
      <c r="AF10" s="403"/>
      <c r="AG10" s="402"/>
      <c r="AH10" s="402"/>
      <c r="AI10" s="403"/>
      <c r="AJ10" s="402"/>
      <c r="AK10" s="402"/>
      <c r="AL10" s="403"/>
      <c r="AM10" s="402"/>
      <c r="AN10" s="402"/>
      <c r="AO10" s="403"/>
      <c r="AS10" s="402">
        <f>★仕入先_大阪!$A$32</f>
        <v>40031</v>
      </c>
    </row>
    <row r="11" spans="1:46" ht="23.1" customHeight="1">
      <c r="A11" s="223"/>
      <c r="B11" s="220" t="s">
        <v>1162</v>
      </c>
      <c r="C11" s="48"/>
      <c r="D11" s="22"/>
      <c r="E11" s="49"/>
      <c r="F11" s="50"/>
      <c r="G11" s="278"/>
      <c r="H11" s="117"/>
      <c r="I11" s="155"/>
      <c r="J11" s="278"/>
      <c r="K11" s="362"/>
      <c r="L11" s="155"/>
      <c r="M11" s="278"/>
      <c r="N11" s="362"/>
      <c r="O11" s="155"/>
      <c r="P11" s="278"/>
      <c r="Q11" s="313"/>
      <c r="R11" s="303"/>
      <c r="S11" s="278"/>
      <c r="T11" s="362"/>
      <c r="U11" s="155"/>
      <c r="V11" s="222"/>
      <c r="X11" s="402"/>
      <c r="Y11" s="402"/>
      <c r="Z11" s="402"/>
      <c r="AA11" s="402"/>
      <c r="AB11" s="402"/>
      <c r="AC11" s="403"/>
      <c r="AD11" s="402"/>
      <c r="AE11" s="402"/>
      <c r="AF11" s="403"/>
      <c r="AG11" s="402"/>
      <c r="AH11" s="402"/>
      <c r="AI11" s="403"/>
      <c r="AJ11" s="402"/>
      <c r="AK11" s="402"/>
      <c r="AL11" s="403"/>
      <c r="AM11" s="402"/>
      <c r="AN11" s="402"/>
      <c r="AO11" s="403"/>
      <c r="AS11" s="402">
        <f>★仕入先_大阪!$A$33</f>
        <v>40032</v>
      </c>
    </row>
    <row r="12" spans="1:46" ht="23.1" customHeight="1">
      <c r="A12" s="223"/>
      <c r="B12" s="220" t="s">
        <v>1163</v>
      </c>
      <c r="C12" s="48"/>
      <c r="D12" s="22"/>
      <c r="E12" s="49"/>
      <c r="F12" s="50"/>
      <c r="G12" s="278"/>
      <c r="H12" s="117"/>
      <c r="I12" s="155"/>
      <c r="J12" s="278"/>
      <c r="K12" s="362"/>
      <c r="L12" s="155"/>
      <c r="M12" s="278"/>
      <c r="N12" s="362"/>
      <c r="O12" s="155"/>
      <c r="P12" s="278"/>
      <c r="Q12" s="313"/>
      <c r="R12" s="303"/>
      <c r="S12" s="278"/>
      <c r="T12" s="362"/>
      <c r="U12" s="155"/>
      <c r="V12" s="222"/>
      <c r="X12" s="402"/>
      <c r="Y12" s="402"/>
      <c r="Z12" s="402"/>
      <c r="AA12" s="402"/>
      <c r="AB12" s="402"/>
      <c r="AC12" s="403"/>
      <c r="AD12" s="402"/>
      <c r="AE12" s="402"/>
      <c r="AF12" s="403"/>
      <c r="AG12" s="402"/>
      <c r="AH12" s="402"/>
      <c r="AI12" s="403"/>
      <c r="AJ12" s="402"/>
      <c r="AK12" s="402"/>
      <c r="AL12" s="403"/>
      <c r="AM12" s="402"/>
      <c r="AN12" s="402"/>
      <c r="AO12" s="403"/>
      <c r="AS12" s="402">
        <f>★仕入先_大阪!$A$34</f>
        <v>40033</v>
      </c>
    </row>
    <row r="13" spans="1:46" ht="23.1" customHeight="1">
      <c r="A13" s="223"/>
      <c r="B13" s="220" t="s">
        <v>1164</v>
      </c>
      <c r="C13" s="48"/>
      <c r="D13" s="22"/>
      <c r="E13" s="49"/>
      <c r="F13" s="155"/>
      <c r="G13" s="278"/>
      <c r="H13" s="49"/>
      <c r="I13" s="363"/>
      <c r="J13" s="278"/>
      <c r="K13" s="117"/>
      <c r="L13" s="155"/>
      <c r="M13" s="278"/>
      <c r="N13" s="362"/>
      <c r="O13" s="155"/>
      <c r="P13" s="278"/>
      <c r="Q13" s="313"/>
      <c r="R13" s="303"/>
      <c r="S13" s="278"/>
      <c r="T13" s="117"/>
      <c r="U13" s="155"/>
      <c r="V13" s="222"/>
      <c r="X13" s="402"/>
      <c r="Y13" s="402"/>
      <c r="Z13" s="402"/>
      <c r="AA13" s="402"/>
      <c r="AB13" s="402"/>
      <c r="AC13" s="403"/>
      <c r="AG13" s="402"/>
      <c r="AH13" s="402"/>
      <c r="AI13" s="403"/>
      <c r="AJ13" s="402"/>
      <c r="AK13" s="402"/>
      <c r="AL13" s="403"/>
      <c r="AM13" s="402"/>
      <c r="AN13" s="402"/>
      <c r="AO13" s="403"/>
      <c r="AS13" s="402">
        <f>★仕入先_大阪!$A$35</f>
        <v>40034</v>
      </c>
    </row>
    <row r="14" spans="1:46" s="212" customFormat="1" ht="23.1" customHeight="1">
      <c r="A14" s="223"/>
      <c r="B14" s="220" t="s">
        <v>1165</v>
      </c>
      <c r="C14" s="48"/>
      <c r="D14" s="22"/>
      <c r="E14" s="313"/>
      <c r="F14" s="50"/>
      <c r="G14" s="278"/>
      <c r="H14" s="117"/>
      <c r="I14" s="50"/>
      <c r="J14" s="278"/>
      <c r="K14" s="362"/>
      <c r="L14" s="50"/>
      <c r="M14" s="278"/>
      <c r="N14" s="362"/>
      <c r="O14" s="50"/>
      <c r="P14" s="278"/>
      <c r="Q14" s="313"/>
      <c r="R14" s="303"/>
      <c r="S14" s="278"/>
      <c r="T14" s="362"/>
      <c r="U14" s="50"/>
      <c r="V14" s="222"/>
      <c r="W14" s="98"/>
      <c r="X14" s="402"/>
      <c r="Y14" s="402"/>
      <c r="Z14" s="402"/>
      <c r="AS14" s="402">
        <f>★仕入先_大阪!$A$36</f>
        <v>40035</v>
      </c>
      <c r="AT14" s="31"/>
    </row>
    <row r="15" spans="1:46" s="212" customFormat="1" ht="23.1" customHeight="1">
      <c r="A15" s="223"/>
      <c r="B15" s="220" t="s">
        <v>1166</v>
      </c>
      <c r="C15" s="48"/>
      <c r="D15" s="22"/>
      <c r="E15" s="49"/>
      <c r="F15" s="50"/>
      <c r="G15" s="278"/>
      <c r="H15" s="117"/>
      <c r="I15" s="155"/>
      <c r="J15" s="278"/>
      <c r="K15" s="362"/>
      <c r="L15" s="155"/>
      <c r="M15" s="278"/>
      <c r="N15" s="362"/>
      <c r="O15" s="155"/>
      <c r="P15" s="278"/>
      <c r="Q15" s="313"/>
      <c r="R15" s="303"/>
      <c r="S15" s="278"/>
      <c r="T15" s="362"/>
      <c r="U15" s="155"/>
      <c r="V15" s="222"/>
      <c r="W15" s="98"/>
      <c r="X15" s="402"/>
      <c r="Y15" s="402"/>
      <c r="Z15" s="402"/>
      <c r="AS15" s="402">
        <f>★仕入先_大阪!$A$37</f>
        <v>40036</v>
      </c>
      <c r="AT15" s="31"/>
    </row>
    <row r="16" spans="1:46" s="212" customFormat="1" ht="23.1" customHeight="1">
      <c r="A16" s="223"/>
      <c r="B16" s="220" t="s">
        <v>1167</v>
      </c>
      <c r="C16" s="48"/>
      <c r="D16" s="22"/>
      <c r="E16" s="49"/>
      <c r="F16" s="50"/>
      <c r="G16" s="278"/>
      <c r="H16" s="117"/>
      <c r="I16" s="155"/>
      <c r="J16" s="278"/>
      <c r="K16" s="362"/>
      <c r="L16" s="155"/>
      <c r="M16" s="278"/>
      <c r="N16" s="362"/>
      <c r="O16" s="155"/>
      <c r="P16" s="278"/>
      <c r="Q16" s="313"/>
      <c r="R16" s="303"/>
      <c r="S16" s="278"/>
      <c r="T16" s="362"/>
      <c r="U16" s="155"/>
      <c r="V16" s="222"/>
      <c r="W16" s="98"/>
      <c r="X16" s="402"/>
      <c r="Y16" s="402"/>
      <c r="Z16" s="402"/>
      <c r="AS16" s="402">
        <f>★仕入先_大阪!$A$40</f>
        <v>40039</v>
      </c>
      <c r="AT16" s="31"/>
    </row>
    <row r="17" spans="1:46" s="212" customFormat="1" ht="23.1" customHeight="1">
      <c r="A17" s="223"/>
      <c r="B17" s="220" t="s">
        <v>1168</v>
      </c>
      <c r="C17" s="48"/>
      <c r="D17" s="22"/>
      <c r="E17" s="49"/>
      <c r="F17" s="50"/>
      <c r="G17" s="278"/>
      <c r="H17" s="117"/>
      <c r="I17" s="155"/>
      <c r="J17" s="278"/>
      <c r="K17" s="362"/>
      <c r="L17" s="155"/>
      <c r="M17" s="278"/>
      <c r="N17" s="362"/>
      <c r="O17" s="155"/>
      <c r="P17" s="278"/>
      <c r="Q17" s="313"/>
      <c r="R17" s="303"/>
      <c r="S17" s="278"/>
      <c r="T17" s="362"/>
      <c r="U17" s="155"/>
      <c r="V17" s="222"/>
      <c r="W17" s="98"/>
      <c r="X17" s="402"/>
      <c r="Y17" s="402"/>
      <c r="Z17" s="402"/>
      <c r="AS17" s="402">
        <f>★仕入先_大阪!$A$41</f>
        <v>40040</v>
      </c>
      <c r="AT17" s="31"/>
    </row>
    <row r="18" spans="1:46" s="212" customFormat="1" ht="23.1" customHeight="1">
      <c r="A18" s="223"/>
      <c r="B18" s="220" t="s">
        <v>1169</v>
      </c>
      <c r="C18" s="48"/>
      <c r="D18" s="22"/>
      <c r="E18" s="49"/>
      <c r="F18" s="50"/>
      <c r="G18" s="278"/>
      <c r="H18" s="117"/>
      <c r="I18" s="155"/>
      <c r="J18" s="278"/>
      <c r="K18" s="362"/>
      <c r="L18" s="155"/>
      <c r="M18" s="278"/>
      <c r="N18" s="362"/>
      <c r="O18" s="155"/>
      <c r="P18" s="278"/>
      <c r="Q18" s="313"/>
      <c r="R18" s="303"/>
      <c r="S18" s="278"/>
      <c r="T18" s="362"/>
      <c r="U18" s="155"/>
      <c r="V18" s="222"/>
      <c r="W18" s="98"/>
      <c r="X18" s="402"/>
      <c r="Y18" s="402"/>
      <c r="Z18" s="402"/>
      <c r="AS18" s="402">
        <f>★仕入先_大阪!$A$42</f>
        <v>40041</v>
      </c>
      <c r="AT18" s="31"/>
    </row>
    <row r="19" spans="1:46" s="212" customFormat="1" ht="23.1" customHeight="1">
      <c r="A19" s="223"/>
      <c r="B19" s="220" t="s">
        <v>1170</v>
      </c>
      <c r="C19" s="48"/>
      <c r="D19" s="22"/>
      <c r="E19" s="49"/>
      <c r="F19" s="50"/>
      <c r="G19" s="278"/>
      <c r="H19" s="117"/>
      <c r="I19" s="155"/>
      <c r="J19" s="278"/>
      <c r="K19" s="362"/>
      <c r="L19" s="155"/>
      <c r="M19" s="278"/>
      <c r="N19" s="362"/>
      <c r="O19" s="155"/>
      <c r="P19" s="278"/>
      <c r="Q19" s="313"/>
      <c r="R19" s="303"/>
      <c r="S19" s="278"/>
      <c r="T19" s="362"/>
      <c r="U19" s="155"/>
      <c r="V19" s="222"/>
      <c r="W19" s="98"/>
      <c r="X19" s="402"/>
      <c r="Y19" s="402"/>
      <c r="Z19" s="402"/>
      <c r="AS19" s="402">
        <f>★仕入先_大阪!$A$43</f>
        <v>40042</v>
      </c>
      <c r="AT19" s="31"/>
    </row>
    <row r="20" spans="1:46" s="212" customFormat="1" ht="23.1" customHeight="1">
      <c r="A20" s="223"/>
      <c r="B20" s="220" t="s">
        <v>1171</v>
      </c>
      <c r="C20" s="48"/>
      <c r="D20" s="22"/>
      <c r="E20" s="49"/>
      <c r="F20" s="50"/>
      <c r="G20" s="278"/>
      <c r="H20" s="117"/>
      <c r="I20" s="155"/>
      <c r="J20" s="278"/>
      <c r="K20" s="362"/>
      <c r="L20" s="155"/>
      <c r="M20" s="278"/>
      <c r="N20" s="362"/>
      <c r="O20" s="155"/>
      <c r="P20" s="278"/>
      <c r="Q20" s="313"/>
      <c r="R20" s="303"/>
      <c r="S20" s="278"/>
      <c r="T20" s="362"/>
      <c r="U20" s="155"/>
      <c r="V20" s="222"/>
      <c r="W20" s="98"/>
      <c r="X20" s="402"/>
      <c r="Y20" s="402"/>
      <c r="Z20" s="402"/>
      <c r="AS20" s="402">
        <f>★仕入先_大阪!$A$44</f>
        <v>40043</v>
      </c>
      <c r="AT20" s="31"/>
    </row>
    <row r="21" spans="1:46" s="212" customFormat="1" ht="23.1" customHeight="1">
      <c r="A21" s="223"/>
      <c r="B21" s="220" t="s">
        <v>1172</v>
      </c>
      <c r="C21" s="48"/>
      <c r="D21" s="22"/>
      <c r="E21" s="49"/>
      <c r="F21" s="50"/>
      <c r="G21" s="278"/>
      <c r="H21" s="117"/>
      <c r="I21" s="155"/>
      <c r="J21" s="278"/>
      <c r="K21" s="362"/>
      <c r="L21" s="155"/>
      <c r="M21" s="278"/>
      <c r="N21" s="362"/>
      <c r="O21" s="155"/>
      <c r="P21" s="278"/>
      <c r="Q21" s="313"/>
      <c r="R21" s="303"/>
      <c r="S21" s="278"/>
      <c r="T21" s="362"/>
      <c r="U21" s="155"/>
      <c r="V21" s="222"/>
      <c r="W21" s="98"/>
      <c r="X21" s="402"/>
      <c r="Y21" s="402"/>
      <c r="Z21" s="402"/>
      <c r="AS21" s="402">
        <f>★仕入先_大阪!$A$45</f>
        <v>40044</v>
      </c>
      <c r="AT21" s="31"/>
    </row>
    <row r="22" spans="1:46" s="212" customFormat="1" ht="23.1" customHeight="1">
      <c r="A22" s="223"/>
      <c r="B22" s="220" t="s">
        <v>1173</v>
      </c>
      <c r="C22" s="48"/>
      <c r="D22" s="22"/>
      <c r="E22" s="49"/>
      <c r="F22" s="50"/>
      <c r="G22" s="278"/>
      <c r="H22" s="117"/>
      <c r="I22" s="155"/>
      <c r="J22" s="278"/>
      <c r="K22" s="362"/>
      <c r="L22" s="155"/>
      <c r="M22" s="278"/>
      <c r="N22" s="362"/>
      <c r="O22" s="155"/>
      <c r="P22" s="278"/>
      <c r="Q22" s="313"/>
      <c r="R22" s="303"/>
      <c r="S22" s="278"/>
      <c r="T22" s="362"/>
      <c r="U22" s="155"/>
      <c r="V22" s="222"/>
      <c r="W22" s="98"/>
      <c r="X22" s="402"/>
      <c r="Y22" s="402"/>
      <c r="Z22" s="402"/>
      <c r="AS22" s="402">
        <f>★仕入先_大阪!$A$46</f>
        <v>40045</v>
      </c>
      <c r="AT22" s="31"/>
    </row>
    <row r="23" spans="1:46" s="212" customFormat="1" ht="23.1" customHeight="1">
      <c r="A23" s="223"/>
      <c r="B23" s="220" t="s">
        <v>1174</v>
      </c>
      <c r="C23" s="48"/>
      <c r="D23" s="22"/>
      <c r="E23" s="49"/>
      <c r="F23" s="50"/>
      <c r="G23" s="278"/>
      <c r="H23" s="117"/>
      <c r="I23" s="155"/>
      <c r="J23" s="278"/>
      <c r="K23" s="362"/>
      <c r="L23" s="155"/>
      <c r="M23" s="278"/>
      <c r="N23" s="362"/>
      <c r="O23" s="155"/>
      <c r="P23" s="278"/>
      <c r="Q23" s="313"/>
      <c r="R23" s="303"/>
      <c r="S23" s="278"/>
      <c r="T23" s="362"/>
      <c r="U23" s="155"/>
      <c r="V23" s="222"/>
      <c r="W23" s="98"/>
      <c r="X23" s="402"/>
      <c r="Y23" s="402"/>
      <c r="Z23" s="402"/>
      <c r="AS23" s="402">
        <f>★仕入先_大阪!$A$47</f>
        <v>40046</v>
      </c>
      <c r="AT23" s="31"/>
    </row>
    <row r="24" spans="1:46" s="212" customFormat="1" ht="23.1" customHeight="1">
      <c r="A24" s="223"/>
      <c r="B24" s="220" t="s">
        <v>1175</v>
      </c>
      <c r="C24" s="48"/>
      <c r="D24" s="22"/>
      <c r="E24" s="49"/>
      <c r="F24" s="50"/>
      <c r="G24" s="278"/>
      <c r="H24" s="117"/>
      <c r="I24" s="155"/>
      <c r="J24" s="278"/>
      <c r="K24" s="362"/>
      <c r="L24" s="155"/>
      <c r="M24" s="278"/>
      <c r="N24" s="362"/>
      <c r="O24" s="155"/>
      <c r="P24" s="278"/>
      <c r="Q24" s="313"/>
      <c r="R24" s="303"/>
      <c r="S24" s="278"/>
      <c r="T24" s="362"/>
      <c r="U24" s="155"/>
      <c r="V24" s="222"/>
      <c r="W24" s="98"/>
      <c r="X24" s="402"/>
      <c r="Y24" s="402"/>
      <c r="Z24" s="402"/>
      <c r="AS24" s="402">
        <f>★仕入先_大阪!$A$48</f>
        <v>40047</v>
      </c>
    </row>
    <row r="25" spans="1:46" s="212" customFormat="1" ht="23.1" customHeight="1">
      <c r="A25" s="223"/>
      <c r="B25" s="220" t="s">
        <v>1176</v>
      </c>
      <c r="C25" s="48"/>
      <c r="D25" s="22"/>
      <c r="E25" s="49"/>
      <c r="F25" s="50"/>
      <c r="G25" s="278"/>
      <c r="H25" s="117"/>
      <c r="I25" s="155"/>
      <c r="J25" s="278"/>
      <c r="K25" s="362"/>
      <c r="L25" s="155"/>
      <c r="M25" s="278"/>
      <c r="N25" s="362"/>
      <c r="O25" s="155"/>
      <c r="P25" s="278"/>
      <c r="Q25" s="313"/>
      <c r="R25" s="303"/>
      <c r="S25" s="278"/>
      <c r="T25" s="362"/>
      <c r="U25" s="155"/>
      <c r="V25" s="222"/>
      <c r="W25" s="98"/>
      <c r="X25" s="402"/>
      <c r="Y25" s="402"/>
      <c r="Z25" s="402"/>
      <c r="AS25" s="402">
        <f>★仕入先_大阪!$A$49</f>
        <v>40048</v>
      </c>
    </row>
    <row r="26" spans="1:46" s="212" customFormat="1" ht="23.1" customHeight="1">
      <c r="A26" s="223"/>
      <c r="B26" s="220" t="s">
        <v>1177</v>
      </c>
      <c r="C26" s="48"/>
      <c r="D26" s="22"/>
      <c r="E26" s="49"/>
      <c r="F26" s="50"/>
      <c r="G26" s="278"/>
      <c r="H26" s="117"/>
      <c r="I26" s="155"/>
      <c r="J26" s="278"/>
      <c r="K26" s="362"/>
      <c r="L26" s="155"/>
      <c r="M26" s="278"/>
      <c r="N26" s="362"/>
      <c r="O26" s="155"/>
      <c r="P26" s="278"/>
      <c r="Q26" s="313"/>
      <c r="R26" s="303"/>
      <c r="S26" s="278"/>
      <c r="T26" s="362"/>
      <c r="U26" s="155"/>
      <c r="V26" s="222"/>
      <c r="W26" s="98"/>
      <c r="X26" s="402"/>
      <c r="Y26" s="402"/>
      <c r="Z26" s="402"/>
      <c r="AS26" s="402">
        <f>★仕入先_大阪!$A$50</f>
        <v>40049</v>
      </c>
    </row>
    <row r="27" spans="1:46" s="212" customFormat="1" ht="23.1" customHeight="1">
      <c r="A27" s="223"/>
      <c r="B27" s="220" t="s">
        <v>1178</v>
      </c>
      <c r="C27" s="48"/>
      <c r="D27" s="22"/>
      <c r="E27" s="49"/>
      <c r="F27" s="50"/>
      <c r="G27" s="278"/>
      <c r="H27" s="117"/>
      <c r="I27" s="155"/>
      <c r="J27" s="278"/>
      <c r="K27" s="362"/>
      <c r="L27" s="155"/>
      <c r="M27" s="278"/>
      <c r="N27" s="362"/>
      <c r="O27" s="155"/>
      <c r="P27" s="278"/>
      <c r="Q27" s="313"/>
      <c r="R27" s="303"/>
      <c r="S27" s="278"/>
      <c r="T27" s="362"/>
      <c r="U27" s="155"/>
      <c r="V27" s="222"/>
      <c r="W27" s="98"/>
      <c r="X27" s="402"/>
      <c r="Y27" s="402"/>
      <c r="Z27" s="402"/>
      <c r="AS27" s="402">
        <f>★仕入先_大阪!$A$51</f>
        <v>40050</v>
      </c>
    </row>
    <row r="28" spans="1:46" s="212" customFormat="1" ht="23.1" customHeight="1">
      <c r="A28" s="223"/>
      <c r="B28" s="220" t="s">
        <v>1179</v>
      </c>
      <c r="C28" s="48"/>
      <c r="D28" s="22"/>
      <c r="E28" s="49"/>
      <c r="F28" s="50"/>
      <c r="G28" s="278"/>
      <c r="H28" s="117"/>
      <c r="I28" s="155"/>
      <c r="J28" s="278"/>
      <c r="K28" s="362"/>
      <c r="L28" s="155"/>
      <c r="M28" s="278"/>
      <c r="N28" s="362"/>
      <c r="O28" s="155"/>
      <c r="P28" s="278"/>
      <c r="Q28" s="313"/>
      <c r="R28" s="303"/>
      <c r="S28" s="278"/>
      <c r="T28" s="362"/>
      <c r="U28" s="155"/>
      <c r="V28" s="222"/>
      <c r="W28" s="98"/>
      <c r="X28" s="402"/>
      <c r="Y28" s="402"/>
      <c r="Z28" s="402"/>
      <c r="AS28" s="402">
        <f>★仕入先_大阪!$A$52</f>
        <v>40052</v>
      </c>
    </row>
    <row r="29" spans="1:46" s="212" customFormat="1" ht="23.1" customHeight="1">
      <c r="A29" s="223"/>
      <c r="B29" s="220" t="s">
        <v>1180</v>
      </c>
      <c r="C29" s="48"/>
      <c r="D29" s="22"/>
      <c r="E29" s="49"/>
      <c r="F29" s="50"/>
      <c r="G29" s="278"/>
      <c r="H29" s="117"/>
      <c r="I29" s="155"/>
      <c r="J29" s="278"/>
      <c r="K29" s="362"/>
      <c r="L29" s="155"/>
      <c r="M29" s="278"/>
      <c r="N29" s="362"/>
      <c r="O29" s="155"/>
      <c r="P29" s="278"/>
      <c r="Q29" s="313"/>
      <c r="R29" s="303"/>
      <c r="S29" s="278"/>
      <c r="T29" s="362"/>
      <c r="U29" s="155"/>
      <c r="V29" s="222"/>
      <c r="W29" s="98"/>
      <c r="X29" s="402"/>
      <c r="Y29" s="402"/>
      <c r="Z29" s="402"/>
      <c r="AS29" s="402">
        <f>★仕入先_大阪!$A$53</f>
        <v>40053</v>
      </c>
    </row>
    <row r="30" spans="1:46" s="212" customFormat="1" ht="23.1" customHeight="1">
      <c r="A30" s="223"/>
      <c r="B30" s="220" t="s">
        <v>1181</v>
      </c>
      <c r="C30" s="48"/>
      <c r="D30" s="22"/>
      <c r="E30" s="49"/>
      <c r="F30" s="50"/>
      <c r="G30" s="278"/>
      <c r="H30" s="117"/>
      <c r="I30" s="155"/>
      <c r="J30" s="278"/>
      <c r="K30" s="362"/>
      <c r="L30" s="155"/>
      <c r="M30" s="278"/>
      <c r="N30" s="362"/>
      <c r="O30" s="155"/>
      <c r="P30" s="278"/>
      <c r="Q30" s="313"/>
      <c r="R30" s="303"/>
      <c r="S30" s="278"/>
      <c r="T30" s="362"/>
      <c r="U30" s="155"/>
      <c r="V30" s="222"/>
      <c r="W30" s="98"/>
      <c r="X30" s="402"/>
      <c r="Y30" s="402"/>
      <c r="Z30" s="402"/>
      <c r="AS30" s="402">
        <f>★仕入先_大阪!$A$54</f>
        <v>40054</v>
      </c>
    </row>
    <row r="31" spans="1:46" s="212" customFormat="1" ht="23.1" customHeight="1">
      <c r="A31" s="223"/>
      <c r="B31" s="220" t="s">
        <v>1182</v>
      </c>
      <c r="C31" s="48"/>
      <c r="D31" s="22"/>
      <c r="E31" s="49"/>
      <c r="F31" s="50"/>
      <c r="G31" s="278"/>
      <c r="H31" s="117"/>
      <c r="I31" s="155"/>
      <c r="J31" s="278"/>
      <c r="K31" s="362"/>
      <c r="L31" s="155"/>
      <c r="M31" s="278"/>
      <c r="N31" s="362"/>
      <c r="O31" s="155"/>
      <c r="P31" s="278"/>
      <c r="Q31" s="313"/>
      <c r="R31" s="303"/>
      <c r="S31" s="278"/>
      <c r="T31" s="362"/>
      <c r="U31" s="155"/>
      <c r="V31" s="222"/>
      <c r="W31" s="98"/>
      <c r="X31" s="402"/>
      <c r="Y31" s="402"/>
      <c r="Z31" s="402"/>
      <c r="AS31" s="402">
        <f>★仕入先_大阪!$A$55</f>
        <v>40055</v>
      </c>
    </row>
    <row r="32" spans="1:46" s="212" customFormat="1" ht="23.1" customHeight="1">
      <c r="A32" s="223"/>
      <c r="B32" s="220" t="s">
        <v>1183</v>
      </c>
      <c r="C32" s="48"/>
      <c r="D32" s="22"/>
      <c r="E32" s="49"/>
      <c r="F32" s="50"/>
      <c r="G32" s="278"/>
      <c r="H32" s="117"/>
      <c r="I32" s="155"/>
      <c r="J32" s="278"/>
      <c r="K32" s="362"/>
      <c r="L32" s="155"/>
      <c r="M32" s="278"/>
      <c r="N32" s="362"/>
      <c r="O32" s="155"/>
      <c r="P32" s="278"/>
      <c r="Q32" s="313"/>
      <c r="R32" s="303"/>
      <c r="S32" s="278"/>
      <c r="T32" s="362"/>
      <c r="U32" s="155"/>
      <c r="V32" s="222"/>
      <c r="W32" s="98"/>
      <c r="X32" s="402"/>
      <c r="Y32" s="402"/>
      <c r="Z32" s="402"/>
      <c r="AS32" s="402">
        <f>★仕入先_大阪!$A$56</f>
        <v>40056</v>
      </c>
      <c r="AT32" s="402"/>
    </row>
    <row r="33" spans="1:46" s="212" customFormat="1" ht="23.1" customHeight="1">
      <c r="A33" s="223"/>
      <c r="B33" s="220" t="s">
        <v>1184</v>
      </c>
      <c r="C33" s="48"/>
      <c r="D33" s="22"/>
      <c r="E33" s="49"/>
      <c r="F33" s="50"/>
      <c r="G33" s="278"/>
      <c r="H33" s="117"/>
      <c r="I33" s="155"/>
      <c r="J33" s="278"/>
      <c r="K33" s="362"/>
      <c r="L33" s="155"/>
      <c r="M33" s="278"/>
      <c r="N33" s="362"/>
      <c r="O33" s="155"/>
      <c r="P33" s="278"/>
      <c r="Q33" s="313"/>
      <c r="R33" s="303"/>
      <c r="S33" s="278"/>
      <c r="T33" s="362"/>
      <c r="U33" s="155"/>
      <c r="V33" s="222"/>
      <c r="W33" s="98"/>
      <c r="X33" s="402"/>
      <c r="Y33" s="402"/>
      <c r="Z33" s="402"/>
      <c r="AS33" s="402">
        <f>★仕入先_大阪!$A$57</f>
        <v>40057</v>
      </c>
    </row>
    <row r="34" spans="1:46" s="212" customFormat="1" ht="23.1" customHeight="1">
      <c r="A34" s="223"/>
      <c r="B34" s="220" t="s">
        <v>1185</v>
      </c>
      <c r="C34" s="48"/>
      <c r="D34" s="22"/>
      <c r="E34" s="49"/>
      <c r="F34" s="50"/>
      <c r="G34" s="278"/>
      <c r="H34" s="117"/>
      <c r="I34" s="155"/>
      <c r="J34" s="278"/>
      <c r="K34" s="362"/>
      <c r="L34" s="155"/>
      <c r="M34" s="278"/>
      <c r="N34" s="362"/>
      <c r="O34" s="155"/>
      <c r="P34" s="278"/>
      <c r="Q34" s="313"/>
      <c r="R34" s="303"/>
      <c r="S34" s="278"/>
      <c r="T34" s="362"/>
      <c r="U34" s="155"/>
      <c r="V34" s="222"/>
      <c r="W34" s="98"/>
      <c r="X34" s="402"/>
      <c r="Y34" s="402"/>
      <c r="Z34" s="402"/>
      <c r="AS34" s="402">
        <f>★仕入先_大阪!$A$58</f>
        <v>40058</v>
      </c>
    </row>
    <row r="35" spans="1:46" s="212" customFormat="1" ht="23.1" customHeight="1">
      <c r="A35" s="223"/>
      <c r="B35" s="220" t="s">
        <v>1186</v>
      </c>
      <c r="C35" s="48"/>
      <c r="D35" s="22"/>
      <c r="E35" s="49"/>
      <c r="F35" s="50"/>
      <c r="G35" s="278"/>
      <c r="H35" s="117"/>
      <c r="I35" s="155"/>
      <c r="J35" s="278"/>
      <c r="K35" s="362"/>
      <c r="L35" s="155"/>
      <c r="M35" s="278"/>
      <c r="N35" s="362"/>
      <c r="O35" s="155"/>
      <c r="P35" s="278"/>
      <c r="Q35" s="313"/>
      <c r="R35" s="303"/>
      <c r="S35" s="278"/>
      <c r="T35" s="362"/>
      <c r="U35" s="155"/>
      <c r="V35" s="222"/>
      <c r="W35" s="98"/>
      <c r="X35" s="402"/>
      <c r="Y35" s="402"/>
      <c r="Z35" s="402"/>
      <c r="AS35" s="402">
        <f>★仕入先_大阪!$A$59</f>
        <v>40059</v>
      </c>
    </row>
    <row r="36" spans="1:46" s="212" customFormat="1" ht="23.1" customHeight="1">
      <c r="A36" s="223"/>
      <c r="B36" s="220" t="s">
        <v>1187</v>
      </c>
      <c r="C36" s="48"/>
      <c r="D36" s="22"/>
      <c r="E36" s="49"/>
      <c r="F36" s="50"/>
      <c r="G36" s="278"/>
      <c r="H36" s="117"/>
      <c r="I36" s="155"/>
      <c r="J36" s="278"/>
      <c r="K36" s="362"/>
      <c r="L36" s="155"/>
      <c r="M36" s="278"/>
      <c r="N36" s="362"/>
      <c r="O36" s="155"/>
      <c r="P36" s="278"/>
      <c r="Q36" s="313"/>
      <c r="R36" s="303"/>
      <c r="S36" s="278"/>
      <c r="T36" s="362"/>
      <c r="U36" s="155"/>
      <c r="V36" s="222"/>
      <c r="W36" s="98"/>
      <c r="X36" s="402"/>
      <c r="Y36" s="402"/>
      <c r="Z36" s="402"/>
      <c r="AS36" s="402">
        <f>★仕入先_大阪!$A$60</f>
        <v>40060</v>
      </c>
    </row>
    <row r="37" spans="1:46" s="212" customFormat="1" ht="23.1" customHeight="1">
      <c r="A37" s="223"/>
      <c r="B37" s="220" t="s">
        <v>1188</v>
      </c>
      <c r="C37" s="48"/>
      <c r="D37" s="22"/>
      <c r="E37" s="49"/>
      <c r="F37" s="50"/>
      <c r="G37" s="278"/>
      <c r="H37" s="117"/>
      <c r="I37" s="155"/>
      <c r="J37" s="278"/>
      <c r="K37" s="362"/>
      <c r="L37" s="155"/>
      <c r="M37" s="278"/>
      <c r="N37" s="362"/>
      <c r="O37" s="155"/>
      <c r="P37" s="278"/>
      <c r="Q37" s="313"/>
      <c r="R37" s="303"/>
      <c r="S37" s="278"/>
      <c r="T37" s="362"/>
      <c r="U37" s="155"/>
      <c r="V37" s="222"/>
      <c r="W37" s="98"/>
      <c r="X37" s="402"/>
      <c r="Y37" s="402"/>
      <c r="Z37" s="402"/>
      <c r="AS37" s="402">
        <f>★仕入先_大阪!$A$64</f>
        <v>40064</v>
      </c>
      <c r="AT37" s="402"/>
    </row>
    <row r="38" spans="1:46" s="212" customFormat="1" ht="23.1" customHeight="1">
      <c r="A38" s="223"/>
      <c r="B38" s="220" t="s">
        <v>1189</v>
      </c>
      <c r="C38" s="48"/>
      <c r="D38" s="22"/>
      <c r="E38" s="49"/>
      <c r="F38" s="50"/>
      <c r="G38" s="278"/>
      <c r="H38" s="117"/>
      <c r="I38" s="155"/>
      <c r="J38" s="278"/>
      <c r="K38" s="362"/>
      <c r="L38" s="155"/>
      <c r="M38" s="278"/>
      <c r="N38" s="362"/>
      <c r="O38" s="155"/>
      <c r="P38" s="278"/>
      <c r="Q38" s="313"/>
      <c r="R38" s="303"/>
      <c r="S38" s="278"/>
      <c r="T38" s="362"/>
      <c r="U38" s="155"/>
      <c r="V38" s="222"/>
      <c r="W38" s="98"/>
      <c r="X38" s="402"/>
      <c r="Y38" s="402"/>
      <c r="Z38" s="402"/>
      <c r="AS38" s="402">
        <f>★仕入先_大阪!$A$65</f>
        <v>40065</v>
      </c>
      <c r="AT38" s="402"/>
    </row>
    <row r="39" spans="1:46" s="212" customFormat="1" ht="23.1" customHeight="1">
      <c r="A39" s="223"/>
      <c r="B39" s="220" t="s">
        <v>1190</v>
      </c>
      <c r="C39" s="48"/>
      <c r="D39" s="22"/>
      <c r="E39" s="49"/>
      <c r="F39" s="50"/>
      <c r="G39" s="278"/>
      <c r="H39" s="117"/>
      <c r="I39" s="155"/>
      <c r="J39" s="278"/>
      <c r="K39" s="362"/>
      <c r="L39" s="155"/>
      <c r="M39" s="278"/>
      <c r="N39" s="362"/>
      <c r="O39" s="155"/>
      <c r="P39" s="278"/>
      <c r="Q39" s="313"/>
      <c r="R39" s="303"/>
      <c r="S39" s="278"/>
      <c r="T39" s="362"/>
      <c r="U39" s="155"/>
      <c r="V39" s="222"/>
      <c r="W39" s="98"/>
      <c r="X39" s="402"/>
      <c r="Y39" s="402"/>
      <c r="Z39" s="402"/>
      <c r="AS39" s="402">
        <f>★仕入先_大阪!$A$66</f>
        <v>40066</v>
      </c>
      <c r="AT39" s="402"/>
    </row>
    <row r="40" spans="1:46" s="212" customFormat="1" ht="23.1" customHeight="1">
      <c r="A40" s="223"/>
      <c r="B40" s="220" t="s">
        <v>1191</v>
      </c>
      <c r="C40" s="48"/>
      <c r="D40" s="22"/>
      <c r="E40" s="49"/>
      <c r="F40" s="50"/>
      <c r="G40" s="278"/>
      <c r="H40" s="117"/>
      <c r="I40" s="155"/>
      <c r="J40" s="278"/>
      <c r="K40" s="362"/>
      <c r="L40" s="155"/>
      <c r="M40" s="278"/>
      <c r="N40" s="362"/>
      <c r="O40" s="155"/>
      <c r="P40" s="278"/>
      <c r="Q40" s="313"/>
      <c r="R40" s="303"/>
      <c r="S40" s="278"/>
      <c r="T40" s="362"/>
      <c r="U40" s="155"/>
      <c r="V40" s="222"/>
      <c r="W40" s="98"/>
      <c r="X40" s="402"/>
      <c r="Y40" s="402"/>
      <c r="Z40" s="402"/>
      <c r="AS40" s="402">
        <f>★仕入先_大阪!$A$68</f>
        <v>40068</v>
      </c>
      <c r="AT40" s="402"/>
    </row>
    <row r="41" spans="1:46" s="212" customFormat="1" ht="23.1" customHeight="1">
      <c r="A41" s="223"/>
      <c r="B41" s="220" t="s">
        <v>1192</v>
      </c>
      <c r="C41" s="48"/>
      <c r="D41" s="22"/>
      <c r="E41" s="49"/>
      <c r="F41" s="50"/>
      <c r="G41" s="278"/>
      <c r="H41" s="117"/>
      <c r="I41" s="155"/>
      <c r="J41" s="278"/>
      <c r="K41" s="362"/>
      <c r="L41" s="155"/>
      <c r="M41" s="278"/>
      <c r="N41" s="362"/>
      <c r="O41" s="155"/>
      <c r="P41" s="278"/>
      <c r="Q41" s="313"/>
      <c r="R41" s="303"/>
      <c r="S41" s="278"/>
      <c r="T41" s="362"/>
      <c r="U41" s="155"/>
      <c r="V41" s="222"/>
      <c r="W41" s="98"/>
      <c r="X41" s="402"/>
      <c r="Y41" s="402"/>
      <c r="Z41" s="402"/>
      <c r="AS41" s="402">
        <f>★仕入先_大阪!$A$69</f>
        <v>40069</v>
      </c>
      <c r="AT41" s="402"/>
    </row>
    <row r="42" spans="1:46" s="212" customFormat="1" ht="23.1" customHeight="1">
      <c r="A42" s="223"/>
      <c r="B42" s="220" t="s">
        <v>1193</v>
      </c>
      <c r="C42" s="48"/>
      <c r="D42" s="22"/>
      <c r="E42" s="49"/>
      <c r="F42" s="50"/>
      <c r="G42" s="278"/>
      <c r="H42" s="117"/>
      <c r="I42" s="155"/>
      <c r="J42" s="278"/>
      <c r="K42" s="362"/>
      <c r="L42" s="155"/>
      <c r="M42" s="278"/>
      <c r="N42" s="362"/>
      <c r="O42" s="155"/>
      <c r="P42" s="278"/>
      <c r="Q42" s="313"/>
      <c r="R42" s="303"/>
      <c r="S42" s="278"/>
      <c r="T42" s="362"/>
      <c r="U42" s="155"/>
      <c r="V42" s="222"/>
      <c r="W42" s="98"/>
      <c r="X42" s="402"/>
      <c r="Y42" s="402"/>
      <c r="Z42" s="402"/>
      <c r="AS42" s="402">
        <f>★仕入先_大阪!$A$70</f>
        <v>40070</v>
      </c>
      <c r="AT42" s="402"/>
    </row>
    <row r="43" spans="1:46" s="212" customFormat="1" ht="23.1" customHeight="1">
      <c r="A43" s="223"/>
      <c r="B43" s="220" t="s">
        <v>1194</v>
      </c>
      <c r="C43" s="48"/>
      <c r="D43" s="22"/>
      <c r="E43" s="49"/>
      <c r="F43" s="50"/>
      <c r="G43" s="278"/>
      <c r="H43" s="117"/>
      <c r="I43" s="155"/>
      <c r="J43" s="278"/>
      <c r="K43" s="362"/>
      <c r="L43" s="155"/>
      <c r="M43" s="278"/>
      <c r="N43" s="362"/>
      <c r="O43" s="155"/>
      <c r="P43" s="278"/>
      <c r="Q43" s="313"/>
      <c r="R43" s="303"/>
      <c r="S43" s="278"/>
      <c r="T43" s="362"/>
      <c r="U43" s="155"/>
      <c r="V43" s="222"/>
      <c r="W43" s="98"/>
      <c r="X43" s="402"/>
      <c r="Y43" s="402"/>
      <c r="Z43" s="402"/>
      <c r="AS43" s="402">
        <f>★仕入先_大阪!$A$71</f>
        <v>40071</v>
      </c>
      <c r="AT43" s="402"/>
    </row>
    <row r="44" spans="1:46" s="212" customFormat="1" ht="23.1" customHeight="1">
      <c r="A44" s="223"/>
      <c r="B44" s="220" t="s">
        <v>1195</v>
      </c>
      <c r="C44" s="48"/>
      <c r="D44" s="22"/>
      <c r="E44" s="49"/>
      <c r="F44" s="50"/>
      <c r="G44" s="278"/>
      <c r="H44" s="117"/>
      <c r="I44" s="155"/>
      <c r="J44" s="278"/>
      <c r="K44" s="362"/>
      <c r="L44" s="155"/>
      <c r="M44" s="278"/>
      <c r="N44" s="362"/>
      <c r="O44" s="155"/>
      <c r="P44" s="278"/>
      <c r="Q44" s="313"/>
      <c r="R44" s="303"/>
      <c r="S44" s="278"/>
      <c r="T44" s="362"/>
      <c r="U44" s="155"/>
      <c r="V44" s="222"/>
      <c r="W44" s="98"/>
      <c r="X44" s="402"/>
      <c r="Y44" s="402"/>
      <c r="Z44" s="402"/>
      <c r="AS44" s="402">
        <f>★仕入先_大阪!$A$72</f>
        <v>40072</v>
      </c>
      <c r="AT44" s="402"/>
    </row>
    <row r="45" spans="1:46" s="212" customFormat="1" ht="23.1" customHeight="1">
      <c r="A45" s="223"/>
      <c r="B45" s="220" t="s">
        <v>1196</v>
      </c>
      <c r="C45" s="48"/>
      <c r="D45" s="22"/>
      <c r="E45" s="49"/>
      <c r="F45" s="50"/>
      <c r="G45" s="278"/>
      <c r="H45" s="117"/>
      <c r="I45" s="155"/>
      <c r="J45" s="278"/>
      <c r="K45" s="362"/>
      <c r="L45" s="155"/>
      <c r="M45" s="278"/>
      <c r="N45" s="362"/>
      <c r="O45" s="155"/>
      <c r="P45" s="278"/>
      <c r="Q45" s="313"/>
      <c r="R45" s="303"/>
      <c r="S45" s="278"/>
      <c r="T45" s="362"/>
      <c r="U45" s="155"/>
      <c r="V45" s="222"/>
      <c r="W45" s="98"/>
      <c r="X45" s="402"/>
      <c r="Y45" s="402"/>
      <c r="Z45" s="402"/>
      <c r="AS45" s="402">
        <f>★仕入先_大阪!$A$73</f>
        <v>40073</v>
      </c>
      <c r="AT45" s="402"/>
    </row>
    <row r="46" spans="1:46" s="212" customFormat="1" ht="23.1" customHeight="1">
      <c r="A46" s="223"/>
      <c r="B46" s="220" t="s">
        <v>1197</v>
      </c>
      <c r="C46" s="48"/>
      <c r="D46" s="22"/>
      <c r="E46" s="49"/>
      <c r="F46" s="50"/>
      <c r="G46" s="278"/>
      <c r="H46" s="117"/>
      <c r="I46" s="155"/>
      <c r="J46" s="278"/>
      <c r="K46" s="362"/>
      <c r="L46" s="155"/>
      <c r="M46" s="278"/>
      <c r="N46" s="362"/>
      <c r="O46" s="155"/>
      <c r="P46" s="278"/>
      <c r="Q46" s="313"/>
      <c r="R46" s="303"/>
      <c r="S46" s="278"/>
      <c r="T46" s="362"/>
      <c r="U46" s="155"/>
      <c r="V46" s="222"/>
      <c r="W46" s="98"/>
      <c r="X46" s="402"/>
      <c r="Y46" s="402"/>
      <c r="Z46" s="402"/>
      <c r="AS46" s="402">
        <f>★仕入先_大阪!$A$74</f>
        <v>40074</v>
      </c>
      <c r="AT46" s="402"/>
    </row>
    <row r="47" spans="1:46" s="212" customFormat="1" ht="23.1" customHeight="1">
      <c r="A47" s="223"/>
      <c r="B47" s="220" t="s">
        <v>1198</v>
      </c>
      <c r="C47" s="48"/>
      <c r="D47" s="22"/>
      <c r="E47" s="49"/>
      <c r="F47" s="50"/>
      <c r="G47" s="278"/>
      <c r="H47" s="117"/>
      <c r="I47" s="155"/>
      <c r="J47" s="278"/>
      <c r="K47" s="362"/>
      <c r="L47" s="155"/>
      <c r="M47" s="278"/>
      <c r="N47" s="362"/>
      <c r="O47" s="155"/>
      <c r="P47" s="278"/>
      <c r="Q47" s="313"/>
      <c r="R47" s="303"/>
      <c r="S47" s="278"/>
      <c r="T47" s="362"/>
      <c r="U47" s="155"/>
      <c r="V47" s="222"/>
      <c r="W47" s="98"/>
      <c r="X47" s="402"/>
      <c r="Y47" s="402"/>
      <c r="Z47" s="402"/>
      <c r="AS47" s="402">
        <f>★仕入先_大阪!$A$76</f>
        <v>40076</v>
      </c>
      <c r="AT47" s="402"/>
    </row>
    <row r="48" spans="1:46" s="212" customFormat="1" ht="23.1" customHeight="1">
      <c r="A48" s="223"/>
      <c r="B48" s="220" t="s">
        <v>1199</v>
      </c>
      <c r="C48" s="48"/>
      <c r="D48" s="22"/>
      <c r="E48" s="49"/>
      <c r="F48" s="50"/>
      <c r="G48" s="278"/>
      <c r="H48" s="117"/>
      <c r="I48" s="155"/>
      <c r="J48" s="278"/>
      <c r="K48" s="362"/>
      <c r="L48" s="155"/>
      <c r="M48" s="278"/>
      <c r="N48" s="362"/>
      <c r="O48" s="155"/>
      <c r="P48" s="278"/>
      <c r="Q48" s="313"/>
      <c r="R48" s="303"/>
      <c r="S48" s="278"/>
      <c r="T48" s="362"/>
      <c r="U48" s="155"/>
      <c r="V48" s="222"/>
      <c r="W48" s="98"/>
      <c r="X48" s="402"/>
      <c r="Y48" s="402"/>
      <c r="Z48" s="402"/>
      <c r="AS48" s="402">
        <f>★仕入先_大阪!$A$77</f>
        <v>40077</v>
      </c>
      <c r="AT48" s="402"/>
    </row>
    <row r="49" spans="1:46" s="212" customFormat="1" ht="23.1" customHeight="1">
      <c r="A49" s="223"/>
      <c r="B49" s="220" t="s">
        <v>1200</v>
      </c>
      <c r="C49" s="48"/>
      <c r="D49" s="22"/>
      <c r="E49" s="49"/>
      <c r="F49" s="50"/>
      <c r="G49" s="278"/>
      <c r="H49" s="117"/>
      <c r="I49" s="155"/>
      <c r="J49" s="278"/>
      <c r="K49" s="362"/>
      <c r="L49" s="155"/>
      <c r="M49" s="278"/>
      <c r="N49" s="362"/>
      <c r="O49" s="155"/>
      <c r="P49" s="278"/>
      <c r="Q49" s="313"/>
      <c r="R49" s="303"/>
      <c r="S49" s="278"/>
      <c r="T49" s="362"/>
      <c r="U49" s="155"/>
      <c r="V49" s="222"/>
      <c r="W49" s="98"/>
      <c r="X49" s="402"/>
      <c r="Y49" s="402"/>
      <c r="Z49" s="402"/>
      <c r="AS49" s="402">
        <f>★仕入先_大阪!$A$78</f>
        <v>40078</v>
      </c>
      <c r="AT49" s="402"/>
    </row>
    <row r="50" spans="1:46" s="212" customFormat="1" ht="23.1" customHeight="1">
      <c r="A50" s="223"/>
      <c r="B50" s="220" t="s">
        <v>1201</v>
      </c>
      <c r="C50" s="48"/>
      <c r="D50" s="22"/>
      <c r="E50" s="49"/>
      <c r="F50" s="50"/>
      <c r="G50" s="278"/>
      <c r="H50" s="117"/>
      <c r="I50" s="155"/>
      <c r="J50" s="278"/>
      <c r="K50" s="362"/>
      <c r="L50" s="155"/>
      <c r="M50" s="278"/>
      <c r="N50" s="362"/>
      <c r="O50" s="155"/>
      <c r="P50" s="278"/>
      <c r="Q50" s="313"/>
      <c r="R50" s="303"/>
      <c r="S50" s="278"/>
      <c r="T50" s="362"/>
      <c r="U50" s="155"/>
      <c r="V50" s="222"/>
      <c r="W50" s="98"/>
      <c r="X50" s="402"/>
      <c r="Y50" s="402"/>
      <c r="Z50" s="402"/>
      <c r="AS50" s="402">
        <f>★仕入先_大阪!$A$79</f>
        <v>40079</v>
      </c>
      <c r="AT50" s="402"/>
    </row>
    <row r="51" spans="1:46" s="212" customFormat="1" ht="23.1" customHeight="1">
      <c r="A51" s="223"/>
      <c r="B51" s="220" t="s">
        <v>1202</v>
      </c>
      <c r="C51" s="48"/>
      <c r="D51" s="22"/>
      <c r="E51" s="49"/>
      <c r="F51" s="50"/>
      <c r="G51" s="278"/>
      <c r="H51" s="117"/>
      <c r="I51" s="155"/>
      <c r="J51" s="278"/>
      <c r="K51" s="362"/>
      <c r="L51" s="155"/>
      <c r="M51" s="278"/>
      <c r="N51" s="362"/>
      <c r="O51" s="155"/>
      <c r="P51" s="278"/>
      <c r="Q51" s="313"/>
      <c r="R51" s="303"/>
      <c r="S51" s="278"/>
      <c r="T51" s="362"/>
      <c r="U51" s="155"/>
      <c r="V51" s="222"/>
      <c r="W51" s="98"/>
      <c r="X51" s="402"/>
      <c r="Y51" s="402"/>
      <c r="Z51" s="402"/>
      <c r="AS51" s="402">
        <f>★仕入先_大阪!$A$80</f>
        <v>40080</v>
      </c>
      <c r="AT51" s="402"/>
    </row>
    <row r="52" spans="1:46" s="212" customFormat="1" ht="23.1" customHeight="1">
      <c r="A52" s="223"/>
      <c r="B52" s="220" t="s">
        <v>1203</v>
      </c>
      <c r="C52" s="48"/>
      <c r="D52" s="22"/>
      <c r="E52" s="49"/>
      <c r="F52" s="50"/>
      <c r="G52" s="278"/>
      <c r="H52" s="117"/>
      <c r="I52" s="155"/>
      <c r="J52" s="278"/>
      <c r="K52" s="362"/>
      <c r="L52" s="155"/>
      <c r="M52" s="278"/>
      <c r="N52" s="362"/>
      <c r="O52" s="155"/>
      <c r="P52" s="278"/>
      <c r="Q52" s="313"/>
      <c r="R52" s="303"/>
      <c r="S52" s="278"/>
      <c r="T52" s="362"/>
      <c r="U52" s="155"/>
      <c r="V52" s="222"/>
      <c r="W52" s="98"/>
      <c r="X52" s="402"/>
      <c r="Y52" s="402"/>
      <c r="Z52" s="402"/>
      <c r="AS52" s="402">
        <f>★仕入先_大阪!$A$81</f>
        <v>40081</v>
      </c>
      <c r="AT52" s="402"/>
    </row>
    <row r="53" spans="1:46" s="212" customFormat="1" ht="23.1" customHeight="1">
      <c r="A53" s="223"/>
      <c r="B53" s="220" t="s">
        <v>1204</v>
      </c>
      <c r="C53" s="48"/>
      <c r="D53" s="22"/>
      <c r="E53" s="49"/>
      <c r="F53" s="50"/>
      <c r="G53" s="278"/>
      <c r="H53" s="117"/>
      <c r="I53" s="155"/>
      <c r="J53" s="278"/>
      <c r="K53" s="362"/>
      <c r="L53" s="155"/>
      <c r="M53" s="278"/>
      <c r="N53" s="362"/>
      <c r="O53" s="155"/>
      <c r="P53" s="278"/>
      <c r="Q53" s="313"/>
      <c r="R53" s="303"/>
      <c r="S53" s="278"/>
      <c r="T53" s="362"/>
      <c r="U53" s="155"/>
      <c r="V53" s="222"/>
      <c r="W53" s="98"/>
      <c r="X53" s="402"/>
      <c r="Y53" s="402"/>
      <c r="Z53" s="402"/>
      <c r="AS53" s="402">
        <f>★仕入先_大阪!$A$82</f>
        <v>40082</v>
      </c>
      <c r="AT53" s="402"/>
    </row>
    <row r="54" spans="1:46" s="212" customFormat="1" ht="23.1" customHeight="1">
      <c r="A54" s="223"/>
      <c r="B54" s="220" t="s">
        <v>1205</v>
      </c>
      <c r="C54" s="48"/>
      <c r="D54" s="22"/>
      <c r="E54" s="49"/>
      <c r="F54" s="50"/>
      <c r="G54" s="278"/>
      <c r="H54" s="117"/>
      <c r="I54" s="155"/>
      <c r="J54" s="278"/>
      <c r="K54" s="362"/>
      <c r="L54" s="155"/>
      <c r="M54" s="278"/>
      <c r="N54" s="362"/>
      <c r="O54" s="155"/>
      <c r="P54" s="278"/>
      <c r="Q54" s="313"/>
      <c r="R54" s="303"/>
      <c r="S54" s="278"/>
      <c r="T54" s="362"/>
      <c r="U54" s="155"/>
      <c r="V54" s="222"/>
      <c r="W54" s="98"/>
      <c r="X54" s="402"/>
      <c r="Y54" s="402"/>
      <c r="Z54" s="402"/>
      <c r="AS54" s="402">
        <f>★仕入先_大阪!$A$83</f>
        <v>40083</v>
      </c>
      <c r="AT54" s="402"/>
    </row>
    <row r="55" spans="1:46" s="212" customFormat="1" ht="23.1" customHeight="1">
      <c r="A55" s="223"/>
      <c r="B55" s="220" t="s">
        <v>1206</v>
      </c>
      <c r="C55" s="48"/>
      <c r="D55" s="22"/>
      <c r="E55" s="49"/>
      <c r="F55" s="50"/>
      <c r="G55" s="278"/>
      <c r="H55" s="117"/>
      <c r="I55" s="155"/>
      <c r="J55" s="278"/>
      <c r="K55" s="362"/>
      <c r="L55" s="155"/>
      <c r="M55" s="278"/>
      <c r="N55" s="362"/>
      <c r="O55" s="155"/>
      <c r="P55" s="278"/>
      <c r="Q55" s="313"/>
      <c r="R55" s="303"/>
      <c r="S55" s="278"/>
      <c r="T55" s="362"/>
      <c r="U55" s="155"/>
      <c r="V55" s="222"/>
      <c r="W55" s="98"/>
      <c r="X55" s="402"/>
      <c r="Y55" s="402"/>
      <c r="Z55" s="402"/>
      <c r="AS55" s="402">
        <f>★仕入先_大阪!$A$84</f>
        <v>40084</v>
      </c>
      <c r="AT55" s="402"/>
    </row>
    <row r="56" spans="1:46" s="212" customFormat="1" ht="23.1" customHeight="1">
      <c r="A56" s="223"/>
      <c r="B56" s="220" t="s">
        <v>1207</v>
      </c>
      <c r="C56" s="48"/>
      <c r="D56" s="22"/>
      <c r="E56" s="49"/>
      <c r="F56" s="50"/>
      <c r="G56" s="278"/>
      <c r="H56" s="117"/>
      <c r="I56" s="155"/>
      <c r="J56" s="278"/>
      <c r="K56" s="362"/>
      <c r="L56" s="155"/>
      <c r="M56" s="278"/>
      <c r="N56" s="362"/>
      <c r="O56" s="155"/>
      <c r="P56" s="278"/>
      <c r="Q56" s="313"/>
      <c r="R56" s="303"/>
      <c r="S56" s="278"/>
      <c r="T56" s="362"/>
      <c r="U56" s="155"/>
      <c r="V56" s="222"/>
      <c r="W56" s="98"/>
      <c r="X56" s="402"/>
      <c r="Y56" s="402"/>
      <c r="Z56" s="402"/>
      <c r="AS56" s="402">
        <f>★仕入先_大阪!$A$85</f>
        <v>40085</v>
      </c>
      <c r="AT56" s="402"/>
    </row>
    <row r="57" spans="1:46" s="212" customFormat="1" ht="23.1" customHeight="1">
      <c r="A57" s="223"/>
      <c r="B57" s="220" t="s">
        <v>1208</v>
      </c>
      <c r="C57" s="48"/>
      <c r="D57" s="22"/>
      <c r="E57" s="49"/>
      <c r="F57" s="50"/>
      <c r="G57" s="278"/>
      <c r="H57" s="117"/>
      <c r="I57" s="155"/>
      <c r="J57" s="278"/>
      <c r="K57" s="362"/>
      <c r="L57" s="155"/>
      <c r="M57" s="278"/>
      <c r="N57" s="362"/>
      <c r="O57" s="155"/>
      <c r="P57" s="278"/>
      <c r="Q57" s="313"/>
      <c r="R57" s="303"/>
      <c r="S57" s="278"/>
      <c r="T57" s="362"/>
      <c r="U57" s="155"/>
      <c r="V57" s="222"/>
      <c r="W57" s="98"/>
      <c r="X57" s="402"/>
      <c r="Y57" s="402"/>
      <c r="Z57" s="402"/>
      <c r="AS57" s="402">
        <f>★仕入先_大阪!$A$86</f>
        <v>40086</v>
      </c>
      <c r="AT57" s="402"/>
    </row>
    <row r="58" spans="1:46" s="212" customFormat="1" ht="23.1" customHeight="1">
      <c r="A58" s="223"/>
      <c r="B58" s="220" t="s">
        <v>1209</v>
      </c>
      <c r="C58" s="48"/>
      <c r="D58" s="22"/>
      <c r="E58" s="49"/>
      <c r="F58" s="50"/>
      <c r="G58" s="278"/>
      <c r="H58" s="117"/>
      <c r="I58" s="155"/>
      <c r="J58" s="278"/>
      <c r="K58" s="362"/>
      <c r="L58" s="155"/>
      <c r="M58" s="278"/>
      <c r="N58" s="362"/>
      <c r="O58" s="155"/>
      <c r="P58" s="278"/>
      <c r="Q58" s="313"/>
      <c r="R58" s="303"/>
      <c r="S58" s="278"/>
      <c r="T58" s="362"/>
      <c r="U58" s="155"/>
      <c r="V58" s="222"/>
      <c r="W58" s="98"/>
      <c r="X58" s="402"/>
      <c r="Y58" s="402"/>
      <c r="Z58" s="402"/>
      <c r="AS58" s="402">
        <f>★仕入先_大阪!$A$87</f>
        <v>40087</v>
      </c>
      <c r="AT58" s="402"/>
    </row>
    <row r="59" spans="1:46" s="212" customFormat="1" ht="23.1" customHeight="1">
      <c r="A59" s="223"/>
      <c r="B59" s="220" t="s">
        <v>1210</v>
      </c>
      <c r="C59" s="48"/>
      <c r="D59" s="22"/>
      <c r="E59" s="49"/>
      <c r="F59" s="50"/>
      <c r="G59" s="278"/>
      <c r="H59" s="117"/>
      <c r="I59" s="155"/>
      <c r="J59" s="278"/>
      <c r="K59" s="362"/>
      <c r="L59" s="155"/>
      <c r="M59" s="278"/>
      <c r="N59" s="362"/>
      <c r="O59" s="155"/>
      <c r="P59" s="278"/>
      <c r="Q59" s="313"/>
      <c r="R59" s="303"/>
      <c r="S59" s="278"/>
      <c r="T59" s="362"/>
      <c r="U59" s="155"/>
      <c r="V59" s="222"/>
      <c r="W59" s="98"/>
      <c r="X59" s="402"/>
      <c r="Y59" s="402"/>
      <c r="Z59" s="402"/>
      <c r="AS59" s="402">
        <f>★仕入先_大阪!$A$88</f>
        <v>40088</v>
      </c>
      <c r="AT59" s="402"/>
    </row>
    <row r="60" spans="1:46" s="212" customFormat="1" ht="23.1" customHeight="1">
      <c r="A60" s="223"/>
      <c r="B60" s="220" t="s">
        <v>1211</v>
      </c>
      <c r="C60" s="48"/>
      <c r="D60" s="22"/>
      <c r="E60" s="49"/>
      <c r="F60" s="50"/>
      <c r="G60" s="278"/>
      <c r="H60" s="117"/>
      <c r="I60" s="155"/>
      <c r="J60" s="278"/>
      <c r="K60" s="362"/>
      <c r="L60" s="155"/>
      <c r="M60" s="278"/>
      <c r="N60" s="362"/>
      <c r="O60" s="155"/>
      <c r="P60" s="278"/>
      <c r="Q60" s="313"/>
      <c r="R60" s="303"/>
      <c r="S60" s="278"/>
      <c r="T60" s="362"/>
      <c r="U60" s="155"/>
      <c r="V60" s="222"/>
      <c r="W60" s="98"/>
      <c r="X60" s="402"/>
      <c r="Y60" s="402"/>
      <c r="Z60" s="402"/>
      <c r="AS60" s="402">
        <f>★仕入先_大阪!$A$89</f>
        <v>40089</v>
      </c>
      <c r="AT60" s="402"/>
    </row>
    <row r="61" spans="1:46" s="212" customFormat="1" ht="23.1" customHeight="1">
      <c r="A61" s="223"/>
      <c r="B61" s="220" t="s">
        <v>1212</v>
      </c>
      <c r="C61" s="48"/>
      <c r="D61" s="22"/>
      <c r="E61" s="49"/>
      <c r="F61" s="50"/>
      <c r="G61" s="278"/>
      <c r="H61" s="117"/>
      <c r="I61" s="155"/>
      <c r="J61" s="278"/>
      <c r="K61" s="362"/>
      <c r="L61" s="155"/>
      <c r="M61" s="278"/>
      <c r="N61" s="362"/>
      <c r="O61" s="155"/>
      <c r="P61" s="278"/>
      <c r="Q61" s="313"/>
      <c r="R61" s="303"/>
      <c r="S61" s="278"/>
      <c r="T61" s="362"/>
      <c r="U61" s="155"/>
      <c r="V61" s="222"/>
      <c r="W61" s="98"/>
      <c r="X61" s="402"/>
      <c r="Y61" s="402"/>
      <c r="Z61" s="402"/>
      <c r="AS61" s="402">
        <f>★仕入先_大阪!$A$90</f>
        <v>40090</v>
      </c>
      <c r="AT61" s="402"/>
    </row>
    <row r="62" spans="1:46" s="212" customFormat="1" ht="23.1" customHeight="1">
      <c r="A62" s="223"/>
      <c r="B62" s="220" t="s">
        <v>1213</v>
      </c>
      <c r="C62" s="48"/>
      <c r="D62" s="22"/>
      <c r="E62" s="49"/>
      <c r="F62" s="50"/>
      <c r="G62" s="278"/>
      <c r="H62" s="117"/>
      <c r="I62" s="155"/>
      <c r="J62" s="278"/>
      <c r="K62" s="362"/>
      <c r="L62" s="155"/>
      <c r="M62" s="278"/>
      <c r="N62" s="362"/>
      <c r="O62" s="155"/>
      <c r="P62" s="278"/>
      <c r="Q62" s="313"/>
      <c r="R62" s="303"/>
      <c r="S62" s="278"/>
      <c r="T62" s="362"/>
      <c r="U62" s="155"/>
      <c r="V62" s="222"/>
      <c r="W62" s="98"/>
      <c r="X62" s="402"/>
      <c r="Y62" s="402"/>
      <c r="Z62" s="402"/>
      <c r="AS62" s="402">
        <f>★仕入先_大阪!$A$91</f>
        <v>40091</v>
      </c>
      <c r="AT62" s="402"/>
    </row>
    <row r="63" spans="1:46" s="212" customFormat="1" ht="23.1" customHeight="1">
      <c r="A63" s="223"/>
      <c r="B63" s="220" t="s">
        <v>1214</v>
      </c>
      <c r="C63" s="48"/>
      <c r="D63" s="22"/>
      <c r="E63" s="49"/>
      <c r="F63" s="50"/>
      <c r="G63" s="278"/>
      <c r="H63" s="117"/>
      <c r="I63" s="155"/>
      <c r="J63" s="278"/>
      <c r="K63" s="362"/>
      <c r="L63" s="155"/>
      <c r="M63" s="278"/>
      <c r="N63" s="362"/>
      <c r="O63" s="155"/>
      <c r="P63" s="278"/>
      <c r="Q63" s="313"/>
      <c r="R63" s="303"/>
      <c r="S63" s="278"/>
      <c r="T63" s="362"/>
      <c r="U63" s="155"/>
      <c r="V63" s="222"/>
      <c r="W63" s="98"/>
      <c r="X63" s="402"/>
      <c r="Y63" s="402"/>
      <c r="Z63" s="402"/>
      <c r="AS63" s="402">
        <f>★仕入先_大阪!$A$92</f>
        <v>40092</v>
      </c>
      <c r="AT63" s="402"/>
    </row>
    <row r="64" spans="1:46" s="212" customFormat="1" ht="23.1" customHeight="1">
      <c r="A64" s="223"/>
      <c r="B64" s="220" t="s">
        <v>1215</v>
      </c>
      <c r="C64" s="48"/>
      <c r="D64" s="22"/>
      <c r="E64" s="49"/>
      <c r="F64" s="50"/>
      <c r="G64" s="278"/>
      <c r="H64" s="117"/>
      <c r="I64" s="155"/>
      <c r="J64" s="278"/>
      <c r="K64" s="362"/>
      <c r="L64" s="155"/>
      <c r="M64" s="278"/>
      <c r="N64" s="362"/>
      <c r="O64" s="155"/>
      <c r="P64" s="278"/>
      <c r="Q64" s="313"/>
      <c r="R64" s="303"/>
      <c r="S64" s="278"/>
      <c r="T64" s="362"/>
      <c r="U64" s="155"/>
      <c r="V64" s="222"/>
      <c r="W64" s="98"/>
      <c r="X64" s="402"/>
      <c r="Y64" s="402"/>
      <c r="Z64" s="402"/>
      <c r="AS64" s="402">
        <f>★仕入先_大阪!$A$93</f>
        <v>40093</v>
      </c>
      <c r="AT64" s="402"/>
    </row>
    <row r="65" spans="1:46" s="212" customFormat="1" ht="23.1" customHeight="1">
      <c r="A65" s="223"/>
      <c r="B65" s="220" t="s">
        <v>1216</v>
      </c>
      <c r="C65" s="48"/>
      <c r="D65" s="22"/>
      <c r="E65" s="49"/>
      <c r="F65" s="50"/>
      <c r="G65" s="278"/>
      <c r="H65" s="117"/>
      <c r="I65" s="155"/>
      <c r="J65" s="278"/>
      <c r="K65" s="362"/>
      <c r="L65" s="155"/>
      <c r="M65" s="278"/>
      <c r="N65" s="362"/>
      <c r="O65" s="155"/>
      <c r="P65" s="278"/>
      <c r="Q65" s="313"/>
      <c r="R65" s="303"/>
      <c r="S65" s="278"/>
      <c r="T65" s="362"/>
      <c r="U65" s="155"/>
      <c r="V65" s="222"/>
      <c r="W65" s="98"/>
      <c r="X65" s="402"/>
      <c r="Y65" s="402"/>
      <c r="Z65" s="402"/>
      <c r="AS65" s="402">
        <f>★仕入先_大阪!$A$94</f>
        <v>40094</v>
      </c>
      <c r="AT65" s="402"/>
    </row>
    <row r="66" spans="1:46" s="212" customFormat="1" ht="23.1" customHeight="1">
      <c r="A66" s="223"/>
      <c r="B66" s="220" t="s">
        <v>1217</v>
      </c>
      <c r="C66" s="48"/>
      <c r="D66" s="22"/>
      <c r="E66" s="49"/>
      <c r="F66" s="50"/>
      <c r="G66" s="278"/>
      <c r="H66" s="117"/>
      <c r="I66" s="155"/>
      <c r="J66" s="278"/>
      <c r="K66" s="362"/>
      <c r="L66" s="155"/>
      <c r="M66" s="278"/>
      <c r="N66" s="362"/>
      <c r="O66" s="155"/>
      <c r="P66" s="278"/>
      <c r="Q66" s="313"/>
      <c r="R66" s="303"/>
      <c r="S66" s="278"/>
      <c r="T66" s="362"/>
      <c r="U66" s="155"/>
      <c r="V66" s="222"/>
      <c r="W66" s="98"/>
      <c r="X66" s="402"/>
      <c r="Y66" s="402"/>
      <c r="Z66" s="402"/>
      <c r="AS66" s="402">
        <f>★仕入先_大阪!$A$95</f>
        <v>40095</v>
      </c>
      <c r="AT66" s="402"/>
    </row>
    <row r="67" spans="1:46" s="212" customFormat="1" ht="23.1" customHeight="1">
      <c r="A67" s="223"/>
      <c r="B67" s="220" t="s">
        <v>1218</v>
      </c>
      <c r="C67" s="48"/>
      <c r="D67" s="22"/>
      <c r="E67" s="49"/>
      <c r="F67" s="50"/>
      <c r="G67" s="278"/>
      <c r="H67" s="117"/>
      <c r="I67" s="155"/>
      <c r="J67" s="278"/>
      <c r="K67" s="362"/>
      <c r="L67" s="155"/>
      <c r="M67" s="278"/>
      <c r="N67" s="362"/>
      <c r="O67" s="155"/>
      <c r="P67" s="278"/>
      <c r="Q67" s="313"/>
      <c r="R67" s="303"/>
      <c r="S67" s="278"/>
      <c r="T67" s="362"/>
      <c r="U67" s="155"/>
      <c r="V67" s="222"/>
      <c r="W67" s="98"/>
      <c r="X67" s="402"/>
      <c r="Y67" s="402"/>
      <c r="Z67" s="402"/>
      <c r="AS67" s="402">
        <f>★仕入先_大阪!$A$96</f>
        <v>40096</v>
      </c>
      <c r="AT67" s="402"/>
    </row>
    <row r="68" spans="1:46" s="212" customFormat="1" ht="23.1" customHeight="1">
      <c r="A68" s="223"/>
      <c r="B68" s="220" t="s">
        <v>1219</v>
      </c>
      <c r="C68" s="48"/>
      <c r="D68" s="22"/>
      <c r="E68" s="49"/>
      <c r="F68" s="50"/>
      <c r="G68" s="278"/>
      <c r="H68" s="117"/>
      <c r="I68" s="155"/>
      <c r="J68" s="278"/>
      <c r="K68" s="362"/>
      <c r="L68" s="155"/>
      <c r="M68" s="278"/>
      <c r="N68" s="362"/>
      <c r="O68" s="155"/>
      <c r="P68" s="278"/>
      <c r="Q68" s="313"/>
      <c r="R68" s="303"/>
      <c r="S68" s="278"/>
      <c r="T68" s="362"/>
      <c r="U68" s="155"/>
      <c r="V68" s="222"/>
      <c r="W68" s="98"/>
      <c r="X68" s="402"/>
      <c r="Y68" s="402"/>
      <c r="Z68" s="402"/>
      <c r="AS68" s="402">
        <f>★仕入先_大阪!$A$98</f>
        <v>40098</v>
      </c>
      <c r="AT68" s="402"/>
    </row>
    <row r="69" spans="1:46" s="212" customFormat="1" ht="23.1" customHeight="1">
      <c r="A69" s="223"/>
      <c r="B69" s="220" t="s">
        <v>1220</v>
      </c>
      <c r="C69" s="48"/>
      <c r="D69" s="22"/>
      <c r="E69" s="49"/>
      <c r="F69" s="50"/>
      <c r="G69" s="278"/>
      <c r="H69" s="117"/>
      <c r="I69" s="155"/>
      <c r="J69" s="278"/>
      <c r="K69" s="362"/>
      <c r="L69" s="155"/>
      <c r="M69" s="278"/>
      <c r="N69" s="362"/>
      <c r="O69" s="155"/>
      <c r="P69" s="278"/>
      <c r="Q69" s="313"/>
      <c r="R69" s="303"/>
      <c r="S69" s="278"/>
      <c r="T69" s="362"/>
      <c r="U69" s="155"/>
      <c r="V69" s="222"/>
      <c r="W69" s="98"/>
      <c r="X69" s="402"/>
      <c r="Y69" s="402"/>
      <c r="Z69" s="402"/>
      <c r="AS69" s="402">
        <f>★仕入先_大阪!$A$100</f>
        <v>40100</v>
      </c>
      <c r="AT69" s="402"/>
    </row>
    <row r="70" spans="1:46" s="212" customFormat="1" ht="23.1" customHeight="1">
      <c r="A70" s="223"/>
      <c r="B70" s="220" t="s">
        <v>1221</v>
      </c>
      <c r="C70" s="48"/>
      <c r="D70" s="22"/>
      <c r="E70" s="49"/>
      <c r="F70" s="50"/>
      <c r="G70" s="278"/>
      <c r="H70" s="117"/>
      <c r="I70" s="155"/>
      <c r="J70" s="278"/>
      <c r="K70" s="362"/>
      <c r="L70" s="155"/>
      <c r="M70" s="278"/>
      <c r="N70" s="362"/>
      <c r="O70" s="155"/>
      <c r="P70" s="278"/>
      <c r="Q70" s="313"/>
      <c r="R70" s="303"/>
      <c r="S70" s="278"/>
      <c r="T70" s="362"/>
      <c r="U70" s="155"/>
      <c r="V70" s="222"/>
      <c r="W70" s="98"/>
      <c r="X70" s="402"/>
      <c r="Y70" s="402"/>
      <c r="Z70" s="402"/>
      <c r="AS70" s="402">
        <f>★仕入先_大阪!$A$102</f>
        <v>40102</v>
      </c>
      <c r="AT70" s="402"/>
    </row>
    <row r="71" spans="1:46" s="212" customFormat="1" ht="23.1" customHeight="1">
      <c r="A71" s="223"/>
      <c r="B71" s="220" t="s">
        <v>1222</v>
      </c>
      <c r="C71" s="48"/>
      <c r="D71" s="22"/>
      <c r="E71" s="49"/>
      <c r="F71" s="50"/>
      <c r="G71" s="278"/>
      <c r="H71" s="117"/>
      <c r="I71" s="155"/>
      <c r="J71" s="278"/>
      <c r="K71" s="362"/>
      <c r="L71" s="155"/>
      <c r="M71" s="278"/>
      <c r="N71" s="362"/>
      <c r="O71" s="155"/>
      <c r="P71" s="278"/>
      <c r="Q71" s="313"/>
      <c r="R71" s="303"/>
      <c r="S71" s="278"/>
      <c r="T71" s="362"/>
      <c r="U71" s="155"/>
      <c r="V71" s="222"/>
      <c r="W71" s="98"/>
      <c r="X71" s="402"/>
      <c r="Y71" s="402"/>
      <c r="Z71" s="402"/>
      <c r="AS71" s="402">
        <f>★仕入先_大阪!$A$103</f>
        <v>40103</v>
      </c>
      <c r="AT71" s="402"/>
    </row>
    <row r="72" spans="1:46" s="212" customFormat="1" ht="23.1" customHeight="1">
      <c r="A72" s="223"/>
      <c r="B72" s="220" t="s">
        <v>1223</v>
      </c>
      <c r="C72" s="48"/>
      <c r="D72" s="22"/>
      <c r="E72" s="49"/>
      <c r="F72" s="50"/>
      <c r="G72" s="278"/>
      <c r="H72" s="117"/>
      <c r="I72" s="155"/>
      <c r="J72" s="278"/>
      <c r="K72" s="362"/>
      <c r="L72" s="155"/>
      <c r="M72" s="278"/>
      <c r="N72" s="362"/>
      <c r="O72" s="155"/>
      <c r="P72" s="278"/>
      <c r="Q72" s="313"/>
      <c r="R72" s="303"/>
      <c r="S72" s="278"/>
      <c r="T72" s="362"/>
      <c r="U72" s="155"/>
      <c r="V72" s="222"/>
      <c r="W72" s="98"/>
      <c r="X72" s="402"/>
      <c r="Y72" s="402"/>
      <c r="Z72" s="402"/>
      <c r="AS72" s="402">
        <f>★仕入先_大阪!$A$104</f>
        <v>40104</v>
      </c>
      <c r="AT72" s="402"/>
    </row>
    <row r="73" spans="1:46" s="212" customFormat="1" ht="23.1" customHeight="1">
      <c r="A73" s="223"/>
      <c r="B73" s="220" t="s">
        <v>1224</v>
      </c>
      <c r="C73" s="48"/>
      <c r="D73" s="22"/>
      <c r="E73" s="49"/>
      <c r="F73" s="50"/>
      <c r="G73" s="278"/>
      <c r="H73" s="117"/>
      <c r="I73" s="155"/>
      <c r="J73" s="278"/>
      <c r="K73" s="362"/>
      <c r="L73" s="155"/>
      <c r="M73" s="278"/>
      <c r="N73" s="362"/>
      <c r="O73" s="155"/>
      <c r="P73" s="278"/>
      <c r="Q73" s="313"/>
      <c r="R73" s="303"/>
      <c r="S73" s="278"/>
      <c r="T73" s="362"/>
      <c r="U73" s="155"/>
      <c r="V73" s="222"/>
      <c r="W73" s="98"/>
      <c r="X73" s="402"/>
      <c r="Y73" s="402"/>
      <c r="Z73" s="402"/>
      <c r="AS73" s="402">
        <f>★仕入先_大阪!$A$105</f>
        <v>40105</v>
      </c>
      <c r="AT73" s="402"/>
    </row>
    <row r="74" spans="1:46" s="212" customFormat="1" ht="23.1" customHeight="1">
      <c r="A74" s="223"/>
      <c r="B74" s="220" t="s">
        <v>1225</v>
      </c>
      <c r="C74" s="48"/>
      <c r="D74" s="22"/>
      <c r="E74" s="49"/>
      <c r="F74" s="50"/>
      <c r="G74" s="278"/>
      <c r="H74" s="117"/>
      <c r="I74" s="155"/>
      <c r="J74" s="278"/>
      <c r="K74" s="362"/>
      <c r="L74" s="155"/>
      <c r="M74" s="278"/>
      <c r="N74" s="362"/>
      <c r="O74" s="155"/>
      <c r="P74" s="278"/>
      <c r="Q74" s="313"/>
      <c r="R74" s="303"/>
      <c r="S74" s="278"/>
      <c r="T74" s="362"/>
      <c r="U74" s="155"/>
      <c r="V74" s="222"/>
      <c r="W74" s="98"/>
      <c r="X74" s="402"/>
      <c r="Y74" s="402"/>
      <c r="Z74" s="402"/>
      <c r="AS74" s="402">
        <f>★仕入先_大阪!$A$106</f>
        <v>40106</v>
      </c>
      <c r="AT74" s="402"/>
    </row>
    <row r="75" spans="1:46" s="212" customFormat="1" ht="23.1" customHeight="1">
      <c r="A75" s="223"/>
      <c r="B75" s="220" t="s">
        <v>1226</v>
      </c>
      <c r="C75" s="48"/>
      <c r="D75" s="22"/>
      <c r="E75" s="49"/>
      <c r="F75" s="50"/>
      <c r="G75" s="278"/>
      <c r="H75" s="117"/>
      <c r="I75" s="155"/>
      <c r="J75" s="278"/>
      <c r="K75" s="362"/>
      <c r="L75" s="155"/>
      <c r="M75" s="278"/>
      <c r="N75" s="362"/>
      <c r="O75" s="155"/>
      <c r="P75" s="278"/>
      <c r="Q75" s="313"/>
      <c r="R75" s="303"/>
      <c r="S75" s="278"/>
      <c r="T75" s="362"/>
      <c r="U75" s="155"/>
      <c r="V75" s="222"/>
      <c r="W75" s="98"/>
      <c r="X75" s="402"/>
      <c r="Y75" s="402"/>
      <c r="Z75" s="402"/>
      <c r="AS75" s="402">
        <f>★仕入先_大阪!$A$107</f>
        <v>40107</v>
      </c>
      <c r="AT75" s="402"/>
    </row>
    <row r="76" spans="1:46" s="212" customFormat="1" ht="23.1" customHeight="1">
      <c r="A76" s="223"/>
      <c r="B76" s="220" t="s">
        <v>1227</v>
      </c>
      <c r="C76" s="48"/>
      <c r="D76" s="22"/>
      <c r="E76" s="49"/>
      <c r="F76" s="50"/>
      <c r="G76" s="278"/>
      <c r="H76" s="117"/>
      <c r="I76" s="155"/>
      <c r="J76" s="278"/>
      <c r="K76" s="362"/>
      <c r="L76" s="155"/>
      <c r="M76" s="278"/>
      <c r="N76" s="362"/>
      <c r="O76" s="155"/>
      <c r="P76" s="278"/>
      <c r="Q76" s="313"/>
      <c r="R76" s="303"/>
      <c r="S76" s="278"/>
      <c r="T76" s="362"/>
      <c r="U76" s="155"/>
      <c r="V76" s="222"/>
      <c r="W76" s="98"/>
      <c r="X76" s="402"/>
      <c r="Y76" s="402"/>
      <c r="Z76" s="402"/>
      <c r="AS76" s="402">
        <f>★仕入先_大阪!$A$108</f>
        <v>40108</v>
      </c>
      <c r="AT76" s="402"/>
    </row>
    <row r="77" spans="1:46" s="212" customFormat="1" ht="23.1" customHeight="1">
      <c r="A77" s="223"/>
      <c r="B77" s="220" t="s">
        <v>1228</v>
      </c>
      <c r="C77" s="48"/>
      <c r="D77" s="22"/>
      <c r="E77" s="49"/>
      <c r="F77" s="50"/>
      <c r="G77" s="278"/>
      <c r="H77" s="117"/>
      <c r="I77" s="155"/>
      <c r="J77" s="278"/>
      <c r="K77" s="362"/>
      <c r="L77" s="155"/>
      <c r="M77" s="278"/>
      <c r="N77" s="362"/>
      <c r="O77" s="155"/>
      <c r="P77" s="278"/>
      <c r="Q77" s="313"/>
      <c r="R77" s="303"/>
      <c r="S77" s="278"/>
      <c r="T77" s="362"/>
      <c r="U77" s="155"/>
      <c r="V77" s="222"/>
      <c r="W77" s="98"/>
      <c r="X77" s="402"/>
      <c r="Y77" s="402"/>
      <c r="Z77" s="402"/>
      <c r="AS77" s="402">
        <f>★仕入先_大阪!$A$109</f>
        <v>40109</v>
      </c>
      <c r="AT77" s="402"/>
    </row>
    <row r="78" spans="1:46" s="212" customFormat="1" ht="23.1" customHeight="1">
      <c r="A78" s="223"/>
      <c r="B78" s="220" t="s">
        <v>1229</v>
      </c>
      <c r="C78" s="48"/>
      <c r="D78" s="22"/>
      <c r="E78" s="49"/>
      <c r="F78" s="50"/>
      <c r="G78" s="278"/>
      <c r="H78" s="117"/>
      <c r="I78" s="155"/>
      <c r="J78" s="278"/>
      <c r="K78" s="362"/>
      <c r="L78" s="155"/>
      <c r="M78" s="278"/>
      <c r="N78" s="362"/>
      <c r="O78" s="155"/>
      <c r="P78" s="278"/>
      <c r="Q78" s="313"/>
      <c r="R78" s="303"/>
      <c r="S78" s="278"/>
      <c r="T78" s="362"/>
      <c r="U78" s="155"/>
      <c r="V78" s="222"/>
      <c r="W78" s="98"/>
      <c r="X78" s="402"/>
      <c r="Y78" s="402"/>
      <c r="Z78" s="402"/>
      <c r="AS78" s="402">
        <f>★仕入先_大阪!$A$110</f>
        <v>40110</v>
      </c>
      <c r="AT78" s="402"/>
    </row>
    <row r="79" spans="1:46" s="212" customFormat="1" ht="23.1" customHeight="1">
      <c r="A79" s="223"/>
      <c r="B79" s="220" t="s">
        <v>1230</v>
      </c>
      <c r="C79" s="48"/>
      <c r="D79" s="22"/>
      <c r="E79" s="49"/>
      <c r="F79" s="50"/>
      <c r="G79" s="278"/>
      <c r="H79" s="117"/>
      <c r="I79" s="155"/>
      <c r="J79" s="278"/>
      <c r="K79" s="362"/>
      <c r="L79" s="155"/>
      <c r="M79" s="278"/>
      <c r="N79" s="362"/>
      <c r="O79" s="155"/>
      <c r="P79" s="278"/>
      <c r="Q79" s="313"/>
      <c r="R79" s="303"/>
      <c r="S79" s="278"/>
      <c r="T79" s="362"/>
      <c r="U79" s="155"/>
      <c r="V79" s="222"/>
      <c r="W79" s="98"/>
      <c r="X79" s="402"/>
      <c r="Y79" s="402"/>
      <c r="Z79" s="402"/>
      <c r="AS79" s="402">
        <f>★仕入先_大阪!$A$111</f>
        <v>40111</v>
      </c>
      <c r="AT79" s="402"/>
    </row>
    <row r="80" spans="1:46" s="212" customFormat="1" ht="23.1" customHeight="1">
      <c r="A80" s="223"/>
      <c r="B80" s="220" t="s">
        <v>1231</v>
      </c>
      <c r="C80" s="48"/>
      <c r="D80" s="22"/>
      <c r="E80" s="49"/>
      <c r="F80" s="50"/>
      <c r="G80" s="278"/>
      <c r="H80" s="117"/>
      <c r="I80" s="155"/>
      <c r="J80" s="278"/>
      <c r="K80" s="362"/>
      <c r="L80" s="155"/>
      <c r="M80" s="278"/>
      <c r="N80" s="362"/>
      <c r="O80" s="155"/>
      <c r="P80" s="278"/>
      <c r="Q80" s="313"/>
      <c r="R80" s="303"/>
      <c r="S80" s="278"/>
      <c r="T80" s="362"/>
      <c r="U80" s="155"/>
      <c r="V80" s="222"/>
      <c r="W80" s="98"/>
      <c r="X80" s="402"/>
      <c r="Y80" s="402"/>
      <c r="Z80" s="402"/>
      <c r="AS80" s="402">
        <f>★仕入先_大阪!$A$112</f>
        <v>40112</v>
      </c>
      <c r="AT80" s="402"/>
    </row>
    <row r="81" spans="1:46" s="212" customFormat="1" ht="23.1" customHeight="1">
      <c r="A81" s="223"/>
      <c r="B81" s="220" t="s">
        <v>1232</v>
      </c>
      <c r="C81" s="48"/>
      <c r="D81" s="22"/>
      <c r="E81" s="49"/>
      <c r="F81" s="50"/>
      <c r="G81" s="278"/>
      <c r="H81" s="117"/>
      <c r="I81" s="155"/>
      <c r="J81" s="278"/>
      <c r="K81" s="362"/>
      <c r="L81" s="155"/>
      <c r="M81" s="278"/>
      <c r="N81" s="362"/>
      <c r="O81" s="155"/>
      <c r="P81" s="278"/>
      <c r="Q81" s="313"/>
      <c r="R81" s="303"/>
      <c r="S81" s="278"/>
      <c r="T81" s="362"/>
      <c r="U81" s="155"/>
      <c r="V81" s="222"/>
      <c r="W81" s="98"/>
      <c r="X81" s="402"/>
      <c r="Y81" s="402"/>
      <c r="Z81" s="402"/>
      <c r="AS81" s="402">
        <f>★仕入先_大阪!$A$113</f>
        <v>40113</v>
      </c>
      <c r="AT81" s="402"/>
    </row>
    <row r="82" spans="1:46" s="212" customFormat="1" ht="23.1" customHeight="1">
      <c r="A82" s="373"/>
      <c r="B82" s="220" t="s">
        <v>1233</v>
      </c>
      <c r="C82" s="48"/>
      <c r="D82" s="22"/>
      <c r="E82" s="49"/>
      <c r="F82" s="50"/>
      <c r="G82" s="278"/>
      <c r="H82" s="117"/>
      <c r="I82" s="155"/>
      <c r="J82" s="278"/>
      <c r="K82" s="362"/>
      <c r="L82" s="155"/>
      <c r="M82" s="278"/>
      <c r="N82" s="362"/>
      <c r="O82" s="155"/>
      <c r="P82" s="278"/>
      <c r="Q82" s="313"/>
      <c r="R82" s="303"/>
      <c r="S82" s="278"/>
      <c r="T82" s="362"/>
      <c r="U82" s="155"/>
      <c r="V82" s="222"/>
      <c r="W82" s="98"/>
      <c r="X82" s="402"/>
      <c r="Y82" s="402"/>
      <c r="Z82" s="402"/>
      <c r="AS82" s="402">
        <f>★仕入先_大阪!$A$114</f>
        <v>40114</v>
      </c>
      <c r="AT82" s="402"/>
    </row>
    <row r="83" spans="1:46" s="212" customFormat="1" ht="23.1" customHeight="1">
      <c r="A83" s="373"/>
      <c r="B83" s="220" t="s">
        <v>1234</v>
      </c>
      <c r="C83" s="48"/>
      <c r="D83" s="22"/>
      <c r="E83" s="49"/>
      <c r="F83" s="50"/>
      <c r="G83" s="278"/>
      <c r="H83" s="117"/>
      <c r="I83" s="155"/>
      <c r="J83" s="278"/>
      <c r="K83" s="362"/>
      <c r="L83" s="155"/>
      <c r="M83" s="278"/>
      <c r="N83" s="362"/>
      <c r="O83" s="155"/>
      <c r="P83" s="278"/>
      <c r="Q83" s="313"/>
      <c r="R83" s="303"/>
      <c r="S83" s="278"/>
      <c r="T83" s="362"/>
      <c r="U83" s="155"/>
      <c r="V83" s="222"/>
      <c r="W83" s="98"/>
      <c r="X83" s="402"/>
      <c r="Y83" s="402"/>
      <c r="Z83" s="402"/>
      <c r="AS83" s="402">
        <f>★仕入先_大阪!$A$115</f>
        <v>40115</v>
      </c>
      <c r="AT83" s="402"/>
    </row>
    <row r="84" spans="1:46" s="212" customFormat="1" ht="23.1" customHeight="1">
      <c r="A84" s="373"/>
      <c r="B84" s="220" t="s">
        <v>1235</v>
      </c>
      <c r="C84" s="48"/>
      <c r="D84" s="22"/>
      <c r="E84" s="49"/>
      <c r="F84" s="50"/>
      <c r="G84" s="278"/>
      <c r="H84" s="117"/>
      <c r="I84" s="155"/>
      <c r="J84" s="278"/>
      <c r="K84" s="362"/>
      <c r="L84" s="155"/>
      <c r="M84" s="278"/>
      <c r="N84" s="362"/>
      <c r="O84" s="155"/>
      <c r="P84" s="278"/>
      <c r="Q84" s="313"/>
      <c r="R84" s="303"/>
      <c r="S84" s="278"/>
      <c r="T84" s="362"/>
      <c r="U84" s="155"/>
      <c r="V84" s="222"/>
      <c r="W84" s="98"/>
      <c r="X84" s="402"/>
      <c r="Y84" s="402"/>
      <c r="Z84" s="402"/>
      <c r="AS84" s="402">
        <f>★仕入先_大阪!$A$116</f>
        <v>40116</v>
      </c>
      <c r="AT84" s="402"/>
    </row>
    <row r="85" spans="1:46" s="212" customFormat="1" ht="23.1" customHeight="1">
      <c r="A85" s="320"/>
      <c r="B85" s="240" t="s">
        <v>1236</v>
      </c>
      <c r="C85" s="58"/>
      <c r="D85" s="22"/>
      <c r="E85" s="49"/>
      <c r="F85" s="155"/>
      <c r="G85" s="278"/>
      <c r="H85" s="49"/>
      <c r="I85" s="363"/>
      <c r="J85" s="278"/>
      <c r="K85" s="117"/>
      <c r="L85" s="155"/>
      <c r="M85" s="278"/>
      <c r="N85" s="362"/>
      <c r="O85" s="155"/>
      <c r="P85" s="278"/>
      <c r="Q85" s="313"/>
      <c r="R85" s="303"/>
      <c r="S85" s="278"/>
      <c r="T85" s="117"/>
      <c r="U85" s="155"/>
      <c r="V85" s="222"/>
      <c r="W85" s="98"/>
      <c r="X85" s="402"/>
      <c r="Y85" s="402"/>
      <c r="Z85" s="402"/>
      <c r="AS85" s="402">
        <f>★仕入先_大阪!$A$117</f>
        <v>40117</v>
      </c>
      <c r="AT85" s="402"/>
    </row>
    <row r="86" spans="1:46" s="212" customFormat="1" ht="23.1" customHeight="1">
      <c r="A86" s="289"/>
      <c r="B86" s="240" t="s">
        <v>1237</v>
      </c>
      <c r="C86" s="58"/>
      <c r="D86" s="22"/>
      <c r="E86" s="49"/>
      <c r="F86" s="155"/>
      <c r="G86" s="278"/>
      <c r="H86" s="49"/>
      <c r="I86" s="363"/>
      <c r="J86" s="278"/>
      <c r="K86" s="117"/>
      <c r="L86" s="155"/>
      <c r="M86" s="278"/>
      <c r="N86" s="362"/>
      <c r="O86" s="155"/>
      <c r="P86" s="278"/>
      <c r="Q86" s="313"/>
      <c r="R86" s="303"/>
      <c r="S86" s="278"/>
      <c r="T86" s="117"/>
      <c r="U86" s="155"/>
      <c r="V86" s="222"/>
      <c r="W86" s="98"/>
      <c r="X86" s="402"/>
      <c r="Y86" s="402"/>
      <c r="Z86" s="402"/>
      <c r="AS86" s="402">
        <f>★仕入先_大阪!$A$118</f>
        <v>40118</v>
      </c>
      <c r="AT86" s="402"/>
    </row>
    <row r="87" spans="1:46" s="212" customFormat="1" ht="23.1" customHeight="1">
      <c r="A87" s="289"/>
      <c r="B87" s="240" t="s">
        <v>1238</v>
      </c>
      <c r="C87" s="58"/>
      <c r="D87" s="22"/>
      <c r="E87" s="49"/>
      <c r="F87" s="155"/>
      <c r="G87" s="278"/>
      <c r="H87" s="49"/>
      <c r="I87" s="363"/>
      <c r="J87" s="278"/>
      <c r="K87" s="117"/>
      <c r="L87" s="155"/>
      <c r="M87" s="278"/>
      <c r="N87" s="362"/>
      <c r="O87" s="155"/>
      <c r="P87" s="278"/>
      <c r="Q87" s="313"/>
      <c r="R87" s="303"/>
      <c r="S87" s="278"/>
      <c r="T87" s="117"/>
      <c r="U87" s="155"/>
      <c r="V87" s="222"/>
      <c r="W87" s="98"/>
      <c r="X87" s="402"/>
      <c r="Y87" s="402"/>
      <c r="Z87" s="402"/>
      <c r="AS87" s="402">
        <f>★仕入先_大阪!$A$119</f>
        <v>40119</v>
      </c>
      <c r="AT87" s="402"/>
    </row>
    <row r="88" spans="1:46" s="212" customFormat="1" ht="23.1" customHeight="1">
      <c r="A88" s="289"/>
      <c r="B88" s="240" t="s">
        <v>1239</v>
      </c>
      <c r="C88" s="58"/>
      <c r="D88" s="22"/>
      <c r="E88" s="49"/>
      <c r="F88" s="155"/>
      <c r="G88" s="278"/>
      <c r="H88" s="49"/>
      <c r="I88" s="363"/>
      <c r="J88" s="278"/>
      <c r="K88" s="117"/>
      <c r="L88" s="155"/>
      <c r="M88" s="278"/>
      <c r="N88" s="362"/>
      <c r="O88" s="155"/>
      <c r="P88" s="278"/>
      <c r="Q88" s="313"/>
      <c r="R88" s="303"/>
      <c r="S88" s="278"/>
      <c r="T88" s="117"/>
      <c r="U88" s="155"/>
      <c r="V88" s="222"/>
      <c r="W88" s="98"/>
      <c r="X88" s="402"/>
      <c r="Y88" s="402"/>
      <c r="Z88" s="403"/>
      <c r="AS88" s="402">
        <f>★仕入先_大阪!$A$120</f>
        <v>40120</v>
      </c>
      <c r="AT88" s="402"/>
    </row>
    <row r="89" spans="1:46" s="212" customFormat="1" ht="23.1" customHeight="1">
      <c r="A89" s="289"/>
      <c r="B89" s="240" t="s">
        <v>1240</v>
      </c>
      <c r="C89" s="58"/>
      <c r="D89" s="22"/>
      <c r="E89" s="49"/>
      <c r="F89" s="155"/>
      <c r="G89" s="278"/>
      <c r="H89" s="49"/>
      <c r="I89" s="363"/>
      <c r="J89" s="278"/>
      <c r="K89" s="117"/>
      <c r="L89" s="155"/>
      <c r="M89" s="278"/>
      <c r="N89" s="362"/>
      <c r="O89" s="155"/>
      <c r="P89" s="278"/>
      <c r="Q89" s="313"/>
      <c r="R89" s="303"/>
      <c r="S89" s="278"/>
      <c r="T89" s="117"/>
      <c r="U89" s="155"/>
      <c r="V89" s="222"/>
      <c r="W89" s="98"/>
      <c r="X89" s="402"/>
      <c r="Y89" s="402"/>
      <c r="Z89" s="402"/>
      <c r="AS89" s="402">
        <f>★仕入先_大阪!$A$121</f>
        <v>40121</v>
      </c>
      <c r="AT89" s="402"/>
    </row>
    <row r="90" spans="1:46" s="212" customFormat="1" ht="23.1" customHeight="1">
      <c r="A90" s="289"/>
      <c r="B90" s="240" t="s">
        <v>1241</v>
      </c>
      <c r="C90" s="58"/>
      <c r="D90" s="22"/>
      <c r="E90" s="49"/>
      <c r="F90" s="155"/>
      <c r="G90" s="278"/>
      <c r="H90" s="49"/>
      <c r="I90" s="363"/>
      <c r="J90" s="278"/>
      <c r="K90" s="117"/>
      <c r="L90" s="155"/>
      <c r="M90" s="278"/>
      <c r="N90" s="362"/>
      <c r="O90" s="155"/>
      <c r="P90" s="278"/>
      <c r="Q90" s="313"/>
      <c r="R90" s="303"/>
      <c r="S90" s="278"/>
      <c r="T90" s="117"/>
      <c r="U90" s="155"/>
      <c r="V90" s="222"/>
      <c r="W90" s="98"/>
      <c r="X90" s="402"/>
      <c r="Y90" s="402"/>
      <c r="Z90" s="402"/>
      <c r="AS90" s="402">
        <f>★仕入先_大阪!$A$122</f>
        <v>40122</v>
      </c>
      <c r="AT90" s="402"/>
    </row>
    <row r="91" spans="1:46" s="212" customFormat="1" ht="17.25" customHeight="1">
      <c r="A91" s="280" t="s">
        <v>12</v>
      </c>
      <c r="B91" s="243" t="s">
        <v>13</v>
      </c>
      <c r="C91" s="244"/>
      <c r="D91" s="281"/>
      <c r="E91" s="334"/>
      <c r="F91" s="282"/>
      <c r="G91" s="281"/>
      <c r="H91" s="329"/>
      <c r="I91" s="282"/>
      <c r="J91" s="281"/>
      <c r="K91" s="519"/>
      <c r="L91" s="282"/>
      <c r="M91" s="281"/>
      <c r="N91" s="329"/>
      <c r="O91" s="282"/>
      <c r="P91" s="281"/>
      <c r="Q91" s="329"/>
      <c r="R91" s="282"/>
      <c r="S91" s="281"/>
      <c r="T91" s="329"/>
      <c r="U91" s="282"/>
      <c r="V91" s="247"/>
      <c r="W91" s="98"/>
      <c r="AT91" s="31"/>
    </row>
    <row r="92" spans="1:46" s="212" customFormat="1" ht="22.5" customHeight="1" thickBot="1">
      <c r="A92" s="270">
        <f>SUM(C92,F92,I92,L92,O92,R92,U92)</f>
        <v>0</v>
      </c>
      <c r="B92" s="271">
        <f>SUM(D92,G92,J92,M92,P92,S92,V92)</f>
        <v>0</v>
      </c>
      <c r="C92" s="71">
        <f>SUM(C14:C91)</f>
        <v>0</v>
      </c>
      <c r="D92" s="283" t="str">
        <f>IF(SUM(D8:D90)=0," ",SUM(D8:D90))</f>
        <v xml:space="preserve"> </v>
      </c>
      <c r="E92" s="335"/>
      <c r="F92" s="73">
        <f>SUM(F14:F91)</f>
        <v>0</v>
      </c>
      <c r="G92" s="283" t="str">
        <f>IF(SUM(G14:G90)=0," ",SUM(G14:G90))</f>
        <v xml:space="preserve"> </v>
      </c>
      <c r="H92" s="335"/>
      <c r="I92" s="73">
        <f>SUM(I14:I91)</f>
        <v>0</v>
      </c>
      <c r="J92" s="283" t="str">
        <f>IF(SUM(J14:J90)=0," ",SUM(J14:J90))</f>
        <v xml:space="preserve"> </v>
      </c>
      <c r="K92" s="520"/>
      <c r="L92" s="73">
        <f>SUM(L14:L91)</f>
        <v>0</v>
      </c>
      <c r="M92" s="283" t="str">
        <f>IF(SUM(M14:M90)=0," ",SUM(M14:M90))</f>
        <v xml:space="preserve"> </v>
      </c>
      <c r="N92" s="335"/>
      <c r="O92" s="73">
        <f>SUM(O14:O91)</f>
        <v>0</v>
      </c>
      <c r="P92" s="283" t="str">
        <f>IF(SUM(P14:P90)=0," ",SUM(P14:P90))</f>
        <v xml:space="preserve"> </v>
      </c>
      <c r="Q92" s="335"/>
      <c r="R92" s="73">
        <f>SUM(R14:R91)</f>
        <v>0</v>
      </c>
      <c r="S92" s="283" t="str">
        <f>IF(SUM(S14:S90)=0," ",SUM(S14:S90))</f>
        <v xml:space="preserve"> </v>
      </c>
      <c r="T92" s="335"/>
      <c r="U92" s="73">
        <f>SUM(U14:U91)</f>
        <v>0</v>
      </c>
      <c r="V92" s="236" t="str">
        <f>IF(SUM(V14:V90)=0," ",SUM(V14:V90))</f>
        <v xml:space="preserve"> </v>
      </c>
      <c r="W92" s="98"/>
      <c r="AT92" s="31"/>
    </row>
    <row r="93" spans="1:46" s="212" customFormat="1">
      <c r="A93" s="99"/>
      <c r="B93" s="99"/>
      <c r="C93" s="99"/>
      <c r="D93" s="99"/>
      <c r="E93" s="99"/>
      <c r="F93" s="99"/>
      <c r="G93" s="99"/>
      <c r="H93" s="99"/>
      <c r="I93" s="99"/>
      <c r="J93" s="99"/>
      <c r="K93" s="99"/>
      <c r="L93" s="99"/>
      <c r="M93" s="99"/>
      <c r="N93" s="99"/>
      <c r="O93" s="99"/>
      <c r="P93" s="99"/>
      <c r="Q93" s="99"/>
      <c r="R93" s="99"/>
      <c r="S93" s="99"/>
      <c r="T93" s="99"/>
      <c r="U93" s="99"/>
      <c r="V93" s="99"/>
      <c r="W93" s="98"/>
      <c r="AT93" s="31"/>
    </row>
    <row r="94" spans="1:46">
      <c r="A94" s="99"/>
      <c r="B94" s="99"/>
      <c r="C94" s="99"/>
      <c r="D94" s="99"/>
      <c r="E94" s="99"/>
      <c r="F94" s="99"/>
      <c r="G94" s="99"/>
      <c r="H94" s="99"/>
      <c r="I94" s="99"/>
      <c r="J94" s="99"/>
      <c r="K94" s="99"/>
      <c r="L94" s="99"/>
      <c r="M94" s="99"/>
      <c r="N94" s="99"/>
      <c r="O94" s="99"/>
      <c r="P94" s="99"/>
      <c r="Q94" s="99"/>
      <c r="R94" s="99"/>
      <c r="S94" s="99"/>
      <c r="T94" s="99"/>
      <c r="U94" s="99"/>
      <c r="V94" s="99"/>
    </row>
    <row r="95" spans="1:46">
      <c r="A95" s="99"/>
      <c r="B95" s="99"/>
      <c r="C95" s="99"/>
      <c r="D95" s="293"/>
      <c r="E95" s="99"/>
      <c r="F95" s="99"/>
      <c r="G95" s="99"/>
      <c r="H95" s="99"/>
      <c r="I95" s="99"/>
      <c r="J95" s="99"/>
      <c r="K95" s="99"/>
      <c r="L95" s="99"/>
      <c r="M95" s="99"/>
      <c r="N95" s="99"/>
      <c r="O95" s="99"/>
      <c r="P95" s="99"/>
      <c r="Q95" s="99"/>
      <c r="R95" s="99"/>
      <c r="S95" s="99"/>
      <c r="T95" s="99"/>
      <c r="U95" s="99"/>
      <c r="V95" s="99"/>
    </row>
  </sheetData>
  <sheetProtection algorithmName="SHA-512" hashValue="7SK2liqi1xdfoE1BGPMXPEyjM2t0CbzncSTM5sVaRWCAHgIhXQWU60zS9LsegRq91hDIEnzOz1RHxTOnPsGurA==" saltValue="ceQhbW/KrIUqp6msJeFUBw==" spinCount="100000" sheet="1" objects="1" scenarios="1"/>
  <mergeCells count="31">
    <mergeCell ref="E7:F7"/>
    <mergeCell ref="H7:I7"/>
    <mergeCell ref="K7:L7"/>
    <mergeCell ref="N7:O7"/>
    <mergeCell ref="T7:U7"/>
    <mergeCell ref="AP5:AR5"/>
    <mergeCell ref="C6:D6"/>
    <mergeCell ref="E6:G6"/>
    <mergeCell ref="H6:J6"/>
    <mergeCell ref="K6:M6"/>
    <mergeCell ref="N6:P6"/>
    <mergeCell ref="R6:S6"/>
    <mergeCell ref="T6:V6"/>
    <mergeCell ref="AG5:AI5"/>
    <mergeCell ref="X5:Z5"/>
    <mergeCell ref="AA5:AC5"/>
    <mergeCell ref="AD5:AF5"/>
    <mergeCell ref="AJ5:AL5"/>
    <mergeCell ref="AM5:AO5"/>
    <mergeCell ref="A1:T1"/>
    <mergeCell ref="U1:V1"/>
    <mergeCell ref="A3:B3"/>
    <mergeCell ref="G3:G4"/>
    <mergeCell ref="I3:J4"/>
    <mergeCell ref="K3:L4"/>
    <mergeCell ref="M3:O4"/>
    <mergeCell ref="P3:P4"/>
    <mergeCell ref="Q3:R4"/>
    <mergeCell ref="S3:V4"/>
    <mergeCell ref="A4:B4"/>
    <mergeCell ref="C4:F4"/>
  </mergeCells>
  <phoneticPr fontId="15"/>
  <printOptions horizont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10"/>
  <sheetViews>
    <sheetView workbookViewId="0">
      <selection activeCell="C18" sqref="C18"/>
    </sheetView>
  </sheetViews>
  <sheetFormatPr defaultColWidth="22.25" defaultRowHeight="18.75"/>
  <cols>
    <col min="1" max="1" width="9.5" style="386" bestFit="1" customWidth="1"/>
    <col min="2" max="2" width="21.125" style="386" bestFit="1" customWidth="1"/>
    <col min="3" max="3" width="21.25" style="386" bestFit="1" customWidth="1"/>
    <col min="4" max="16384" width="22.25" style="386"/>
  </cols>
  <sheetData>
    <row r="1" spans="1:3">
      <c r="A1" s="840" t="s">
        <v>549</v>
      </c>
      <c r="B1" s="840"/>
      <c r="C1" s="840"/>
    </row>
    <row r="2" spans="1:3">
      <c r="A2" s="841" t="s">
        <v>550</v>
      </c>
      <c r="B2" s="838" t="s">
        <v>223</v>
      </c>
      <c r="C2" s="839"/>
    </row>
    <row r="3" spans="1:3">
      <c r="A3" s="841"/>
      <c r="B3" s="836" t="s">
        <v>226</v>
      </c>
      <c r="C3" s="837"/>
    </row>
    <row r="4" spans="1:3">
      <c r="A4" s="841"/>
      <c r="B4" s="387" t="s">
        <v>269</v>
      </c>
      <c r="C4" s="388" t="s">
        <v>270</v>
      </c>
    </row>
    <row r="5" spans="1:3">
      <c r="A5" s="841" t="s">
        <v>551</v>
      </c>
      <c r="B5" s="838" t="s">
        <v>222</v>
      </c>
      <c r="C5" s="839"/>
    </row>
    <row r="6" spans="1:3">
      <c r="A6" s="841"/>
      <c r="B6" s="836" t="s">
        <v>268</v>
      </c>
      <c r="C6" s="837"/>
    </row>
    <row r="7" spans="1:3">
      <c r="A7" s="841"/>
      <c r="B7" s="387" t="s">
        <v>271</v>
      </c>
      <c r="C7" s="388" t="s">
        <v>272</v>
      </c>
    </row>
    <row r="8" spans="1:3">
      <c r="A8" s="841" t="s">
        <v>552</v>
      </c>
      <c r="B8" s="838" t="s">
        <v>224</v>
      </c>
      <c r="C8" s="839"/>
    </row>
    <row r="9" spans="1:3">
      <c r="A9" s="841"/>
      <c r="B9" s="836" t="s">
        <v>225</v>
      </c>
      <c r="C9" s="837"/>
    </row>
    <row r="10" spans="1:3">
      <c r="A10" s="841"/>
      <c r="B10" s="387" t="s">
        <v>273</v>
      </c>
      <c r="C10" s="388" t="s">
        <v>274</v>
      </c>
    </row>
  </sheetData>
  <sheetProtection algorithmName="SHA-512" hashValue="GXXOk1OZUnc6uTfW7BKfXdg4WfoONPgoGpIgAhb++/6t6W0GlhEHjODdRvfyewlmQTxty/zxfIgY1H4tVGAVZg==" saltValue="P/yRvTQzLYTHGzAHeUpcGA==" spinCount="100000" sheet="1" objects="1" scenarios="1"/>
  <mergeCells count="10">
    <mergeCell ref="B6:C6"/>
    <mergeCell ref="B8:C8"/>
    <mergeCell ref="B9:C9"/>
    <mergeCell ref="A1:C1"/>
    <mergeCell ref="A2:A4"/>
    <mergeCell ref="A5:A7"/>
    <mergeCell ref="A8:A10"/>
    <mergeCell ref="B2:C2"/>
    <mergeCell ref="B3:C3"/>
    <mergeCell ref="B5:C5"/>
  </mergeCells>
  <phoneticPr fontId="15"/>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58BAE-2A13-4C4E-A6F9-E3A71421C601}">
  <sheetPr codeName="Sheet15">
    <tabColor theme="9"/>
  </sheetPr>
  <dimension ref="B13:C38"/>
  <sheetViews>
    <sheetView zoomScale="80" zoomScaleNormal="80" workbookViewId="0"/>
  </sheetViews>
  <sheetFormatPr defaultColWidth="8.875" defaultRowHeight="18.75"/>
  <cols>
    <col min="1" max="19" width="8.875" style="203"/>
    <col min="20" max="45" width="0" style="203" hidden="1" customWidth="1"/>
    <col min="46" max="16384" width="8.875" style="203"/>
  </cols>
  <sheetData>
    <row r="13" spans="2:3">
      <c r="B13" s="203" t="s">
        <v>1607</v>
      </c>
    </row>
    <row r="15" spans="2:3">
      <c r="B15" s="203" t="s">
        <v>1316</v>
      </c>
    </row>
    <row r="16" spans="2:3">
      <c r="B16" s="203">
        <v>1</v>
      </c>
      <c r="C16" s="203" t="s">
        <v>1620</v>
      </c>
    </row>
    <row r="17" spans="2:3">
      <c r="B17" s="203">
        <v>2</v>
      </c>
      <c r="C17" s="203" t="s">
        <v>1317</v>
      </c>
    </row>
    <row r="18" spans="2:3">
      <c r="B18" s="203">
        <v>3</v>
      </c>
      <c r="C18" s="203" t="s">
        <v>1318</v>
      </c>
    </row>
    <row r="20" spans="2:3">
      <c r="B20" s="203" t="s">
        <v>1319</v>
      </c>
    </row>
    <row r="21" spans="2:3">
      <c r="B21" s="203">
        <v>1</v>
      </c>
      <c r="C21" s="203" t="s">
        <v>1318</v>
      </c>
    </row>
    <row r="22" spans="2:3">
      <c r="B22" s="203">
        <v>2</v>
      </c>
      <c r="C22" s="203" t="s">
        <v>1320</v>
      </c>
    </row>
    <row r="23" spans="2:3">
      <c r="B23" s="203">
        <v>3</v>
      </c>
      <c r="C23" s="203" t="s">
        <v>1621</v>
      </c>
    </row>
    <row r="25" spans="2:3" hidden="1"/>
    <row r="26" spans="2:3" hidden="1"/>
    <row r="27" spans="2:3" hidden="1"/>
    <row r="28" spans="2:3" hidden="1"/>
    <row r="29" spans="2:3" hidden="1"/>
    <row r="30" spans="2:3" hidden="1"/>
    <row r="31" spans="2:3" hidden="1"/>
    <row r="32" spans="2:3" hidden="1"/>
    <row r="33" hidden="1"/>
    <row r="34" hidden="1"/>
    <row r="35" hidden="1"/>
    <row r="36" hidden="1"/>
    <row r="37" hidden="1"/>
    <row r="38" hidden="1"/>
  </sheetData>
  <sheetProtection algorithmName="SHA-512" hashValue="haQlJgbKmyJ5ySpl7GUPoro0nQ4mTiM9UngTUpK3X5vrOsOxs4BvnJvRmUqBFo49xmCPTtb/bfLFS9IPmfcm9w==" saltValue="o7Y2piJM4fDkrKePQXtLoA==" spinCount="100000" sheet="1" objects="1" scenarios="1"/>
  <phoneticPr fontId="1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79" r:id="rId4" name="Group Box 19">
              <controlPr defaultSize="0" autoFill="0" autoPict="0">
                <anchor moveWithCells="1">
                  <from>
                    <xdr:col>0</xdr:col>
                    <xdr:colOff>457200</xdr:colOff>
                    <xdr:row>1</xdr:row>
                    <xdr:rowOff>19050</xdr:rowOff>
                  </from>
                  <to>
                    <xdr:col>5</xdr:col>
                    <xdr:colOff>495300</xdr:colOff>
                    <xdr:row>9</xdr:row>
                    <xdr:rowOff>209550</xdr:rowOff>
                  </to>
                </anchor>
              </controlPr>
            </control>
          </mc:Choice>
        </mc:AlternateContent>
        <mc:AlternateContent xmlns:mc="http://schemas.openxmlformats.org/markup-compatibility/2006">
          <mc:Choice Requires="x14">
            <control shapeId="15380" r:id="rId5" name="Button 20">
              <controlPr defaultSize="0" print="0" autoFill="0" autoPict="0" macro="[0]!全シート保護解除_Click">
                <anchor moveWithCells="1" sizeWithCells="1">
                  <from>
                    <xdr:col>2</xdr:col>
                    <xdr:colOff>57150</xdr:colOff>
                    <xdr:row>6</xdr:row>
                    <xdr:rowOff>0</xdr:rowOff>
                  </from>
                  <to>
                    <xdr:col>4</xdr:col>
                    <xdr:colOff>276225</xdr:colOff>
                    <xdr:row>7</xdr:row>
                    <xdr:rowOff>133350</xdr:rowOff>
                  </to>
                </anchor>
              </controlPr>
            </control>
          </mc:Choice>
        </mc:AlternateContent>
        <mc:AlternateContent xmlns:mc="http://schemas.openxmlformats.org/markup-compatibility/2006">
          <mc:Choice Requires="x14">
            <control shapeId="15381" r:id="rId6" name="Button 21">
              <controlPr defaultSize="0" print="0" autoFill="0" autoPict="0" macro="[0]!全シート保護_Click">
                <anchor moveWithCells="1" sizeWithCells="1">
                  <from>
                    <xdr:col>2</xdr:col>
                    <xdr:colOff>47625</xdr:colOff>
                    <xdr:row>3</xdr:row>
                    <xdr:rowOff>171450</xdr:rowOff>
                  </from>
                  <to>
                    <xdr:col>4</xdr:col>
                    <xdr:colOff>266700</xdr:colOff>
                    <xdr:row>5</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1CAB-2485-45A2-A0E2-576B1114E798}">
  <sheetPr codeName="Sheet24">
    <tabColor rgb="FFFFFF00"/>
  </sheetPr>
  <dimension ref="A1:AS977"/>
  <sheetViews>
    <sheetView zoomScale="70" zoomScaleNormal="70" workbookViewId="0">
      <pane xSplit="12" ySplit="1" topLeftCell="AE2" activePane="bottomRight" state="frozen"/>
      <selection pane="topRight" activeCell="M1" sqref="M1"/>
      <selection pane="bottomLeft" activeCell="A2" sqref="A2"/>
      <selection pane="bottomRight" activeCell="AF2" sqref="AF2"/>
    </sheetView>
  </sheetViews>
  <sheetFormatPr defaultColWidth="8.875" defaultRowHeight="18.75"/>
  <cols>
    <col min="1" max="1" width="7.375" style="446" bestFit="1" customWidth="1"/>
    <col min="2" max="2" width="6" style="446" bestFit="1" customWidth="1"/>
    <col min="3" max="3" width="31" style="447" bestFit="1" customWidth="1"/>
    <col min="4" max="4" width="12.375" style="447" bestFit="1" customWidth="1"/>
    <col min="5" max="5" width="11.875" style="447" bestFit="1" customWidth="1"/>
    <col min="6" max="6" width="6" style="447" bestFit="1" customWidth="1"/>
    <col min="7" max="7" width="7" style="447" bestFit="1" customWidth="1"/>
    <col min="8" max="8" width="42" style="447" bestFit="1" customWidth="1"/>
    <col min="9" max="10" width="5.5" style="447" customWidth="1"/>
    <col min="11" max="11" width="6.875" style="447" customWidth="1"/>
    <col min="12" max="12" width="5.625" style="447" customWidth="1"/>
    <col min="13" max="13" width="13.75" style="203" bestFit="1" customWidth="1"/>
    <col min="14" max="15" width="5.5" style="203" bestFit="1" customWidth="1"/>
    <col min="16" max="16" width="10.75" style="203" bestFit="1" customWidth="1"/>
    <col min="17" max="17" width="9.625" style="203" bestFit="1" customWidth="1"/>
    <col min="18" max="20" width="5.5" style="203" bestFit="1" customWidth="1"/>
    <col min="21" max="21" width="5.5" style="203" customWidth="1"/>
    <col min="22" max="22" width="12.375" style="203" bestFit="1" customWidth="1"/>
    <col min="23" max="23" width="12.75" style="203" bestFit="1" customWidth="1"/>
    <col min="24" max="24" width="33.125" style="203" bestFit="1" customWidth="1"/>
    <col min="25" max="25" width="5.5" style="203" bestFit="1" customWidth="1"/>
    <col min="26" max="26" width="9" style="203" bestFit="1" customWidth="1"/>
    <col min="27" max="27" width="5.5" style="203" bestFit="1" customWidth="1"/>
    <col min="28" max="28" width="5.625" style="203" bestFit="1" customWidth="1"/>
    <col min="29" max="29" width="8.25" style="203" bestFit="1" customWidth="1"/>
    <col min="30" max="30" width="26.75" style="203" bestFit="1" customWidth="1"/>
    <col min="31" max="31" width="15.5" style="203" bestFit="1" customWidth="1"/>
    <col min="32" max="33" width="13.75" style="203" bestFit="1" customWidth="1"/>
    <col min="34" max="35" width="5.5" style="203" bestFit="1" customWidth="1"/>
    <col min="36" max="36" width="8.875" style="460" bestFit="1" customWidth="1"/>
    <col min="37" max="37" width="10.375" style="460" bestFit="1" customWidth="1"/>
    <col min="38" max="38" width="8.875" style="460"/>
    <col min="39" max="39" width="17.5" style="460" bestFit="1" customWidth="1"/>
    <col min="40" max="40" width="6.375" style="460" bestFit="1" customWidth="1"/>
    <col min="41" max="41" width="6.375" style="460" customWidth="1"/>
    <col min="42" max="42" width="11.875" style="460" bestFit="1" customWidth="1"/>
    <col min="43" max="45" width="5.5" style="460" bestFit="1" customWidth="1"/>
    <col min="46" max="16384" width="8.875" style="203"/>
  </cols>
  <sheetData>
    <row r="1" spans="1:45" s="205" customFormat="1" ht="270" customHeight="1">
      <c r="A1" s="462" t="s">
        <v>553</v>
      </c>
      <c r="B1" s="462" t="s">
        <v>1149</v>
      </c>
      <c r="C1" s="462" t="s">
        <v>361</v>
      </c>
      <c r="D1" s="462" t="s">
        <v>162</v>
      </c>
      <c r="E1" s="462" t="s">
        <v>1606</v>
      </c>
      <c r="F1" s="462" t="s">
        <v>363</v>
      </c>
      <c r="G1" s="462" t="s">
        <v>570</v>
      </c>
      <c r="H1" s="462" t="s">
        <v>1113</v>
      </c>
      <c r="I1" s="462" t="s">
        <v>1115</v>
      </c>
      <c r="J1" s="462" t="s">
        <v>1116</v>
      </c>
      <c r="K1" s="527" t="s">
        <v>1313</v>
      </c>
      <c r="L1" s="527" t="s">
        <v>1314</v>
      </c>
      <c r="M1" s="204" t="s">
        <v>546</v>
      </c>
      <c r="N1" s="204" t="s">
        <v>547</v>
      </c>
      <c r="O1" s="204" t="s">
        <v>548</v>
      </c>
      <c r="P1" s="204" t="s">
        <v>368</v>
      </c>
      <c r="Q1" s="204" t="s">
        <v>366</v>
      </c>
      <c r="R1" s="204" t="s">
        <v>369</v>
      </c>
      <c r="S1" s="485" t="s">
        <v>367</v>
      </c>
      <c r="T1" s="485" t="s">
        <v>370</v>
      </c>
      <c r="U1" s="204" t="s">
        <v>1609</v>
      </c>
      <c r="V1" s="204" t="s">
        <v>371</v>
      </c>
      <c r="W1" s="204" t="s">
        <v>372</v>
      </c>
      <c r="X1" s="204" t="s">
        <v>373</v>
      </c>
      <c r="Y1" s="485" t="s">
        <v>374</v>
      </c>
      <c r="Z1" s="204" t="s">
        <v>375</v>
      </c>
      <c r="AA1" s="485" t="s">
        <v>376</v>
      </c>
      <c r="AB1" s="204" t="s">
        <v>537</v>
      </c>
      <c r="AC1" s="204" t="s">
        <v>377</v>
      </c>
      <c r="AD1" s="204" t="s">
        <v>378</v>
      </c>
      <c r="AE1" s="204" t="s">
        <v>379</v>
      </c>
      <c r="AF1" s="204" t="s">
        <v>536</v>
      </c>
      <c r="AG1" s="204" t="s">
        <v>380</v>
      </c>
      <c r="AH1" s="485" t="s">
        <v>381</v>
      </c>
      <c r="AI1" s="485" t="s">
        <v>382</v>
      </c>
      <c r="AJ1" s="459" t="s">
        <v>989</v>
      </c>
      <c r="AK1" s="459" t="s">
        <v>990</v>
      </c>
      <c r="AL1" s="459" t="s">
        <v>145</v>
      </c>
      <c r="AM1" s="459" t="s">
        <v>949</v>
      </c>
      <c r="AN1" s="459" t="s">
        <v>1315</v>
      </c>
      <c r="AO1" s="459" t="s">
        <v>1612</v>
      </c>
      <c r="AP1" s="459" t="s">
        <v>1614</v>
      </c>
      <c r="AQ1" s="459" t="s">
        <v>1616</v>
      </c>
      <c r="AR1" s="459" t="s">
        <v>1618</v>
      </c>
      <c r="AS1" s="459" t="s">
        <v>1619</v>
      </c>
    </row>
    <row r="2" spans="1:45">
      <c r="A2" s="463" t="s">
        <v>365</v>
      </c>
      <c r="B2" s="463" t="str">
        <f>申込書!C40</f>
        <v>東部</v>
      </c>
      <c r="C2" s="464" t="s">
        <v>1101</v>
      </c>
      <c r="D2" s="464" t="s">
        <v>1022</v>
      </c>
      <c r="E2" s="464">
        <f>VLOOKUP(D2,★折込地区!$A$2:$D$10,4,FALSE)</f>
        <v>1</v>
      </c>
      <c r="F2" s="464" t="s">
        <v>362</v>
      </c>
      <c r="G2" s="464" t="str">
        <f>INDEX(★新聞!$E$4:$I$12, MATCH(LEFT(F2),★新聞!$A$4:$A$12,0), MATCH(LEFT(W2),★新聞!$E$3:$I$3,0))</f>
        <v>X</v>
      </c>
      <c r="H2" s="475" t="s">
        <v>1102</v>
      </c>
      <c r="I2" s="464" cm="1">
        <f t="array" ref="I2">IFERROR(INDEX(★原価率!$A$2:$E$50,MATCH($C2&amp;$H2,★原価率!$A$2:$A$50&amp;★原価率!$B$2:$B$50,0),3),0)</f>
        <v>74</v>
      </c>
      <c r="J2" s="464" cm="1">
        <f t="array" ref="J2">IFERROR(INDEX(★原価率!$A$2:$E$50,MATCH($C2&amp;$H2,★原価率!$A$2:$A$50&amp;★原価率!$B$2:$B$50,0),4),0)</f>
        <v>84</v>
      </c>
      <c r="K2" s="464" cm="1">
        <f t="array" ref="K2">IFERROR(INDEX(★原価率!$A$2:$E$50,MATCH($C2&amp;$H2,★原価率!$A$2:$A$50&amp;★原価率!$B$2:$B$50,0),5),0)</f>
        <v>100</v>
      </c>
      <c r="L2" s="528">
        <f>IFERROR(VLOOKUP(W2,★商品!$A$1:$H$1231,8,FALSE),0)</f>
        <v>2.8</v>
      </c>
      <c r="M2" s="203" t="str">
        <f ca="1">CONCATENATE(VLOOKUP(B2,★営業所!$A$2:$B$5,2,FALSE),TEXT(NOW(),"yyyy"))</f>
        <v>T2023</v>
      </c>
      <c r="N2" s="203">
        <v>1</v>
      </c>
      <c r="O2" s="203">
        <v>0</v>
      </c>
      <c r="P2" s="213">
        <f>申込書!$B$6</f>
        <v>0</v>
      </c>
      <c r="Q2" s="203">
        <f>申込書!$C$34</f>
        <v>1000040</v>
      </c>
      <c r="R2" s="203">
        <v>0</v>
      </c>
      <c r="U2" s="203">
        <f>VLOOKUP(B2,★営業所!$A$2:$C$5,3,FALSE)</f>
        <v>8</v>
      </c>
      <c r="V2" s="203">
        <f>申込書!$B$9</f>
        <v>0</v>
      </c>
      <c r="W2" s="203" t="str">
        <f>CONCATENATE(VLOOKUP(B2,★営業所!$A$2:$B$5,2,FALSE),VLOOKUP(申込書!$C$32,★サイズ表記!$D$4:$E$55,2,FALSE),VLOOKUP(D2,★折込地区!$A$2:$B$11,2,FALSE))</f>
        <v>T1001Tot</v>
      </c>
      <c r="X2" s="203" t="str">
        <f>CONCATENATE(申込書!$B$9," ",VLOOKUP(RIGHT(W2,3),★折込地区!$B$2:$C$10,2,FALSE),"")</f>
        <v xml:space="preserve"> 鳥取</v>
      </c>
      <c r="Z2" s="206">
        <f t="shared" ref="Z2:Z65" ca="1" si="0">SUMIFS($AE$2:$AE$977,$W$2:$W$977,W2,$AG$2:$AG$977,"&lt;&gt;0")</f>
        <v>0</v>
      </c>
      <c r="AB2" s="383">
        <f t="shared" ref="AB2:AB65" si="1">IFERROR(L2*K2/100,0)</f>
        <v>2.8</v>
      </c>
      <c r="AC2" s="203" t="str">
        <f t="shared" ref="AC2:AC65" si="2">CONCATENATE(LEFT(F2),AN2)</f>
        <v>D1001</v>
      </c>
      <c r="AD2" s="203" t="str">
        <f>VLOOKUP(AC2,★原価商品!$E$6:$F$349,2,FALSE)</f>
        <v>日本海/B4（折り無し）</v>
      </c>
      <c r="AE2" s="203">
        <f t="shared" ref="AE2:AE65" ca="1" si="3">INDIRECT(C2 &amp; "!" &amp; F2)</f>
        <v>0</v>
      </c>
      <c r="AF2" s="383">
        <f>IFERROR(IF(VLOOKUP(申込書!$C$32,★サイズ表記!$F$4:$H$55,3,FALSE)="切り捨て",ROUNDDOWN(L2*IF(AK2="◎",I2,J2)/100,2),IF(VLOOKUP(申込書!$C$32,★サイズ表記!$F$4:$H$55,3,FALSE)="切り上げ",ROUNDUP(L2*IF(AK2="◎",I2,J2)/100,2),ROUND(L2*IF(AK2="◎",I2,J2)/100,2))),0)</f>
        <v>2.0699999999999998</v>
      </c>
      <c r="AG2" s="203">
        <f t="shared" ref="AG2:AG65" ca="1" si="4">IFERROR(INDIRECT(C2 &amp; "!" &amp; G2 &amp; MID(F2,2,1000)),0)</f>
        <v>10002</v>
      </c>
      <c r="AJ2" s="460" t="str">
        <f>IFERROR(VLOOKUP(申込書!$C$30,★業種!$D$2:$E$87,2,FALSE),"")</f>
        <v>1003</v>
      </c>
      <c r="AK2" s="460" t="str">
        <f>IF(申込書!$C$36="◎",IF(OR(D2="浜坂・温泉",D2="美方・村岡",D2="香住",D2="岡山",D2="大阪"),"",IF(LEFT(F2)="D","◎",IF(AG2=0,"",IFERROR(IF(VLOOKUP(AG2,★仕入先!$A$2:$C$211,3,FALSE)=0,"","◎"),"")))),"")</f>
        <v>◎</v>
      </c>
      <c r="AL2" s="460">
        <f>申込書!$H$14</f>
        <v>0</v>
      </c>
      <c r="AM2" s="460" t="str">
        <f>申込書!$C$32</f>
        <v>B4（折り無し）</v>
      </c>
      <c r="AN2" s="460" t="str">
        <f>VLOOKUP(AM2,★サイズ表記!$D$4:$E$55,2,FALSE)</f>
        <v>1001</v>
      </c>
      <c r="AO2" s="460">
        <f>IF(C2&lt;&gt;"⑧兵庫",VLOOKUP(LEFT(F2),★新聞!$A$4:$B$12,2,FALSE),IF(LEFT(F2)&lt;&gt;"S",VLOOKUP(LEFT(F2),★新聞!$A$4:$B$12,2,FALSE),VLOOKUP("X",★新聞!$A$4:$B$12,2,FALSE)))</f>
        <v>1</v>
      </c>
      <c r="AP2" s="460" t="str">
        <f t="shared" ref="AP2:AP65" ca="1" si="5">FIXED(SUM($AE$2:$AE$977),0,FALSE)</f>
        <v>0</v>
      </c>
      <c r="AQ2" s="460" t="str">
        <f>IF(申込書!$C$38="","",申込書!$C$38)</f>
        <v/>
      </c>
    </row>
    <row r="3" spans="1:45">
      <c r="A3" s="463">
        <f>A2+1</f>
        <v>2</v>
      </c>
      <c r="B3" s="463" t="str">
        <f>$B$2</f>
        <v>東部</v>
      </c>
      <c r="C3" s="464" t="s">
        <v>1101</v>
      </c>
      <c r="D3" s="464" t="s">
        <v>1022</v>
      </c>
      <c r="E3" s="464">
        <f>VLOOKUP(D3,★折込地区!$A$2:$D$10,4,FALSE)</f>
        <v>1</v>
      </c>
      <c r="F3" s="464" t="s">
        <v>385</v>
      </c>
      <c r="G3" s="464" t="str">
        <f>INDEX(★新聞!$E$4:$I$12, MATCH(LEFT(F3),★新聞!$A$4:$A$12,0), MATCH(LEFT(W3),★新聞!$E$3:$I$3,0))</f>
        <v>X</v>
      </c>
      <c r="H3" s="475" t="s">
        <v>1102</v>
      </c>
      <c r="I3" s="464" cm="1">
        <f t="array" ref="I3">IFERROR(INDEX(★原価率!$A$2:$E$50,MATCH($C3&amp;$H3,★原価率!$A$2:$A$50&amp;★原価率!$B$2:$B$50,0),3),0)</f>
        <v>74</v>
      </c>
      <c r="J3" s="464" cm="1">
        <f t="array" ref="J3">IFERROR(INDEX(★原価率!$A$2:$E$50,MATCH($C3&amp;$H3,★原価率!$A$2:$A$50&amp;★原価率!$B$2:$B$50,0),4),0)</f>
        <v>84</v>
      </c>
      <c r="K3" s="464" cm="1">
        <f t="array" ref="K3">IFERROR(INDEX(★原価率!$A$2:$E$50,MATCH($C3&amp;$H3,★原価率!$A$2:$A$50&amp;★原価率!$B$2:$B$50,0),5),0)</f>
        <v>100</v>
      </c>
      <c r="L3" s="528">
        <f>IFERROR(VLOOKUP(W3,★商品!$A$1:$H$1231,8,FALSE),0)</f>
        <v>2.8</v>
      </c>
      <c r="M3" s="203" t="str">
        <f ca="1">CONCATENATE(VLOOKUP(B3,★営業所!$A$2:$B$5,2,FALSE),TEXT(NOW(),"yyyy"))</f>
        <v>T2023</v>
      </c>
      <c r="N3" s="203">
        <v>1</v>
      </c>
      <c r="O3" s="203">
        <v>0</v>
      </c>
      <c r="P3" s="213">
        <f>申込書!$B$6</f>
        <v>0</v>
      </c>
      <c r="Q3" s="203">
        <f>申込書!$C$34</f>
        <v>1000040</v>
      </c>
      <c r="R3" s="203">
        <v>0</v>
      </c>
      <c r="U3" s="203">
        <f>VLOOKUP(B3,★営業所!$A$2:$C$5,3,FALSE)</f>
        <v>8</v>
      </c>
      <c r="V3" s="203">
        <f>申込書!$B$9</f>
        <v>0</v>
      </c>
      <c r="W3" s="203" t="str">
        <f>CONCATENATE(VLOOKUP(B3,★営業所!$A$2:$B$5,2,FALSE),VLOOKUP(申込書!$C$32,★サイズ表記!$D$4:$E$55,2,FALSE),VLOOKUP(D3,★折込地区!$A$2:$B$11,2,FALSE))</f>
        <v>T1001Tot</v>
      </c>
      <c r="X3" s="203" t="str">
        <f>CONCATENATE(申込書!$B$9," ",VLOOKUP(RIGHT(W3,3),★折込地区!$B$2:$C$10,2,FALSE),"")</f>
        <v xml:space="preserve"> 鳥取</v>
      </c>
      <c r="Z3" s="206">
        <f t="shared" ca="1" si="0"/>
        <v>0</v>
      </c>
      <c r="AB3" s="383">
        <f t="shared" si="1"/>
        <v>2.8</v>
      </c>
      <c r="AC3" s="203" t="str">
        <f t="shared" si="2"/>
        <v>D1001</v>
      </c>
      <c r="AD3" s="203" t="str">
        <f>VLOOKUP(AC3,★原価商品!$E$6:$F$349,2,FALSE)</f>
        <v>日本海/B4（折り無し）</v>
      </c>
      <c r="AE3" s="203">
        <f t="shared" ca="1" si="3"/>
        <v>0</v>
      </c>
      <c r="AF3" s="383">
        <f>IFERROR(IF(VLOOKUP(申込書!$C$32,★サイズ表記!$F$4:$H$55,3,FALSE)="切り捨て",ROUNDDOWN(L3*IF(AK3="◎",I3,J3)/100,2),IF(VLOOKUP(申込書!$C$32,★サイズ表記!$F$4:$H$55,3,FALSE)="切り上げ",ROUNDUP(L3*IF(AK3="◎",I3,J3)/100,2),ROUND(L3*IF(AK3="◎",I3,J3)/100,2))),0)</f>
        <v>2.0699999999999998</v>
      </c>
      <c r="AG3" s="203">
        <f t="shared" ca="1" si="4"/>
        <v>10003</v>
      </c>
      <c r="AJ3" s="460" t="str">
        <f>IFERROR(VLOOKUP(申込書!$C$30,★業種!$D$2:$E$87,2,FALSE),"")</f>
        <v>1003</v>
      </c>
      <c r="AK3" s="460" t="str">
        <f>IF(申込書!$C$36="◎",IF(OR(D3="浜坂・温泉",D3="美方・村岡",D3="香住",D3="岡山",D3="大阪"),"",IF(LEFT(F3)="D","◎",IF(AG3=0,"",IFERROR(IF(VLOOKUP(AG3,★仕入先!$A$2:$C$211,3,FALSE)=0,"","◎"),"")))),"")</f>
        <v>◎</v>
      </c>
      <c r="AL3" s="460">
        <f>申込書!$H$14</f>
        <v>0</v>
      </c>
      <c r="AM3" s="460" t="str">
        <f>申込書!$C$32</f>
        <v>B4（折り無し）</v>
      </c>
      <c r="AN3" s="460" t="str">
        <f>VLOOKUP(AM3,★サイズ表記!$D$4:$E$55,2,FALSE)</f>
        <v>1001</v>
      </c>
      <c r="AO3" s="460">
        <f>IF(C3&lt;&gt;"⑧兵庫",VLOOKUP(LEFT(F3),★新聞!$A$4:$B$12,2,FALSE),IF(LEFT(F3)&lt;&gt;"S",VLOOKUP(LEFT(F3),★新聞!$A$4:$B$12,2,FALSE),VLOOKUP("X",★新聞!$A$4:$B$12,2,FALSE)))</f>
        <v>1</v>
      </c>
      <c r="AP3" s="460" t="str">
        <f t="shared" ca="1" si="5"/>
        <v>0</v>
      </c>
      <c r="AQ3" s="460" t="str">
        <f>IF(申込書!$C$38="","",申込書!$C$38)</f>
        <v/>
      </c>
    </row>
    <row r="4" spans="1:45">
      <c r="A4" s="463">
        <f t="shared" ref="A4:A67" si="6">A3+1</f>
        <v>3</v>
      </c>
      <c r="B4" s="463" t="str">
        <f t="shared" ref="B4:B67" si="7">$B$2</f>
        <v>東部</v>
      </c>
      <c r="C4" s="464" t="s">
        <v>1101</v>
      </c>
      <c r="D4" s="464" t="s">
        <v>1022</v>
      </c>
      <c r="E4" s="464">
        <f>VLOOKUP(D4,★折込地区!$A$2:$D$10,4,FALSE)</f>
        <v>1</v>
      </c>
      <c r="F4" s="464" t="s">
        <v>386</v>
      </c>
      <c r="G4" s="464" t="str">
        <f>INDEX(★新聞!$E$4:$I$12, MATCH(LEFT(F4),★新聞!$A$4:$A$12,0), MATCH(LEFT(W4),★新聞!$E$3:$I$3,0))</f>
        <v>X</v>
      </c>
      <c r="H4" s="475" t="s">
        <v>1102</v>
      </c>
      <c r="I4" s="464" cm="1">
        <f t="array" ref="I4">IFERROR(INDEX(★原価率!$A$2:$E$50,MATCH($C4&amp;$H4,★原価率!$A$2:$A$50&amp;★原価率!$B$2:$B$50,0),3),0)</f>
        <v>74</v>
      </c>
      <c r="J4" s="464" cm="1">
        <f t="array" ref="J4">IFERROR(INDEX(★原価率!$A$2:$E$50,MATCH($C4&amp;$H4,★原価率!$A$2:$A$50&amp;★原価率!$B$2:$B$50,0),4),0)</f>
        <v>84</v>
      </c>
      <c r="K4" s="464" cm="1">
        <f t="array" ref="K4">IFERROR(INDEX(★原価率!$A$2:$E$50,MATCH($C4&amp;$H4,★原価率!$A$2:$A$50&amp;★原価率!$B$2:$B$50,0),5),0)</f>
        <v>100</v>
      </c>
      <c r="L4" s="528">
        <f>IFERROR(VLOOKUP(W4,★商品!$A$1:$H$1231,8,FALSE),0)</f>
        <v>2.8</v>
      </c>
      <c r="M4" s="203" t="str">
        <f ca="1">CONCATENATE(VLOOKUP(B4,★営業所!$A$2:$B$5,2,FALSE),TEXT(NOW(),"yyyy"))</f>
        <v>T2023</v>
      </c>
      <c r="N4" s="203">
        <v>1</v>
      </c>
      <c r="O4" s="203">
        <v>0</v>
      </c>
      <c r="P4" s="213">
        <f>申込書!$B$6</f>
        <v>0</v>
      </c>
      <c r="Q4" s="203">
        <f>申込書!$C$34</f>
        <v>1000040</v>
      </c>
      <c r="R4" s="203">
        <v>0</v>
      </c>
      <c r="U4" s="203">
        <f>VLOOKUP(B4,★営業所!$A$2:$C$5,3,FALSE)</f>
        <v>8</v>
      </c>
      <c r="V4" s="203">
        <f>申込書!$B$9</f>
        <v>0</v>
      </c>
      <c r="W4" s="203" t="str">
        <f>CONCATENATE(VLOOKUP(B4,★営業所!$A$2:$B$5,2,FALSE),VLOOKUP(申込書!$C$32,★サイズ表記!$D$4:$E$55,2,FALSE),VLOOKUP(D4,★折込地区!$A$2:$B$11,2,FALSE))</f>
        <v>T1001Tot</v>
      </c>
      <c r="X4" s="203" t="str">
        <f>CONCATENATE(申込書!$B$9," ",VLOOKUP(RIGHT(W4,3),★折込地区!$B$2:$C$10,2,FALSE),"")</f>
        <v xml:space="preserve"> 鳥取</v>
      </c>
      <c r="Z4" s="206">
        <f t="shared" ca="1" si="0"/>
        <v>0</v>
      </c>
      <c r="AB4" s="383">
        <f t="shared" si="1"/>
        <v>2.8</v>
      </c>
      <c r="AC4" s="203" t="str">
        <f t="shared" si="2"/>
        <v>D1001</v>
      </c>
      <c r="AD4" s="203" t="str">
        <f>VLOOKUP(AC4,★原価商品!$E$6:$F$349,2,FALSE)</f>
        <v>日本海/B4（折り無し）</v>
      </c>
      <c r="AE4" s="203">
        <f t="shared" ca="1" si="3"/>
        <v>0</v>
      </c>
      <c r="AF4" s="383">
        <f>IFERROR(IF(VLOOKUP(申込書!$C$32,★サイズ表記!$F$4:$H$55,3,FALSE)="切り捨て",ROUNDDOWN(L4*IF(AK4="◎",I4,J4)/100,2),IF(VLOOKUP(申込書!$C$32,★サイズ表記!$F$4:$H$55,3,FALSE)="切り上げ",ROUNDUP(L4*IF(AK4="◎",I4,J4)/100,2),ROUND(L4*IF(AK4="◎",I4,J4)/100,2))),0)</f>
        <v>2.0699999999999998</v>
      </c>
      <c r="AG4" s="203">
        <f t="shared" ca="1" si="4"/>
        <v>10004</v>
      </c>
      <c r="AJ4" s="460" t="str">
        <f>IFERROR(VLOOKUP(申込書!$C$30,★業種!$D$2:$E$87,2,FALSE),"")</f>
        <v>1003</v>
      </c>
      <c r="AK4" s="460" t="str">
        <f>IF(申込書!$C$36="◎",IF(OR(D4="浜坂・温泉",D4="美方・村岡",D4="香住",D4="岡山",D4="大阪"),"",IF(LEFT(F4)="D","◎",IF(AG4=0,"",IFERROR(IF(VLOOKUP(AG4,★仕入先!$A$2:$C$211,3,FALSE)=0,"","◎"),"")))),"")</f>
        <v>◎</v>
      </c>
      <c r="AL4" s="460">
        <f>申込書!$H$14</f>
        <v>0</v>
      </c>
      <c r="AM4" s="460" t="str">
        <f>申込書!$C$32</f>
        <v>B4（折り無し）</v>
      </c>
      <c r="AN4" s="460" t="str">
        <f>VLOOKUP(AM4,★サイズ表記!$D$4:$E$55,2,FALSE)</f>
        <v>1001</v>
      </c>
      <c r="AO4" s="460">
        <f>IF(C4&lt;&gt;"⑧兵庫",VLOOKUP(LEFT(F4),★新聞!$A$4:$B$12,2,FALSE),IF(LEFT(F4)&lt;&gt;"S",VLOOKUP(LEFT(F4),★新聞!$A$4:$B$12,2,FALSE),VLOOKUP("X",★新聞!$A$4:$B$12,2,FALSE)))</f>
        <v>1</v>
      </c>
      <c r="AP4" s="460" t="str">
        <f t="shared" ca="1" si="5"/>
        <v>0</v>
      </c>
      <c r="AQ4" s="460" t="str">
        <f>IF(申込書!$C$38="","",申込書!$C$38)</f>
        <v/>
      </c>
    </row>
    <row r="5" spans="1:45">
      <c r="A5" s="463">
        <f t="shared" si="6"/>
        <v>4</v>
      </c>
      <c r="B5" s="463" t="str">
        <f t="shared" si="7"/>
        <v>東部</v>
      </c>
      <c r="C5" s="464" t="s">
        <v>1101</v>
      </c>
      <c r="D5" s="464" t="s">
        <v>1022</v>
      </c>
      <c r="E5" s="464">
        <f>VLOOKUP(D5,★折込地区!$A$2:$D$10,4,FALSE)</f>
        <v>1</v>
      </c>
      <c r="F5" s="464" t="s">
        <v>387</v>
      </c>
      <c r="G5" s="464" t="str">
        <f>INDEX(★新聞!$E$4:$I$12, MATCH(LEFT(F5),★新聞!$A$4:$A$12,0), MATCH(LEFT(W5),★新聞!$E$3:$I$3,0))</f>
        <v>X</v>
      </c>
      <c r="H5" s="475" t="s">
        <v>1102</v>
      </c>
      <c r="I5" s="464" cm="1">
        <f t="array" ref="I5">IFERROR(INDEX(★原価率!$A$2:$E$50,MATCH($C5&amp;$H5,★原価率!$A$2:$A$50&amp;★原価率!$B$2:$B$50,0),3),0)</f>
        <v>74</v>
      </c>
      <c r="J5" s="464" cm="1">
        <f t="array" ref="J5">IFERROR(INDEX(★原価率!$A$2:$E$50,MATCH($C5&amp;$H5,★原価率!$A$2:$A$50&amp;★原価率!$B$2:$B$50,0),4),0)</f>
        <v>84</v>
      </c>
      <c r="K5" s="464" cm="1">
        <f t="array" ref="K5">IFERROR(INDEX(★原価率!$A$2:$E$50,MATCH($C5&amp;$H5,★原価率!$A$2:$A$50&amp;★原価率!$B$2:$B$50,0),5),0)</f>
        <v>100</v>
      </c>
      <c r="L5" s="528">
        <f>IFERROR(VLOOKUP(W5,★商品!$A$1:$H$1231,8,FALSE),0)</f>
        <v>2.8</v>
      </c>
      <c r="M5" s="203" t="str">
        <f ca="1">CONCATENATE(VLOOKUP(B5,★営業所!$A$2:$B$5,2,FALSE),TEXT(NOW(),"yyyy"))</f>
        <v>T2023</v>
      </c>
      <c r="N5" s="203">
        <v>1</v>
      </c>
      <c r="O5" s="203">
        <v>0</v>
      </c>
      <c r="P5" s="213">
        <f>申込書!$B$6</f>
        <v>0</v>
      </c>
      <c r="Q5" s="203">
        <f>申込書!$C$34</f>
        <v>1000040</v>
      </c>
      <c r="R5" s="203">
        <v>0</v>
      </c>
      <c r="U5" s="203">
        <f>VLOOKUP(B5,★営業所!$A$2:$C$5,3,FALSE)</f>
        <v>8</v>
      </c>
      <c r="V5" s="203">
        <f>申込書!$B$9</f>
        <v>0</v>
      </c>
      <c r="W5" s="203" t="str">
        <f>CONCATENATE(VLOOKUP(B5,★営業所!$A$2:$B$5,2,FALSE),VLOOKUP(申込書!$C$32,★サイズ表記!$D$4:$E$55,2,FALSE),VLOOKUP(D5,★折込地区!$A$2:$B$11,2,FALSE))</f>
        <v>T1001Tot</v>
      </c>
      <c r="X5" s="203" t="str">
        <f>CONCATENATE(申込書!$B$9," ",VLOOKUP(RIGHT(W5,3),★折込地区!$B$2:$C$10,2,FALSE),"")</f>
        <v xml:space="preserve"> 鳥取</v>
      </c>
      <c r="Z5" s="206">
        <f t="shared" ca="1" si="0"/>
        <v>0</v>
      </c>
      <c r="AB5" s="383">
        <f t="shared" si="1"/>
        <v>2.8</v>
      </c>
      <c r="AC5" s="203" t="str">
        <f t="shared" si="2"/>
        <v>D1001</v>
      </c>
      <c r="AD5" s="203" t="str">
        <f>VLOOKUP(AC5,★原価商品!$E$6:$F$349,2,FALSE)</f>
        <v>日本海/B4（折り無し）</v>
      </c>
      <c r="AE5" s="203">
        <f t="shared" ca="1" si="3"/>
        <v>0</v>
      </c>
      <c r="AF5" s="383">
        <f>IFERROR(IF(VLOOKUP(申込書!$C$32,★サイズ表記!$F$4:$H$55,3,FALSE)="切り捨て",ROUNDDOWN(L5*IF(AK5="◎",I5,J5)/100,2),IF(VLOOKUP(申込書!$C$32,★サイズ表記!$F$4:$H$55,3,FALSE)="切り上げ",ROUNDUP(L5*IF(AK5="◎",I5,J5)/100,2),ROUND(L5*IF(AK5="◎",I5,J5)/100,2))),0)</f>
        <v>2.0699999999999998</v>
      </c>
      <c r="AG5" s="203">
        <f t="shared" ca="1" si="4"/>
        <v>10012</v>
      </c>
      <c r="AJ5" s="460" t="str">
        <f>IFERROR(VLOOKUP(申込書!$C$30,★業種!$D$2:$E$87,2,FALSE),"")</f>
        <v>1003</v>
      </c>
      <c r="AK5" s="460" t="str">
        <f>IF(申込書!$C$36="◎",IF(OR(D5="浜坂・温泉",D5="美方・村岡",D5="香住",D5="岡山",D5="大阪"),"",IF(LEFT(F5)="D","◎",IF(AG5=0,"",IFERROR(IF(VLOOKUP(AG5,★仕入先!$A$2:$C$211,3,FALSE)=0,"","◎"),"")))),"")</f>
        <v>◎</v>
      </c>
      <c r="AL5" s="460">
        <f>申込書!$H$14</f>
        <v>0</v>
      </c>
      <c r="AM5" s="460" t="str">
        <f>申込書!$C$32</f>
        <v>B4（折り無し）</v>
      </c>
      <c r="AN5" s="460" t="str">
        <f>VLOOKUP(AM5,★サイズ表記!$D$4:$E$55,2,FALSE)</f>
        <v>1001</v>
      </c>
      <c r="AO5" s="460">
        <f>IF(C5&lt;&gt;"⑧兵庫",VLOOKUP(LEFT(F5),★新聞!$A$4:$B$12,2,FALSE),IF(LEFT(F5)&lt;&gt;"S",VLOOKUP(LEFT(F5),★新聞!$A$4:$B$12,2,FALSE),VLOOKUP("X",★新聞!$A$4:$B$12,2,FALSE)))</f>
        <v>1</v>
      </c>
      <c r="AP5" s="460" t="str">
        <f t="shared" ca="1" si="5"/>
        <v>0</v>
      </c>
      <c r="AQ5" s="460" t="str">
        <f>IF(申込書!$C$38="","",申込書!$C$38)</f>
        <v/>
      </c>
    </row>
    <row r="6" spans="1:45">
      <c r="A6" s="463">
        <f t="shared" si="6"/>
        <v>5</v>
      </c>
      <c r="B6" s="463" t="str">
        <f t="shared" si="7"/>
        <v>東部</v>
      </c>
      <c r="C6" s="464" t="s">
        <v>1101</v>
      </c>
      <c r="D6" s="464" t="s">
        <v>1022</v>
      </c>
      <c r="E6" s="464">
        <f>VLOOKUP(D6,★折込地区!$A$2:$D$10,4,FALSE)</f>
        <v>1</v>
      </c>
      <c r="F6" s="464" t="s">
        <v>388</v>
      </c>
      <c r="G6" s="464" t="str">
        <f>INDEX(★新聞!$E$4:$I$12, MATCH(LEFT(F6),★新聞!$A$4:$A$12,0), MATCH(LEFT(W6),★新聞!$E$3:$I$3,0))</f>
        <v>X</v>
      </c>
      <c r="H6" s="475" t="s">
        <v>1102</v>
      </c>
      <c r="I6" s="464" cm="1">
        <f t="array" ref="I6">IFERROR(INDEX(★原価率!$A$2:$E$50,MATCH($C6&amp;$H6,★原価率!$A$2:$A$50&amp;★原価率!$B$2:$B$50,0),3),0)</f>
        <v>74</v>
      </c>
      <c r="J6" s="464" cm="1">
        <f t="array" ref="J6">IFERROR(INDEX(★原価率!$A$2:$E$50,MATCH($C6&amp;$H6,★原価率!$A$2:$A$50&amp;★原価率!$B$2:$B$50,0),4),0)</f>
        <v>84</v>
      </c>
      <c r="K6" s="464" cm="1">
        <f t="array" ref="K6">IFERROR(INDEX(★原価率!$A$2:$E$50,MATCH($C6&amp;$H6,★原価率!$A$2:$A$50&amp;★原価率!$B$2:$B$50,0),5),0)</f>
        <v>100</v>
      </c>
      <c r="L6" s="528">
        <f>IFERROR(VLOOKUP(W6,★商品!$A$1:$H$1231,8,FALSE),0)</f>
        <v>2.8</v>
      </c>
      <c r="M6" s="203" t="str">
        <f ca="1">CONCATENATE(VLOOKUP(B6,★営業所!$A$2:$B$5,2,FALSE),TEXT(NOW(),"yyyy"))</f>
        <v>T2023</v>
      </c>
      <c r="N6" s="203">
        <v>1</v>
      </c>
      <c r="O6" s="203">
        <v>0</v>
      </c>
      <c r="P6" s="213">
        <f>申込書!$B$6</f>
        <v>0</v>
      </c>
      <c r="Q6" s="203">
        <f>申込書!$C$34</f>
        <v>1000040</v>
      </c>
      <c r="R6" s="203">
        <v>0</v>
      </c>
      <c r="U6" s="203">
        <f>VLOOKUP(B6,★営業所!$A$2:$C$5,3,FALSE)</f>
        <v>8</v>
      </c>
      <c r="V6" s="203">
        <f>申込書!$B$9</f>
        <v>0</v>
      </c>
      <c r="W6" s="203" t="str">
        <f>CONCATENATE(VLOOKUP(B6,★営業所!$A$2:$B$5,2,FALSE),VLOOKUP(申込書!$C$32,★サイズ表記!$D$4:$E$55,2,FALSE),VLOOKUP(D6,★折込地区!$A$2:$B$11,2,FALSE))</f>
        <v>T1001Tot</v>
      </c>
      <c r="X6" s="203" t="str">
        <f>CONCATENATE(申込書!$B$9," ",VLOOKUP(RIGHT(W6,3),★折込地区!$B$2:$C$10,2,FALSE),"")</f>
        <v xml:space="preserve"> 鳥取</v>
      </c>
      <c r="Z6" s="206">
        <f t="shared" ca="1" si="0"/>
        <v>0</v>
      </c>
      <c r="AB6" s="383">
        <f t="shared" si="1"/>
        <v>2.8</v>
      </c>
      <c r="AC6" s="203" t="str">
        <f t="shared" si="2"/>
        <v>D1001</v>
      </c>
      <c r="AD6" s="203" t="str">
        <f>VLOOKUP(AC6,★原価商品!$E$6:$F$349,2,FALSE)</f>
        <v>日本海/B4（折り無し）</v>
      </c>
      <c r="AE6" s="203">
        <f t="shared" ca="1" si="3"/>
        <v>0</v>
      </c>
      <c r="AF6" s="383">
        <f>IFERROR(IF(VLOOKUP(申込書!$C$32,★サイズ表記!$F$4:$H$55,3,FALSE)="切り捨て",ROUNDDOWN(L6*IF(AK6="◎",I6,J6)/100,2),IF(VLOOKUP(申込書!$C$32,★サイズ表記!$F$4:$H$55,3,FALSE)="切り上げ",ROUNDUP(L6*IF(AK6="◎",I6,J6)/100,2),ROUND(L6*IF(AK6="◎",I6,J6)/100,2))),0)</f>
        <v>2.0699999999999998</v>
      </c>
      <c r="AG6" s="203">
        <f t="shared" ca="1" si="4"/>
        <v>10006</v>
      </c>
      <c r="AJ6" s="460" t="str">
        <f>IFERROR(VLOOKUP(申込書!$C$30,★業種!$D$2:$E$87,2,FALSE),"")</f>
        <v>1003</v>
      </c>
      <c r="AK6" s="460" t="str">
        <f>IF(申込書!$C$36="◎",IF(OR(D6="浜坂・温泉",D6="美方・村岡",D6="香住",D6="岡山",D6="大阪"),"",IF(LEFT(F6)="D","◎",IF(AG6=0,"",IFERROR(IF(VLOOKUP(AG6,★仕入先!$A$2:$C$211,3,FALSE)=0,"","◎"),"")))),"")</f>
        <v>◎</v>
      </c>
      <c r="AL6" s="460">
        <f>申込書!$H$14</f>
        <v>0</v>
      </c>
      <c r="AM6" s="460" t="str">
        <f>申込書!$C$32</f>
        <v>B4（折り無し）</v>
      </c>
      <c r="AN6" s="460" t="str">
        <f>VLOOKUP(AM6,★サイズ表記!$D$4:$E$55,2,FALSE)</f>
        <v>1001</v>
      </c>
      <c r="AO6" s="460">
        <f>IF(C6&lt;&gt;"⑧兵庫",VLOOKUP(LEFT(F6),★新聞!$A$4:$B$12,2,FALSE),IF(LEFT(F6)&lt;&gt;"S",VLOOKUP(LEFT(F6),★新聞!$A$4:$B$12,2,FALSE),VLOOKUP("X",★新聞!$A$4:$B$12,2,FALSE)))</f>
        <v>1</v>
      </c>
      <c r="AP6" s="460" t="str">
        <f t="shared" ca="1" si="5"/>
        <v>0</v>
      </c>
      <c r="AQ6" s="460" t="str">
        <f>IF(申込書!$C$38="","",申込書!$C$38)</f>
        <v/>
      </c>
    </row>
    <row r="7" spans="1:45">
      <c r="A7" s="463">
        <f t="shared" si="6"/>
        <v>6</v>
      </c>
      <c r="B7" s="463" t="str">
        <f t="shared" si="7"/>
        <v>東部</v>
      </c>
      <c r="C7" s="464" t="s">
        <v>1101</v>
      </c>
      <c r="D7" s="464" t="s">
        <v>1022</v>
      </c>
      <c r="E7" s="464">
        <f>VLOOKUP(D7,★折込地区!$A$2:$D$10,4,FALSE)</f>
        <v>1</v>
      </c>
      <c r="F7" s="464" t="s">
        <v>389</v>
      </c>
      <c r="G7" s="464" t="str">
        <f>INDEX(★新聞!$E$4:$I$12, MATCH(LEFT(F7),★新聞!$A$4:$A$12,0), MATCH(LEFT(W7),★新聞!$E$3:$I$3,0))</f>
        <v>X</v>
      </c>
      <c r="H7" s="475" t="s">
        <v>1102</v>
      </c>
      <c r="I7" s="464" cm="1">
        <f t="array" ref="I7">IFERROR(INDEX(★原価率!$A$2:$E$50,MATCH($C7&amp;$H7,★原価率!$A$2:$A$50&amp;★原価率!$B$2:$B$50,0),3),0)</f>
        <v>74</v>
      </c>
      <c r="J7" s="464" cm="1">
        <f t="array" ref="J7">IFERROR(INDEX(★原価率!$A$2:$E$50,MATCH($C7&amp;$H7,★原価率!$A$2:$A$50&amp;★原価率!$B$2:$B$50,0),4),0)</f>
        <v>84</v>
      </c>
      <c r="K7" s="464" cm="1">
        <f t="array" ref="K7">IFERROR(INDEX(★原価率!$A$2:$E$50,MATCH($C7&amp;$H7,★原価率!$A$2:$A$50&amp;★原価率!$B$2:$B$50,0),5),0)</f>
        <v>100</v>
      </c>
      <c r="L7" s="528">
        <f>IFERROR(VLOOKUP(W7,★商品!$A$1:$H$1231,8,FALSE),0)</f>
        <v>2.8</v>
      </c>
      <c r="M7" s="203" t="str">
        <f ca="1">CONCATENATE(VLOOKUP(B7,★営業所!$A$2:$B$5,2,FALSE),TEXT(NOW(),"yyyy"))</f>
        <v>T2023</v>
      </c>
      <c r="N7" s="203">
        <v>1</v>
      </c>
      <c r="O7" s="203">
        <v>0</v>
      </c>
      <c r="P7" s="213">
        <f>申込書!$B$6</f>
        <v>0</v>
      </c>
      <c r="Q7" s="203">
        <f>申込書!$C$34</f>
        <v>1000040</v>
      </c>
      <c r="R7" s="203">
        <v>0</v>
      </c>
      <c r="U7" s="203">
        <f>VLOOKUP(B7,★営業所!$A$2:$C$5,3,FALSE)</f>
        <v>8</v>
      </c>
      <c r="V7" s="203">
        <f>申込書!$B$9</f>
        <v>0</v>
      </c>
      <c r="W7" s="203" t="str">
        <f>CONCATENATE(VLOOKUP(B7,★営業所!$A$2:$B$5,2,FALSE),VLOOKUP(申込書!$C$32,★サイズ表記!$D$4:$E$55,2,FALSE),VLOOKUP(D7,★折込地区!$A$2:$B$11,2,FALSE))</f>
        <v>T1001Tot</v>
      </c>
      <c r="X7" s="203" t="str">
        <f>CONCATENATE(申込書!$B$9," ",VLOOKUP(RIGHT(W7,3),★折込地区!$B$2:$C$10,2,FALSE),"")</f>
        <v xml:space="preserve"> 鳥取</v>
      </c>
      <c r="Z7" s="206">
        <f t="shared" ca="1" si="0"/>
        <v>0</v>
      </c>
      <c r="AB7" s="383">
        <f t="shared" si="1"/>
        <v>2.8</v>
      </c>
      <c r="AC7" s="203" t="str">
        <f t="shared" si="2"/>
        <v>D1001</v>
      </c>
      <c r="AD7" s="203" t="str">
        <f>VLOOKUP(AC7,★原価商品!$E$6:$F$349,2,FALSE)</f>
        <v>日本海/B4（折り無し）</v>
      </c>
      <c r="AE7" s="203">
        <f t="shared" ca="1" si="3"/>
        <v>0</v>
      </c>
      <c r="AF7" s="383">
        <f>IFERROR(IF(VLOOKUP(申込書!$C$32,★サイズ表記!$F$4:$H$55,3,FALSE)="切り捨て",ROUNDDOWN(L7*IF(AK7="◎",I7,J7)/100,2),IF(VLOOKUP(申込書!$C$32,★サイズ表記!$F$4:$H$55,3,FALSE)="切り上げ",ROUNDUP(L7*IF(AK7="◎",I7,J7)/100,2),ROUND(L7*IF(AK7="◎",I7,J7)/100,2))),0)</f>
        <v>2.0699999999999998</v>
      </c>
      <c r="AG7" s="203">
        <f t="shared" ca="1" si="4"/>
        <v>10009</v>
      </c>
      <c r="AJ7" s="460" t="str">
        <f>IFERROR(VLOOKUP(申込書!$C$30,★業種!$D$2:$E$87,2,FALSE),"")</f>
        <v>1003</v>
      </c>
      <c r="AK7" s="460" t="str">
        <f>IF(申込書!$C$36="◎",IF(OR(D7="浜坂・温泉",D7="美方・村岡",D7="香住",D7="岡山",D7="大阪"),"",IF(LEFT(F7)="D","◎",IF(AG7=0,"",IFERROR(IF(VLOOKUP(AG7,★仕入先!$A$2:$C$211,3,FALSE)=0,"","◎"),"")))),"")</f>
        <v>◎</v>
      </c>
      <c r="AL7" s="460">
        <f>申込書!$H$14</f>
        <v>0</v>
      </c>
      <c r="AM7" s="460" t="str">
        <f>申込書!$C$32</f>
        <v>B4（折り無し）</v>
      </c>
      <c r="AN7" s="460" t="str">
        <f>VLOOKUP(AM7,★サイズ表記!$D$4:$E$55,2,FALSE)</f>
        <v>1001</v>
      </c>
      <c r="AO7" s="460">
        <f>IF(C7&lt;&gt;"⑧兵庫",VLOOKUP(LEFT(F7),★新聞!$A$4:$B$12,2,FALSE),IF(LEFT(F7)&lt;&gt;"S",VLOOKUP(LEFT(F7),★新聞!$A$4:$B$12,2,FALSE),VLOOKUP("X",★新聞!$A$4:$B$12,2,FALSE)))</f>
        <v>1</v>
      </c>
      <c r="AP7" s="460" t="str">
        <f t="shared" ca="1" si="5"/>
        <v>0</v>
      </c>
      <c r="AQ7" s="460" t="str">
        <f>IF(申込書!$C$38="","",申込書!$C$38)</f>
        <v/>
      </c>
    </row>
    <row r="8" spans="1:45">
      <c r="A8" s="463">
        <f t="shared" si="6"/>
        <v>7</v>
      </c>
      <c r="B8" s="463" t="str">
        <f t="shared" si="7"/>
        <v>東部</v>
      </c>
      <c r="C8" s="464" t="s">
        <v>1101</v>
      </c>
      <c r="D8" s="464" t="s">
        <v>1022</v>
      </c>
      <c r="E8" s="464">
        <f>VLOOKUP(D8,★折込地区!$A$2:$D$10,4,FALSE)</f>
        <v>1</v>
      </c>
      <c r="F8" s="464" t="s">
        <v>390</v>
      </c>
      <c r="G8" s="464" t="str">
        <f>INDEX(★新聞!$E$4:$I$12, MATCH(LEFT(F8),★新聞!$A$4:$A$12,0), MATCH(LEFT(W8),★新聞!$E$3:$I$3,0))</f>
        <v>X</v>
      </c>
      <c r="H8" s="475" t="s">
        <v>1102</v>
      </c>
      <c r="I8" s="464" cm="1">
        <f t="array" ref="I8">IFERROR(INDEX(★原価率!$A$2:$E$50,MATCH($C8&amp;$H8,★原価率!$A$2:$A$50&amp;★原価率!$B$2:$B$50,0),3),0)</f>
        <v>74</v>
      </c>
      <c r="J8" s="464" cm="1">
        <f t="array" ref="J8">IFERROR(INDEX(★原価率!$A$2:$E$50,MATCH($C8&amp;$H8,★原価率!$A$2:$A$50&amp;★原価率!$B$2:$B$50,0),4),0)</f>
        <v>84</v>
      </c>
      <c r="K8" s="464" cm="1">
        <f t="array" ref="K8">IFERROR(INDEX(★原価率!$A$2:$E$50,MATCH($C8&amp;$H8,★原価率!$A$2:$A$50&amp;★原価率!$B$2:$B$50,0),5),0)</f>
        <v>100</v>
      </c>
      <c r="L8" s="528">
        <f>IFERROR(VLOOKUP(W8,★商品!$A$1:$H$1231,8,FALSE),0)</f>
        <v>2.8</v>
      </c>
      <c r="M8" s="203" t="str">
        <f ca="1">CONCATENATE(VLOOKUP(B8,★営業所!$A$2:$B$5,2,FALSE),TEXT(NOW(),"yyyy"))</f>
        <v>T2023</v>
      </c>
      <c r="N8" s="203">
        <v>1</v>
      </c>
      <c r="O8" s="203">
        <v>0</v>
      </c>
      <c r="P8" s="213">
        <f>申込書!$B$6</f>
        <v>0</v>
      </c>
      <c r="Q8" s="203">
        <f>申込書!$C$34</f>
        <v>1000040</v>
      </c>
      <c r="R8" s="203">
        <v>0</v>
      </c>
      <c r="U8" s="203">
        <f>VLOOKUP(B8,★営業所!$A$2:$C$5,3,FALSE)</f>
        <v>8</v>
      </c>
      <c r="V8" s="203">
        <f>申込書!$B$9</f>
        <v>0</v>
      </c>
      <c r="W8" s="203" t="str">
        <f>CONCATENATE(VLOOKUP(B8,★営業所!$A$2:$B$5,2,FALSE),VLOOKUP(申込書!$C$32,★サイズ表記!$D$4:$E$55,2,FALSE),VLOOKUP(D8,★折込地区!$A$2:$B$11,2,FALSE))</f>
        <v>T1001Tot</v>
      </c>
      <c r="X8" s="203" t="str">
        <f>CONCATENATE(申込書!$B$9," ",VLOOKUP(RIGHT(W8,3),★折込地区!$B$2:$C$10,2,FALSE),"")</f>
        <v xml:space="preserve"> 鳥取</v>
      </c>
      <c r="Z8" s="206">
        <f t="shared" ca="1" si="0"/>
        <v>0</v>
      </c>
      <c r="AB8" s="383">
        <f t="shared" si="1"/>
        <v>2.8</v>
      </c>
      <c r="AC8" s="203" t="str">
        <f t="shared" si="2"/>
        <v>D1001</v>
      </c>
      <c r="AD8" s="203" t="str">
        <f>VLOOKUP(AC8,★原価商品!$E$6:$F$349,2,FALSE)</f>
        <v>日本海/B4（折り無し）</v>
      </c>
      <c r="AE8" s="203">
        <f t="shared" ca="1" si="3"/>
        <v>0</v>
      </c>
      <c r="AF8" s="383">
        <f>IFERROR(IF(VLOOKUP(申込書!$C$32,★サイズ表記!$F$4:$H$55,3,FALSE)="切り捨て",ROUNDDOWN(L8*IF(AK8="◎",I8,J8)/100,2),IF(VLOOKUP(申込書!$C$32,★サイズ表記!$F$4:$H$55,3,FALSE)="切り上げ",ROUNDUP(L8*IF(AK8="◎",I8,J8)/100,2),ROUND(L8*IF(AK8="◎",I8,J8)/100,2))),0)</f>
        <v>2.0699999999999998</v>
      </c>
      <c r="AG8" s="203">
        <f t="shared" ca="1" si="4"/>
        <v>10010</v>
      </c>
      <c r="AJ8" s="460" t="str">
        <f>IFERROR(VLOOKUP(申込書!$C$30,★業種!$D$2:$E$87,2,FALSE),"")</f>
        <v>1003</v>
      </c>
      <c r="AK8" s="460" t="str">
        <f>IF(申込書!$C$36="◎",IF(OR(D8="浜坂・温泉",D8="美方・村岡",D8="香住",D8="岡山",D8="大阪"),"",IF(LEFT(F8)="D","◎",IF(AG8=0,"",IFERROR(IF(VLOOKUP(AG8,★仕入先!$A$2:$C$211,3,FALSE)=0,"","◎"),"")))),"")</f>
        <v>◎</v>
      </c>
      <c r="AL8" s="460">
        <f>申込書!$H$14</f>
        <v>0</v>
      </c>
      <c r="AM8" s="460" t="str">
        <f>申込書!$C$32</f>
        <v>B4（折り無し）</v>
      </c>
      <c r="AN8" s="460" t="str">
        <f>VLOOKUP(AM8,★サイズ表記!$D$4:$E$55,2,FALSE)</f>
        <v>1001</v>
      </c>
      <c r="AO8" s="460">
        <f>IF(C8&lt;&gt;"⑧兵庫",VLOOKUP(LEFT(F8),★新聞!$A$4:$B$12,2,FALSE),IF(LEFT(F8)&lt;&gt;"S",VLOOKUP(LEFT(F8),★新聞!$A$4:$B$12,2,FALSE),VLOOKUP("X",★新聞!$A$4:$B$12,2,FALSE)))</f>
        <v>1</v>
      </c>
      <c r="AP8" s="460" t="str">
        <f t="shared" ca="1" si="5"/>
        <v>0</v>
      </c>
      <c r="AQ8" s="460" t="str">
        <f>IF(申込書!$C$38="","",申込書!$C$38)</f>
        <v/>
      </c>
    </row>
    <row r="9" spans="1:45">
      <c r="A9" s="463">
        <f t="shared" si="6"/>
        <v>8</v>
      </c>
      <c r="B9" s="463" t="str">
        <f t="shared" si="7"/>
        <v>東部</v>
      </c>
      <c r="C9" s="464" t="s">
        <v>1101</v>
      </c>
      <c r="D9" s="464" t="s">
        <v>1022</v>
      </c>
      <c r="E9" s="464">
        <f>VLOOKUP(D9,★折込地区!$A$2:$D$10,4,FALSE)</f>
        <v>1</v>
      </c>
      <c r="F9" s="464" t="s">
        <v>391</v>
      </c>
      <c r="G9" s="464" t="str">
        <f>INDEX(★新聞!$E$4:$I$12, MATCH(LEFT(F9),★新聞!$A$4:$A$12,0), MATCH(LEFT(W9),★新聞!$E$3:$I$3,0))</f>
        <v>X</v>
      </c>
      <c r="H9" s="475" t="s">
        <v>1102</v>
      </c>
      <c r="I9" s="464" cm="1">
        <f t="array" ref="I9">IFERROR(INDEX(★原価率!$A$2:$E$50,MATCH($C9&amp;$H9,★原価率!$A$2:$A$50&amp;★原価率!$B$2:$B$50,0),3),0)</f>
        <v>74</v>
      </c>
      <c r="J9" s="464" cm="1">
        <f t="array" ref="J9">IFERROR(INDEX(★原価率!$A$2:$E$50,MATCH($C9&amp;$H9,★原価率!$A$2:$A$50&amp;★原価率!$B$2:$B$50,0),4),0)</f>
        <v>84</v>
      </c>
      <c r="K9" s="464" cm="1">
        <f t="array" ref="K9">IFERROR(INDEX(★原価率!$A$2:$E$50,MATCH($C9&amp;$H9,★原価率!$A$2:$A$50&amp;★原価率!$B$2:$B$50,0),5),0)</f>
        <v>100</v>
      </c>
      <c r="L9" s="528">
        <f>IFERROR(VLOOKUP(W9,★商品!$A$1:$H$1231,8,FALSE),0)</f>
        <v>2.8</v>
      </c>
      <c r="M9" s="203" t="str">
        <f ca="1">CONCATENATE(VLOOKUP(B9,★営業所!$A$2:$B$5,2,FALSE),TEXT(NOW(),"yyyy"))</f>
        <v>T2023</v>
      </c>
      <c r="N9" s="203">
        <v>1</v>
      </c>
      <c r="O9" s="203">
        <v>0</v>
      </c>
      <c r="P9" s="213">
        <f>申込書!$B$6</f>
        <v>0</v>
      </c>
      <c r="Q9" s="203">
        <f>申込書!$C$34</f>
        <v>1000040</v>
      </c>
      <c r="R9" s="203">
        <v>0</v>
      </c>
      <c r="U9" s="203">
        <f>VLOOKUP(B9,★営業所!$A$2:$C$5,3,FALSE)</f>
        <v>8</v>
      </c>
      <c r="V9" s="203">
        <f>申込書!$B$9</f>
        <v>0</v>
      </c>
      <c r="W9" s="203" t="str">
        <f>CONCATENATE(VLOOKUP(B9,★営業所!$A$2:$B$5,2,FALSE),VLOOKUP(申込書!$C$32,★サイズ表記!$D$4:$E$55,2,FALSE),VLOOKUP(D9,★折込地区!$A$2:$B$11,2,FALSE))</f>
        <v>T1001Tot</v>
      </c>
      <c r="X9" s="203" t="str">
        <f>CONCATENATE(申込書!$B$9," ",VLOOKUP(RIGHT(W9,3),★折込地区!$B$2:$C$10,2,FALSE),"")</f>
        <v xml:space="preserve"> 鳥取</v>
      </c>
      <c r="Z9" s="206">
        <f t="shared" ca="1" si="0"/>
        <v>0</v>
      </c>
      <c r="AB9" s="383">
        <f t="shared" si="1"/>
        <v>2.8</v>
      </c>
      <c r="AC9" s="203" t="str">
        <f t="shared" si="2"/>
        <v>D1001</v>
      </c>
      <c r="AD9" s="203" t="str">
        <f>VLOOKUP(AC9,★原価商品!$E$6:$F$349,2,FALSE)</f>
        <v>日本海/B4（折り無し）</v>
      </c>
      <c r="AE9" s="203">
        <f t="shared" ca="1" si="3"/>
        <v>0</v>
      </c>
      <c r="AF9" s="383">
        <f>IFERROR(IF(VLOOKUP(申込書!$C$32,★サイズ表記!$F$4:$H$55,3,FALSE)="切り捨て",ROUNDDOWN(L9*IF(AK9="◎",I9,J9)/100,2),IF(VLOOKUP(申込書!$C$32,★サイズ表記!$F$4:$H$55,3,FALSE)="切り上げ",ROUNDUP(L9*IF(AK9="◎",I9,J9)/100,2),ROUND(L9*IF(AK9="◎",I9,J9)/100,2))),0)</f>
        <v>2.0699999999999998</v>
      </c>
      <c r="AG9" s="203">
        <f t="shared" ca="1" si="4"/>
        <v>10011</v>
      </c>
      <c r="AJ9" s="460" t="str">
        <f>IFERROR(VLOOKUP(申込書!$C$30,★業種!$D$2:$E$87,2,FALSE),"")</f>
        <v>1003</v>
      </c>
      <c r="AK9" s="460" t="str">
        <f>IF(申込書!$C$36="◎",IF(OR(D9="浜坂・温泉",D9="美方・村岡",D9="香住",D9="岡山",D9="大阪"),"",IF(LEFT(F9)="D","◎",IF(AG9=0,"",IFERROR(IF(VLOOKUP(AG9,★仕入先!$A$2:$C$211,3,FALSE)=0,"","◎"),"")))),"")</f>
        <v>◎</v>
      </c>
      <c r="AL9" s="460">
        <f>申込書!$H$14</f>
        <v>0</v>
      </c>
      <c r="AM9" s="460" t="str">
        <f>申込書!$C$32</f>
        <v>B4（折り無し）</v>
      </c>
      <c r="AN9" s="460" t="str">
        <f>VLOOKUP(AM9,★サイズ表記!$D$4:$E$55,2,FALSE)</f>
        <v>1001</v>
      </c>
      <c r="AO9" s="460">
        <f>IF(C9&lt;&gt;"⑧兵庫",VLOOKUP(LEFT(F9),★新聞!$A$4:$B$12,2,FALSE),IF(LEFT(F9)&lt;&gt;"S",VLOOKUP(LEFT(F9),★新聞!$A$4:$B$12,2,FALSE),VLOOKUP("X",★新聞!$A$4:$B$12,2,FALSE)))</f>
        <v>1</v>
      </c>
      <c r="AP9" s="460" t="str">
        <f t="shared" ca="1" si="5"/>
        <v>0</v>
      </c>
      <c r="AQ9" s="460" t="str">
        <f>IF(申込書!$C$38="","",申込書!$C$38)</f>
        <v/>
      </c>
    </row>
    <row r="10" spans="1:45">
      <c r="A10" s="463">
        <f t="shared" si="6"/>
        <v>9</v>
      </c>
      <c r="B10" s="463" t="str">
        <f t="shared" si="7"/>
        <v>東部</v>
      </c>
      <c r="C10" s="464" t="s">
        <v>1101</v>
      </c>
      <c r="D10" s="464" t="s">
        <v>1022</v>
      </c>
      <c r="E10" s="464">
        <f>VLOOKUP(D10,★折込地区!$A$2:$D$10,4,FALSE)</f>
        <v>1</v>
      </c>
      <c r="F10" s="464" t="s">
        <v>392</v>
      </c>
      <c r="G10" s="464" t="str">
        <f>INDEX(★新聞!$E$4:$I$12, MATCH(LEFT(F10),★新聞!$A$4:$A$12,0), MATCH(LEFT(W10),★新聞!$E$3:$I$3,0))</f>
        <v>X</v>
      </c>
      <c r="H10" s="475" t="s">
        <v>1102</v>
      </c>
      <c r="I10" s="464" cm="1">
        <f t="array" ref="I10">IFERROR(INDEX(★原価率!$A$2:$E$50,MATCH($C10&amp;$H10,★原価率!$A$2:$A$50&amp;★原価率!$B$2:$B$50,0),3),0)</f>
        <v>74</v>
      </c>
      <c r="J10" s="464" cm="1">
        <f t="array" ref="J10">IFERROR(INDEX(★原価率!$A$2:$E$50,MATCH($C10&amp;$H10,★原価率!$A$2:$A$50&amp;★原価率!$B$2:$B$50,0),4),0)</f>
        <v>84</v>
      </c>
      <c r="K10" s="464" cm="1">
        <f t="array" ref="K10">IFERROR(INDEX(★原価率!$A$2:$E$50,MATCH($C10&amp;$H10,★原価率!$A$2:$A$50&amp;★原価率!$B$2:$B$50,0),5),0)</f>
        <v>100</v>
      </c>
      <c r="L10" s="528">
        <f>IFERROR(VLOOKUP(W10,★商品!$A$1:$H$1231,8,FALSE),0)</f>
        <v>2.8</v>
      </c>
      <c r="M10" s="203" t="str">
        <f ca="1">CONCATENATE(VLOOKUP(B10,★営業所!$A$2:$B$5,2,FALSE),TEXT(NOW(),"yyyy"))</f>
        <v>T2023</v>
      </c>
      <c r="N10" s="203">
        <v>1</v>
      </c>
      <c r="O10" s="203">
        <v>0</v>
      </c>
      <c r="P10" s="213">
        <f>申込書!$B$6</f>
        <v>0</v>
      </c>
      <c r="Q10" s="203">
        <f>申込書!$C$34</f>
        <v>1000040</v>
      </c>
      <c r="R10" s="203">
        <v>0</v>
      </c>
      <c r="U10" s="203">
        <f>VLOOKUP(B10,★営業所!$A$2:$C$5,3,FALSE)</f>
        <v>8</v>
      </c>
      <c r="V10" s="203">
        <f>申込書!$B$9</f>
        <v>0</v>
      </c>
      <c r="W10" s="203" t="str">
        <f>CONCATENATE(VLOOKUP(B10,★営業所!$A$2:$B$5,2,FALSE),VLOOKUP(申込書!$C$32,★サイズ表記!$D$4:$E$55,2,FALSE),VLOOKUP(D10,★折込地区!$A$2:$B$11,2,FALSE))</f>
        <v>T1001Tot</v>
      </c>
      <c r="X10" s="203" t="str">
        <f>CONCATENATE(申込書!$B$9," ",VLOOKUP(RIGHT(W10,3),★折込地区!$B$2:$C$10,2,FALSE),"")</f>
        <v xml:space="preserve"> 鳥取</v>
      </c>
      <c r="Z10" s="206">
        <f t="shared" ca="1" si="0"/>
        <v>0</v>
      </c>
      <c r="AB10" s="383">
        <f t="shared" si="1"/>
        <v>2.8</v>
      </c>
      <c r="AC10" s="203" t="str">
        <f t="shared" si="2"/>
        <v>D1001</v>
      </c>
      <c r="AD10" s="203" t="str">
        <f>VLOOKUP(AC10,★原価商品!$E$6:$F$349,2,FALSE)</f>
        <v>日本海/B4（折り無し）</v>
      </c>
      <c r="AE10" s="203">
        <f t="shared" ca="1" si="3"/>
        <v>0</v>
      </c>
      <c r="AF10" s="383">
        <f>IFERROR(IF(VLOOKUP(申込書!$C$32,★サイズ表記!$F$4:$H$55,3,FALSE)="切り捨て",ROUNDDOWN(L10*IF(AK10="◎",I10,J10)/100,2),IF(VLOOKUP(申込書!$C$32,★サイズ表記!$F$4:$H$55,3,FALSE)="切り上げ",ROUNDUP(L10*IF(AK10="◎",I10,J10)/100,2),ROUND(L10*IF(AK10="◎",I10,J10)/100,2))),0)</f>
        <v>2.0699999999999998</v>
      </c>
      <c r="AG10" s="203">
        <f t="shared" ca="1" si="4"/>
        <v>10014</v>
      </c>
      <c r="AJ10" s="460" t="str">
        <f>IFERROR(VLOOKUP(申込書!$C$30,★業種!$D$2:$E$87,2,FALSE),"")</f>
        <v>1003</v>
      </c>
      <c r="AK10" s="460" t="str">
        <f>IF(申込書!$C$36="◎",IF(OR(D10="浜坂・温泉",D10="美方・村岡",D10="香住",D10="岡山",D10="大阪"),"",IF(LEFT(F10)="D","◎",IF(AG10=0,"",IFERROR(IF(VLOOKUP(AG10,★仕入先!$A$2:$C$211,3,FALSE)=0,"","◎"),"")))),"")</f>
        <v>◎</v>
      </c>
      <c r="AL10" s="460">
        <f>申込書!$H$14</f>
        <v>0</v>
      </c>
      <c r="AM10" s="460" t="str">
        <f>申込書!$C$32</f>
        <v>B4（折り無し）</v>
      </c>
      <c r="AN10" s="460" t="str">
        <f>VLOOKUP(AM10,★サイズ表記!$D$4:$E$55,2,FALSE)</f>
        <v>1001</v>
      </c>
      <c r="AO10" s="460">
        <f>IF(C10&lt;&gt;"⑧兵庫",VLOOKUP(LEFT(F10),★新聞!$A$4:$B$12,2,FALSE),IF(LEFT(F10)&lt;&gt;"S",VLOOKUP(LEFT(F10),★新聞!$A$4:$B$12,2,FALSE),VLOOKUP("X",★新聞!$A$4:$B$12,2,FALSE)))</f>
        <v>1</v>
      </c>
      <c r="AP10" s="460" t="str">
        <f t="shared" ca="1" si="5"/>
        <v>0</v>
      </c>
      <c r="AQ10" s="460" t="str">
        <f>IF(申込書!$C$38="","",申込書!$C$38)</f>
        <v/>
      </c>
    </row>
    <row r="11" spans="1:45">
      <c r="A11" s="463">
        <f t="shared" si="6"/>
        <v>10</v>
      </c>
      <c r="B11" s="463" t="str">
        <f t="shared" si="7"/>
        <v>東部</v>
      </c>
      <c r="C11" s="464" t="s">
        <v>1101</v>
      </c>
      <c r="D11" s="464" t="s">
        <v>1022</v>
      </c>
      <c r="E11" s="464">
        <f>VLOOKUP(D11,★折込地区!$A$2:$D$10,4,FALSE)</f>
        <v>1</v>
      </c>
      <c r="F11" s="464" t="s">
        <v>393</v>
      </c>
      <c r="G11" s="464" t="str">
        <f>INDEX(★新聞!$E$4:$I$12, MATCH(LEFT(F11),★新聞!$A$4:$A$12,0), MATCH(LEFT(W11),★新聞!$E$3:$I$3,0))</f>
        <v>X</v>
      </c>
      <c r="H11" s="475" t="s">
        <v>1102</v>
      </c>
      <c r="I11" s="464" cm="1">
        <f t="array" ref="I11">IFERROR(INDEX(★原価率!$A$2:$E$50,MATCH($C11&amp;$H11,★原価率!$A$2:$A$50&amp;★原価率!$B$2:$B$50,0),3),0)</f>
        <v>74</v>
      </c>
      <c r="J11" s="464" cm="1">
        <f t="array" ref="J11">IFERROR(INDEX(★原価率!$A$2:$E$50,MATCH($C11&amp;$H11,★原価率!$A$2:$A$50&amp;★原価率!$B$2:$B$50,0),4),0)</f>
        <v>84</v>
      </c>
      <c r="K11" s="464" cm="1">
        <f t="array" ref="K11">IFERROR(INDEX(★原価率!$A$2:$E$50,MATCH($C11&amp;$H11,★原価率!$A$2:$A$50&amp;★原価率!$B$2:$B$50,0),5),0)</f>
        <v>100</v>
      </c>
      <c r="L11" s="528">
        <f>IFERROR(VLOOKUP(W11,★商品!$A$1:$H$1231,8,FALSE),0)</f>
        <v>2.8</v>
      </c>
      <c r="M11" s="203" t="str">
        <f ca="1">CONCATENATE(VLOOKUP(B11,★営業所!$A$2:$B$5,2,FALSE),TEXT(NOW(),"yyyy"))</f>
        <v>T2023</v>
      </c>
      <c r="N11" s="203">
        <v>1</v>
      </c>
      <c r="O11" s="203">
        <v>0</v>
      </c>
      <c r="P11" s="213">
        <f>申込書!$B$6</f>
        <v>0</v>
      </c>
      <c r="Q11" s="203">
        <f>申込書!$C$34</f>
        <v>1000040</v>
      </c>
      <c r="R11" s="203">
        <v>0</v>
      </c>
      <c r="U11" s="203">
        <f>VLOOKUP(B11,★営業所!$A$2:$C$5,3,FALSE)</f>
        <v>8</v>
      </c>
      <c r="V11" s="203">
        <f>申込書!$B$9</f>
        <v>0</v>
      </c>
      <c r="W11" s="203" t="str">
        <f>CONCATENATE(VLOOKUP(B11,★営業所!$A$2:$B$5,2,FALSE),VLOOKUP(申込書!$C$32,★サイズ表記!$D$4:$E$55,2,FALSE),VLOOKUP(D11,★折込地区!$A$2:$B$11,2,FALSE))</f>
        <v>T1001Tot</v>
      </c>
      <c r="X11" s="203" t="str">
        <f>CONCATENATE(申込書!$B$9," ",VLOOKUP(RIGHT(W11,3),★折込地区!$B$2:$C$10,2,FALSE),"")</f>
        <v xml:space="preserve"> 鳥取</v>
      </c>
      <c r="Z11" s="206">
        <f t="shared" ca="1" si="0"/>
        <v>0</v>
      </c>
      <c r="AB11" s="383">
        <f t="shared" si="1"/>
        <v>2.8</v>
      </c>
      <c r="AC11" s="203" t="str">
        <f t="shared" si="2"/>
        <v>D1001</v>
      </c>
      <c r="AD11" s="203" t="str">
        <f>VLOOKUP(AC11,★原価商品!$E$6:$F$349,2,FALSE)</f>
        <v>日本海/B4（折り無し）</v>
      </c>
      <c r="AE11" s="203">
        <f t="shared" ca="1" si="3"/>
        <v>0</v>
      </c>
      <c r="AF11" s="383">
        <f>IFERROR(IF(VLOOKUP(申込書!$C$32,★サイズ表記!$F$4:$H$55,3,FALSE)="切り捨て",ROUNDDOWN(L11*IF(AK11="◎",I11,J11)/100,2),IF(VLOOKUP(申込書!$C$32,★サイズ表記!$F$4:$H$55,3,FALSE)="切り上げ",ROUNDUP(L11*IF(AK11="◎",I11,J11)/100,2),ROUND(L11*IF(AK11="◎",I11,J11)/100,2))),0)</f>
        <v>2.0699999999999998</v>
      </c>
      <c r="AG11" s="203">
        <f t="shared" ca="1" si="4"/>
        <v>10017</v>
      </c>
      <c r="AJ11" s="460" t="str">
        <f>IFERROR(VLOOKUP(申込書!$C$30,★業種!$D$2:$E$87,2,FALSE),"")</f>
        <v>1003</v>
      </c>
      <c r="AK11" s="460" t="str">
        <f>IF(申込書!$C$36="◎",IF(OR(D11="浜坂・温泉",D11="美方・村岡",D11="香住",D11="岡山",D11="大阪"),"",IF(LEFT(F11)="D","◎",IF(AG11=0,"",IFERROR(IF(VLOOKUP(AG11,★仕入先!$A$2:$C$211,3,FALSE)=0,"","◎"),"")))),"")</f>
        <v>◎</v>
      </c>
      <c r="AL11" s="460">
        <f>申込書!$H$14</f>
        <v>0</v>
      </c>
      <c r="AM11" s="460" t="str">
        <f>申込書!$C$32</f>
        <v>B4（折り無し）</v>
      </c>
      <c r="AN11" s="460" t="str">
        <f>VLOOKUP(AM11,★サイズ表記!$D$4:$E$55,2,FALSE)</f>
        <v>1001</v>
      </c>
      <c r="AO11" s="460">
        <f>IF(C11&lt;&gt;"⑧兵庫",VLOOKUP(LEFT(F11),★新聞!$A$4:$B$12,2,FALSE),IF(LEFT(F11)&lt;&gt;"S",VLOOKUP(LEFT(F11),★新聞!$A$4:$B$12,2,FALSE),VLOOKUP("X",★新聞!$A$4:$B$12,2,FALSE)))</f>
        <v>1</v>
      </c>
      <c r="AP11" s="460" t="str">
        <f t="shared" ca="1" si="5"/>
        <v>0</v>
      </c>
      <c r="AQ11" s="460" t="str">
        <f>IF(申込書!$C$38="","",申込書!$C$38)</f>
        <v/>
      </c>
    </row>
    <row r="12" spans="1:45">
      <c r="A12" s="463">
        <f t="shared" si="6"/>
        <v>11</v>
      </c>
      <c r="B12" s="463" t="str">
        <f t="shared" si="7"/>
        <v>東部</v>
      </c>
      <c r="C12" s="464" t="s">
        <v>1101</v>
      </c>
      <c r="D12" s="464" t="s">
        <v>1022</v>
      </c>
      <c r="E12" s="464">
        <f>VLOOKUP(D12,★折込地区!$A$2:$D$10,4,FALSE)</f>
        <v>1</v>
      </c>
      <c r="F12" s="464" t="s">
        <v>394</v>
      </c>
      <c r="G12" s="464" t="str">
        <f>INDEX(★新聞!$E$4:$I$12, MATCH(LEFT(F12),★新聞!$A$4:$A$12,0), MATCH(LEFT(W12),★新聞!$E$3:$I$3,0))</f>
        <v>X</v>
      </c>
      <c r="H12" s="475" t="s">
        <v>1102</v>
      </c>
      <c r="I12" s="464" cm="1">
        <f t="array" ref="I12">IFERROR(INDEX(★原価率!$A$2:$E$50,MATCH($C12&amp;$H12,★原価率!$A$2:$A$50&amp;★原価率!$B$2:$B$50,0),3),0)</f>
        <v>74</v>
      </c>
      <c r="J12" s="464" cm="1">
        <f t="array" ref="J12">IFERROR(INDEX(★原価率!$A$2:$E$50,MATCH($C12&amp;$H12,★原価率!$A$2:$A$50&amp;★原価率!$B$2:$B$50,0),4),0)</f>
        <v>84</v>
      </c>
      <c r="K12" s="464" cm="1">
        <f t="array" ref="K12">IFERROR(INDEX(★原価率!$A$2:$E$50,MATCH($C12&amp;$H12,★原価率!$A$2:$A$50&amp;★原価率!$B$2:$B$50,0),5),0)</f>
        <v>100</v>
      </c>
      <c r="L12" s="528">
        <f>IFERROR(VLOOKUP(W12,★商品!$A$1:$H$1231,8,FALSE),0)</f>
        <v>2.8</v>
      </c>
      <c r="M12" s="203" t="str">
        <f ca="1">CONCATENATE(VLOOKUP(B12,★営業所!$A$2:$B$5,2,FALSE),TEXT(NOW(),"yyyy"))</f>
        <v>T2023</v>
      </c>
      <c r="N12" s="203">
        <v>1</v>
      </c>
      <c r="O12" s="203">
        <v>0</v>
      </c>
      <c r="P12" s="213">
        <f>申込書!$B$6</f>
        <v>0</v>
      </c>
      <c r="Q12" s="203">
        <f>申込書!$C$34</f>
        <v>1000040</v>
      </c>
      <c r="R12" s="203">
        <v>0</v>
      </c>
      <c r="U12" s="203">
        <f>VLOOKUP(B12,★営業所!$A$2:$C$5,3,FALSE)</f>
        <v>8</v>
      </c>
      <c r="V12" s="203">
        <f>申込書!$B$9</f>
        <v>0</v>
      </c>
      <c r="W12" s="203" t="str">
        <f>CONCATENATE(VLOOKUP(B12,★営業所!$A$2:$B$5,2,FALSE),VLOOKUP(申込書!$C$32,★サイズ表記!$D$4:$E$55,2,FALSE),VLOOKUP(D12,★折込地区!$A$2:$B$11,2,FALSE))</f>
        <v>T1001Tot</v>
      </c>
      <c r="X12" s="203" t="str">
        <f>CONCATENATE(申込書!$B$9," ",VLOOKUP(RIGHT(W12,3),★折込地区!$B$2:$C$10,2,FALSE),"")</f>
        <v xml:space="preserve"> 鳥取</v>
      </c>
      <c r="Z12" s="206">
        <f t="shared" ca="1" si="0"/>
        <v>0</v>
      </c>
      <c r="AB12" s="383">
        <f t="shared" si="1"/>
        <v>2.8</v>
      </c>
      <c r="AC12" s="203" t="str">
        <f t="shared" si="2"/>
        <v>D1001</v>
      </c>
      <c r="AD12" s="203" t="str">
        <f>VLOOKUP(AC12,★原価商品!$E$6:$F$349,2,FALSE)</f>
        <v>日本海/B4（折り無し）</v>
      </c>
      <c r="AE12" s="203">
        <f t="shared" ca="1" si="3"/>
        <v>0</v>
      </c>
      <c r="AF12" s="383">
        <f>IFERROR(IF(VLOOKUP(申込書!$C$32,★サイズ表記!$F$4:$H$55,3,FALSE)="切り捨て",ROUNDDOWN(L12*IF(AK12="◎",I12,J12)/100,2),IF(VLOOKUP(申込書!$C$32,★サイズ表記!$F$4:$H$55,3,FALSE)="切り上げ",ROUNDUP(L12*IF(AK12="◎",I12,J12)/100,2),ROUND(L12*IF(AK12="◎",I12,J12)/100,2))),0)</f>
        <v>2.0699999999999998</v>
      </c>
      <c r="AG12" s="203">
        <f t="shared" ca="1" si="4"/>
        <v>10013</v>
      </c>
      <c r="AJ12" s="460" t="str">
        <f>IFERROR(VLOOKUP(申込書!$C$30,★業種!$D$2:$E$87,2,FALSE),"")</f>
        <v>1003</v>
      </c>
      <c r="AK12" s="460" t="str">
        <f>IF(申込書!$C$36="◎",IF(OR(D12="浜坂・温泉",D12="美方・村岡",D12="香住",D12="岡山",D12="大阪"),"",IF(LEFT(F12)="D","◎",IF(AG12=0,"",IFERROR(IF(VLOOKUP(AG12,★仕入先!$A$2:$C$211,3,FALSE)=0,"","◎"),"")))),"")</f>
        <v>◎</v>
      </c>
      <c r="AL12" s="460">
        <f>申込書!$H$14</f>
        <v>0</v>
      </c>
      <c r="AM12" s="460" t="str">
        <f>申込書!$C$32</f>
        <v>B4（折り無し）</v>
      </c>
      <c r="AN12" s="460" t="str">
        <f>VLOOKUP(AM12,★サイズ表記!$D$4:$E$55,2,FALSE)</f>
        <v>1001</v>
      </c>
      <c r="AO12" s="460">
        <f>IF(C12&lt;&gt;"⑧兵庫",VLOOKUP(LEFT(F12),★新聞!$A$4:$B$12,2,FALSE),IF(LEFT(F12)&lt;&gt;"S",VLOOKUP(LEFT(F12),★新聞!$A$4:$B$12,2,FALSE),VLOOKUP("X",★新聞!$A$4:$B$12,2,FALSE)))</f>
        <v>1</v>
      </c>
      <c r="AP12" s="460" t="str">
        <f t="shared" ca="1" si="5"/>
        <v>0</v>
      </c>
      <c r="AQ12" s="460" t="str">
        <f>IF(申込書!$C$38="","",申込書!$C$38)</f>
        <v/>
      </c>
    </row>
    <row r="13" spans="1:45">
      <c r="A13" s="463">
        <f t="shared" si="6"/>
        <v>12</v>
      </c>
      <c r="B13" s="463" t="str">
        <f t="shared" si="7"/>
        <v>東部</v>
      </c>
      <c r="C13" s="464" t="s">
        <v>1101</v>
      </c>
      <c r="D13" s="464" t="s">
        <v>1022</v>
      </c>
      <c r="E13" s="464">
        <f>VLOOKUP(D13,★折込地区!$A$2:$D$10,4,FALSE)</f>
        <v>1</v>
      </c>
      <c r="F13" s="464" t="s">
        <v>395</v>
      </c>
      <c r="G13" s="464" t="str">
        <f>INDEX(★新聞!$E$4:$I$12, MATCH(LEFT(F13),★新聞!$A$4:$A$12,0), MATCH(LEFT(W13),★新聞!$E$3:$I$3,0))</f>
        <v>X</v>
      </c>
      <c r="H13" s="475" t="s">
        <v>1102</v>
      </c>
      <c r="I13" s="464" cm="1">
        <f t="array" ref="I13">IFERROR(INDEX(★原価率!$A$2:$E$50,MATCH($C13&amp;$H13,★原価率!$A$2:$A$50&amp;★原価率!$B$2:$B$50,0),3),0)</f>
        <v>74</v>
      </c>
      <c r="J13" s="464" cm="1">
        <f t="array" ref="J13">IFERROR(INDEX(★原価率!$A$2:$E$50,MATCH($C13&amp;$H13,★原価率!$A$2:$A$50&amp;★原価率!$B$2:$B$50,0),4),0)</f>
        <v>84</v>
      </c>
      <c r="K13" s="464" cm="1">
        <f t="array" ref="K13">IFERROR(INDEX(★原価率!$A$2:$E$50,MATCH($C13&amp;$H13,★原価率!$A$2:$A$50&amp;★原価率!$B$2:$B$50,0),5),0)</f>
        <v>100</v>
      </c>
      <c r="L13" s="528">
        <f>IFERROR(VLOOKUP(W13,★商品!$A$1:$H$1231,8,FALSE),0)</f>
        <v>2.8</v>
      </c>
      <c r="M13" s="203" t="str">
        <f ca="1">CONCATENATE(VLOOKUP(B13,★営業所!$A$2:$B$5,2,FALSE),TEXT(NOW(),"yyyy"))</f>
        <v>T2023</v>
      </c>
      <c r="N13" s="203">
        <v>1</v>
      </c>
      <c r="O13" s="203">
        <v>0</v>
      </c>
      <c r="P13" s="213">
        <f>申込書!$B$6</f>
        <v>0</v>
      </c>
      <c r="Q13" s="203">
        <f>申込書!$C$34</f>
        <v>1000040</v>
      </c>
      <c r="R13" s="203">
        <v>0</v>
      </c>
      <c r="U13" s="203">
        <f>VLOOKUP(B13,★営業所!$A$2:$C$5,3,FALSE)</f>
        <v>8</v>
      </c>
      <c r="V13" s="203">
        <f>申込書!$B$9</f>
        <v>0</v>
      </c>
      <c r="W13" s="203" t="str">
        <f>CONCATENATE(VLOOKUP(B13,★営業所!$A$2:$B$5,2,FALSE),VLOOKUP(申込書!$C$32,★サイズ表記!$D$4:$E$55,2,FALSE),VLOOKUP(D13,★折込地区!$A$2:$B$11,2,FALSE))</f>
        <v>T1001Tot</v>
      </c>
      <c r="X13" s="203" t="str">
        <f>CONCATENATE(申込書!$B$9," ",VLOOKUP(RIGHT(W13,3),★折込地区!$B$2:$C$10,2,FALSE),"")</f>
        <v xml:space="preserve"> 鳥取</v>
      </c>
      <c r="Z13" s="206">
        <f t="shared" ca="1" si="0"/>
        <v>0</v>
      </c>
      <c r="AB13" s="383">
        <f t="shared" si="1"/>
        <v>2.8</v>
      </c>
      <c r="AC13" s="203" t="str">
        <f t="shared" si="2"/>
        <v>D1001</v>
      </c>
      <c r="AD13" s="203" t="str">
        <f>VLOOKUP(AC13,★原価商品!$E$6:$F$349,2,FALSE)</f>
        <v>日本海/B4（折り無し）</v>
      </c>
      <c r="AE13" s="203">
        <f t="shared" ca="1" si="3"/>
        <v>0</v>
      </c>
      <c r="AF13" s="383">
        <f>IFERROR(IF(VLOOKUP(申込書!$C$32,★サイズ表記!$F$4:$H$55,3,FALSE)="切り捨て",ROUNDDOWN(L13*IF(AK13="◎",I13,J13)/100,2),IF(VLOOKUP(申込書!$C$32,★サイズ表記!$F$4:$H$55,3,FALSE)="切り上げ",ROUNDUP(L13*IF(AK13="◎",I13,J13)/100,2),ROUND(L13*IF(AK13="◎",I13,J13)/100,2))),0)</f>
        <v>2.0699999999999998</v>
      </c>
      <c r="AG13" s="203">
        <f t="shared" ca="1" si="4"/>
        <v>10475</v>
      </c>
      <c r="AJ13" s="460" t="str">
        <f>IFERROR(VLOOKUP(申込書!$C$30,★業種!$D$2:$E$87,2,FALSE),"")</f>
        <v>1003</v>
      </c>
      <c r="AK13" s="460" t="str">
        <f>IF(申込書!$C$36="◎",IF(OR(D13="浜坂・温泉",D13="美方・村岡",D13="香住",D13="岡山",D13="大阪"),"",IF(LEFT(F13)="D","◎",IF(AG13=0,"",IFERROR(IF(VLOOKUP(AG13,★仕入先!$A$2:$C$211,3,FALSE)=0,"","◎"),"")))),"")</f>
        <v>◎</v>
      </c>
      <c r="AL13" s="460">
        <f>申込書!$H$14</f>
        <v>0</v>
      </c>
      <c r="AM13" s="460" t="str">
        <f>申込書!$C$32</f>
        <v>B4（折り無し）</v>
      </c>
      <c r="AN13" s="460" t="str">
        <f>VLOOKUP(AM13,★サイズ表記!$D$4:$E$55,2,FALSE)</f>
        <v>1001</v>
      </c>
      <c r="AO13" s="460">
        <f>IF(C13&lt;&gt;"⑧兵庫",VLOOKUP(LEFT(F13),★新聞!$A$4:$B$12,2,FALSE),IF(LEFT(F13)&lt;&gt;"S",VLOOKUP(LEFT(F13),★新聞!$A$4:$B$12,2,FALSE),VLOOKUP("X",★新聞!$A$4:$B$12,2,FALSE)))</f>
        <v>1</v>
      </c>
      <c r="AP13" s="460" t="str">
        <f t="shared" ca="1" si="5"/>
        <v>0</v>
      </c>
      <c r="AQ13" s="460" t="str">
        <f>IF(申込書!$C$38="","",申込書!$C$38)</f>
        <v/>
      </c>
    </row>
    <row r="14" spans="1:45">
      <c r="A14" s="463">
        <f t="shared" si="6"/>
        <v>13</v>
      </c>
      <c r="B14" s="463" t="str">
        <f t="shared" si="7"/>
        <v>東部</v>
      </c>
      <c r="C14" s="464" t="s">
        <v>1101</v>
      </c>
      <c r="D14" s="464" t="s">
        <v>1022</v>
      </c>
      <c r="E14" s="464">
        <f>VLOOKUP(D14,★折込地区!$A$2:$D$10,4,FALSE)</f>
        <v>1</v>
      </c>
      <c r="F14" s="464" t="s">
        <v>396</v>
      </c>
      <c r="G14" s="464" t="str">
        <f>INDEX(★新聞!$E$4:$I$12, MATCH(LEFT(F14),★新聞!$A$4:$A$12,0), MATCH(LEFT(W14),★新聞!$E$3:$I$3,0))</f>
        <v>X</v>
      </c>
      <c r="H14" s="475" t="s">
        <v>1102</v>
      </c>
      <c r="I14" s="464" cm="1">
        <f t="array" ref="I14">IFERROR(INDEX(★原価率!$A$2:$E$50,MATCH($C14&amp;$H14,★原価率!$A$2:$A$50&amp;★原価率!$B$2:$B$50,0),3),0)</f>
        <v>74</v>
      </c>
      <c r="J14" s="464" cm="1">
        <f t="array" ref="J14">IFERROR(INDEX(★原価率!$A$2:$E$50,MATCH($C14&amp;$H14,★原価率!$A$2:$A$50&amp;★原価率!$B$2:$B$50,0),4),0)</f>
        <v>84</v>
      </c>
      <c r="K14" s="464" cm="1">
        <f t="array" ref="K14">IFERROR(INDEX(★原価率!$A$2:$E$50,MATCH($C14&amp;$H14,★原価率!$A$2:$A$50&amp;★原価率!$B$2:$B$50,0),5),0)</f>
        <v>100</v>
      </c>
      <c r="L14" s="528">
        <f>IFERROR(VLOOKUP(W14,★商品!$A$1:$H$1231,8,FALSE),0)</f>
        <v>2.8</v>
      </c>
      <c r="M14" s="203" t="str">
        <f ca="1">CONCATENATE(VLOOKUP(B14,★営業所!$A$2:$B$5,2,FALSE),TEXT(NOW(),"yyyy"))</f>
        <v>T2023</v>
      </c>
      <c r="N14" s="203">
        <v>1</v>
      </c>
      <c r="O14" s="203">
        <v>0</v>
      </c>
      <c r="P14" s="213">
        <f>申込書!$B$6</f>
        <v>0</v>
      </c>
      <c r="Q14" s="203">
        <f>申込書!$C$34</f>
        <v>1000040</v>
      </c>
      <c r="R14" s="203">
        <v>0</v>
      </c>
      <c r="U14" s="203">
        <f>VLOOKUP(B14,★営業所!$A$2:$C$5,3,FALSE)</f>
        <v>8</v>
      </c>
      <c r="V14" s="203">
        <f>申込書!$B$9</f>
        <v>0</v>
      </c>
      <c r="W14" s="203" t="str">
        <f>CONCATENATE(VLOOKUP(B14,★営業所!$A$2:$B$5,2,FALSE),VLOOKUP(申込書!$C$32,★サイズ表記!$D$4:$E$55,2,FALSE),VLOOKUP(D14,★折込地区!$A$2:$B$11,2,FALSE))</f>
        <v>T1001Tot</v>
      </c>
      <c r="X14" s="203" t="str">
        <f>CONCATENATE(申込書!$B$9," ",VLOOKUP(RIGHT(W14,3),★折込地区!$B$2:$C$10,2,FALSE),"")</f>
        <v xml:space="preserve"> 鳥取</v>
      </c>
      <c r="Z14" s="206">
        <f t="shared" ca="1" si="0"/>
        <v>0</v>
      </c>
      <c r="AB14" s="383">
        <f t="shared" si="1"/>
        <v>2.8</v>
      </c>
      <c r="AC14" s="203" t="str">
        <f t="shared" si="2"/>
        <v>D1001</v>
      </c>
      <c r="AD14" s="203" t="str">
        <f>VLOOKUP(AC14,★原価商品!$E$6:$F$349,2,FALSE)</f>
        <v>日本海/B4（折り無し）</v>
      </c>
      <c r="AE14" s="203">
        <f t="shared" ca="1" si="3"/>
        <v>0</v>
      </c>
      <c r="AF14" s="383">
        <f>IFERROR(IF(VLOOKUP(申込書!$C$32,★サイズ表記!$F$4:$H$55,3,FALSE)="切り捨て",ROUNDDOWN(L14*IF(AK14="◎",I14,J14)/100,2),IF(VLOOKUP(申込書!$C$32,★サイズ表記!$F$4:$H$55,3,FALSE)="切り上げ",ROUNDUP(L14*IF(AK14="◎",I14,J14)/100,2),ROUND(L14*IF(AK14="◎",I14,J14)/100,2))),0)</f>
        <v>2.0699999999999998</v>
      </c>
      <c r="AG14" s="203">
        <f t="shared" ca="1" si="4"/>
        <v>10478</v>
      </c>
      <c r="AJ14" s="460" t="str">
        <f>IFERROR(VLOOKUP(申込書!$C$30,★業種!$D$2:$E$87,2,FALSE),"")</f>
        <v>1003</v>
      </c>
      <c r="AK14" s="460" t="str">
        <f>IF(申込書!$C$36="◎",IF(OR(D14="浜坂・温泉",D14="美方・村岡",D14="香住",D14="岡山",D14="大阪"),"",IF(LEFT(F14)="D","◎",IF(AG14=0,"",IFERROR(IF(VLOOKUP(AG14,★仕入先!$A$2:$C$211,3,FALSE)=0,"","◎"),"")))),"")</f>
        <v>◎</v>
      </c>
      <c r="AL14" s="460">
        <f>申込書!$H$14</f>
        <v>0</v>
      </c>
      <c r="AM14" s="460" t="str">
        <f>申込書!$C$32</f>
        <v>B4（折り無し）</v>
      </c>
      <c r="AN14" s="460" t="str">
        <f>VLOOKUP(AM14,★サイズ表記!$D$4:$E$55,2,FALSE)</f>
        <v>1001</v>
      </c>
      <c r="AO14" s="460">
        <f>IF(C14&lt;&gt;"⑧兵庫",VLOOKUP(LEFT(F14),★新聞!$A$4:$B$12,2,FALSE),IF(LEFT(F14)&lt;&gt;"S",VLOOKUP(LEFT(F14),★新聞!$A$4:$B$12,2,FALSE),VLOOKUP("X",★新聞!$A$4:$B$12,2,FALSE)))</f>
        <v>1</v>
      </c>
      <c r="AP14" s="460" t="str">
        <f t="shared" ca="1" si="5"/>
        <v>0</v>
      </c>
      <c r="AQ14" s="460" t="str">
        <f>IF(申込書!$C$38="","",申込書!$C$38)</f>
        <v/>
      </c>
    </row>
    <row r="15" spans="1:45">
      <c r="A15" s="463">
        <f t="shared" si="6"/>
        <v>14</v>
      </c>
      <c r="B15" s="463" t="str">
        <f t="shared" si="7"/>
        <v>東部</v>
      </c>
      <c r="C15" s="464" t="s">
        <v>1101</v>
      </c>
      <c r="D15" s="464" t="s">
        <v>1022</v>
      </c>
      <c r="E15" s="464">
        <f>VLOOKUP(D15,★折込地区!$A$2:$D$10,4,FALSE)</f>
        <v>1</v>
      </c>
      <c r="F15" s="464" t="s">
        <v>397</v>
      </c>
      <c r="G15" s="464" t="str">
        <f>INDEX(★新聞!$E$4:$I$12, MATCH(LEFT(F15),★新聞!$A$4:$A$12,0), MATCH(LEFT(W15),★新聞!$E$3:$I$3,0))</f>
        <v>X</v>
      </c>
      <c r="H15" s="475" t="s">
        <v>1102</v>
      </c>
      <c r="I15" s="464" cm="1">
        <f t="array" ref="I15">IFERROR(INDEX(★原価率!$A$2:$E$50,MATCH($C15&amp;$H15,★原価率!$A$2:$A$50&amp;★原価率!$B$2:$B$50,0),3),0)</f>
        <v>74</v>
      </c>
      <c r="J15" s="464" cm="1">
        <f t="array" ref="J15">IFERROR(INDEX(★原価率!$A$2:$E$50,MATCH($C15&amp;$H15,★原価率!$A$2:$A$50&amp;★原価率!$B$2:$B$50,0),4),0)</f>
        <v>84</v>
      </c>
      <c r="K15" s="464" cm="1">
        <f t="array" ref="K15">IFERROR(INDEX(★原価率!$A$2:$E$50,MATCH($C15&amp;$H15,★原価率!$A$2:$A$50&amp;★原価率!$B$2:$B$50,0),5),0)</f>
        <v>100</v>
      </c>
      <c r="L15" s="528">
        <f>IFERROR(VLOOKUP(W15,★商品!$A$1:$H$1231,8,FALSE),0)</f>
        <v>2.8</v>
      </c>
      <c r="M15" s="203" t="str">
        <f ca="1">CONCATENATE(VLOOKUP(B15,★営業所!$A$2:$B$5,2,FALSE),TEXT(NOW(),"yyyy"))</f>
        <v>T2023</v>
      </c>
      <c r="N15" s="203">
        <v>1</v>
      </c>
      <c r="O15" s="203">
        <v>0</v>
      </c>
      <c r="P15" s="213">
        <f>申込書!$B$6</f>
        <v>0</v>
      </c>
      <c r="Q15" s="203">
        <f>申込書!$C$34</f>
        <v>1000040</v>
      </c>
      <c r="R15" s="203">
        <v>0</v>
      </c>
      <c r="U15" s="203">
        <f>VLOOKUP(B15,★営業所!$A$2:$C$5,3,FALSE)</f>
        <v>8</v>
      </c>
      <c r="V15" s="203">
        <f>申込書!$B$9</f>
        <v>0</v>
      </c>
      <c r="W15" s="203" t="str">
        <f>CONCATENATE(VLOOKUP(B15,★営業所!$A$2:$B$5,2,FALSE),VLOOKUP(申込書!$C$32,★サイズ表記!$D$4:$E$55,2,FALSE),VLOOKUP(D15,★折込地区!$A$2:$B$11,2,FALSE))</f>
        <v>T1001Tot</v>
      </c>
      <c r="X15" s="203" t="str">
        <f>CONCATENATE(申込書!$B$9," ",VLOOKUP(RIGHT(W15,3),★折込地区!$B$2:$C$10,2,FALSE),"")</f>
        <v xml:space="preserve"> 鳥取</v>
      </c>
      <c r="Z15" s="206">
        <f t="shared" ca="1" si="0"/>
        <v>0</v>
      </c>
      <c r="AB15" s="383">
        <f t="shared" si="1"/>
        <v>2.8</v>
      </c>
      <c r="AC15" s="203" t="str">
        <f t="shared" si="2"/>
        <v>D1001</v>
      </c>
      <c r="AD15" s="203" t="str">
        <f>VLOOKUP(AC15,★原価商品!$E$6:$F$349,2,FALSE)</f>
        <v>日本海/B4（折り無し）</v>
      </c>
      <c r="AE15" s="203">
        <f t="shared" ca="1" si="3"/>
        <v>0</v>
      </c>
      <c r="AF15" s="383">
        <f>IFERROR(IF(VLOOKUP(申込書!$C$32,★サイズ表記!$F$4:$H$55,3,FALSE)="切り捨て",ROUNDDOWN(L15*IF(AK15="◎",I15,J15)/100,2),IF(VLOOKUP(申込書!$C$32,★サイズ表記!$F$4:$H$55,3,FALSE)="切り上げ",ROUNDUP(L15*IF(AK15="◎",I15,J15)/100,2),ROUND(L15*IF(AK15="◎",I15,J15)/100,2))),0)</f>
        <v>2.0699999999999998</v>
      </c>
      <c r="AG15" s="203">
        <f t="shared" ca="1" si="4"/>
        <v>10020</v>
      </c>
      <c r="AJ15" s="460" t="str">
        <f>IFERROR(VLOOKUP(申込書!$C$30,★業種!$D$2:$E$87,2,FALSE),"")</f>
        <v>1003</v>
      </c>
      <c r="AK15" s="460" t="str">
        <f>IF(申込書!$C$36="◎",IF(OR(D15="浜坂・温泉",D15="美方・村岡",D15="香住",D15="岡山",D15="大阪"),"",IF(LEFT(F15)="D","◎",IF(AG15=0,"",IFERROR(IF(VLOOKUP(AG15,★仕入先!$A$2:$C$211,3,FALSE)=0,"","◎"),"")))),"")</f>
        <v>◎</v>
      </c>
      <c r="AL15" s="460">
        <f>申込書!$H$14</f>
        <v>0</v>
      </c>
      <c r="AM15" s="460" t="str">
        <f>申込書!$C$32</f>
        <v>B4（折り無し）</v>
      </c>
      <c r="AN15" s="460" t="str">
        <f>VLOOKUP(AM15,★サイズ表記!$D$4:$E$55,2,FALSE)</f>
        <v>1001</v>
      </c>
      <c r="AO15" s="460">
        <f>IF(C15&lt;&gt;"⑧兵庫",VLOOKUP(LEFT(F15),★新聞!$A$4:$B$12,2,FALSE),IF(LEFT(F15)&lt;&gt;"S",VLOOKUP(LEFT(F15),★新聞!$A$4:$B$12,2,FALSE),VLOOKUP("X",★新聞!$A$4:$B$12,2,FALSE)))</f>
        <v>1</v>
      </c>
      <c r="AP15" s="460" t="str">
        <f t="shared" ca="1" si="5"/>
        <v>0</v>
      </c>
      <c r="AQ15" s="460" t="str">
        <f>IF(申込書!$C$38="","",申込書!$C$38)</f>
        <v/>
      </c>
    </row>
    <row r="16" spans="1:45">
      <c r="A16" s="463">
        <f t="shared" si="6"/>
        <v>15</v>
      </c>
      <c r="B16" s="463" t="str">
        <f t="shared" si="7"/>
        <v>東部</v>
      </c>
      <c r="C16" s="464" t="s">
        <v>1101</v>
      </c>
      <c r="D16" s="464" t="s">
        <v>1022</v>
      </c>
      <c r="E16" s="464">
        <f>VLOOKUP(D16,★折込地区!$A$2:$D$10,4,FALSE)</f>
        <v>1</v>
      </c>
      <c r="F16" s="464" t="s">
        <v>398</v>
      </c>
      <c r="G16" s="464" t="str">
        <f>INDEX(★新聞!$E$4:$I$12, MATCH(LEFT(F16),★新聞!$A$4:$A$12,0), MATCH(LEFT(W16),★新聞!$E$3:$I$3,0))</f>
        <v>X</v>
      </c>
      <c r="H16" s="475" t="s">
        <v>1102</v>
      </c>
      <c r="I16" s="464" cm="1">
        <f t="array" ref="I16">IFERROR(INDEX(★原価率!$A$2:$E$50,MATCH($C16&amp;$H16,★原価率!$A$2:$A$50&amp;★原価率!$B$2:$B$50,0),3),0)</f>
        <v>74</v>
      </c>
      <c r="J16" s="464" cm="1">
        <f t="array" ref="J16">IFERROR(INDEX(★原価率!$A$2:$E$50,MATCH($C16&amp;$H16,★原価率!$A$2:$A$50&amp;★原価率!$B$2:$B$50,0),4),0)</f>
        <v>84</v>
      </c>
      <c r="K16" s="464" cm="1">
        <f t="array" ref="K16">IFERROR(INDEX(★原価率!$A$2:$E$50,MATCH($C16&amp;$H16,★原価率!$A$2:$A$50&amp;★原価率!$B$2:$B$50,0),5),0)</f>
        <v>100</v>
      </c>
      <c r="L16" s="528">
        <f>IFERROR(VLOOKUP(W16,★商品!$A$1:$H$1231,8,FALSE),0)</f>
        <v>2.8</v>
      </c>
      <c r="M16" s="203" t="str">
        <f ca="1">CONCATENATE(VLOOKUP(B16,★営業所!$A$2:$B$5,2,FALSE),TEXT(NOW(),"yyyy"))</f>
        <v>T2023</v>
      </c>
      <c r="N16" s="203">
        <v>1</v>
      </c>
      <c r="O16" s="203">
        <v>0</v>
      </c>
      <c r="P16" s="213">
        <f>申込書!$B$6</f>
        <v>0</v>
      </c>
      <c r="Q16" s="203">
        <f>申込書!$C$34</f>
        <v>1000040</v>
      </c>
      <c r="R16" s="203">
        <v>0</v>
      </c>
      <c r="U16" s="203">
        <f>VLOOKUP(B16,★営業所!$A$2:$C$5,3,FALSE)</f>
        <v>8</v>
      </c>
      <c r="V16" s="203">
        <f>申込書!$B$9</f>
        <v>0</v>
      </c>
      <c r="W16" s="203" t="str">
        <f>CONCATENATE(VLOOKUP(B16,★営業所!$A$2:$B$5,2,FALSE),VLOOKUP(申込書!$C$32,★サイズ表記!$D$4:$E$55,2,FALSE),VLOOKUP(D16,★折込地区!$A$2:$B$11,2,FALSE))</f>
        <v>T1001Tot</v>
      </c>
      <c r="X16" s="203" t="str">
        <f>CONCATENATE(申込書!$B$9," ",VLOOKUP(RIGHT(W16,3),★折込地区!$B$2:$C$10,2,FALSE),"")</f>
        <v xml:space="preserve"> 鳥取</v>
      </c>
      <c r="Z16" s="206">
        <f t="shared" ca="1" si="0"/>
        <v>0</v>
      </c>
      <c r="AB16" s="383">
        <f t="shared" si="1"/>
        <v>2.8</v>
      </c>
      <c r="AC16" s="203" t="str">
        <f t="shared" si="2"/>
        <v>D1001</v>
      </c>
      <c r="AD16" s="203" t="str">
        <f>VLOOKUP(AC16,★原価商品!$E$6:$F$349,2,FALSE)</f>
        <v>日本海/B4（折り無し）</v>
      </c>
      <c r="AE16" s="203">
        <f t="shared" ca="1" si="3"/>
        <v>0</v>
      </c>
      <c r="AF16" s="383">
        <f>IFERROR(IF(VLOOKUP(申込書!$C$32,★サイズ表記!$F$4:$H$55,3,FALSE)="切り捨て",ROUNDDOWN(L16*IF(AK16="◎",I16,J16)/100,2),IF(VLOOKUP(申込書!$C$32,★サイズ表記!$F$4:$H$55,3,FALSE)="切り上げ",ROUNDUP(L16*IF(AK16="◎",I16,J16)/100,2),ROUND(L16*IF(AK16="◎",I16,J16)/100,2))),0)</f>
        <v>2.0699999999999998</v>
      </c>
      <c r="AG16" s="203">
        <f t="shared" ca="1" si="4"/>
        <v>10022</v>
      </c>
      <c r="AJ16" s="460" t="str">
        <f>IFERROR(VLOOKUP(申込書!$C$30,★業種!$D$2:$E$87,2,FALSE),"")</f>
        <v>1003</v>
      </c>
      <c r="AK16" s="460" t="str">
        <f>IF(申込書!$C$36="◎",IF(OR(D16="浜坂・温泉",D16="美方・村岡",D16="香住",D16="岡山",D16="大阪"),"",IF(LEFT(F16)="D","◎",IF(AG16=0,"",IFERROR(IF(VLOOKUP(AG16,★仕入先!$A$2:$C$211,3,FALSE)=0,"","◎"),"")))),"")</f>
        <v>◎</v>
      </c>
      <c r="AL16" s="460">
        <f>申込書!$H$14</f>
        <v>0</v>
      </c>
      <c r="AM16" s="460" t="str">
        <f>申込書!$C$32</f>
        <v>B4（折り無し）</v>
      </c>
      <c r="AN16" s="460" t="str">
        <f>VLOOKUP(AM16,★サイズ表記!$D$4:$E$55,2,FALSE)</f>
        <v>1001</v>
      </c>
      <c r="AO16" s="460">
        <f>IF(C16&lt;&gt;"⑧兵庫",VLOOKUP(LEFT(F16),★新聞!$A$4:$B$12,2,FALSE),IF(LEFT(F16)&lt;&gt;"S",VLOOKUP(LEFT(F16),★新聞!$A$4:$B$12,2,FALSE),VLOOKUP("X",★新聞!$A$4:$B$12,2,FALSE)))</f>
        <v>1</v>
      </c>
      <c r="AP16" s="460" t="str">
        <f t="shared" ca="1" si="5"/>
        <v>0</v>
      </c>
      <c r="AQ16" s="460" t="str">
        <f>IF(申込書!$C$38="","",申込書!$C$38)</f>
        <v/>
      </c>
    </row>
    <row r="17" spans="1:43">
      <c r="A17" s="463">
        <f t="shared" si="6"/>
        <v>16</v>
      </c>
      <c r="B17" s="463" t="str">
        <f t="shared" si="7"/>
        <v>東部</v>
      </c>
      <c r="C17" s="464" t="s">
        <v>1101</v>
      </c>
      <c r="D17" s="464" t="s">
        <v>1022</v>
      </c>
      <c r="E17" s="464">
        <f>VLOOKUP(D17,★折込地区!$A$2:$D$10,4,FALSE)</f>
        <v>1</v>
      </c>
      <c r="F17" s="464" t="s">
        <v>399</v>
      </c>
      <c r="G17" s="464" t="str">
        <f>INDEX(★新聞!$E$4:$I$12, MATCH(LEFT(F17),★新聞!$A$4:$A$12,0), MATCH(LEFT(W17),★新聞!$E$3:$I$3,0))</f>
        <v>X</v>
      </c>
      <c r="H17" s="475" t="s">
        <v>1102</v>
      </c>
      <c r="I17" s="464" cm="1">
        <f t="array" ref="I17">IFERROR(INDEX(★原価率!$A$2:$E$50,MATCH($C17&amp;$H17,★原価率!$A$2:$A$50&amp;★原価率!$B$2:$B$50,0),3),0)</f>
        <v>74</v>
      </c>
      <c r="J17" s="464" cm="1">
        <f t="array" ref="J17">IFERROR(INDEX(★原価率!$A$2:$E$50,MATCH($C17&amp;$H17,★原価率!$A$2:$A$50&amp;★原価率!$B$2:$B$50,0),4),0)</f>
        <v>84</v>
      </c>
      <c r="K17" s="464" cm="1">
        <f t="array" ref="K17">IFERROR(INDEX(★原価率!$A$2:$E$50,MATCH($C17&amp;$H17,★原価率!$A$2:$A$50&amp;★原価率!$B$2:$B$50,0),5),0)</f>
        <v>100</v>
      </c>
      <c r="L17" s="528">
        <f>IFERROR(VLOOKUP(W17,★商品!$A$1:$H$1231,8,FALSE),0)</f>
        <v>2.8</v>
      </c>
      <c r="M17" s="203" t="str">
        <f ca="1">CONCATENATE(VLOOKUP(B17,★営業所!$A$2:$B$5,2,FALSE),TEXT(NOW(),"yyyy"))</f>
        <v>T2023</v>
      </c>
      <c r="N17" s="203">
        <v>1</v>
      </c>
      <c r="O17" s="203">
        <v>0</v>
      </c>
      <c r="P17" s="213">
        <f>申込書!$B$6</f>
        <v>0</v>
      </c>
      <c r="Q17" s="203">
        <f>申込書!$C$34</f>
        <v>1000040</v>
      </c>
      <c r="R17" s="203">
        <v>0</v>
      </c>
      <c r="U17" s="203">
        <f>VLOOKUP(B17,★営業所!$A$2:$C$5,3,FALSE)</f>
        <v>8</v>
      </c>
      <c r="V17" s="203">
        <f>申込書!$B$9</f>
        <v>0</v>
      </c>
      <c r="W17" s="203" t="str">
        <f>CONCATENATE(VLOOKUP(B17,★営業所!$A$2:$B$5,2,FALSE),VLOOKUP(申込書!$C$32,★サイズ表記!$D$4:$E$55,2,FALSE),VLOOKUP(D17,★折込地区!$A$2:$B$11,2,FALSE))</f>
        <v>T1001Tot</v>
      </c>
      <c r="X17" s="203" t="str">
        <f>CONCATENATE(申込書!$B$9," ",VLOOKUP(RIGHT(W17,3),★折込地区!$B$2:$C$10,2,FALSE),"")</f>
        <v xml:space="preserve"> 鳥取</v>
      </c>
      <c r="Z17" s="206">
        <f t="shared" ca="1" si="0"/>
        <v>0</v>
      </c>
      <c r="AB17" s="383">
        <f t="shared" si="1"/>
        <v>2.8</v>
      </c>
      <c r="AC17" s="203" t="str">
        <f t="shared" si="2"/>
        <v>D1001</v>
      </c>
      <c r="AD17" s="203" t="str">
        <f>VLOOKUP(AC17,★原価商品!$E$6:$F$349,2,FALSE)</f>
        <v>日本海/B4（折り無し）</v>
      </c>
      <c r="AE17" s="203">
        <f t="shared" ca="1" si="3"/>
        <v>0</v>
      </c>
      <c r="AF17" s="383">
        <f>IFERROR(IF(VLOOKUP(申込書!$C$32,★サイズ表記!$F$4:$H$55,3,FALSE)="切り捨て",ROUNDDOWN(L17*IF(AK17="◎",I17,J17)/100,2),IF(VLOOKUP(申込書!$C$32,★サイズ表記!$F$4:$H$55,3,FALSE)="切り上げ",ROUNDUP(L17*IF(AK17="◎",I17,J17)/100,2),ROUND(L17*IF(AK17="◎",I17,J17)/100,2))),0)</f>
        <v>2.0699999999999998</v>
      </c>
      <c r="AG17" s="203">
        <f t="shared" ca="1" si="4"/>
        <v>10024</v>
      </c>
      <c r="AJ17" s="460" t="str">
        <f>IFERROR(VLOOKUP(申込書!$C$30,★業種!$D$2:$E$87,2,FALSE),"")</f>
        <v>1003</v>
      </c>
      <c r="AK17" s="460" t="str">
        <f>IF(申込書!$C$36="◎",IF(OR(D17="浜坂・温泉",D17="美方・村岡",D17="香住",D17="岡山",D17="大阪"),"",IF(LEFT(F17)="D","◎",IF(AG17=0,"",IFERROR(IF(VLOOKUP(AG17,★仕入先!$A$2:$C$211,3,FALSE)=0,"","◎"),"")))),"")</f>
        <v>◎</v>
      </c>
      <c r="AL17" s="460">
        <f>申込書!$H$14</f>
        <v>0</v>
      </c>
      <c r="AM17" s="460" t="str">
        <f>申込書!$C$32</f>
        <v>B4（折り無し）</v>
      </c>
      <c r="AN17" s="460" t="str">
        <f>VLOOKUP(AM17,★サイズ表記!$D$4:$E$55,2,FALSE)</f>
        <v>1001</v>
      </c>
      <c r="AO17" s="460">
        <f>IF(C17&lt;&gt;"⑧兵庫",VLOOKUP(LEFT(F17),★新聞!$A$4:$B$12,2,FALSE),IF(LEFT(F17)&lt;&gt;"S",VLOOKUP(LEFT(F17),★新聞!$A$4:$B$12,2,FALSE),VLOOKUP("X",★新聞!$A$4:$B$12,2,FALSE)))</f>
        <v>1</v>
      </c>
      <c r="AP17" s="460" t="str">
        <f t="shared" ca="1" si="5"/>
        <v>0</v>
      </c>
      <c r="AQ17" s="460" t="str">
        <f>IF(申込書!$C$38="","",申込書!$C$38)</f>
        <v/>
      </c>
    </row>
    <row r="18" spans="1:43">
      <c r="A18" s="463">
        <f t="shared" si="6"/>
        <v>17</v>
      </c>
      <c r="B18" s="463" t="str">
        <f t="shared" si="7"/>
        <v>東部</v>
      </c>
      <c r="C18" s="464" t="s">
        <v>1101</v>
      </c>
      <c r="D18" s="464" t="s">
        <v>1022</v>
      </c>
      <c r="E18" s="464">
        <f>VLOOKUP(D18,★折込地区!$A$2:$D$10,4,FALSE)</f>
        <v>1</v>
      </c>
      <c r="F18" s="464" t="s">
        <v>400</v>
      </c>
      <c r="G18" s="464" t="str">
        <f>INDEX(★新聞!$E$4:$I$12, MATCH(LEFT(F18),★新聞!$A$4:$A$12,0), MATCH(LEFT(W18),★新聞!$E$3:$I$3,0))</f>
        <v>X</v>
      </c>
      <c r="H18" s="475" t="s">
        <v>1102</v>
      </c>
      <c r="I18" s="464" cm="1">
        <f t="array" ref="I18">IFERROR(INDEX(★原価率!$A$2:$E$50,MATCH($C18&amp;$H18,★原価率!$A$2:$A$50&amp;★原価率!$B$2:$B$50,0),3),0)</f>
        <v>74</v>
      </c>
      <c r="J18" s="464" cm="1">
        <f t="array" ref="J18">IFERROR(INDEX(★原価率!$A$2:$E$50,MATCH($C18&amp;$H18,★原価率!$A$2:$A$50&amp;★原価率!$B$2:$B$50,0),4),0)</f>
        <v>84</v>
      </c>
      <c r="K18" s="464" cm="1">
        <f t="array" ref="K18">IFERROR(INDEX(★原価率!$A$2:$E$50,MATCH($C18&amp;$H18,★原価率!$A$2:$A$50&amp;★原価率!$B$2:$B$50,0),5),0)</f>
        <v>100</v>
      </c>
      <c r="L18" s="528">
        <f>IFERROR(VLOOKUP(W18,★商品!$A$1:$H$1231,8,FALSE),0)</f>
        <v>2.8</v>
      </c>
      <c r="M18" s="203" t="str">
        <f ca="1">CONCATENATE(VLOOKUP(B18,★営業所!$A$2:$B$5,2,FALSE),TEXT(NOW(),"yyyy"))</f>
        <v>T2023</v>
      </c>
      <c r="N18" s="203">
        <v>1</v>
      </c>
      <c r="O18" s="203">
        <v>0</v>
      </c>
      <c r="P18" s="213">
        <f>申込書!$B$6</f>
        <v>0</v>
      </c>
      <c r="Q18" s="203">
        <f>申込書!$C$34</f>
        <v>1000040</v>
      </c>
      <c r="R18" s="203">
        <v>0</v>
      </c>
      <c r="U18" s="203">
        <f>VLOOKUP(B18,★営業所!$A$2:$C$5,3,FALSE)</f>
        <v>8</v>
      </c>
      <c r="V18" s="203">
        <f>申込書!$B$9</f>
        <v>0</v>
      </c>
      <c r="W18" s="203" t="str">
        <f>CONCATENATE(VLOOKUP(B18,★営業所!$A$2:$B$5,2,FALSE),VLOOKUP(申込書!$C$32,★サイズ表記!$D$4:$E$55,2,FALSE),VLOOKUP(D18,★折込地区!$A$2:$B$11,2,FALSE))</f>
        <v>T1001Tot</v>
      </c>
      <c r="X18" s="203" t="str">
        <f>CONCATENATE(申込書!$B$9," ",VLOOKUP(RIGHT(W18,3),★折込地区!$B$2:$C$10,2,FALSE),"")</f>
        <v xml:space="preserve"> 鳥取</v>
      </c>
      <c r="Z18" s="206">
        <f t="shared" ca="1" si="0"/>
        <v>0</v>
      </c>
      <c r="AB18" s="383">
        <f t="shared" si="1"/>
        <v>2.8</v>
      </c>
      <c r="AC18" s="203" t="str">
        <f t="shared" si="2"/>
        <v>D1001</v>
      </c>
      <c r="AD18" s="203" t="str">
        <f>VLOOKUP(AC18,★原価商品!$E$6:$F$349,2,FALSE)</f>
        <v>日本海/B4（折り無し）</v>
      </c>
      <c r="AE18" s="203">
        <f t="shared" ca="1" si="3"/>
        <v>0</v>
      </c>
      <c r="AF18" s="383">
        <f>IFERROR(IF(VLOOKUP(申込書!$C$32,★サイズ表記!$F$4:$H$55,3,FALSE)="切り捨て",ROUNDDOWN(L18*IF(AK18="◎",I18,J18)/100,2),IF(VLOOKUP(申込書!$C$32,★サイズ表記!$F$4:$H$55,3,FALSE)="切り上げ",ROUNDUP(L18*IF(AK18="◎",I18,J18)/100,2),ROUND(L18*IF(AK18="◎",I18,J18)/100,2))),0)</f>
        <v>2.0699999999999998</v>
      </c>
      <c r="AG18" s="203">
        <f t="shared" ca="1" si="4"/>
        <v>10027</v>
      </c>
      <c r="AJ18" s="460" t="str">
        <f>IFERROR(VLOOKUP(申込書!$C$30,★業種!$D$2:$E$87,2,FALSE),"")</f>
        <v>1003</v>
      </c>
      <c r="AK18" s="460" t="str">
        <f>IF(申込書!$C$36="◎",IF(OR(D18="浜坂・温泉",D18="美方・村岡",D18="香住",D18="岡山",D18="大阪"),"",IF(LEFT(F18)="D","◎",IF(AG18=0,"",IFERROR(IF(VLOOKUP(AG18,★仕入先!$A$2:$C$211,3,FALSE)=0,"","◎"),"")))),"")</f>
        <v>◎</v>
      </c>
      <c r="AL18" s="460">
        <f>申込書!$H$14</f>
        <v>0</v>
      </c>
      <c r="AM18" s="460" t="str">
        <f>申込書!$C$32</f>
        <v>B4（折り無し）</v>
      </c>
      <c r="AN18" s="460" t="str">
        <f>VLOOKUP(AM18,★サイズ表記!$D$4:$E$55,2,FALSE)</f>
        <v>1001</v>
      </c>
      <c r="AO18" s="460">
        <f>IF(C18&lt;&gt;"⑧兵庫",VLOOKUP(LEFT(F18),★新聞!$A$4:$B$12,2,FALSE),IF(LEFT(F18)&lt;&gt;"S",VLOOKUP(LEFT(F18),★新聞!$A$4:$B$12,2,FALSE),VLOOKUP("X",★新聞!$A$4:$B$12,2,FALSE)))</f>
        <v>1</v>
      </c>
      <c r="AP18" s="460" t="str">
        <f t="shared" ca="1" si="5"/>
        <v>0</v>
      </c>
      <c r="AQ18" s="460" t="str">
        <f>IF(申込書!$C$38="","",申込書!$C$38)</f>
        <v/>
      </c>
    </row>
    <row r="19" spans="1:43">
      <c r="A19" s="463">
        <f t="shared" si="6"/>
        <v>18</v>
      </c>
      <c r="B19" s="463" t="str">
        <f t="shared" si="7"/>
        <v>東部</v>
      </c>
      <c r="C19" s="464" t="s">
        <v>1101</v>
      </c>
      <c r="D19" s="464" t="s">
        <v>1022</v>
      </c>
      <c r="E19" s="464">
        <f>VLOOKUP(D19,★折込地区!$A$2:$D$10,4,FALSE)</f>
        <v>1</v>
      </c>
      <c r="F19" s="464" t="s">
        <v>401</v>
      </c>
      <c r="G19" s="464" t="str">
        <f>INDEX(★新聞!$E$4:$I$12, MATCH(LEFT(F19),★新聞!$A$4:$A$12,0), MATCH(LEFT(W19),★新聞!$E$3:$I$3,0))</f>
        <v>X</v>
      </c>
      <c r="H19" s="475" t="s">
        <v>1102</v>
      </c>
      <c r="I19" s="464" cm="1">
        <f t="array" ref="I19">IFERROR(INDEX(★原価率!$A$2:$E$50,MATCH($C19&amp;$H19,★原価率!$A$2:$A$50&amp;★原価率!$B$2:$B$50,0),3),0)</f>
        <v>74</v>
      </c>
      <c r="J19" s="464" cm="1">
        <f t="array" ref="J19">IFERROR(INDEX(★原価率!$A$2:$E$50,MATCH($C19&amp;$H19,★原価率!$A$2:$A$50&amp;★原価率!$B$2:$B$50,0),4),0)</f>
        <v>84</v>
      </c>
      <c r="K19" s="464" cm="1">
        <f t="array" ref="K19">IFERROR(INDEX(★原価率!$A$2:$E$50,MATCH($C19&amp;$H19,★原価率!$A$2:$A$50&amp;★原価率!$B$2:$B$50,0),5),0)</f>
        <v>100</v>
      </c>
      <c r="L19" s="528">
        <f>IFERROR(VLOOKUP(W19,★商品!$A$1:$H$1231,8,FALSE),0)</f>
        <v>2.8</v>
      </c>
      <c r="M19" s="203" t="str">
        <f ca="1">CONCATENATE(VLOOKUP(B19,★営業所!$A$2:$B$5,2,FALSE),TEXT(NOW(),"yyyy"))</f>
        <v>T2023</v>
      </c>
      <c r="N19" s="203">
        <v>1</v>
      </c>
      <c r="O19" s="203">
        <v>0</v>
      </c>
      <c r="P19" s="213">
        <f>申込書!$B$6</f>
        <v>0</v>
      </c>
      <c r="Q19" s="203">
        <f>申込書!$C$34</f>
        <v>1000040</v>
      </c>
      <c r="R19" s="203">
        <v>0</v>
      </c>
      <c r="U19" s="203">
        <f>VLOOKUP(B19,★営業所!$A$2:$C$5,3,FALSE)</f>
        <v>8</v>
      </c>
      <c r="V19" s="203">
        <f>申込書!$B$9</f>
        <v>0</v>
      </c>
      <c r="W19" s="203" t="str">
        <f>CONCATENATE(VLOOKUP(B19,★営業所!$A$2:$B$5,2,FALSE),VLOOKUP(申込書!$C$32,★サイズ表記!$D$4:$E$55,2,FALSE),VLOOKUP(D19,★折込地区!$A$2:$B$11,2,FALSE))</f>
        <v>T1001Tot</v>
      </c>
      <c r="X19" s="203" t="str">
        <f>CONCATENATE(申込書!$B$9," ",VLOOKUP(RIGHT(W19,3),★折込地区!$B$2:$C$10,2,FALSE),"")</f>
        <v xml:space="preserve"> 鳥取</v>
      </c>
      <c r="Z19" s="206">
        <f t="shared" ca="1" si="0"/>
        <v>0</v>
      </c>
      <c r="AB19" s="383">
        <f t="shared" si="1"/>
        <v>2.8</v>
      </c>
      <c r="AC19" s="203" t="str">
        <f t="shared" si="2"/>
        <v>D1001</v>
      </c>
      <c r="AD19" s="203" t="str">
        <f>VLOOKUP(AC19,★原価商品!$E$6:$F$349,2,FALSE)</f>
        <v>日本海/B4（折り無し）</v>
      </c>
      <c r="AE19" s="203">
        <f t="shared" ca="1" si="3"/>
        <v>0</v>
      </c>
      <c r="AF19" s="383">
        <f>IFERROR(IF(VLOOKUP(申込書!$C$32,★サイズ表記!$F$4:$H$55,3,FALSE)="切り捨て",ROUNDDOWN(L19*IF(AK19="◎",I19,J19)/100,2),IF(VLOOKUP(申込書!$C$32,★サイズ表記!$F$4:$H$55,3,FALSE)="切り上げ",ROUNDUP(L19*IF(AK19="◎",I19,J19)/100,2),ROUND(L19*IF(AK19="◎",I19,J19)/100,2))),0)</f>
        <v>2.0699999999999998</v>
      </c>
      <c r="AG19" s="203">
        <f t="shared" ca="1" si="4"/>
        <v>10028</v>
      </c>
      <c r="AJ19" s="460" t="str">
        <f>IFERROR(VLOOKUP(申込書!$C$30,★業種!$D$2:$E$87,2,FALSE),"")</f>
        <v>1003</v>
      </c>
      <c r="AK19" s="460" t="str">
        <f>IF(申込書!$C$36="◎",IF(OR(D19="浜坂・温泉",D19="美方・村岡",D19="香住",D19="岡山",D19="大阪"),"",IF(LEFT(F19)="D","◎",IF(AG19=0,"",IFERROR(IF(VLOOKUP(AG19,★仕入先!$A$2:$C$211,3,FALSE)=0,"","◎"),"")))),"")</f>
        <v>◎</v>
      </c>
      <c r="AL19" s="460">
        <f>申込書!$H$14</f>
        <v>0</v>
      </c>
      <c r="AM19" s="460" t="str">
        <f>申込書!$C$32</f>
        <v>B4（折り無し）</v>
      </c>
      <c r="AN19" s="460" t="str">
        <f>VLOOKUP(AM19,★サイズ表記!$D$4:$E$55,2,FALSE)</f>
        <v>1001</v>
      </c>
      <c r="AO19" s="460">
        <f>IF(C19&lt;&gt;"⑧兵庫",VLOOKUP(LEFT(F19),★新聞!$A$4:$B$12,2,FALSE),IF(LEFT(F19)&lt;&gt;"S",VLOOKUP(LEFT(F19),★新聞!$A$4:$B$12,2,FALSE),VLOOKUP("X",★新聞!$A$4:$B$12,2,FALSE)))</f>
        <v>1</v>
      </c>
      <c r="AP19" s="460" t="str">
        <f t="shared" ca="1" si="5"/>
        <v>0</v>
      </c>
      <c r="AQ19" s="460" t="str">
        <f>IF(申込書!$C$38="","",申込書!$C$38)</f>
        <v/>
      </c>
    </row>
    <row r="20" spans="1:43">
      <c r="A20" s="463">
        <f t="shared" si="6"/>
        <v>19</v>
      </c>
      <c r="B20" s="463" t="str">
        <f t="shared" si="7"/>
        <v>東部</v>
      </c>
      <c r="C20" s="464" t="s">
        <v>1101</v>
      </c>
      <c r="D20" s="464" t="s">
        <v>1022</v>
      </c>
      <c r="E20" s="464">
        <f>VLOOKUP(D20,★折込地区!$A$2:$D$10,4,FALSE)</f>
        <v>1</v>
      </c>
      <c r="F20" s="464" t="s">
        <v>402</v>
      </c>
      <c r="G20" s="464" t="str">
        <f>INDEX(★新聞!$E$4:$I$12, MATCH(LEFT(F20),★新聞!$A$4:$A$12,0), MATCH(LEFT(W20),★新聞!$E$3:$I$3,0))</f>
        <v>X</v>
      </c>
      <c r="H20" s="475" t="s">
        <v>1102</v>
      </c>
      <c r="I20" s="464" cm="1">
        <f t="array" ref="I20">IFERROR(INDEX(★原価率!$A$2:$E$50,MATCH($C20&amp;$H20,★原価率!$A$2:$A$50&amp;★原価率!$B$2:$B$50,0),3),0)</f>
        <v>74</v>
      </c>
      <c r="J20" s="464" cm="1">
        <f t="array" ref="J20">IFERROR(INDEX(★原価率!$A$2:$E$50,MATCH($C20&amp;$H20,★原価率!$A$2:$A$50&amp;★原価率!$B$2:$B$50,0),4),0)</f>
        <v>84</v>
      </c>
      <c r="K20" s="464" cm="1">
        <f t="array" ref="K20">IFERROR(INDEX(★原価率!$A$2:$E$50,MATCH($C20&amp;$H20,★原価率!$A$2:$A$50&amp;★原価率!$B$2:$B$50,0),5),0)</f>
        <v>100</v>
      </c>
      <c r="L20" s="528">
        <f>IFERROR(VLOOKUP(W20,★商品!$A$1:$H$1231,8,FALSE),0)</f>
        <v>2.8</v>
      </c>
      <c r="M20" s="203" t="str">
        <f ca="1">CONCATENATE(VLOOKUP(B20,★営業所!$A$2:$B$5,2,FALSE),TEXT(NOW(),"yyyy"))</f>
        <v>T2023</v>
      </c>
      <c r="N20" s="203">
        <v>1</v>
      </c>
      <c r="O20" s="203">
        <v>0</v>
      </c>
      <c r="P20" s="213">
        <f>申込書!$B$6</f>
        <v>0</v>
      </c>
      <c r="Q20" s="203">
        <f>申込書!$C$34</f>
        <v>1000040</v>
      </c>
      <c r="R20" s="203">
        <v>0</v>
      </c>
      <c r="U20" s="203">
        <f>VLOOKUP(B20,★営業所!$A$2:$C$5,3,FALSE)</f>
        <v>8</v>
      </c>
      <c r="V20" s="203">
        <f>申込書!$B$9</f>
        <v>0</v>
      </c>
      <c r="W20" s="203" t="str">
        <f>CONCATENATE(VLOOKUP(B20,★営業所!$A$2:$B$5,2,FALSE),VLOOKUP(申込書!$C$32,★サイズ表記!$D$4:$E$55,2,FALSE),VLOOKUP(D20,★折込地区!$A$2:$B$11,2,FALSE))</f>
        <v>T1001Tot</v>
      </c>
      <c r="X20" s="203" t="str">
        <f>CONCATENATE(申込書!$B$9," ",VLOOKUP(RIGHT(W20,3),★折込地区!$B$2:$C$10,2,FALSE),"")</f>
        <v xml:space="preserve"> 鳥取</v>
      </c>
      <c r="Z20" s="206">
        <f t="shared" ca="1" si="0"/>
        <v>0</v>
      </c>
      <c r="AB20" s="383">
        <f t="shared" si="1"/>
        <v>2.8</v>
      </c>
      <c r="AC20" s="203" t="str">
        <f t="shared" si="2"/>
        <v>D1001</v>
      </c>
      <c r="AD20" s="203" t="str">
        <f>VLOOKUP(AC20,★原価商品!$E$6:$F$349,2,FALSE)</f>
        <v>日本海/B4（折り無し）</v>
      </c>
      <c r="AE20" s="203">
        <f t="shared" ca="1" si="3"/>
        <v>0</v>
      </c>
      <c r="AF20" s="383">
        <f>IFERROR(IF(VLOOKUP(申込書!$C$32,★サイズ表記!$F$4:$H$55,3,FALSE)="切り捨て",ROUNDDOWN(L20*IF(AK20="◎",I20,J20)/100,2),IF(VLOOKUP(申込書!$C$32,★サイズ表記!$F$4:$H$55,3,FALSE)="切り上げ",ROUNDUP(L20*IF(AK20="◎",I20,J20)/100,2),ROUND(L20*IF(AK20="◎",I20,J20)/100,2))),0)</f>
        <v>2.0699999999999998</v>
      </c>
      <c r="AG20" s="203">
        <f t="shared" ca="1" si="4"/>
        <v>10029</v>
      </c>
      <c r="AJ20" s="460" t="str">
        <f>IFERROR(VLOOKUP(申込書!$C$30,★業種!$D$2:$E$87,2,FALSE),"")</f>
        <v>1003</v>
      </c>
      <c r="AK20" s="460" t="str">
        <f>IF(申込書!$C$36="◎",IF(OR(D20="浜坂・温泉",D20="美方・村岡",D20="香住",D20="岡山",D20="大阪"),"",IF(LEFT(F20)="D","◎",IF(AG20=0,"",IFERROR(IF(VLOOKUP(AG20,★仕入先!$A$2:$C$211,3,FALSE)=0,"","◎"),"")))),"")</f>
        <v>◎</v>
      </c>
      <c r="AL20" s="460">
        <f>申込書!$H$14</f>
        <v>0</v>
      </c>
      <c r="AM20" s="460" t="str">
        <f>申込書!$C$32</f>
        <v>B4（折り無し）</v>
      </c>
      <c r="AN20" s="460" t="str">
        <f>VLOOKUP(AM20,★サイズ表記!$D$4:$E$55,2,FALSE)</f>
        <v>1001</v>
      </c>
      <c r="AO20" s="460">
        <f>IF(C20&lt;&gt;"⑧兵庫",VLOOKUP(LEFT(F20),★新聞!$A$4:$B$12,2,FALSE),IF(LEFT(F20)&lt;&gt;"S",VLOOKUP(LEFT(F20),★新聞!$A$4:$B$12,2,FALSE),VLOOKUP("X",★新聞!$A$4:$B$12,2,FALSE)))</f>
        <v>1</v>
      </c>
      <c r="AP20" s="460" t="str">
        <f t="shared" ca="1" si="5"/>
        <v>0</v>
      </c>
      <c r="AQ20" s="460" t="str">
        <f>IF(申込書!$C$38="","",申込書!$C$38)</f>
        <v/>
      </c>
    </row>
    <row r="21" spans="1:43">
      <c r="A21" s="463">
        <f t="shared" si="6"/>
        <v>20</v>
      </c>
      <c r="B21" s="463" t="str">
        <f t="shared" si="7"/>
        <v>東部</v>
      </c>
      <c r="C21" s="464" t="s">
        <v>1101</v>
      </c>
      <c r="D21" s="464" t="s">
        <v>1022</v>
      </c>
      <c r="E21" s="464">
        <f>VLOOKUP(D21,★折込地区!$A$2:$D$10,4,FALSE)</f>
        <v>1</v>
      </c>
      <c r="F21" s="464" t="s">
        <v>403</v>
      </c>
      <c r="G21" s="464" t="str">
        <f>INDEX(★新聞!$E$4:$I$12, MATCH(LEFT(F21),★新聞!$A$4:$A$12,0), MATCH(LEFT(W21),★新聞!$E$3:$I$3,0))</f>
        <v>X</v>
      </c>
      <c r="H21" s="475" t="s">
        <v>1102</v>
      </c>
      <c r="I21" s="464" cm="1">
        <f t="array" ref="I21">IFERROR(INDEX(★原価率!$A$2:$E$50,MATCH($C21&amp;$H21,★原価率!$A$2:$A$50&amp;★原価率!$B$2:$B$50,0),3),0)</f>
        <v>74</v>
      </c>
      <c r="J21" s="464" cm="1">
        <f t="array" ref="J21">IFERROR(INDEX(★原価率!$A$2:$E$50,MATCH($C21&amp;$H21,★原価率!$A$2:$A$50&amp;★原価率!$B$2:$B$50,0),4),0)</f>
        <v>84</v>
      </c>
      <c r="K21" s="464" cm="1">
        <f t="array" ref="K21">IFERROR(INDEX(★原価率!$A$2:$E$50,MATCH($C21&amp;$H21,★原価率!$A$2:$A$50&amp;★原価率!$B$2:$B$50,0),5),0)</f>
        <v>100</v>
      </c>
      <c r="L21" s="528">
        <f>IFERROR(VLOOKUP(W21,★商品!$A$1:$H$1231,8,FALSE),0)</f>
        <v>2.8</v>
      </c>
      <c r="M21" s="203" t="str">
        <f ca="1">CONCATENATE(VLOOKUP(B21,★営業所!$A$2:$B$5,2,FALSE),TEXT(NOW(),"yyyy"))</f>
        <v>T2023</v>
      </c>
      <c r="N21" s="203">
        <v>1</v>
      </c>
      <c r="O21" s="203">
        <v>0</v>
      </c>
      <c r="P21" s="213">
        <f>申込書!$B$6</f>
        <v>0</v>
      </c>
      <c r="Q21" s="203">
        <f>申込書!$C$34</f>
        <v>1000040</v>
      </c>
      <c r="R21" s="203">
        <v>0</v>
      </c>
      <c r="U21" s="203">
        <f>VLOOKUP(B21,★営業所!$A$2:$C$5,3,FALSE)</f>
        <v>8</v>
      </c>
      <c r="V21" s="203">
        <f>申込書!$B$9</f>
        <v>0</v>
      </c>
      <c r="W21" s="203" t="str">
        <f>CONCATENATE(VLOOKUP(B21,★営業所!$A$2:$B$5,2,FALSE),VLOOKUP(申込書!$C$32,★サイズ表記!$D$4:$E$55,2,FALSE),VLOOKUP(D21,★折込地区!$A$2:$B$11,2,FALSE))</f>
        <v>T1001Tot</v>
      </c>
      <c r="X21" s="203" t="str">
        <f>CONCATENATE(申込書!$B$9," ",VLOOKUP(RIGHT(W21,3),★折込地区!$B$2:$C$10,2,FALSE),"")</f>
        <v xml:space="preserve"> 鳥取</v>
      </c>
      <c r="Z21" s="206">
        <f t="shared" ca="1" si="0"/>
        <v>0</v>
      </c>
      <c r="AB21" s="383">
        <f t="shared" si="1"/>
        <v>2.8</v>
      </c>
      <c r="AC21" s="203" t="str">
        <f t="shared" si="2"/>
        <v>D1001</v>
      </c>
      <c r="AD21" s="203" t="str">
        <f>VLOOKUP(AC21,★原価商品!$E$6:$F$349,2,FALSE)</f>
        <v>日本海/B4（折り無し）</v>
      </c>
      <c r="AE21" s="203">
        <f t="shared" ca="1" si="3"/>
        <v>0</v>
      </c>
      <c r="AF21" s="383">
        <f>IFERROR(IF(VLOOKUP(申込書!$C$32,★サイズ表記!$F$4:$H$55,3,FALSE)="切り捨て",ROUNDDOWN(L21*IF(AK21="◎",I21,J21)/100,2),IF(VLOOKUP(申込書!$C$32,★サイズ表記!$F$4:$H$55,3,FALSE)="切り上げ",ROUNDUP(L21*IF(AK21="◎",I21,J21)/100,2),ROUND(L21*IF(AK21="◎",I21,J21)/100,2))),0)</f>
        <v>2.0699999999999998</v>
      </c>
      <c r="AG21" s="203">
        <f t="shared" ca="1" si="4"/>
        <v>10033</v>
      </c>
      <c r="AJ21" s="460" t="str">
        <f>IFERROR(VLOOKUP(申込書!$C$30,★業種!$D$2:$E$87,2,FALSE),"")</f>
        <v>1003</v>
      </c>
      <c r="AK21" s="460" t="str">
        <f>IF(申込書!$C$36="◎",IF(OR(D21="浜坂・温泉",D21="美方・村岡",D21="香住",D21="岡山",D21="大阪"),"",IF(LEFT(F21)="D","◎",IF(AG21=0,"",IFERROR(IF(VLOOKUP(AG21,★仕入先!$A$2:$C$211,3,FALSE)=0,"","◎"),"")))),"")</f>
        <v>◎</v>
      </c>
      <c r="AL21" s="460">
        <f>申込書!$H$14</f>
        <v>0</v>
      </c>
      <c r="AM21" s="460" t="str">
        <f>申込書!$C$32</f>
        <v>B4（折り無し）</v>
      </c>
      <c r="AN21" s="460" t="str">
        <f>VLOOKUP(AM21,★サイズ表記!$D$4:$E$55,2,FALSE)</f>
        <v>1001</v>
      </c>
      <c r="AO21" s="460">
        <f>IF(C21&lt;&gt;"⑧兵庫",VLOOKUP(LEFT(F21),★新聞!$A$4:$B$12,2,FALSE),IF(LEFT(F21)&lt;&gt;"S",VLOOKUP(LEFT(F21),★新聞!$A$4:$B$12,2,FALSE),VLOOKUP("X",★新聞!$A$4:$B$12,2,FALSE)))</f>
        <v>1</v>
      </c>
      <c r="AP21" s="460" t="str">
        <f t="shared" ca="1" si="5"/>
        <v>0</v>
      </c>
      <c r="AQ21" s="460" t="str">
        <f>IF(申込書!$C$38="","",申込書!$C$38)</f>
        <v/>
      </c>
    </row>
    <row r="22" spans="1:43">
      <c r="A22" s="463">
        <f t="shared" si="6"/>
        <v>21</v>
      </c>
      <c r="B22" s="463" t="str">
        <f t="shared" si="7"/>
        <v>東部</v>
      </c>
      <c r="C22" s="464" t="s">
        <v>1101</v>
      </c>
      <c r="D22" s="464" t="s">
        <v>1022</v>
      </c>
      <c r="E22" s="464">
        <f>VLOOKUP(D22,★折込地区!$A$2:$D$10,4,FALSE)</f>
        <v>1</v>
      </c>
      <c r="F22" s="464" t="s">
        <v>404</v>
      </c>
      <c r="G22" s="464" t="str">
        <f>INDEX(★新聞!$E$4:$I$12, MATCH(LEFT(F22),★新聞!$A$4:$A$12,0), MATCH(LEFT(W22),★新聞!$E$3:$I$3,0))</f>
        <v>X</v>
      </c>
      <c r="H22" s="475" t="s">
        <v>1102</v>
      </c>
      <c r="I22" s="464" cm="1">
        <f t="array" ref="I22">IFERROR(INDEX(★原価率!$A$2:$E$50,MATCH($C22&amp;$H22,★原価率!$A$2:$A$50&amp;★原価率!$B$2:$B$50,0),3),0)</f>
        <v>74</v>
      </c>
      <c r="J22" s="464" cm="1">
        <f t="array" ref="J22">IFERROR(INDEX(★原価率!$A$2:$E$50,MATCH($C22&amp;$H22,★原価率!$A$2:$A$50&amp;★原価率!$B$2:$B$50,0),4),0)</f>
        <v>84</v>
      </c>
      <c r="K22" s="464" cm="1">
        <f t="array" ref="K22">IFERROR(INDEX(★原価率!$A$2:$E$50,MATCH($C22&amp;$H22,★原価率!$A$2:$A$50&amp;★原価率!$B$2:$B$50,0),5),0)</f>
        <v>100</v>
      </c>
      <c r="L22" s="528">
        <f>IFERROR(VLOOKUP(W22,★商品!$A$1:$H$1231,8,FALSE),0)</f>
        <v>2.8</v>
      </c>
      <c r="M22" s="203" t="str">
        <f ca="1">CONCATENATE(VLOOKUP(B22,★営業所!$A$2:$B$5,2,FALSE),TEXT(NOW(),"yyyy"))</f>
        <v>T2023</v>
      </c>
      <c r="N22" s="203">
        <v>1</v>
      </c>
      <c r="O22" s="203">
        <v>0</v>
      </c>
      <c r="P22" s="213">
        <f>申込書!$B$6</f>
        <v>0</v>
      </c>
      <c r="Q22" s="203">
        <f>申込書!$C$34</f>
        <v>1000040</v>
      </c>
      <c r="R22" s="203">
        <v>0</v>
      </c>
      <c r="U22" s="203">
        <f>VLOOKUP(B22,★営業所!$A$2:$C$5,3,FALSE)</f>
        <v>8</v>
      </c>
      <c r="V22" s="203">
        <f>申込書!$B$9</f>
        <v>0</v>
      </c>
      <c r="W22" s="203" t="str">
        <f>CONCATENATE(VLOOKUP(B22,★営業所!$A$2:$B$5,2,FALSE),VLOOKUP(申込書!$C$32,★サイズ表記!$D$4:$E$55,2,FALSE),VLOOKUP(D22,★折込地区!$A$2:$B$11,2,FALSE))</f>
        <v>T1001Tot</v>
      </c>
      <c r="X22" s="203" t="str">
        <f>CONCATENATE(申込書!$B$9," ",VLOOKUP(RIGHT(W22,3),★折込地区!$B$2:$C$10,2,FALSE),"")</f>
        <v xml:space="preserve"> 鳥取</v>
      </c>
      <c r="Z22" s="206">
        <f t="shared" ca="1" si="0"/>
        <v>0</v>
      </c>
      <c r="AB22" s="383">
        <f t="shared" si="1"/>
        <v>2.8</v>
      </c>
      <c r="AC22" s="203" t="str">
        <f t="shared" si="2"/>
        <v>D1001</v>
      </c>
      <c r="AD22" s="203" t="str">
        <f>VLOOKUP(AC22,★原価商品!$E$6:$F$349,2,FALSE)</f>
        <v>日本海/B4（折り無し）</v>
      </c>
      <c r="AE22" s="203">
        <f t="shared" ca="1" si="3"/>
        <v>0</v>
      </c>
      <c r="AF22" s="383">
        <f>IFERROR(IF(VLOOKUP(申込書!$C$32,★サイズ表記!$F$4:$H$55,3,FALSE)="切り捨て",ROUNDDOWN(L22*IF(AK22="◎",I22,J22)/100,2),IF(VLOOKUP(申込書!$C$32,★サイズ表記!$F$4:$H$55,3,FALSE)="切り上げ",ROUNDUP(L22*IF(AK22="◎",I22,J22)/100,2),ROUND(L22*IF(AK22="◎",I22,J22)/100,2))),0)</f>
        <v>2.0699999999999998</v>
      </c>
      <c r="AG22" s="203">
        <f t="shared" ca="1" si="4"/>
        <v>10036</v>
      </c>
      <c r="AJ22" s="460" t="str">
        <f>IFERROR(VLOOKUP(申込書!$C$30,★業種!$D$2:$E$87,2,FALSE),"")</f>
        <v>1003</v>
      </c>
      <c r="AK22" s="460" t="str">
        <f>IF(申込書!$C$36="◎",IF(OR(D22="浜坂・温泉",D22="美方・村岡",D22="香住",D22="岡山",D22="大阪"),"",IF(LEFT(F22)="D","◎",IF(AG22=0,"",IFERROR(IF(VLOOKUP(AG22,★仕入先!$A$2:$C$211,3,FALSE)=0,"","◎"),"")))),"")</f>
        <v>◎</v>
      </c>
      <c r="AL22" s="460">
        <f>申込書!$H$14</f>
        <v>0</v>
      </c>
      <c r="AM22" s="460" t="str">
        <f>申込書!$C$32</f>
        <v>B4（折り無し）</v>
      </c>
      <c r="AN22" s="460" t="str">
        <f>VLOOKUP(AM22,★サイズ表記!$D$4:$E$55,2,FALSE)</f>
        <v>1001</v>
      </c>
      <c r="AO22" s="460">
        <f>IF(C22&lt;&gt;"⑧兵庫",VLOOKUP(LEFT(F22),★新聞!$A$4:$B$12,2,FALSE),IF(LEFT(F22)&lt;&gt;"S",VLOOKUP(LEFT(F22),★新聞!$A$4:$B$12,2,FALSE),VLOOKUP("X",★新聞!$A$4:$B$12,2,FALSE)))</f>
        <v>1</v>
      </c>
      <c r="AP22" s="460" t="str">
        <f t="shared" ca="1" si="5"/>
        <v>0</v>
      </c>
      <c r="AQ22" s="460" t="str">
        <f>IF(申込書!$C$38="","",申込書!$C$38)</f>
        <v/>
      </c>
    </row>
    <row r="23" spans="1:43">
      <c r="A23" s="463">
        <f t="shared" si="6"/>
        <v>22</v>
      </c>
      <c r="B23" s="463" t="str">
        <f t="shared" si="7"/>
        <v>東部</v>
      </c>
      <c r="C23" s="464" t="s">
        <v>1101</v>
      </c>
      <c r="D23" s="464" t="s">
        <v>1022</v>
      </c>
      <c r="E23" s="464">
        <f>VLOOKUP(D23,★折込地区!$A$2:$D$10,4,FALSE)</f>
        <v>1</v>
      </c>
      <c r="F23" s="464" t="s">
        <v>405</v>
      </c>
      <c r="G23" s="464" t="str">
        <f>INDEX(★新聞!$E$4:$I$12, MATCH(LEFT(F23),★新聞!$A$4:$A$12,0), MATCH(LEFT(W23),★新聞!$E$3:$I$3,0))</f>
        <v>X</v>
      </c>
      <c r="H23" s="475" t="s">
        <v>1102</v>
      </c>
      <c r="I23" s="464" cm="1">
        <f t="array" ref="I23">IFERROR(INDEX(★原価率!$A$2:$E$50,MATCH($C23&amp;$H23,★原価率!$A$2:$A$50&amp;★原価率!$B$2:$B$50,0),3),0)</f>
        <v>74</v>
      </c>
      <c r="J23" s="464" cm="1">
        <f t="array" ref="J23">IFERROR(INDEX(★原価率!$A$2:$E$50,MATCH($C23&amp;$H23,★原価率!$A$2:$A$50&amp;★原価率!$B$2:$B$50,0),4),0)</f>
        <v>84</v>
      </c>
      <c r="K23" s="464" cm="1">
        <f t="array" ref="K23">IFERROR(INDEX(★原価率!$A$2:$E$50,MATCH($C23&amp;$H23,★原価率!$A$2:$A$50&amp;★原価率!$B$2:$B$50,0),5),0)</f>
        <v>100</v>
      </c>
      <c r="L23" s="528">
        <f>IFERROR(VLOOKUP(W23,★商品!$A$1:$H$1231,8,FALSE),0)</f>
        <v>2.8</v>
      </c>
      <c r="M23" s="203" t="str">
        <f ca="1">CONCATENATE(VLOOKUP(B23,★営業所!$A$2:$B$5,2,FALSE),TEXT(NOW(),"yyyy"))</f>
        <v>T2023</v>
      </c>
      <c r="N23" s="203">
        <v>1</v>
      </c>
      <c r="O23" s="203">
        <v>0</v>
      </c>
      <c r="P23" s="213">
        <f>申込書!$B$6</f>
        <v>0</v>
      </c>
      <c r="Q23" s="203">
        <f>申込書!$C$34</f>
        <v>1000040</v>
      </c>
      <c r="R23" s="203">
        <v>0</v>
      </c>
      <c r="U23" s="203">
        <f>VLOOKUP(B23,★営業所!$A$2:$C$5,3,FALSE)</f>
        <v>8</v>
      </c>
      <c r="V23" s="203">
        <f>申込書!$B$9</f>
        <v>0</v>
      </c>
      <c r="W23" s="203" t="str">
        <f>CONCATENATE(VLOOKUP(B23,★営業所!$A$2:$B$5,2,FALSE),VLOOKUP(申込書!$C$32,★サイズ表記!$D$4:$E$55,2,FALSE),VLOOKUP(D23,★折込地区!$A$2:$B$11,2,FALSE))</f>
        <v>T1001Tot</v>
      </c>
      <c r="X23" s="203" t="str">
        <f>CONCATENATE(申込書!$B$9," ",VLOOKUP(RIGHT(W23,3),★折込地区!$B$2:$C$10,2,FALSE),"")</f>
        <v xml:space="preserve"> 鳥取</v>
      </c>
      <c r="Z23" s="206">
        <f t="shared" ca="1" si="0"/>
        <v>0</v>
      </c>
      <c r="AB23" s="383">
        <f t="shared" si="1"/>
        <v>2.8</v>
      </c>
      <c r="AC23" s="203" t="str">
        <f t="shared" si="2"/>
        <v>D1001</v>
      </c>
      <c r="AD23" s="203" t="str">
        <f>VLOOKUP(AC23,★原価商品!$E$6:$F$349,2,FALSE)</f>
        <v>日本海/B4（折り無し）</v>
      </c>
      <c r="AE23" s="203">
        <f t="shared" ca="1" si="3"/>
        <v>0</v>
      </c>
      <c r="AF23" s="383">
        <f>IFERROR(IF(VLOOKUP(申込書!$C$32,★サイズ表記!$F$4:$H$55,3,FALSE)="切り捨て",ROUNDDOWN(L23*IF(AK23="◎",I23,J23)/100,2),IF(VLOOKUP(申込書!$C$32,★サイズ表記!$F$4:$H$55,3,FALSE)="切り上げ",ROUNDUP(L23*IF(AK23="◎",I23,J23)/100,2),ROUND(L23*IF(AK23="◎",I23,J23)/100,2))),0)</f>
        <v>2.0699999999999998</v>
      </c>
      <c r="AG23" s="203">
        <f t="shared" ca="1" si="4"/>
        <v>10476</v>
      </c>
      <c r="AJ23" s="460" t="str">
        <f>IFERROR(VLOOKUP(申込書!$C$30,★業種!$D$2:$E$87,2,FALSE),"")</f>
        <v>1003</v>
      </c>
      <c r="AK23" s="460" t="str">
        <f>IF(申込書!$C$36="◎",IF(OR(D23="浜坂・温泉",D23="美方・村岡",D23="香住",D23="岡山",D23="大阪"),"",IF(LEFT(F23)="D","◎",IF(AG23=0,"",IFERROR(IF(VLOOKUP(AG23,★仕入先!$A$2:$C$211,3,FALSE)=0,"","◎"),"")))),"")</f>
        <v>◎</v>
      </c>
      <c r="AL23" s="460">
        <f>申込書!$H$14</f>
        <v>0</v>
      </c>
      <c r="AM23" s="460" t="str">
        <f>申込書!$C$32</f>
        <v>B4（折り無し）</v>
      </c>
      <c r="AN23" s="460" t="str">
        <f>VLOOKUP(AM23,★サイズ表記!$D$4:$E$55,2,FALSE)</f>
        <v>1001</v>
      </c>
      <c r="AO23" s="460">
        <f>IF(C23&lt;&gt;"⑧兵庫",VLOOKUP(LEFT(F23),★新聞!$A$4:$B$12,2,FALSE),IF(LEFT(F23)&lt;&gt;"S",VLOOKUP(LEFT(F23),★新聞!$A$4:$B$12,2,FALSE),VLOOKUP("X",★新聞!$A$4:$B$12,2,FALSE)))</f>
        <v>1</v>
      </c>
      <c r="AP23" s="460" t="str">
        <f t="shared" ca="1" si="5"/>
        <v>0</v>
      </c>
      <c r="AQ23" s="460" t="str">
        <f>IF(申込書!$C$38="","",申込書!$C$38)</f>
        <v/>
      </c>
    </row>
    <row r="24" spans="1:43">
      <c r="A24" s="463">
        <f t="shared" si="6"/>
        <v>23</v>
      </c>
      <c r="B24" s="463" t="str">
        <f t="shared" si="7"/>
        <v>東部</v>
      </c>
      <c r="C24" s="464" t="s">
        <v>1101</v>
      </c>
      <c r="D24" s="464" t="s">
        <v>1022</v>
      </c>
      <c r="E24" s="464">
        <f>VLOOKUP(D24,★折込地区!$A$2:$D$10,4,FALSE)</f>
        <v>1</v>
      </c>
      <c r="F24" s="464" t="s">
        <v>364</v>
      </c>
      <c r="G24" s="464" t="str">
        <f>INDEX(★新聞!$E$4:$I$12, MATCH(LEFT(F24),★新聞!$A$4:$A$12,0), MATCH(LEFT(W24),★新聞!$E$3:$I$3,0))</f>
        <v>AA</v>
      </c>
      <c r="H24" s="475" t="s">
        <v>1104</v>
      </c>
      <c r="I24" s="464" cm="1">
        <f t="array" ref="I24">IFERROR(INDEX(★原価率!$A$2:$E$50,MATCH($C24&amp;$H24,★原価率!$A$2:$A$50&amp;★原価率!$B$2:$B$50,0),3),0)</f>
        <v>84</v>
      </c>
      <c r="J24" s="464" cm="1">
        <f t="array" ref="J24">IFERROR(INDEX(★原価率!$A$2:$E$50,MATCH($C24&amp;$H24,★原価率!$A$2:$A$50&amp;★原価率!$B$2:$B$50,0),4),0)</f>
        <v>84</v>
      </c>
      <c r="K24" s="464" cm="1">
        <f t="array" ref="K24">IFERROR(INDEX(★原価率!$A$2:$E$50,MATCH($C24&amp;$H24,★原価率!$A$2:$A$50&amp;★原価率!$B$2:$B$50,0),5),0)</f>
        <v>100</v>
      </c>
      <c r="L24" s="528">
        <f>IFERROR(VLOOKUP(W24,★商品!$A$1:$H$1231,8,FALSE),0)</f>
        <v>2.8</v>
      </c>
      <c r="M24" s="203" t="str">
        <f ca="1">CONCATENATE(VLOOKUP(B24,★営業所!$A$2:$B$5,2,FALSE),TEXT(NOW(),"yyyy"))</f>
        <v>T2023</v>
      </c>
      <c r="N24" s="203">
        <v>1</v>
      </c>
      <c r="O24" s="203">
        <v>0</v>
      </c>
      <c r="P24" s="213">
        <f>申込書!$B$6</f>
        <v>0</v>
      </c>
      <c r="Q24" s="203">
        <f>申込書!$C$34</f>
        <v>1000040</v>
      </c>
      <c r="R24" s="203">
        <v>0</v>
      </c>
      <c r="U24" s="203">
        <f>VLOOKUP(B24,★営業所!$A$2:$C$5,3,FALSE)</f>
        <v>8</v>
      </c>
      <c r="V24" s="203">
        <f>申込書!$B$9</f>
        <v>0</v>
      </c>
      <c r="W24" s="203" t="str">
        <f>CONCATENATE(VLOOKUP(B24,★営業所!$A$2:$B$5,2,FALSE),VLOOKUP(申込書!$C$32,★サイズ表記!$D$4:$E$55,2,FALSE),VLOOKUP(D24,★折込地区!$A$2:$B$11,2,FALSE))</f>
        <v>T1001Tot</v>
      </c>
      <c r="X24" s="203" t="str">
        <f>CONCATENATE(申込書!$B$9," ",VLOOKUP(RIGHT(W24,3),★折込地区!$B$2:$C$10,2,FALSE),"")</f>
        <v xml:space="preserve"> 鳥取</v>
      </c>
      <c r="Z24" s="206">
        <f t="shared" ca="1" si="0"/>
        <v>0</v>
      </c>
      <c r="AB24" s="383">
        <f t="shared" si="1"/>
        <v>2.8</v>
      </c>
      <c r="AC24" s="203" t="str">
        <f t="shared" si="2"/>
        <v>G1001</v>
      </c>
      <c r="AD24" s="203" t="str">
        <f>VLOOKUP(AC24,★原価商品!$E$6:$F$349,2,FALSE)</f>
        <v>朝日/B4（折り無し）</v>
      </c>
      <c r="AE24" s="203">
        <f t="shared" ca="1" si="3"/>
        <v>0</v>
      </c>
      <c r="AF24" s="383">
        <f ca="1">IFERROR(IF(VLOOKUP(申込書!$C$32,★サイズ表記!$F$4:$H$55,3,FALSE)="切り捨て",ROUNDDOWN(L24*IF(AK24="◎",I24,J24)/100,2),IF(VLOOKUP(申込書!$C$32,★サイズ表記!$F$4:$H$55,3,FALSE)="切り上げ",ROUNDUP(L24*IF(AK24="◎",I24,J24)/100,2),ROUND(L24*IF(AK24="◎",I24,J24)/100,2))),0)</f>
        <v>2.35</v>
      </c>
      <c r="AG24" s="203">
        <f t="shared" ca="1" si="4"/>
        <v>10111</v>
      </c>
      <c r="AJ24" s="460" t="str">
        <f>IFERROR(VLOOKUP(申込書!$C$30,★業種!$D$2:$E$87,2,FALSE),"")</f>
        <v>1003</v>
      </c>
      <c r="AK24" s="460" t="str">
        <f ca="1">IF(申込書!$C$36="◎",IF(OR(D24="浜坂・温泉",D24="美方・村岡",D24="香住",D24="岡山",D24="大阪"),"",IF(LEFT(F24)="D","◎",IF(AG24=0,"",IFERROR(IF(VLOOKUP(AG24,★仕入先!$A$2:$C$211,3,FALSE)=0,"","◎"),"")))),"")</f>
        <v/>
      </c>
      <c r="AL24" s="460">
        <f>申込書!$H$14</f>
        <v>0</v>
      </c>
      <c r="AM24" s="460" t="str">
        <f>申込書!$C$32</f>
        <v>B4（折り無し）</v>
      </c>
      <c r="AN24" s="460" t="str">
        <f>VLOOKUP(AM24,★サイズ表記!$D$4:$E$55,2,FALSE)</f>
        <v>1001</v>
      </c>
      <c r="AO24" s="460">
        <f>IF(C24&lt;&gt;"⑧兵庫",VLOOKUP(LEFT(F24),★新聞!$A$4:$B$12,2,FALSE),IF(LEFT(F24)&lt;&gt;"S",VLOOKUP(LEFT(F24),★新聞!$A$4:$B$12,2,FALSE),VLOOKUP("X",★新聞!$A$4:$B$12,2,FALSE)))</f>
        <v>2</v>
      </c>
      <c r="AP24" s="460" t="str">
        <f t="shared" ca="1" si="5"/>
        <v>0</v>
      </c>
      <c r="AQ24" s="460" t="str">
        <f>IF(申込書!$C$38="","",申込書!$C$38)</f>
        <v/>
      </c>
    </row>
    <row r="25" spans="1:43">
      <c r="A25" s="463">
        <f t="shared" si="6"/>
        <v>24</v>
      </c>
      <c r="B25" s="463" t="str">
        <f t="shared" si="7"/>
        <v>東部</v>
      </c>
      <c r="C25" s="464" t="s">
        <v>1101</v>
      </c>
      <c r="D25" s="464" t="s">
        <v>1022</v>
      </c>
      <c r="E25" s="464">
        <f>VLOOKUP(D25,★折込地区!$A$2:$D$10,4,FALSE)</f>
        <v>1</v>
      </c>
      <c r="F25" s="464" t="s">
        <v>406</v>
      </c>
      <c r="G25" s="464" t="str">
        <f>INDEX(★新聞!$E$4:$I$12, MATCH(LEFT(F25),★新聞!$A$4:$A$12,0), MATCH(LEFT(W25),★新聞!$E$3:$I$3,0))</f>
        <v>AA</v>
      </c>
      <c r="H25" s="475" t="s">
        <v>1104</v>
      </c>
      <c r="I25" s="464" cm="1">
        <f t="array" ref="I25">IFERROR(INDEX(★原価率!$A$2:$E$50,MATCH($C25&amp;$H25,★原価率!$A$2:$A$50&amp;★原価率!$B$2:$B$50,0),3),0)</f>
        <v>84</v>
      </c>
      <c r="J25" s="464" cm="1">
        <f t="array" ref="J25">IFERROR(INDEX(★原価率!$A$2:$E$50,MATCH($C25&amp;$H25,★原価率!$A$2:$A$50&amp;★原価率!$B$2:$B$50,0),4),0)</f>
        <v>84</v>
      </c>
      <c r="K25" s="464" cm="1">
        <f t="array" ref="K25">IFERROR(INDEX(★原価率!$A$2:$E$50,MATCH($C25&amp;$H25,★原価率!$A$2:$A$50&amp;★原価率!$B$2:$B$50,0),5),0)</f>
        <v>100</v>
      </c>
      <c r="L25" s="528">
        <f>IFERROR(VLOOKUP(W25,★商品!$A$1:$H$1231,8,FALSE),0)</f>
        <v>2.8</v>
      </c>
      <c r="M25" s="203" t="str">
        <f ca="1">CONCATENATE(VLOOKUP(B25,★営業所!$A$2:$B$5,2,FALSE),TEXT(NOW(),"yyyy"))</f>
        <v>T2023</v>
      </c>
      <c r="N25" s="203">
        <v>1</v>
      </c>
      <c r="O25" s="203">
        <v>0</v>
      </c>
      <c r="P25" s="213">
        <f>申込書!$B$6</f>
        <v>0</v>
      </c>
      <c r="Q25" s="203">
        <f>申込書!$C$34</f>
        <v>1000040</v>
      </c>
      <c r="R25" s="203">
        <v>0</v>
      </c>
      <c r="U25" s="203">
        <f>VLOOKUP(B25,★営業所!$A$2:$C$5,3,FALSE)</f>
        <v>8</v>
      </c>
      <c r="V25" s="203">
        <f>申込書!$B$9</f>
        <v>0</v>
      </c>
      <c r="W25" s="203" t="str">
        <f>CONCATENATE(VLOOKUP(B25,★営業所!$A$2:$B$5,2,FALSE),VLOOKUP(申込書!$C$32,★サイズ表記!$D$4:$E$55,2,FALSE),VLOOKUP(D25,★折込地区!$A$2:$B$11,2,FALSE))</f>
        <v>T1001Tot</v>
      </c>
      <c r="X25" s="203" t="str">
        <f>CONCATENATE(申込書!$B$9," ",VLOOKUP(RIGHT(W25,3),★折込地区!$B$2:$C$10,2,FALSE),"")</f>
        <v xml:space="preserve"> 鳥取</v>
      </c>
      <c r="Z25" s="206">
        <f t="shared" ca="1" si="0"/>
        <v>0</v>
      </c>
      <c r="AB25" s="383">
        <f t="shared" si="1"/>
        <v>2.8</v>
      </c>
      <c r="AC25" s="203" t="str">
        <f t="shared" si="2"/>
        <v>G1001</v>
      </c>
      <c r="AD25" s="203" t="str">
        <f>VLOOKUP(AC25,★原価商品!$E$6:$F$349,2,FALSE)</f>
        <v>朝日/B4（折り無し）</v>
      </c>
      <c r="AE25" s="203">
        <f t="shared" ca="1" si="3"/>
        <v>0</v>
      </c>
      <c r="AF25" s="383">
        <f ca="1">IFERROR(IF(VLOOKUP(申込書!$C$32,★サイズ表記!$F$4:$H$55,3,FALSE)="切り捨て",ROUNDDOWN(L25*IF(AK25="◎",I25,J25)/100,2),IF(VLOOKUP(申込書!$C$32,★サイズ表記!$F$4:$H$55,3,FALSE)="切り上げ",ROUNDUP(L25*IF(AK25="◎",I25,J25)/100,2),ROUND(L25*IF(AK25="◎",I25,J25)/100,2))),0)</f>
        <v>2.35</v>
      </c>
      <c r="AG25" s="203">
        <f t="shared" ca="1" si="4"/>
        <v>0</v>
      </c>
      <c r="AJ25" s="460" t="str">
        <f>IFERROR(VLOOKUP(申込書!$C$30,★業種!$D$2:$E$87,2,FALSE),"")</f>
        <v>1003</v>
      </c>
      <c r="AK25" s="460" t="str">
        <f ca="1">IF(申込書!$C$36="◎",IF(OR(D25="浜坂・温泉",D25="美方・村岡",D25="香住",D25="岡山",D25="大阪"),"",IF(LEFT(F25)="D","◎",IF(AG25=0,"",IFERROR(IF(VLOOKUP(AG25,★仕入先!$A$2:$C$211,3,FALSE)=0,"","◎"),"")))),"")</f>
        <v/>
      </c>
      <c r="AL25" s="460">
        <f>申込書!$H$14</f>
        <v>0</v>
      </c>
      <c r="AM25" s="460" t="str">
        <f>申込書!$C$32</f>
        <v>B4（折り無し）</v>
      </c>
      <c r="AN25" s="460" t="str">
        <f>VLOOKUP(AM25,★サイズ表記!$D$4:$E$55,2,FALSE)</f>
        <v>1001</v>
      </c>
      <c r="AO25" s="460">
        <f>IF(C25&lt;&gt;"⑧兵庫",VLOOKUP(LEFT(F25),★新聞!$A$4:$B$12,2,FALSE),IF(LEFT(F25)&lt;&gt;"S",VLOOKUP(LEFT(F25),★新聞!$A$4:$B$12,2,FALSE),VLOOKUP("X",★新聞!$A$4:$B$12,2,FALSE)))</f>
        <v>2</v>
      </c>
      <c r="AP25" s="460" t="str">
        <f t="shared" ca="1" si="5"/>
        <v>0</v>
      </c>
      <c r="AQ25" s="460" t="str">
        <f>IF(申込書!$C$38="","",申込書!$C$38)</f>
        <v/>
      </c>
    </row>
    <row r="26" spans="1:43">
      <c r="A26" s="463">
        <f t="shared" si="6"/>
        <v>25</v>
      </c>
      <c r="B26" s="463" t="str">
        <f t="shared" si="7"/>
        <v>東部</v>
      </c>
      <c r="C26" s="464" t="s">
        <v>1101</v>
      </c>
      <c r="D26" s="464" t="s">
        <v>1022</v>
      </c>
      <c r="E26" s="464">
        <f>VLOOKUP(D26,★折込地区!$A$2:$D$10,4,FALSE)</f>
        <v>1</v>
      </c>
      <c r="F26" s="464" t="s">
        <v>407</v>
      </c>
      <c r="G26" s="464" t="str">
        <f>INDEX(★新聞!$E$4:$I$12, MATCH(LEFT(F26),★新聞!$A$4:$A$12,0), MATCH(LEFT(W26),★新聞!$E$3:$I$3,0))</f>
        <v>AA</v>
      </c>
      <c r="H26" s="475" t="s">
        <v>1104</v>
      </c>
      <c r="I26" s="464" cm="1">
        <f t="array" ref="I26">IFERROR(INDEX(★原価率!$A$2:$E$50,MATCH($C26&amp;$H26,★原価率!$A$2:$A$50&amp;★原価率!$B$2:$B$50,0),3),0)</f>
        <v>84</v>
      </c>
      <c r="J26" s="464" cm="1">
        <f t="array" ref="J26">IFERROR(INDEX(★原価率!$A$2:$E$50,MATCH($C26&amp;$H26,★原価率!$A$2:$A$50&amp;★原価率!$B$2:$B$50,0),4),0)</f>
        <v>84</v>
      </c>
      <c r="K26" s="464" cm="1">
        <f t="array" ref="K26">IFERROR(INDEX(★原価率!$A$2:$E$50,MATCH($C26&amp;$H26,★原価率!$A$2:$A$50&amp;★原価率!$B$2:$B$50,0),5),0)</f>
        <v>100</v>
      </c>
      <c r="L26" s="528">
        <f>IFERROR(VLOOKUP(W26,★商品!$A$1:$H$1231,8,FALSE),0)</f>
        <v>2.8</v>
      </c>
      <c r="M26" s="203" t="str">
        <f ca="1">CONCATENATE(VLOOKUP(B26,★営業所!$A$2:$B$5,2,FALSE),TEXT(NOW(),"yyyy"))</f>
        <v>T2023</v>
      </c>
      <c r="N26" s="203">
        <v>1</v>
      </c>
      <c r="O26" s="203">
        <v>0</v>
      </c>
      <c r="P26" s="213">
        <f>申込書!$B$6</f>
        <v>0</v>
      </c>
      <c r="Q26" s="203">
        <f>申込書!$C$34</f>
        <v>1000040</v>
      </c>
      <c r="R26" s="203">
        <v>0</v>
      </c>
      <c r="U26" s="203">
        <f>VLOOKUP(B26,★営業所!$A$2:$C$5,3,FALSE)</f>
        <v>8</v>
      </c>
      <c r="V26" s="203">
        <f>申込書!$B$9</f>
        <v>0</v>
      </c>
      <c r="W26" s="203" t="str">
        <f>CONCATENATE(VLOOKUP(B26,★営業所!$A$2:$B$5,2,FALSE),VLOOKUP(申込書!$C$32,★サイズ表記!$D$4:$E$55,2,FALSE),VLOOKUP(D26,★折込地区!$A$2:$B$11,2,FALSE))</f>
        <v>T1001Tot</v>
      </c>
      <c r="X26" s="203" t="str">
        <f>CONCATENATE(申込書!$B$9," ",VLOOKUP(RIGHT(W26,3),★折込地区!$B$2:$C$10,2,FALSE),"")</f>
        <v xml:space="preserve"> 鳥取</v>
      </c>
      <c r="Z26" s="206">
        <f t="shared" ca="1" si="0"/>
        <v>0</v>
      </c>
      <c r="AB26" s="383">
        <f t="shared" si="1"/>
        <v>2.8</v>
      </c>
      <c r="AC26" s="203" t="str">
        <f t="shared" si="2"/>
        <v>G1001</v>
      </c>
      <c r="AD26" s="203" t="str">
        <f>VLOOKUP(AC26,★原価商品!$E$6:$F$349,2,FALSE)</f>
        <v>朝日/B4（折り無し）</v>
      </c>
      <c r="AE26" s="203">
        <f t="shared" ca="1" si="3"/>
        <v>0</v>
      </c>
      <c r="AF26" s="383">
        <f ca="1">IFERROR(IF(VLOOKUP(申込書!$C$32,★サイズ表記!$F$4:$H$55,3,FALSE)="切り捨て",ROUNDDOWN(L26*IF(AK26="◎",I26,J26)/100,2),IF(VLOOKUP(申込書!$C$32,★サイズ表記!$F$4:$H$55,3,FALSE)="切り上げ",ROUNDUP(L26*IF(AK26="◎",I26,J26)/100,2),ROUND(L26*IF(AK26="◎",I26,J26)/100,2))),0)</f>
        <v>2.35</v>
      </c>
      <c r="AG26" s="203">
        <f t="shared" ca="1" si="4"/>
        <v>0</v>
      </c>
      <c r="AJ26" s="460" t="str">
        <f>IFERROR(VLOOKUP(申込書!$C$30,★業種!$D$2:$E$87,2,FALSE),"")</f>
        <v>1003</v>
      </c>
      <c r="AK26" s="460" t="str">
        <f ca="1">IF(申込書!$C$36="◎",IF(OR(D26="浜坂・温泉",D26="美方・村岡",D26="香住",D26="岡山",D26="大阪"),"",IF(LEFT(F26)="D","◎",IF(AG26=0,"",IFERROR(IF(VLOOKUP(AG26,★仕入先!$A$2:$C$211,3,FALSE)=0,"","◎"),"")))),"")</f>
        <v/>
      </c>
      <c r="AL26" s="460">
        <f>申込書!$H$14</f>
        <v>0</v>
      </c>
      <c r="AM26" s="460" t="str">
        <f>申込書!$C$32</f>
        <v>B4（折り無し）</v>
      </c>
      <c r="AN26" s="460" t="str">
        <f>VLOOKUP(AM26,★サイズ表記!$D$4:$E$55,2,FALSE)</f>
        <v>1001</v>
      </c>
      <c r="AO26" s="460">
        <f>IF(C26&lt;&gt;"⑧兵庫",VLOOKUP(LEFT(F26),★新聞!$A$4:$B$12,2,FALSE),IF(LEFT(F26)&lt;&gt;"S",VLOOKUP(LEFT(F26),★新聞!$A$4:$B$12,2,FALSE),VLOOKUP("X",★新聞!$A$4:$B$12,2,FALSE)))</f>
        <v>2</v>
      </c>
      <c r="AP26" s="460" t="str">
        <f t="shared" ca="1" si="5"/>
        <v>0</v>
      </c>
      <c r="AQ26" s="460" t="str">
        <f>IF(申込書!$C$38="","",申込書!$C$38)</f>
        <v/>
      </c>
    </row>
    <row r="27" spans="1:43">
      <c r="A27" s="463">
        <f t="shared" si="6"/>
        <v>26</v>
      </c>
      <c r="B27" s="463" t="str">
        <f t="shared" si="7"/>
        <v>東部</v>
      </c>
      <c r="C27" s="464" t="s">
        <v>1101</v>
      </c>
      <c r="D27" s="464" t="s">
        <v>1022</v>
      </c>
      <c r="E27" s="464">
        <f>VLOOKUP(D27,★折込地区!$A$2:$D$10,4,FALSE)</f>
        <v>1</v>
      </c>
      <c r="F27" s="464" t="s">
        <v>408</v>
      </c>
      <c r="G27" s="464" t="str">
        <f>INDEX(★新聞!$E$4:$I$12, MATCH(LEFT(F27),★新聞!$A$4:$A$12,0), MATCH(LEFT(W27),★新聞!$E$3:$I$3,0))</f>
        <v>AA</v>
      </c>
      <c r="H27" s="475" t="s">
        <v>1104</v>
      </c>
      <c r="I27" s="464" cm="1">
        <f t="array" ref="I27">IFERROR(INDEX(★原価率!$A$2:$E$50,MATCH($C27&amp;$H27,★原価率!$A$2:$A$50&amp;★原価率!$B$2:$B$50,0),3),0)</f>
        <v>84</v>
      </c>
      <c r="J27" s="464" cm="1">
        <f t="array" ref="J27">IFERROR(INDEX(★原価率!$A$2:$E$50,MATCH($C27&amp;$H27,★原価率!$A$2:$A$50&amp;★原価率!$B$2:$B$50,0),4),0)</f>
        <v>84</v>
      </c>
      <c r="K27" s="464" cm="1">
        <f t="array" ref="K27">IFERROR(INDEX(★原価率!$A$2:$E$50,MATCH($C27&amp;$H27,★原価率!$A$2:$A$50&amp;★原価率!$B$2:$B$50,0),5),0)</f>
        <v>100</v>
      </c>
      <c r="L27" s="528">
        <f>IFERROR(VLOOKUP(W27,★商品!$A$1:$H$1231,8,FALSE),0)</f>
        <v>2.8</v>
      </c>
      <c r="M27" s="203" t="str">
        <f ca="1">CONCATENATE(VLOOKUP(B27,★営業所!$A$2:$B$5,2,FALSE),TEXT(NOW(),"yyyy"))</f>
        <v>T2023</v>
      </c>
      <c r="N27" s="203">
        <v>1</v>
      </c>
      <c r="O27" s="203">
        <v>0</v>
      </c>
      <c r="P27" s="213">
        <f>申込書!$B$6</f>
        <v>0</v>
      </c>
      <c r="Q27" s="203">
        <f>申込書!$C$34</f>
        <v>1000040</v>
      </c>
      <c r="R27" s="203">
        <v>0</v>
      </c>
      <c r="U27" s="203">
        <f>VLOOKUP(B27,★営業所!$A$2:$C$5,3,FALSE)</f>
        <v>8</v>
      </c>
      <c r="V27" s="203">
        <f>申込書!$B$9</f>
        <v>0</v>
      </c>
      <c r="W27" s="203" t="str">
        <f>CONCATENATE(VLOOKUP(B27,★営業所!$A$2:$B$5,2,FALSE),VLOOKUP(申込書!$C$32,★サイズ表記!$D$4:$E$55,2,FALSE),VLOOKUP(D27,★折込地区!$A$2:$B$11,2,FALSE))</f>
        <v>T1001Tot</v>
      </c>
      <c r="X27" s="203" t="str">
        <f>CONCATENATE(申込書!$B$9," ",VLOOKUP(RIGHT(W27,3),★折込地区!$B$2:$C$10,2,FALSE),"")</f>
        <v xml:space="preserve"> 鳥取</v>
      </c>
      <c r="Z27" s="206">
        <f t="shared" ca="1" si="0"/>
        <v>0</v>
      </c>
      <c r="AB27" s="383">
        <f t="shared" si="1"/>
        <v>2.8</v>
      </c>
      <c r="AC27" s="203" t="str">
        <f t="shared" si="2"/>
        <v>G1001</v>
      </c>
      <c r="AD27" s="203" t="str">
        <f>VLOOKUP(AC27,★原価商品!$E$6:$F$349,2,FALSE)</f>
        <v>朝日/B4（折り無し）</v>
      </c>
      <c r="AE27" s="203">
        <f t="shared" ca="1" si="3"/>
        <v>0</v>
      </c>
      <c r="AF27" s="383">
        <f ca="1">IFERROR(IF(VLOOKUP(申込書!$C$32,★サイズ表記!$F$4:$H$55,3,FALSE)="切り捨て",ROUNDDOWN(L27*IF(AK27="◎",I27,J27)/100,2),IF(VLOOKUP(申込書!$C$32,★サイズ表記!$F$4:$H$55,3,FALSE)="切り上げ",ROUNDUP(L27*IF(AK27="◎",I27,J27)/100,2),ROUND(L27*IF(AK27="◎",I27,J27)/100,2))),0)</f>
        <v>2.35</v>
      </c>
      <c r="AG27" s="203">
        <f t="shared" ca="1" si="4"/>
        <v>0</v>
      </c>
      <c r="AJ27" s="460" t="str">
        <f>IFERROR(VLOOKUP(申込書!$C$30,★業種!$D$2:$E$87,2,FALSE),"")</f>
        <v>1003</v>
      </c>
      <c r="AK27" s="460" t="str">
        <f ca="1">IF(申込書!$C$36="◎",IF(OR(D27="浜坂・温泉",D27="美方・村岡",D27="香住",D27="岡山",D27="大阪"),"",IF(LEFT(F27)="D","◎",IF(AG27=0,"",IFERROR(IF(VLOOKUP(AG27,★仕入先!$A$2:$C$211,3,FALSE)=0,"","◎"),"")))),"")</f>
        <v/>
      </c>
      <c r="AL27" s="460">
        <f>申込書!$H$14</f>
        <v>0</v>
      </c>
      <c r="AM27" s="460" t="str">
        <f>申込書!$C$32</f>
        <v>B4（折り無し）</v>
      </c>
      <c r="AN27" s="460" t="str">
        <f>VLOOKUP(AM27,★サイズ表記!$D$4:$E$55,2,FALSE)</f>
        <v>1001</v>
      </c>
      <c r="AO27" s="460">
        <f>IF(C27&lt;&gt;"⑧兵庫",VLOOKUP(LEFT(F27),★新聞!$A$4:$B$12,2,FALSE),IF(LEFT(F27)&lt;&gt;"S",VLOOKUP(LEFT(F27),★新聞!$A$4:$B$12,2,FALSE),VLOOKUP("X",★新聞!$A$4:$B$12,2,FALSE)))</f>
        <v>2</v>
      </c>
      <c r="AP27" s="460" t="str">
        <f t="shared" ca="1" si="5"/>
        <v>0</v>
      </c>
      <c r="AQ27" s="460" t="str">
        <f>IF(申込書!$C$38="","",申込書!$C$38)</f>
        <v/>
      </c>
    </row>
    <row r="28" spans="1:43">
      <c r="A28" s="463">
        <f t="shared" si="6"/>
        <v>27</v>
      </c>
      <c r="B28" s="463" t="str">
        <f t="shared" si="7"/>
        <v>東部</v>
      </c>
      <c r="C28" s="464" t="s">
        <v>1101</v>
      </c>
      <c r="D28" s="464" t="s">
        <v>1022</v>
      </c>
      <c r="E28" s="464">
        <f>VLOOKUP(D28,★折込地区!$A$2:$D$10,4,FALSE)</f>
        <v>1</v>
      </c>
      <c r="F28" s="464" t="s">
        <v>409</v>
      </c>
      <c r="G28" s="464" t="str">
        <f>INDEX(★新聞!$E$4:$I$12, MATCH(LEFT(F28),★新聞!$A$4:$A$12,0), MATCH(LEFT(W28),★新聞!$E$3:$I$3,0))</f>
        <v>AA</v>
      </c>
      <c r="H28" s="475" t="s">
        <v>1104</v>
      </c>
      <c r="I28" s="464" cm="1">
        <f t="array" ref="I28">IFERROR(INDEX(★原価率!$A$2:$E$50,MATCH($C28&amp;$H28,★原価率!$A$2:$A$50&amp;★原価率!$B$2:$B$50,0),3),0)</f>
        <v>84</v>
      </c>
      <c r="J28" s="464" cm="1">
        <f t="array" ref="J28">IFERROR(INDEX(★原価率!$A$2:$E$50,MATCH($C28&amp;$H28,★原価率!$A$2:$A$50&amp;★原価率!$B$2:$B$50,0),4),0)</f>
        <v>84</v>
      </c>
      <c r="K28" s="464" cm="1">
        <f t="array" ref="K28">IFERROR(INDEX(★原価率!$A$2:$E$50,MATCH($C28&amp;$H28,★原価率!$A$2:$A$50&amp;★原価率!$B$2:$B$50,0),5),0)</f>
        <v>100</v>
      </c>
      <c r="L28" s="528">
        <f>IFERROR(VLOOKUP(W28,★商品!$A$1:$H$1231,8,FALSE),0)</f>
        <v>2.8</v>
      </c>
      <c r="M28" s="203" t="str">
        <f ca="1">CONCATENATE(VLOOKUP(B28,★営業所!$A$2:$B$5,2,FALSE),TEXT(NOW(),"yyyy"))</f>
        <v>T2023</v>
      </c>
      <c r="N28" s="203">
        <v>1</v>
      </c>
      <c r="O28" s="203">
        <v>0</v>
      </c>
      <c r="P28" s="213">
        <f>申込書!$B$6</f>
        <v>0</v>
      </c>
      <c r="Q28" s="203">
        <f>申込書!$C$34</f>
        <v>1000040</v>
      </c>
      <c r="R28" s="203">
        <v>0</v>
      </c>
      <c r="U28" s="203">
        <f>VLOOKUP(B28,★営業所!$A$2:$C$5,3,FALSE)</f>
        <v>8</v>
      </c>
      <c r="V28" s="203">
        <f>申込書!$B$9</f>
        <v>0</v>
      </c>
      <c r="W28" s="203" t="str">
        <f>CONCATENATE(VLOOKUP(B28,★営業所!$A$2:$B$5,2,FALSE),VLOOKUP(申込書!$C$32,★サイズ表記!$D$4:$E$55,2,FALSE),VLOOKUP(D28,★折込地区!$A$2:$B$11,2,FALSE))</f>
        <v>T1001Tot</v>
      </c>
      <c r="X28" s="203" t="str">
        <f>CONCATENATE(申込書!$B$9," ",VLOOKUP(RIGHT(W28,3),★折込地区!$B$2:$C$10,2,FALSE),"")</f>
        <v xml:space="preserve"> 鳥取</v>
      </c>
      <c r="Z28" s="206">
        <f t="shared" ca="1" si="0"/>
        <v>0</v>
      </c>
      <c r="AB28" s="383">
        <f t="shared" si="1"/>
        <v>2.8</v>
      </c>
      <c r="AC28" s="203" t="str">
        <f t="shared" si="2"/>
        <v>G1001</v>
      </c>
      <c r="AD28" s="203" t="str">
        <f>VLOOKUP(AC28,★原価商品!$E$6:$F$349,2,FALSE)</f>
        <v>朝日/B4（折り無し）</v>
      </c>
      <c r="AE28" s="203">
        <f t="shared" ca="1" si="3"/>
        <v>0</v>
      </c>
      <c r="AF28" s="383">
        <f ca="1">IFERROR(IF(VLOOKUP(申込書!$C$32,★サイズ表記!$F$4:$H$55,3,FALSE)="切り捨て",ROUNDDOWN(L28*IF(AK28="◎",I28,J28)/100,2),IF(VLOOKUP(申込書!$C$32,★サイズ表記!$F$4:$H$55,3,FALSE)="切り上げ",ROUNDUP(L28*IF(AK28="◎",I28,J28)/100,2),ROUND(L28*IF(AK28="◎",I28,J28)/100,2))),0)</f>
        <v>2.35</v>
      </c>
      <c r="AG28" s="203">
        <f t="shared" ca="1" si="4"/>
        <v>0</v>
      </c>
      <c r="AJ28" s="460" t="str">
        <f>IFERROR(VLOOKUP(申込書!$C$30,★業種!$D$2:$E$87,2,FALSE),"")</f>
        <v>1003</v>
      </c>
      <c r="AK28" s="460" t="str">
        <f ca="1">IF(申込書!$C$36="◎",IF(OR(D28="浜坂・温泉",D28="美方・村岡",D28="香住",D28="岡山",D28="大阪"),"",IF(LEFT(F28)="D","◎",IF(AG28=0,"",IFERROR(IF(VLOOKUP(AG28,★仕入先!$A$2:$C$211,3,FALSE)=0,"","◎"),"")))),"")</f>
        <v/>
      </c>
      <c r="AL28" s="460">
        <f>申込書!$H$14</f>
        <v>0</v>
      </c>
      <c r="AM28" s="460" t="str">
        <f>申込書!$C$32</f>
        <v>B4（折り無し）</v>
      </c>
      <c r="AN28" s="460" t="str">
        <f>VLOOKUP(AM28,★サイズ表記!$D$4:$E$55,2,FALSE)</f>
        <v>1001</v>
      </c>
      <c r="AO28" s="460">
        <f>IF(C28&lt;&gt;"⑧兵庫",VLOOKUP(LEFT(F28),★新聞!$A$4:$B$12,2,FALSE),IF(LEFT(F28)&lt;&gt;"S",VLOOKUP(LEFT(F28),★新聞!$A$4:$B$12,2,FALSE),VLOOKUP("X",★新聞!$A$4:$B$12,2,FALSE)))</f>
        <v>2</v>
      </c>
      <c r="AP28" s="460" t="str">
        <f t="shared" ca="1" si="5"/>
        <v>0</v>
      </c>
      <c r="AQ28" s="460" t="str">
        <f>IF(申込書!$C$38="","",申込書!$C$38)</f>
        <v/>
      </c>
    </row>
    <row r="29" spans="1:43">
      <c r="A29" s="463">
        <f t="shared" si="6"/>
        <v>28</v>
      </c>
      <c r="B29" s="463" t="str">
        <f t="shared" si="7"/>
        <v>東部</v>
      </c>
      <c r="C29" s="464" t="s">
        <v>1101</v>
      </c>
      <c r="D29" s="464" t="s">
        <v>1022</v>
      </c>
      <c r="E29" s="464">
        <f>VLOOKUP(D29,★折込地区!$A$2:$D$10,4,FALSE)</f>
        <v>1</v>
      </c>
      <c r="F29" s="464" t="s">
        <v>410</v>
      </c>
      <c r="G29" s="464" t="str">
        <f>INDEX(★新聞!$E$4:$I$12, MATCH(LEFT(F29),★新聞!$A$4:$A$12,0), MATCH(LEFT(W29),★新聞!$E$3:$I$3,0))</f>
        <v>AA</v>
      </c>
      <c r="H29" s="475" t="s">
        <v>1104</v>
      </c>
      <c r="I29" s="464" cm="1">
        <f t="array" ref="I29">IFERROR(INDEX(★原価率!$A$2:$E$50,MATCH($C29&amp;$H29,★原価率!$A$2:$A$50&amp;★原価率!$B$2:$B$50,0),3),0)</f>
        <v>84</v>
      </c>
      <c r="J29" s="464" cm="1">
        <f t="array" ref="J29">IFERROR(INDEX(★原価率!$A$2:$E$50,MATCH($C29&amp;$H29,★原価率!$A$2:$A$50&amp;★原価率!$B$2:$B$50,0),4),0)</f>
        <v>84</v>
      </c>
      <c r="K29" s="464" cm="1">
        <f t="array" ref="K29">IFERROR(INDEX(★原価率!$A$2:$E$50,MATCH($C29&amp;$H29,★原価率!$A$2:$A$50&amp;★原価率!$B$2:$B$50,0),5),0)</f>
        <v>100</v>
      </c>
      <c r="L29" s="528">
        <f>IFERROR(VLOOKUP(W29,★商品!$A$1:$H$1231,8,FALSE),0)</f>
        <v>2.8</v>
      </c>
      <c r="M29" s="203" t="str">
        <f ca="1">CONCATENATE(VLOOKUP(B29,★営業所!$A$2:$B$5,2,FALSE),TEXT(NOW(),"yyyy"))</f>
        <v>T2023</v>
      </c>
      <c r="N29" s="203">
        <v>1</v>
      </c>
      <c r="O29" s="203">
        <v>0</v>
      </c>
      <c r="P29" s="213">
        <f>申込書!$B$6</f>
        <v>0</v>
      </c>
      <c r="Q29" s="203">
        <f>申込書!$C$34</f>
        <v>1000040</v>
      </c>
      <c r="R29" s="203">
        <v>0</v>
      </c>
      <c r="U29" s="203">
        <f>VLOOKUP(B29,★営業所!$A$2:$C$5,3,FALSE)</f>
        <v>8</v>
      </c>
      <c r="V29" s="203">
        <f>申込書!$B$9</f>
        <v>0</v>
      </c>
      <c r="W29" s="203" t="str">
        <f>CONCATENATE(VLOOKUP(B29,★営業所!$A$2:$B$5,2,FALSE),VLOOKUP(申込書!$C$32,★サイズ表記!$D$4:$E$55,2,FALSE),VLOOKUP(D29,★折込地区!$A$2:$B$11,2,FALSE))</f>
        <v>T1001Tot</v>
      </c>
      <c r="X29" s="203" t="str">
        <f>CONCATENATE(申込書!$B$9," ",VLOOKUP(RIGHT(W29,3),★折込地区!$B$2:$C$10,2,FALSE),"")</f>
        <v xml:space="preserve"> 鳥取</v>
      </c>
      <c r="Z29" s="206">
        <f t="shared" ca="1" si="0"/>
        <v>0</v>
      </c>
      <c r="AB29" s="383">
        <f t="shared" si="1"/>
        <v>2.8</v>
      </c>
      <c r="AC29" s="203" t="str">
        <f t="shared" si="2"/>
        <v>G1001</v>
      </c>
      <c r="AD29" s="203" t="str">
        <f>VLOOKUP(AC29,★原価商品!$E$6:$F$349,2,FALSE)</f>
        <v>朝日/B4（折り無し）</v>
      </c>
      <c r="AE29" s="203">
        <f t="shared" ca="1" si="3"/>
        <v>0</v>
      </c>
      <c r="AF29" s="383">
        <f ca="1">IFERROR(IF(VLOOKUP(申込書!$C$32,★サイズ表記!$F$4:$H$55,3,FALSE)="切り捨て",ROUNDDOWN(L29*IF(AK29="◎",I29,J29)/100,2),IF(VLOOKUP(申込書!$C$32,★サイズ表記!$F$4:$H$55,3,FALSE)="切り上げ",ROUNDUP(L29*IF(AK29="◎",I29,J29)/100,2),ROUND(L29*IF(AK29="◎",I29,J29)/100,2))),0)</f>
        <v>2.35</v>
      </c>
      <c r="AG29" s="203">
        <f t="shared" ca="1" si="4"/>
        <v>0</v>
      </c>
      <c r="AJ29" s="460" t="str">
        <f>IFERROR(VLOOKUP(申込書!$C$30,★業種!$D$2:$E$87,2,FALSE),"")</f>
        <v>1003</v>
      </c>
      <c r="AK29" s="460" t="str">
        <f ca="1">IF(申込書!$C$36="◎",IF(OR(D29="浜坂・温泉",D29="美方・村岡",D29="香住",D29="岡山",D29="大阪"),"",IF(LEFT(F29)="D","◎",IF(AG29=0,"",IFERROR(IF(VLOOKUP(AG29,★仕入先!$A$2:$C$211,3,FALSE)=0,"","◎"),"")))),"")</f>
        <v/>
      </c>
      <c r="AL29" s="460">
        <f>申込書!$H$14</f>
        <v>0</v>
      </c>
      <c r="AM29" s="460" t="str">
        <f>申込書!$C$32</f>
        <v>B4（折り無し）</v>
      </c>
      <c r="AN29" s="460" t="str">
        <f>VLOOKUP(AM29,★サイズ表記!$D$4:$E$55,2,FALSE)</f>
        <v>1001</v>
      </c>
      <c r="AO29" s="460">
        <f>IF(C29&lt;&gt;"⑧兵庫",VLOOKUP(LEFT(F29),★新聞!$A$4:$B$12,2,FALSE),IF(LEFT(F29)&lt;&gt;"S",VLOOKUP(LEFT(F29),★新聞!$A$4:$B$12,2,FALSE),VLOOKUP("X",★新聞!$A$4:$B$12,2,FALSE)))</f>
        <v>2</v>
      </c>
      <c r="AP29" s="460" t="str">
        <f t="shared" ca="1" si="5"/>
        <v>0</v>
      </c>
      <c r="AQ29" s="460" t="str">
        <f>IF(申込書!$C$38="","",申込書!$C$38)</f>
        <v/>
      </c>
    </row>
    <row r="30" spans="1:43">
      <c r="A30" s="463">
        <f t="shared" si="6"/>
        <v>29</v>
      </c>
      <c r="B30" s="463" t="str">
        <f t="shared" si="7"/>
        <v>東部</v>
      </c>
      <c r="C30" s="464" t="s">
        <v>1101</v>
      </c>
      <c r="D30" s="464" t="s">
        <v>1022</v>
      </c>
      <c r="E30" s="464">
        <f>VLOOKUP(D30,★折込地区!$A$2:$D$10,4,FALSE)</f>
        <v>1</v>
      </c>
      <c r="F30" s="464" t="s">
        <v>411</v>
      </c>
      <c r="G30" s="464" t="str">
        <f>INDEX(★新聞!$E$4:$I$12, MATCH(LEFT(F30),★新聞!$A$4:$A$12,0), MATCH(LEFT(W30),★新聞!$E$3:$I$3,0))</f>
        <v>AA</v>
      </c>
      <c r="H30" s="475" t="s">
        <v>1104</v>
      </c>
      <c r="I30" s="464" cm="1">
        <f t="array" ref="I30">IFERROR(INDEX(★原価率!$A$2:$E$50,MATCH($C30&amp;$H30,★原価率!$A$2:$A$50&amp;★原価率!$B$2:$B$50,0),3),0)</f>
        <v>84</v>
      </c>
      <c r="J30" s="464" cm="1">
        <f t="array" ref="J30">IFERROR(INDEX(★原価率!$A$2:$E$50,MATCH($C30&amp;$H30,★原価率!$A$2:$A$50&amp;★原価率!$B$2:$B$50,0),4),0)</f>
        <v>84</v>
      </c>
      <c r="K30" s="464" cm="1">
        <f t="array" ref="K30">IFERROR(INDEX(★原価率!$A$2:$E$50,MATCH($C30&amp;$H30,★原価率!$A$2:$A$50&amp;★原価率!$B$2:$B$50,0),5),0)</f>
        <v>100</v>
      </c>
      <c r="L30" s="528">
        <f>IFERROR(VLOOKUP(W30,★商品!$A$1:$H$1231,8,FALSE),0)</f>
        <v>2.8</v>
      </c>
      <c r="M30" s="203" t="str">
        <f ca="1">CONCATENATE(VLOOKUP(B30,★営業所!$A$2:$B$5,2,FALSE),TEXT(NOW(),"yyyy"))</f>
        <v>T2023</v>
      </c>
      <c r="N30" s="203">
        <v>1</v>
      </c>
      <c r="O30" s="203">
        <v>0</v>
      </c>
      <c r="P30" s="213">
        <f>申込書!$B$6</f>
        <v>0</v>
      </c>
      <c r="Q30" s="203">
        <f>申込書!$C$34</f>
        <v>1000040</v>
      </c>
      <c r="R30" s="203">
        <v>0</v>
      </c>
      <c r="U30" s="203">
        <f>VLOOKUP(B30,★営業所!$A$2:$C$5,3,FALSE)</f>
        <v>8</v>
      </c>
      <c r="V30" s="203">
        <f>申込書!$B$9</f>
        <v>0</v>
      </c>
      <c r="W30" s="203" t="str">
        <f>CONCATENATE(VLOOKUP(B30,★営業所!$A$2:$B$5,2,FALSE),VLOOKUP(申込書!$C$32,★サイズ表記!$D$4:$E$55,2,FALSE),VLOOKUP(D30,★折込地区!$A$2:$B$11,2,FALSE))</f>
        <v>T1001Tot</v>
      </c>
      <c r="X30" s="203" t="str">
        <f>CONCATENATE(申込書!$B$9," ",VLOOKUP(RIGHT(W30,3),★折込地区!$B$2:$C$10,2,FALSE),"")</f>
        <v xml:space="preserve"> 鳥取</v>
      </c>
      <c r="Z30" s="206">
        <f t="shared" ca="1" si="0"/>
        <v>0</v>
      </c>
      <c r="AB30" s="383">
        <f t="shared" si="1"/>
        <v>2.8</v>
      </c>
      <c r="AC30" s="203" t="str">
        <f t="shared" si="2"/>
        <v>G1001</v>
      </c>
      <c r="AD30" s="203" t="str">
        <f>VLOOKUP(AC30,★原価商品!$E$6:$F$349,2,FALSE)</f>
        <v>朝日/B4（折り無し）</v>
      </c>
      <c r="AE30" s="203">
        <f t="shared" ca="1" si="3"/>
        <v>0</v>
      </c>
      <c r="AF30" s="383">
        <f ca="1">IFERROR(IF(VLOOKUP(申込書!$C$32,★サイズ表記!$F$4:$H$55,3,FALSE)="切り捨て",ROUNDDOWN(L30*IF(AK30="◎",I30,J30)/100,2),IF(VLOOKUP(申込書!$C$32,★サイズ表記!$F$4:$H$55,3,FALSE)="切り上げ",ROUNDUP(L30*IF(AK30="◎",I30,J30)/100,2),ROUND(L30*IF(AK30="◎",I30,J30)/100,2))),0)</f>
        <v>2.35</v>
      </c>
      <c r="AG30" s="203">
        <f t="shared" ca="1" si="4"/>
        <v>0</v>
      </c>
      <c r="AJ30" s="460" t="str">
        <f>IFERROR(VLOOKUP(申込書!$C$30,★業種!$D$2:$E$87,2,FALSE),"")</f>
        <v>1003</v>
      </c>
      <c r="AK30" s="460" t="str">
        <f ca="1">IF(申込書!$C$36="◎",IF(OR(D30="浜坂・温泉",D30="美方・村岡",D30="香住",D30="岡山",D30="大阪"),"",IF(LEFT(F30)="D","◎",IF(AG30=0,"",IFERROR(IF(VLOOKUP(AG30,★仕入先!$A$2:$C$211,3,FALSE)=0,"","◎"),"")))),"")</f>
        <v/>
      </c>
      <c r="AL30" s="460">
        <f>申込書!$H$14</f>
        <v>0</v>
      </c>
      <c r="AM30" s="460" t="str">
        <f>申込書!$C$32</f>
        <v>B4（折り無し）</v>
      </c>
      <c r="AN30" s="460" t="str">
        <f>VLOOKUP(AM30,★サイズ表記!$D$4:$E$55,2,FALSE)</f>
        <v>1001</v>
      </c>
      <c r="AO30" s="460">
        <f>IF(C30&lt;&gt;"⑧兵庫",VLOOKUP(LEFT(F30),★新聞!$A$4:$B$12,2,FALSE),IF(LEFT(F30)&lt;&gt;"S",VLOOKUP(LEFT(F30),★新聞!$A$4:$B$12,2,FALSE),VLOOKUP("X",★新聞!$A$4:$B$12,2,FALSE)))</f>
        <v>2</v>
      </c>
      <c r="AP30" s="460" t="str">
        <f t="shared" ca="1" si="5"/>
        <v>0</v>
      </c>
      <c r="AQ30" s="460" t="str">
        <f>IF(申込書!$C$38="","",申込書!$C$38)</f>
        <v/>
      </c>
    </row>
    <row r="31" spans="1:43">
      <c r="A31" s="463">
        <f t="shared" si="6"/>
        <v>30</v>
      </c>
      <c r="B31" s="463" t="str">
        <f t="shared" si="7"/>
        <v>東部</v>
      </c>
      <c r="C31" s="464" t="s">
        <v>1101</v>
      </c>
      <c r="D31" s="464" t="s">
        <v>1022</v>
      </c>
      <c r="E31" s="464">
        <f>VLOOKUP(D31,★折込地区!$A$2:$D$10,4,FALSE)</f>
        <v>1</v>
      </c>
      <c r="F31" s="464" t="s">
        <v>412</v>
      </c>
      <c r="G31" s="464" t="str">
        <f>INDEX(★新聞!$E$4:$I$12, MATCH(LEFT(F31),★新聞!$A$4:$A$12,0), MATCH(LEFT(W31),★新聞!$E$3:$I$3,0))</f>
        <v>AA</v>
      </c>
      <c r="H31" s="475" t="s">
        <v>1104</v>
      </c>
      <c r="I31" s="464" cm="1">
        <f t="array" ref="I31">IFERROR(INDEX(★原価率!$A$2:$E$50,MATCH($C31&amp;$H31,★原価率!$A$2:$A$50&amp;★原価率!$B$2:$B$50,0),3),0)</f>
        <v>84</v>
      </c>
      <c r="J31" s="464" cm="1">
        <f t="array" ref="J31">IFERROR(INDEX(★原価率!$A$2:$E$50,MATCH($C31&amp;$H31,★原価率!$A$2:$A$50&amp;★原価率!$B$2:$B$50,0),4),0)</f>
        <v>84</v>
      </c>
      <c r="K31" s="464" cm="1">
        <f t="array" ref="K31">IFERROR(INDEX(★原価率!$A$2:$E$50,MATCH($C31&amp;$H31,★原価率!$A$2:$A$50&amp;★原価率!$B$2:$B$50,0),5),0)</f>
        <v>100</v>
      </c>
      <c r="L31" s="528">
        <f>IFERROR(VLOOKUP(W31,★商品!$A$1:$H$1231,8,FALSE),0)</f>
        <v>2.8</v>
      </c>
      <c r="M31" s="203" t="str">
        <f ca="1">CONCATENATE(VLOOKUP(B31,★営業所!$A$2:$B$5,2,FALSE),TEXT(NOW(),"yyyy"))</f>
        <v>T2023</v>
      </c>
      <c r="N31" s="203">
        <v>1</v>
      </c>
      <c r="O31" s="203">
        <v>0</v>
      </c>
      <c r="P31" s="213">
        <f>申込書!$B$6</f>
        <v>0</v>
      </c>
      <c r="Q31" s="203">
        <f>申込書!$C$34</f>
        <v>1000040</v>
      </c>
      <c r="R31" s="203">
        <v>0</v>
      </c>
      <c r="U31" s="203">
        <f>VLOOKUP(B31,★営業所!$A$2:$C$5,3,FALSE)</f>
        <v>8</v>
      </c>
      <c r="V31" s="203">
        <f>申込書!$B$9</f>
        <v>0</v>
      </c>
      <c r="W31" s="203" t="str">
        <f>CONCATENATE(VLOOKUP(B31,★営業所!$A$2:$B$5,2,FALSE),VLOOKUP(申込書!$C$32,★サイズ表記!$D$4:$E$55,2,FALSE),VLOOKUP(D31,★折込地区!$A$2:$B$11,2,FALSE))</f>
        <v>T1001Tot</v>
      </c>
      <c r="X31" s="203" t="str">
        <f>CONCATENATE(申込書!$B$9," ",VLOOKUP(RIGHT(W31,3),★折込地区!$B$2:$C$10,2,FALSE),"")</f>
        <v xml:space="preserve"> 鳥取</v>
      </c>
      <c r="Z31" s="206">
        <f t="shared" ca="1" si="0"/>
        <v>0</v>
      </c>
      <c r="AB31" s="383">
        <f t="shared" si="1"/>
        <v>2.8</v>
      </c>
      <c r="AC31" s="203" t="str">
        <f t="shared" si="2"/>
        <v>G1001</v>
      </c>
      <c r="AD31" s="203" t="str">
        <f>VLOOKUP(AC31,★原価商品!$E$6:$F$349,2,FALSE)</f>
        <v>朝日/B4（折り無し）</v>
      </c>
      <c r="AE31" s="203">
        <f t="shared" ca="1" si="3"/>
        <v>0</v>
      </c>
      <c r="AF31" s="383">
        <f ca="1">IFERROR(IF(VLOOKUP(申込書!$C$32,★サイズ表記!$F$4:$H$55,3,FALSE)="切り捨て",ROUNDDOWN(L31*IF(AK31="◎",I31,J31)/100,2),IF(VLOOKUP(申込書!$C$32,★サイズ表記!$F$4:$H$55,3,FALSE)="切り上げ",ROUNDUP(L31*IF(AK31="◎",I31,J31)/100,2),ROUND(L31*IF(AK31="◎",I31,J31)/100,2))),0)</f>
        <v>2.35</v>
      </c>
      <c r="AG31" s="203">
        <f t="shared" ca="1" si="4"/>
        <v>0</v>
      </c>
      <c r="AJ31" s="460" t="str">
        <f>IFERROR(VLOOKUP(申込書!$C$30,★業種!$D$2:$E$87,2,FALSE),"")</f>
        <v>1003</v>
      </c>
      <c r="AK31" s="460" t="str">
        <f ca="1">IF(申込書!$C$36="◎",IF(OR(D31="浜坂・温泉",D31="美方・村岡",D31="香住",D31="岡山",D31="大阪"),"",IF(LEFT(F31)="D","◎",IF(AG31=0,"",IFERROR(IF(VLOOKUP(AG31,★仕入先!$A$2:$C$211,3,FALSE)=0,"","◎"),"")))),"")</f>
        <v/>
      </c>
      <c r="AL31" s="460">
        <f>申込書!$H$14</f>
        <v>0</v>
      </c>
      <c r="AM31" s="460" t="str">
        <f>申込書!$C$32</f>
        <v>B4（折り無し）</v>
      </c>
      <c r="AN31" s="460" t="str">
        <f>VLOOKUP(AM31,★サイズ表記!$D$4:$E$55,2,FALSE)</f>
        <v>1001</v>
      </c>
      <c r="AO31" s="460">
        <f>IF(C31&lt;&gt;"⑧兵庫",VLOOKUP(LEFT(F31),★新聞!$A$4:$B$12,2,FALSE),IF(LEFT(F31)&lt;&gt;"S",VLOOKUP(LEFT(F31),★新聞!$A$4:$B$12,2,FALSE),VLOOKUP("X",★新聞!$A$4:$B$12,2,FALSE)))</f>
        <v>2</v>
      </c>
      <c r="AP31" s="460" t="str">
        <f t="shared" ca="1" si="5"/>
        <v>0</v>
      </c>
      <c r="AQ31" s="460" t="str">
        <f>IF(申込書!$C$38="","",申込書!$C$38)</f>
        <v/>
      </c>
    </row>
    <row r="32" spans="1:43">
      <c r="A32" s="463">
        <f t="shared" si="6"/>
        <v>31</v>
      </c>
      <c r="B32" s="463" t="str">
        <f t="shared" si="7"/>
        <v>東部</v>
      </c>
      <c r="C32" s="464" t="s">
        <v>1101</v>
      </c>
      <c r="D32" s="464" t="s">
        <v>1022</v>
      </c>
      <c r="E32" s="464">
        <f>VLOOKUP(D32,★折込地区!$A$2:$D$10,4,FALSE)</f>
        <v>1</v>
      </c>
      <c r="F32" s="464" t="s">
        <v>413</v>
      </c>
      <c r="G32" s="464" t="str">
        <f>INDEX(★新聞!$E$4:$I$12, MATCH(LEFT(F32),★新聞!$A$4:$A$12,0), MATCH(LEFT(W32),★新聞!$E$3:$I$3,0))</f>
        <v>AA</v>
      </c>
      <c r="H32" s="475" t="s">
        <v>1104</v>
      </c>
      <c r="I32" s="464" cm="1">
        <f t="array" ref="I32">IFERROR(INDEX(★原価率!$A$2:$E$50,MATCH($C32&amp;$H32,★原価率!$A$2:$A$50&amp;★原価率!$B$2:$B$50,0),3),0)</f>
        <v>84</v>
      </c>
      <c r="J32" s="464" cm="1">
        <f t="array" ref="J32">IFERROR(INDEX(★原価率!$A$2:$E$50,MATCH($C32&amp;$H32,★原価率!$A$2:$A$50&amp;★原価率!$B$2:$B$50,0),4),0)</f>
        <v>84</v>
      </c>
      <c r="K32" s="464" cm="1">
        <f t="array" ref="K32">IFERROR(INDEX(★原価率!$A$2:$E$50,MATCH($C32&amp;$H32,★原価率!$A$2:$A$50&amp;★原価率!$B$2:$B$50,0),5),0)</f>
        <v>100</v>
      </c>
      <c r="L32" s="528">
        <f>IFERROR(VLOOKUP(W32,★商品!$A$1:$H$1231,8,FALSE),0)</f>
        <v>2.8</v>
      </c>
      <c r="M32" s="203" t="str">
        <f ca="1">CONCATENATE(VLOOKUP(B32,★営業所!$A$2:$B$5,2,FALSE),TEXT(NOW(),"yyyy"))</f>
        <v>T2023</v>
      </c>
      <c r="N32" s="203">
        <v>1</v>
      </c>
      <c r="O32" s="203">
        <v>0</v>
      </c>
      <c r="P32" s="213">
        <f>申込書!$B$6</f>
        <v>0</v>
      </c>
      <c r="Q32" s="203">
        <f>申込書!$C$34</f>
        <v>1000040</v>
      </c>
      <c r="R32" s="203">
        <v>0</v>
      </c>
      <c r="U32" s="203">
        <f>VLOOKUP(B32,★営業所!$A$2:$C$5,3,FALSE)</f>
        <v>8</v>
      </c>
      <c r="V32" s="203">
        <f>申込書!$B$9</f>
        <v>0</v>
      </c>
      <c r="W32" s="203" t="str">
        <f>CONCATENATE(VLOOKUP(B32,★営業所!$A$2:$B$5,2,FALSE),VLOOKUP(申込書!$C$32,★サイズ表記!$D$4:$E$55,2,FALSE),VLOOKUP(D32,★折込地区!$A$2:$B$11,2,FALSE))</f>
        <v>T1001Tot</v>
      </c>
      <c r="X32" s="203" t="str">
        <f>CONCATENATE(申込書!$B$9," ",VLOOKUP(RIGHT(W32,3),★折込地区!$B$2:$C$10,2,FALSE),"")</f>
        <v xml:space="preserve"> 鳥取</v>
      </c>
      <c r="Z32" s="206">
        <f t="shared" ca="1" si="0"/>
        <v>0</v>
      </c>
      <c r="AB32" s="383">
        <f t="shared" si="1"/>
        <v>2.8</v>
      </c>
      <c r="AC32" s="203" t="str">
        <f t="shared" si="2"/>
        <v>G1001</v>
      </c>
      <c r="AD32" s="203" t="str">
        <f>VLOOKUP(AC32,★原価商品!$E$6:$F$349,2,FALSE)</f>
        <v>朝日/B4（折り無し）</v>
      </c>
      <c r="AE32" s="203">
        <f t="shared" ca="1" si="3"/>
        <v>0</v>
      </c>
      <c r="AF32" s="383">
        <f ca="1">IFERROR(IF(VLOOKUP(申込書!$C$32,★サイズ表記!$F$4:$H$55,3,FALSE)="切り捨て",ROUNDDOWN(L32*IF(AK32="◎",I32,J32)/100,2),IF(VLOOKUP(申込書!$C$32,★サイズ表記!$F$4:$H$55,3,FALSE)="切り上げ",ROUNDUP(L32*IF(AK32="◎",I32,J32)/100,2),ROUND(L32*IF(AK32="◎",I32,J32)/100,2))),0)</f>
        <v>2.35</v>
      </c>
      <c r="AG32" s="203">
        <f t="shared" ca="1" si="4"/>
        <v>10114</v>
      </c>
      <c r="AJ32" s="460" t="str">
        <f>IFERROR(VLOOKUP(申込書!$C$30,★業種!$D$2:$E$87,2,FALSE),"")</f>
        <v>1003</v>
      </c>
      <c r="AK32" s="460" t="str">
        <f ca="1">IF(申込書!$C$36="◎",IF(OR(D32="浜坂・温泉",D32="美方・村岡",D32="香住",D32="岡山",D32="大阪"),"",IF(LEFT(F32)="D","◎",IF(AG32=0,"",IFERROR(IF(VLOOKUP(AG32,★仕入先!$A$2:$C$211,3,FALSE)=0,"","◎"),"")))),"")</f>
        <v/>
      </c>
      <c r="AL32" s="460">
        <f>申込書!$H$14</f>
        <v>0</v>
      </c>
      <c r="AM32" s="460" t="str">
        <f>申込書!$C$32</f>
        <v>B4（折り無し）</v>
      </c>
      <c r="AN32" s="460" t="str">
        <f>VLOOKUP(AM32,★サイズ表記!$D$4:$E$55,2,FALSE)</f>
        <v>1001</v>
      </c>
      <c r="AO32" s="460">
        <f>IF(C32&lt;&gt;"⑧兵庫",VLOOKUP(LEFT(F32),★新聞!$A$4:$B$12,2,FALSE),IF(LEFT(F32)&lt;&gt;"S",VLOOKUP(LEFT(F32),★新聞!$A$4:$B$12,2,FALSE),VLOOKUP("X",★新聞!$A$4:$B$12,2,FALSE)))</f>
        <v>2</v>
      </c>
      <c r="AP32" s="460" t="str">
        <f t="shared" ca="1" si="5"/>
        <v>0</v>
      </c>
      <c r="AQ32" s="460" t="str">
        <f>IF(申込書!$C$38="","",申込書!$C$38)</f>
        <v/>
      </c>
    </row>
    <row r="33" spans="1:43">
      <c r="A33" s="463">
        <f t="shared" si="6"/>
        <v>32</v>
      </c>
      <c r="B33" s="463" t="str">
        <f t="shared" si="7"/>
        <v>東部</v>
      </c>
      <c r="C33" s="464" t="s">
        <v>1101</v>
      </c>
      <c r="D33" s="464" t="s">
        <v>1022</v>
      </c>
      <c r="E33" s="464">
        <f>VLOOKUP(D33,★折込地区!$A$2:$D$10,4,FALSE)</f>
        <v>1</v>
      </c>
      <c r="F33" s="464" t="s">
        <v>414</v>
      </c>
      <c r="G33" s="464" t="str">
        <f>INDEX(★新聞!$E$4:$I$12, MATCH(LEFT(F33),★新聞!$A$4:$A$12,0), MATCH(LEFT(W33),★新聞!$E$3:$I$3,0))</f>
        <v>AA</v>
      </c>
      <c r="H33" s="475" t="s">
        <v>1104</v>
      </c>
      <c r="I33" s="464" cm="1">
        <f t="array" ref="I33">IFERROR(INDEX(★原価率!$A$2:$E$50,MATCH($C33&amp;$H33,★原価率!$A$2:$A$50&amp;★原価率!$B$2:$B$50,0),3),0)</f>
        <v>84</v>
      </c>
      <c r="J33" s="464" cm="1">
        <f t="array" ref="J33">IFERROR(INDEX(★原価率!$A$2:$E$50,MATCH($C33&amp;$H33,★原価率!$A$2:$A$50&amp;★原価率!$B$2:$B$50,0),4),0)</f>
        <v>84</v>
      </c>
      <c r="K33" s="464" cm="1">
        <f t="array" ref="K33">IFERROR(INDEX(★原価率!$A$2:$E$50,MATCH($C33&amp;$H33,★原価率!$A$2:$A$50&amp;★原価率!$B$2:$B$50,0),5),0)</f>
        <v>100</v>
      </c>
      <c r="L33" s="528">
        <f>IFERROR(VLOOKUP(W33,★商品!$A$1:$H$1231,8,FALSE),0)</f>
        <v>2.8</v>
      </c>
      <c r="M33" s="203" t="str">
        <f ca="1">CONCATENATE(VLOOKUP(B33,★営業所!$A$2:$B$5,2,FALSE),TEXT(NOW(),"yyyy"))</f>
        <v>T2023</v>
      </c>
      <c r="N33" s="203">
        <v>1</v>
      </c>
      <c r="O33" s="203">
        <v>0</v>
      </c>
      <c r="P33" s="213">
        <f>申込書!$B$6</f>
        <v>0</v>
      </c>
      <c r="Q33" s="203">
        <f>申込書!$C$34</f>
        <v>1000040</v>
      </c>
      <c r="R33" s="203">
        <v>0</v>
      </c>
      <c r="U33" s="203">
        <f>VLOOKUP(B33,★営業所!$A$2:$C$5,3,FALSE)</f>
        <v>8</v>
      </c>
      <c r="V33" s="203">
        <f>申込書!$B$9</f>
        <v>0</v>
      </c>
      <c r="W33" s="203" t="str">
        <f>CONCATENATE(VLOOKUP(B33,★営業所!$A$2:$B$5,2,FALSE),VLOOKUP(申込書!$C$32,★サイズ表記!$D$4:$E$55,2,FALSE),VLOOKUP(D33,★折込地区!$A$2:$B$11,2,FALSE))</f>
        <v>T1001Tot</v>
      </c>
      <c r="X33" s="203" t="str">
        <f>CONCATENATE(申込書!$B$9," ",VLOOKUP(RIGHT(W33,3),★折込地区!$B$2:$C$10,2,FALSE),"")</f>
        <v xml:space="preserve"> 鳥取</v>
      </c>
      <c r="Z33" s="206">
        <f t="shared" ca="1" si="0"/>
        <v>0</v>
      </c>
      <c r="AB33" s="383">
        <f t="shared" si="1"/>
        <v>2.8</v>
      </c>
      <c r="AC33" s="203" t="str">
        <f t="shared" si="2"/>
        <v>G1001</v>
      </c>
      <c r="AD33" s="203" t="str">
        <f>VLOOKUP(AC33,★原価商品!$E$6:$F$349,2,FALSE)</f>
        <v>朝日/B4（折り無し）</v>
      </c>
      <c r="AE33" s="203">
        <f t="shared" ca="1" si="3"/>
        <v>0</v>
      </c>
      <c r="AF33" s="383">
        <f ca="1">IFERROR(IF(VLOOKUP(申込書!$C$32,★サイズ表記!$F$4:$H$55,3,FALSE)="切り捨て",ROUNDDOWN(L33*IF(AK33="◎",I33,J33)/100,2),IF(VLOOKUP(申込書!$C$32,★サイズ表記!$F$4:$H$55,3,FALSE)="切り上げ",ROUNDUP(L33*IF(AK33="◎",I33,J33)/100,2),ROUND(L33*IF(AK33="◎",I33,J33)/100,2))),0)</f>
        <v>2.35</v>
      </c>
      <c r="AG33" s="203">
        <f t="shared" ca="1" si="4"/>
        <v>0</v>
      </c>
      <c r="AJ33" s="460" t="str">
        <f>IFERROR(VLOOKUP(申込書!$C$30,★業種!$D$2:$E$87,2,FALSE),"")</f>
        <v>1003</v>
      </c>
      <c r="AK33" s="460" t="str">
        <f ca="1">IF(申込書!$C$36="◎",IF(OR(D33="浜坂・温泉",D33="美方・村岡",D33="香住",D33="岡山",D33="大阪"),"",IF(LEFT(F33)="D","◎",IF(AG33=0,"",IFERROR(IF(VLOOKUP(AG33,★仕入先!$A$2:$C$211,3,FALSE)=0,"","◎"),"")))),"")</f>
        <v/>
      </c>
      <c r="AL33" s="460">
        <f>申込書!$H$14</f>
        <v>0</v>
      </c>
      <c r="AM33" s="460" t="str">
        <f>申込書!$C$32</f>
        <v>B4（折り無し）</v>
      </c>
      <c r="AN33" s="460" t="str">
        <f>VLOOKUP(AM33,★サイズ表記!$D$4:$E$55,2,FALSE)</f>
        <v>1001</v>
      </c>
      <c r="AO33" s="460">
        <f>IF(C33&lt;&gt;"⑧兵庫",VLOOKUP(LEFT(F33),★新聞!$A$4:$B$12,2,FALSE),IF(LEFT(F33)&lt;&gt;"S",VLOOKUP(LEFT(F33),★新聞!$A$4:$B$12,2,FALSE),VLOOKUP("X",★新聞!$A$4:$B$12,2,FALSE)))</f>
        <v>2</v>
      </c>
      <c r="AP33" s="460" t="str">
        <f t="shared" ca="1" si="5"/>
        <v>0</v>
      </c>
      <c r="AQ33" s="460" t="str">
        <f>IF(申込書!$C$38="","",申込書!$C$38)</f>
        <v/>
      </c>
    </row>
    <row r="34" spans="1:43">
      <c r="A34" s="463">
        <f t="shared" si="6"/>
        <v>33</v>
      </c>
      <c r="B34" s="463" t="str">
        <f t="shared" si="7"/>
        <v>東部</v>
      </c>
      <c r="C34" s="464" t="s">
        <v>1101</v>
      </c>
      <c r="D34" s="464" t="s">
        <v>1022</v>
      </c>
      <c r="E34" s="464">
        <f>VLOOKUP(D34,★折込地区!$A$2:$D$10,4,FALSE)</f>
        <v>1</v>
      </c>
      <c r="F34" s="464" t="s">
        <v>415</v>
      </c>
      <c r="G34" s="464" t="str">
        <f>INDEX(★新聞!$E$4:$I$12, MATCH(LEFT(F34),★新聞!$A$4:$A$12,0), MATCH(LEFT(W34),★新聞!$E$3:$I$3,0))</f>
        <v>AA</v>
      </c>
      <c r="H34" s="475" t="s">
        <v>1104</v>
      </c>
      <c r="I34" s="464" cm="1">
        <f t="array" ref="I34">IFERROR(INDEX(★原価率!$A$2:$E$50,MATCH($C34&amp;$H34,★原価率!$A$2:$A$50&amp;★原価率!$B$2:$B$50,0),3),0)</f>
        <v>84</v>
      </c>
      <c r="J34" s="464" cm="1">
        <f t="array" ref="J34">IFERROR(INDEX(★原価率!$A$2:$E$50,MATCH($C34&amp;$H34,★原価率!$A$2:$A$50&amp;★原価率!$B$2:$B$50,0),4),0)</f>
        <v>84</v>
      </c>
      <c r="K34" s="464" cm="1">
        <f t="array" ref="K34">IFERROR(INDEX(★原価率!$A$2:$E$50,MATCH($C34&amp;$H34,★原価率!$A$2:$A$50&amp;★原価率!$B$2:$B$50,0),5),0)</f>
        <v>100</v>
      </c>
      <c r="L34" s="528">
        <f>IFERROR(VLOOKUP(W34,★商品!$A$1:$H$1231,8,FALSE),0)</f>
        <v>2.8</v>
      </c>
      <c r="M34" s="203" t="str">
        <f ca="1">CONCATENATE(VLOOKUP(B34,★営業所!$A$2:$B$5,2,FALSE),TEXT(NOW(),"yyyy"))</f>
        <v>T2023</v>
      </c>
      <c r="N34" s="203">
        <v>1</v>
      </c>
      <c r="O34" s="203">
        <v>0</v>
      </c>
      <c r="P34" s="213">
        <f>申込書!$B$6</f>
        <v>0</v>
      </c>
      <c r="Q34" s="203">
        <f>申込書!$C$34</f>
        <v>1000040</v>
      </c>
      <c r="R34" s="203">
        <v>0</v>
      </c>
      <c r="U34" s="203">
        <f>VLOOKUP(B34,★営業所!$A$2:$C$5,3,FALSE)</f>
        <v>8</v>
      </c>
      <c r="V34" s="203">
        <f>申込書!$B$9</f>
        <v>0</v>
      </c>
      <c r="W34" s="203" t="str">
        <f>CONCATENATE(VLOOKUP(B34,★営業所!$A$2:$B$5,2,FALSE),VLOOKUP(申込書!$C$32,★サイズ表記!$D$4:$E$55,2,FALSE),VLOOKUP(D34,★折込地区!$A$2:$B$11,2,FALSE))</f>
        <v>T1001Tot</v>
      </c>
      <c r="X34" s="203" t="str">
        <f>CONCATENATE(申込書!$B$9," ",VLOOKUP(RIGHT(W34,3),★折込地区!$B$2:$C$10,2,FALSE),"")</f>
        <v xml:space="preserve"> 鳥取</v>
      </c>
      <c r="Z34" s="206">
        <f t="shared" ca="1" si="0"/>
        <v>0</v>
      </c>
      <c r="AB34" s="383">
        <f t="shared" si="1"/>
        <v>2.8</v>
      </c>
      <c r="AC34" s="203" t="str">
        <f t="shared" si="2"/>
        <v>G1001</v>
      </c>
      <c r="AD34" s="203" t="str">
        <f>VLOOKUP(AC34,★原価商品!$E$6:$F$349,2,FALSE)</f>
        <v>朝日/B4（折り無し）</v>
      </c>
      <c r="AE34" s="203">
        <f t="shared" ca="1" si="3"/>
        <v>0</v>
      </c>
      <c r="AF34" s="383">
        <f ca="1">IFERROR(IF(VLOOKUP(申込書!$C$32,★サイズ表記!$F$4:$H$55,3,FALSE)="切り捨て",ROUNDDOWN(L34*IF(AK34="◎",I34,J34)/100,2),IF(VLOOKUP(申込書!$C$32,★サイズ表記!$F$4:$H$55,3,FALSE)="切り上げ",ROUNDUP(L34*IF(AK34="◎",I34,J34)/100,2),ROUND(L34*IF(AK34="◎",I34,J34)/100,2))),0)</f>
        <v>2.35</v>
      </c>
      <c r="AG34" s="203">
        <f t="shared" ca="1" si="4"/>
        <v>0</v>
      </c>
      <c r="AJ34" s="460" t="str">
        <f>IFERROR(VLOOKUP(申込書!$C$30,★業種!$D$2:$E$87,2,FALSE),"")</f>
        <v>1003</v>
      </c>
      <c r="AK34" s="460" t="str">
        <f ca="1">IF(申込書!$C$36="◎",IF(OR(D34="浜坂・温泉",D34="美方・村岡",D34="香住",D34="岡山",D34="大阪"),"",IF(LEFT(F34)="D","◎",IF(AG34=0,"",IFERROR(IF(VLOOKUP(AG34,★仕入先!$A$2:$C$211,3,FALSE)=0,"","◎"),"")))),"")</f>
        <v/>
      </c>
      <c r="AL34" s="460">
        <f>申込書!$H$14</f>
        <v>0</v>
      </c>
      <c r="AM34" s="460" t="str">
        <f>申込書!$C$32</f>
        <v>B4（折り無し）</v>
      </c>
      <c r="AN34" s="460" t="str">
        <f>VLOOKUP(AM34,★サイズ表記!$D$4:$E$55,2,FALSE)</f>
        <v>1001</v>
      </c>
      <c r="AO34" s="460">
        <f>IF(C34&lt;&gt;"⑧兵庫",VLOOKUP(LEFT(F34),★新聞!$A$4:$B$12,2,FALSE),IF(LEFT(F34)&lt;&gt;"S",VLOOKUP(LEFT(F34),★新聞!$A$4:$B$12,2,FALSE),VLOOKUP("X",★新聞!$A$4:$B$12,2,FALSE)))</f>
        <v>2</v>
      </c>
      <c r="AP34" s="460" t="str">
        <f t="shared" ca="1" si="5"/>
        <v>0</v>
      </c>
      <c r="AQ34" s="460" t="str">
        <f>IF(申込書!$C$38="","",申込書!$C$38)</f>
        <v/>
      </c>
    </row>
    <row r="35" spans="1:43">
      <c r="A35" s="463">
        <f t="shared" si="6"/>
        <v>34</v>
      </c>
      <c r="B35" s="463" t="str">
        <f t="shared" si="7"/>
        <v>東部</v>
      </c>
      <c r="C35" s="464" t="s">
        <v>1101</v>
      </c>
      <c r="D35" s="464" t="s">
        <v>1022</v>
      </c>
      <c r="E35" s="464">
        <f>VLOOKUP(D35,★折込地区!$A$2:$D$10,4,FALSE)</f>
        <v>1</v>
      </c>
      <c r="F35" s="464" t="s">
        <v>416</v>
      </c>
      <c r="G35" s="464" t="str">
        <f>INDEX(★新聞!$E$4:$I$12, MATCH(LEFT(F35),★新聞!$A$4:$A$12,0), MATCH(LEFT(W35),★新聞!$E$3:$I$3,0))</f>
        <v>AA</v>
      </c>
      <c r="H35" s="475" t="s">
        <v>1104</v>
      </c>
      <c r="I35" s="464" cm="1">
        <f t="array" ref="I35">IFERROR(INDEX(★原価率!$A$2:$E$50,MATCH($C35&amp;$H35,★原価率!$A$2:$A$50&amp;★原価率!$B$2:$B$50,0),3),0)</f>
        <v>84</v>
      </c>
      <c r="J35" s="464" cm="1">
        <f t="array" ref="J35">IFERROR(INDEX(★原価率!$A$2:$E$50,MATCH($C35&amp;$H35,★原価率!$A$2:$A$50&amp;★原価率!$B$2:$B$50,0),4),0)</f>
        <v>84</v>
      </c>
      <c r="K35" s="464" cm="1">
        <f t="array" ref="K35">IFERROR(INDEX(★原価率!$A$2:$E$50,MATCH($C35&amp;$H35,★原価率!$A$2:$A$50&amp;★原価率!$B$2:$B$50,0),5),0)</f>
        <v>100</v>
      </c>
      <c r="L35" s="528">
        <f>IFERROR(VLOOKUP(W35,★商品!$A$1:$H$1231,8,FALSE),0)</f>
        <v>2.8</v>
      </c>
      <c r="M35" s="203" t="str">
        <f ca="1">CONCATENATE(VLOOKUP(B35,★営業所!$A$2:$B$5,2,FALSE),TEXT(NOW(),"yyyy"))</f>
        <v>T2023</v>
      </c>
      <c r="N35" s="203">
        <v>1</v>
      </c>
      <c r="O35" s="203">
        <v>0</v>
      </c>
      <c r="P35" s="213">
        <f>申込書!$B$6</f>
        <v>0</v>
      </c>
      <c r="Q35" s="203">
        <f>申込書!$C$34</f>
        <v>1000040</v>
      </c>
      <c r="R35" s="203">
        <v>0</v>
      </c>
      <c r="U35" s="203">
        <f>VLOOKUP(B35,★営業所!$A$2:$C$5,3,FALSE)</f>
        <v>8</v>
      </c>
      <c r="V35" s="203">
        <f>申込書!$B$9</f>
        <v>0</v>
      </c>
      <c r="W35" s="203" t="str">
        <f>CONCATENATE(VLOOKUP(B35,★営業所!$A$2:$B$5,2,FALSE),VLOOKUP(申込書!$C$32,★サイズ表記!$D$4:$E$55,2,FALSE),VLOOKUP(D35,★折込地区!$A$2:$B$11,2,FALSE))</f>
        <v>T1001Tot</v>
      </c>
      <c r="X35" s="203" t="str">
        <f>CONCATENATE(申込書!$B$9," ",VLOOKUP(RIGHT(W35,3),★折込地区!$B$2:$C$10,2,FALSE),"")</f>
        <v xml:space="preserve"> 鳥取</v>
      </c>
      <c r="Z35" s="206">
        <f t="shared" ca="1" si="0"/>
        <v>0</v>
      </c>
      <c r="AB35" s="383">
        <f t="shared" si="1"/>
        <v>2.8</v>
      </c>
      <c r="AC35" s="203" t="str">
        <f t="shared" si="2"/>
        <v>G1001</v>
      </c>
      <c r="AD35" s="203" t="str">
        <f>VLOOKUP(AC35,★原価商品!$E$6:$F$349,2,FALSE)</f>
        <v>朝日/B4（折り無し）</v>
      </c>
      <c r="AE35" s="203">
        <f t="shared" ca="1" si="3"/>
        <v>0</v>
      </c>
      <c r="AF35" s="383">
        <f ca="1">IFERROR(IF(VLOOKUP(申込書!$C$32,★サイズ表記!$F$4:$H$55,3,FALSE)="切り捨て",ROUNDDOWN(L35*IF(AK35="◎",I35,J35)/100,2),IF(VLOOKUP(申込書!$C$32,★サイズ表記!$F$4:$H$55,3,FALSE)="切り上げ",ROUNDUP(L35*IF(AK35="◎",I35,J35)/100,2),ROUND(L35*IF(AK35="◎",I35,J35)/100,2))),0)</f>
        <v>2.35</v>
      </c>
      <c r="AG35" s="203">
        <f t="shared" ca="1" si="4"/>
        <v>0</v>
      </c>
      <c r="AJ35" s="460" t="str">
        <f>IFERROR(VLOOKUP(申込書!$C$30,★業種!$D$2:$E$87,2,FALSE),"")</f>
        <v>1003</v>
      </c>
      <c r="AK35" s="460" t="str">
        <f ca="1">IF(申込書!$C$36="◎",IF(OR(D35="浜坂・温泉",D35="美方・村岡",D35="香住",D35="岡山",D35="大阪"),"",IF(LEFT(F35)="D","◎",IF(AG35=0,"",IFERROR(IF(VLOOKUP(AG35,★仕入先!$A$2:$C$211,3,FALSE)=0,"","◎"),"")))),"")</f>
        <v/>
      </c>
      <c r="AL35" s="460">
        <f>申込書!$H$14</f>
        <v>0</v>
      </c>
      <c r="AM35" s="460" t="str">
        <f>申込書!$C$32</f>
        <v>B4（折り無し）</v>
      </c>
      <c r="AN35" s="460" t="str">
        <f>VLOOKUP(AM35,★サイズ表記!$D$4:$E$55,2,FALSE)</f>
        <v>1001</v>
      </c>
      <c r="AO35" s="460">
        <f>IF(C35&lt;&gt;"⑧兵庫",VLOOKUP(LEFT(F35),★新聞!$A$4:$B$12,2,FALSE),IF(LEFT(F35)&lt;&gt;"S",VLOOKUP(LEFT(F35),★新聞!$A$4:$B$12,2,FALSE),VLOOKUP("X",★新聞!$A$4:$B$12,2,FALSE)))</f>
        <v>2</v>
      </c>
      <c r="AP35" s="460" t="str">
        <f t="shared" ca="1" si="5"/>
        <v>0</v>
      </c>
      <c r="AQ35" s="460" t="str">
        <f>IF(申込書!$C$38="","",申込書!$C$38)</f>
        <v/>
      </c>
    </row>
    <row r="36" spans="1:43">
      <c r="A36" s="463">
        <f t="shared" si="6"/>
        <v>35</v>
      </c>
      <c r="B36" s="463" t="str">
        <f t="shared" si="7"/>
        <v>東部</v>
      </c>
      <c r="C36" s="464" t="s">
        <v>1101</v>
      </c>
      <c r="D36" s="464" t="s">
        <v>1022</v>
      </c>
      <c r="E36" s="464">
        <f>VLOOKUP(D36,★折込地区!$A$2:$D$10,4,FALSE)</f>
        <v>1</v>
      </c>
      <c r="F36" s="464" t="s">
        <v>417</v>
      </c>
      <c r="G36" s="464" t="str">
        <f>INDEX(★新聞!$E$4:$I$12, MATCH(LEFT(F36),★新聞!$A$4:$A$12,0), MATCH(LEFT(W36),★新聞!$E$3:$I$3,0))</f>
        <v>AA</v>
      </c>
      <c r="H36" s="475" t="s">
        <v>1104</v>
      </c>
      <c r="I36" s="464" cm="1">
        <f t="array" ref="I36">IFERROR(INDEX(★原価率!$A$2:$E$50,MATCH($C36&amp;$H36,★原価率!$A$2:$A$50&amp;★原価率!$B$2:$B$50,0),3),0)</f>
        <v>84</v>
      </c>
      <c r="J36" s="464" cm="1">
        <f t="array" ref="J36">IFERROR(INDEX(★原価率!$A$2:$E$50,MATCH($C36&amp;$H36,★原価率!$A$2:$A$50&amp;★原価率!$B$2:$B$50,0),4),0)</f>
        <v>84</v>
      </c>
      <c r="K36" s="464" cm="1">
        <f t="array" ref="K36">IFERROR(INDEX(★原価率!$A$2:$E$50,MATCH($C36&amp;$H36,★原価率!$A$2:$A$50&amp;★原価率!$B$2:$B$50,0),5),0)</f>
        <v>100</v>
      </c>
      <c r="L36" s="528">
        <f>IFERROR(VLOOKUP(W36,★商品!$A$1:$H$1231,8,FALSE),0)</f>
        <v>2.8</v>
      </c>
      <c r="M36" s="203" t="str">
        <f ca="1">CONCATENATE(VLOOKUP(B36,★営業所!$A$2:$B$5,2,FALSE),TEXT(NOW(),"yyyy"))</f>
        <v>T2023</v>
      </c>
      <c r="N36" s="203">
        <v>1</v>
      </c>
      <c r="O36" s="203">
        <v>0</v>
      </c>
      <c r="P36" s="213">
        <f>申込書!$B$6</f>
        <v>0</v>
      </c>
      <c r="Q36" s="203">
        <f>申込書!$C$34</f>
        <v>1000040</v>
      </c>
      <c r="R36" s="203">
        <v>0</v>
      </c>
      <c r="U36" s="203">
        <f>VLOOKUP(B36,★営業所!$A$2:$C$5,3,FALSE)</f>
        <v>8</v>
      </c>
      <c r="V36" s="203">
        <f>申込書!$B$9</f>
        <v>0</v>
      </c>
      <c r="W36" s="203" t="str">
        <f>CONCATENATE(VLOOKUP(B36,★営業所!$A$2:$B$5,2,FALSE),VLOOKUP(申込書!$C$32,★サイズ表記!$D$4:$E$55,2,FALSE),VLOOKUP(D36,★折込地区!$A$2:$B$11,2,FALSE))</f>
        <v>T1001Tot</v>
      </c>
      <c r="X36" s="203" t="str">
        <f>CONCATENATE(申込書!$B$9," ",VLOOKUP(RIGHT(W36,3),★折込地区!$B$2:$C$10,2,FALSE),"")</f>
        <v xml:space="preserve"> 鳥取</v>
      </c>
      <c r="Z36" s="206">
        <f t="shared" ca="1" si="0"/>
        <v>0</v>
      </c>
      <c r="AB36" s="383">
        <f t="shared" si="1"/>
        <v>2.8</v>
      </c>
      <c r="AC36" s="203" t="str">
        <f t="shared" si="2"/>
        <v>G1001</v>
      </c>
      <c r="AD36" s="203" t="str">
        <f>VLOOKUP(AC36,★原価商品!$E$6:$F$349,2,FALSE)</f>
        <v>朝日/B4（折り無し）</v>
      </c>
      <c r="AE36" s="203">
        <f t="shared" ca="1" si="3"/>
        <v>0</v>
      </c>
      <c r="AF36" s="383">
        <f ca="1">IFERROR(IF(VLOOKUP(申込書!$C$32,★サイズ表記!$F$4:$H$55,3,FALSE)="切り捨て",ROUNDDOWN(L36*IF(AK36="◎",I36,J36)/100,2),IF(VLOOKUP(申込書!$C$32,★サイズ表記!$F$4:$H$55,3,FALSE)="切り上げ",ROUNDUP(L36*IF(AK36="◎",I36,J36)/100,2),ROUND(L36*IF(AK36="◎",I36,J36)/100,2))),0)</f>
        <v>2.35</v>
      </c>
      <c r="AG36" s="203">
        <f t="shared" ca="1" si="4"/>
        <v>0</v>
      </c>
      <c r="AJ36" s="460" t="str">
        <f>IFERROR(VLOOKUP(申込書!$C$30,★業種!$D$2:$E$87,2,FALSE),"")</f>
        <v>1003</v>
      </c>
      <c r="AK36" s="460" t="str">
        <f ca="1">IF(申込書!$C$36="◎",IF(OR(D36="浜坂・温泉",D36="美方・村岡",D36="香住",D36="岡山",D36="大阪"),"",IF(LEFT(F36)="D","◎",IF(AG36=0,"",IFERROR(IF(VLOOKUP(AG36,★仕入先!$A$2:$C$211,3,FALSE)=0,"","◎"),"")))),"")</f>
        <v/>
      </c>
      <c r="AL36" s="460">
        <f>申込書!$H$14</f>
        <v>0</v>
      </c>
      <c r="AM36" s="460" t="str">
        <f>申込書!$C$32</f>
        <v>B4（折り無し）</v>
      </c>
      <c r="AN36" s="460" t="str">
        <f>VLOOKUP(AM36,★サイズ表記!$D$4:$E$55,2,FALSE)</f>
        <v>1001</v>
      </c>
      <c r="AO36" s="460">
        <f>IF(C36&lt;&gt;"⑧兵庫",VLOOKUP(LEFT(F36),★新聞!$A$4:$B$12,2,FALSE),IF(LEFT(F36)&lt;&gt;"S",VLOOKUP(LEFT(F36),★新聞!$A$4:$B$12,2,FALSE),VLOOKUP("X",★新聞!$A$4:$B$12,2,FALSE)))</f>
        <v>2</v>
      </c>
      <c r="AP36" s="460" t="str">
        <f t="shared" ca="1" si="5"/>
        <v>0</v>
      </c>
      <c r="AQ36" s="460" t="str">
        <f>IF(申込書!$C$38="","",申込書!$C$38)</f>
        <v/>
      </c>
    </row>
    <row r="37" spans="1:43">
      <c r="A37" s="463">
        <f t="shared" si="6"/>
        <v>36</v>
      </c>
      <c r="B37" s="463" t="str">
        <f t="shared" si="7"/>
        <v>東部</v>
      </c>
      <c r="C37" s="464" t="s">
        <v>1101</v>
      </c>
      <c r="D37" s="464" t="s">
        <v>1022</v>
      </c>
      <c r="E37" s="464">
        <f>VLOOKUP(D37,★折込地区!$A$2:$D$10,4,FALSE)</f>
        <v>1</v>
      </c>
      <c r="F37" s="464" t="s">
        <v>418</v>
      </c>
      <c r="G37" s="464" t="str">
        <f>INDEX(★新聞!$E$4:$I$12, MATCH(LEFT(F37),★新聞!$A$4:$A$12,0), MATCH(LEFT(W37),★新聞!$E$3:$I$3,0))</f>
        <v>AA</v>
      </c>
      <c r="H37" s="475" t="s">
        <v>1104</v>
      </c>
      <c r="I37" s="464" cm="1">
        <f t="array" ref="I37">IFERROR(INDEX(★原価率!$A$2:$E$50,MATCH($C37&amp;$H37,★原価率!$A$2:$A$50&amp;★原価率!$B$2:$B$50,0),3),0)</f>
        <v>84</v>
      </c>
      <c r="J37" s="464" cm="1">
        <f t="array" ref="J37">IFERROR(INDEX(★原価率!$A$2:$E$50,MATCH($C37&amp;$H37,★原価率!$A$2:$A$50&amp;★原価率!$B$2:$B$50,0),4),0)</f>
        <v>84</v>
      </c>
      <c r="K37" s="464" cm="1">
        <f t="array" ref="K37">IFERROR(INDEX(★原価率!$A$2:$E$50,MATCH($C37&amp;$H37,★原価率!$A$2:$A$50&amp;★原価率!$B$2:$B$50,0),5),0)</f>
        <v>100</v>
      </c>
      <c r="L37" s="528">
        <f>IFERROR(VLOOKUP(W37,★商品!$A$1:$H$1231,8,FALSE),0)</f>
        <v>2.8</v>
      </c>
      <c r="M37" s="203" t="str">
        <f ca="1">CONCATENATE(VLOOKUP(B37,★営業所!$A$2:$B$5,2,FALSE),TEXT(NOW(),"yyyy"))</f>
        <v>T2023</v>
      </c>
      <c r="N37" s="203">
        <v>1</v>
      </c>
      <c r="O37" s="203">
        <v>0</v>
      </c>
      <c r="P37" s="213">
        <f>申込書!$B$6</f>
        <v>0</v>
      </c>
      <c r="Q37" s="203">
        <f>申込書!$C$34</f>
        <v>1000040</v>
      </c>
      <c r="R37" s="203">
        <v>0</v>
      </c>
      <c r="U37" s="203">
        <f>VLOOKUP(B37,★営業所!$A$2:$C$5,3,FALSE)</f>
        <v>8</v>
      </c>
      <c r="V37" s="203">
        <f>申込書!$B$9</f>
        <v>0</v>
      </c>
      <c r="W37" s="203" t="str">
        <f>CONCATENATE(VLOOKUP(B37,★営業所!$A$2:$B$5,2,FALSE),VLOOKUP(申込書!$C$32,★サイズ表記!$D$4:$E$55,2,FALSE),VLOOKUP(D37,★折込地区!$A$2:$B$11,2,FALSE))</f>
        <v>T1001Tot</v>
      </c>
      <c r="X37" s="203" t="str">
        <f>CONCATENATE(申込書!$B$9," ",VLOOKUP(RIGHT(W37,3),★折込地区!$B$2:$C$10,2,FALSE),"")</f>
        <v xml:space="preserve"> 鳥取</v>
      </c>
      <c r="Z37" s="206">
        <f t="shared" ca="1" si="0"/>
        <v>0</v>
      </c>
      <c r="AB37" s="383">
        <f t="shared" si="1"/>
        <v>2.8</v>
      </c>
      <c r="AC37" s="203" t="str">
        <f t="shared" si="2"/>
        <v>G1001</v>
      </c>
      <c r="AD37" s="203" t="str">
        <f>VLOOKUP(AC37,★原価商品!$E$6:$F$349,2,FALSE)</f>
        <v>朝日/B4（折り無し）</v>
      </c>
      <c r="AE37" s="203">
        <f t="shared" ca="1" si="3"/>
        <v>0</v>
      </c>
      <c r="AF37" s="383">
        <f ca="1">IFERROR(IF(VLOOKUP(申込書!$C$32,★サイズ表記!$F$4:$H$55,3,FALSE)="切り捨て",ROUNDDOWN(L37*IF(AK37="◎",I37,J37)/100,2),IF(VLOOKUP(申込書!$C$32,★サイズ表記!$F$4:$H$55,3,FALSE)="切り上げ",ROUNDUP(L37*IF(AK37="◎",I37,J37)/100,2),ROUND(L37*IF(AK37="◎",I37,J37)/100,2))),0)</f>
        <v>2.35</v>
      </c>
      <c r="AG37" s="203">
        <f t="shared" ca="1" si="4"/>
        <v>10113</v>
      </c>
      <c r="AJ37" s="460" t="str">
        <f>IFERROR(VLOOKUP(申込書!$C$30,★業種!$D$2:$E$87,2,FALSE),"")</f>
        <v>1003</v>
      </c>
      <c r="AK37" s="460" t="str">
        <f ca="1">IF(申込書!$C$36="◎",IF(OR(D37="浜坂・温泉",D37="美方・村岡",D37="香住",D37="岡山",D37="大阪"),"",IF(LEFT(F37)="D","◎",IF(AG37=0,"",IFERROR(IF(VLOOKUP(AG37,★仕入先!$A$2:$C$211,3,FALSE)=0,"","◎"),"")))),"")</f>
        <v/>
      </c>
      <c r="AL37" s="460">
        <f>申込書!$H$14</f>
        <v>0</v>
      </c>
      <c r="AM37" s="460" t="str">
        <f>申込書!$C$32</f>
        <v>B4（折り無し）</v>
      </c>
      <c r="AN37" s="460" t="str">
        <f>VLOOKUP(AM37,★サイズ表記!$D$4:$E$55,2,FALSE)</f>
        <v>1001</v>
      </c>
      <c r="AO37" s="460">
        <f>IF(C37&lt;&gt;"⑧兵庫",VLOOKUP(LEFT(F37),★新聞!$A$4:$B$12,2,FALSE),IF(LEFT(F37)&lt;&gt;"S",VLOOKUP(LEFT(F37),★新聞!$A$4:$B$12,2,FALSE),VLOOKUP("X",★新聞!$A$4:$B$12,2,FALSE)))</f>
        <v>2</v>
      </c>
      <c r="AP37" s="460" t="str">
        <f t="shared" ca="1" si="5"/>
        <v>0</v>
      </c>
      <c r="AQ37" s="460" t="str">
        <f>IF(申込書!$C$38="","",申込書!$C$38)</f>
        <v/>
      </c>
    </row>
    <row r="38" spans="1:43">
      <c r="A38" s="463">
        <f t="shared" si="6"/>
        <v>37</v>
      </c>
      <c r="B38" s="463" t="str">
        <f t="shared" si="7"/>
        <v>東部</v>
      </c>
      <c r="C38" s="464" t="s">
        <v>1101</v>
      </c>
      <c r="D38" s="464" t="s">
        <v>1022</v>
      </c>
      <c r="E38" s="464">
        <f>VLOOKUP(D38,★折込地区!$A$2:$D$10,4,FALSE)</f>
        <v>1</v>
      </c>
      <c r="F38" s="464" t="s">
        <v>419</v>
      </c>
      <c r="G38" s="464" t="str">
        <f>INDEX(★新聞!$E$4:$I$12, MATCH(LEFT(F38),★新聞!$A$4:$A$12,0), MATCH(LEFT(W38),★新聞!$E$3:$I$3,0))</f>
        <v>AA</v>
      </c>
      <c r="H38" s="475" t="s">
        <v>1104</v>
      </c>
      <c r="I38" s="464" cm="1">
        <f t="array" ref="I38">IFERROR(INDEX(★原価率!$A$2:$E$50,MATCH($C38&amp;$H38,★原価率!$A$2:$A$50&amp;★原価率!$B$2:$B$50,0),3),0)</f>
        <v>84</v>
      </c>
      <c r="J38" s="464" cm="1">
        <f t="array" ref="J38">IFERROR(INDEX(★原価率!$A$2:$E$50,MATCH($C38&amp;$H38,★原価率!$A$2:$A$50&amp;★原価率!$B$2:$B$50,0),4),0)</f>
        <v>84</v>
      </c>
      <c r="K38" s="464" cm="1">
        <f t="array" ref="K38">IFERROR(INDEX(★原価率!$A$2:$E$50,MATCH($C38&amp;$H38,★原価率!$A$2:$A$50&amp;★原価率!$B$2:$B$50,0),5),0)</f>
        <v>100</v>
      </c>
      <c r="L38" s="528">
        <f>IFERROR(VLOOKUP(W38,★商品!$A$1:$H$1231,8,FALSE),0)</f>
        <v>2.8</v>
      </c>
      <c r="M38" s="203" t="str">
        <f ca="1">CONCATENATE(VLOOKUP(B38,★営業所!$A$2:$B$5,2,FALSE),TEXT(NOW(),"yyyy"))</f>
        <v>T2023</v>
      </c>
      <c r="N38" s="203">
        <v>1</v>
      </c>
      <c r="O38" s="203">
        <v>0</v>
      </c>
      <c r="P38" s="213">
        <f>申込書!$B$6</f>
        <v>0</v>
      </c>
      <c r="Q38" s="203">
        <f>申込書!$C$34</f>
        <v>1000040</v>
      </c>
      <c r="R38" s="203">
        <v>0</v>
      </c>
      <c r="U38" s="203">
        <f>VLOOKUP(B38,★営業所!$A$2:$C$5,3,FALSE)</f>
        <v>8</v>
      </c>
      <c r="V38" s="203">
        <f>申込書!$B$9</f>
        <v>0</v>
      </c>
      <c r="W38" s="203" t="str">
        <f>CONCATENATE(VLOOKUP(B38,★営業所!$A$2:$B$5,2,FALSE),VLOOKUP(申込書!$C$32,★サイズ表記!$D$4:$E$55,2,FALSE),VLOOKUP(D38,★折込地区!$A$2:$B$11,2,FALSE))</f>
        <v>T1001Tot</v>
      </c>
      <c r="X38" s="203" t="str">
        <f>CONCATENATE(申込書!$B$9," ",VLOOKUP(RIGHT(W38,3),★折込地区!$B$2:$C$10,2,FALSE),"")</f>
        <v xml:space="preserve"> 鳥取</v>
      </c>
      <c r="Z38" s="206">
        <f t="shared" ca="1" si="0"/>
        <v>0</v>
      </c>
      <c r="AB38" s="383">
        <f t="shared" si="1"/>
        <v>2.8</v>
      </c>
      <c r="AC38" s="203" t="str">
        <f t="shared" si="2"/>
        <v>G1001</v>
      </c>
      <c r="AD38" s="203" t="str">
        <f>VLOOKUP(AC38,★原価商品!$E$6:$F$349,2,FALSE)</f>
        <v>朝日/B4（折り無し）</v>
      </c>
      <c r="AE38" s="203">
        <f t="shared" ca="1" si="3"/>
        <v>0</v>
      </c>
      <c r="AF38" s="383">
        <f ca="1">IFERROR(IF(VLOOKUP(申込書!$C$32,★サイズ表記!$F$4:$H$55,3,FALSE)="切り捨て",ROUNDDOWN(L38*IF(AK38="◎",I38,J38)/100,2),IF(VLOOKUP(申込書!$C$32,★サイズ表記!$F$4:$H$55,3,FALSE)="切り上げ",ROUNDUP(L38*IF(AK38="◎",I38,J38)/100,2),ROUND(L38*IF(AK38="◎",I38,J38)/100,2))),0)</f>
        <v>2.35</v>
      </c>
      <c r="AG38" s="203">
        <f t="shared" ca="1" si="4"/>
        <v>10113</v>
      </c>
      <c r="AJ38" s="460" t="str">
        <f>IFERROR(VLOOKUP(申込書!$C$30,★業種!$D$2:$E$87,2,FALSE),"")</f>
        <v>1003</v>
      </c>
      <c r="AK38" s="460" t="str">
        <f ca="1">IF(申込書!$C$36="◎",IF(OR(D38="浜坂・温泉",D38="美方・村岡",D38="香住",D38="岡山",D38="大阪"),"",IF(LEFT(F38)="D","◎",IF(AG38=0,"",IFERROR(IF(VLOOKUP(AG38,★仕入先!$A$2:$C$211,3,FALSE)=0,"","◎"),"")))),"")</f>
        <v/>
      </c>
      <c r="AL38" s="460">
        <f>申込書!$H$14</f>
        <v>0</v>
      </c>
      <c r="AM38" s="460" t="str">
        <f>申込書!$C$32</f>
        <v>B4（折り無し）</v>
      </c>
      <c r="AN38" s="460" t="str">
        <f>VLOOKUP(AM38,★サイズ表記!$D$4:$E$55,2,FALSE)</f>
        <v>1001</v>
      </c>
      <c r="AO38" s="460">
        <f>IF(C38&lt;&gt;"⑧兵庫",VLOOKUP(LEFT(F38),★新聞!$A$4:$B$12,2,FALSE),IF(LEFT(F38)&lt;&gt;"S",VLOOKUP(LEFT(F38),★新聞!$A$4:$B$12,2,FALSE),VLOOKUP("X",★新聞!$A$4:$B$12,2,FALSE)))</f>
        <v>2</v>
      </c>
      <c r="AP38" s="460" t="str">
        <f t="shared" ca="1" si="5"/>
        <v>0</v>
      </c>
      <c r="AQ38" s="460" t="str">
        <f>IF(申込書!$C$38="","",申込書!$C$38)</f>
        <v/>
      </c>
    </row>
    <row r="39" spans="1:43">
      <c r="A39" s="463">
        <f t="shared" si="6"/>
        <v>38</v>
      </c>
      <c r="B39" s="463" t="str">
        <f t="shared" si="7"/>
        <v>東部</v>
      </c>
      <c r="C39" s="464" t="s">
        <v>1101</v>
      </c>
      <c r="D39" s="464" t="s">
        <v>1022</v>
      </c>
      <c r="E39" s="464">
        <f>VLOOKUP(D39,★折込地区!$A$2:$D$10,4,FALSE)</f>
        <v>1</v>
      </c>
      <c r="F39" s="464" t="s">
        <v>420</v>
      </c>
      <c r="G39" s="464" t="str">
        <f>INDEX(★新聞!$E$4:$I$12, MATCH(LEFT(F39),★新聞!$A$4:$A$12,0), MATCH(LEFT(W39),★新聞!$E$3:$I$3,0))</f>
        <v>AA</v>
      </c>
      <c r="H39" s="475" t="s">
        <v>1104</v>
      </c>
      <c r="I39" s="464" cm="1">
        <f t="array" ref="I39">IFERROR(INDEX(★原価率!$A$2:$E$50,MATCH($C39&amp;$H39,★原価率!$A$2:$A$50&amp;★原価率!$B$2:$B$50,0),3),0)</f>
        <v>84</v>
      </c>
      <c r="J39" s="464" cm="1">
        <f t="array" ref="J39">IFERROR(INDEX(★原価率!$A$2:$E$50,MATCH($C39&amp;$H39,★原価率!$A$2:$A$50&amp;★原価率!$B$2:$B$50,0),4),0)</f>
        <v>84</v>
      </c>
      <c r="K39" s="464" cm="1">
        <f t="array" ref="K39">IFERROR(INDEX(★原価率!$A$2:$E$50,MATCH($C39&amp;$H39,★原価率!$A$2:$A$50&amp;★原価率!$B$2:$B$50,0),5),0)</f>
        <v>100</v>
      </c>
      <c r="L39" s="528">
        <f>IFERROR(VLOOKUP(W39,★商品!$A$1:$H$1231,8,FALSE),0)</f>
        <v>2.8</v>
      </c>
      <c r="M39" s="203" t="str">
        <f ca="1">CONCATENATE(VLOOKUP(B39,★営業所!$A$2:$B$5,2,FALSE),TEXT(NOW(),"yyyy"))</f>
        <v>T2023</v>
      </c>
      <c r="N39" s="203">
        <v>1</v>
      </c>
      <c r="O39" s="203">
        <v>0</v>
      </c>
      <c r="P39" s="213">
        <f>申込書!$B$6</f>
        <v>0</v>
      </c>
      <c r="Q39" s="203">
        <f>申込書!$C$34</f>
        <v>1000040</v>
      </c>
      <c r="R39" s="203">
        <v>0</v>
      </c>
      <c r="U39" s="203">
        <f>VLOOKUP(B39,★営業所!$A$2:$C$5,3,FALSE)</f>
        <v>8</v>
      </c>
      <c r="V39" s="203">
        <f>申込書!$B$9</f>
        <v>0</v>
      </c>
      <c r="W39" s="203" t="str">
        <f>CONCATENATE(VLOOKUP(B39,★営業所!$A$2:$B$5,2,FALSE),VLOOKUP(申込書!$C$32,★サイズ表記!$D$4:$E$55,2,FALSE),VLOOKUP(D39,★折込地区!$A$2:$B$11,2,FALSE))</f>
        <v>T1001Tot</v>
      </c>
      <c r="X39" s="203" t="str">
        <f>CONCATENATE(申込書!$B$9," ",VLOOKUP(RIGHT(W39,3),★折込地区!$B$2:$C$10,2,FALSE),"")</f>
        <v xml:space="preserve"> 鳥取</v>
      </c>
      <c r="Z39" s="206">
        <f t="shared" ca="1" si="0"/>
        <v>0</v>
      </c>
      <c r="AB39" s="383">
        <f t="shared" si="1"/>
        <v>2.8</v>
      </c>
      <c r="AC39" s="203" t="str">
        <f t="shared" si="2"/>
        <v>G1001</v>
      </c>
      <c r="AD39" s="203" t="str">
        <f>VLOOKUP(AC39,★原価商品!$E$6:$F$349,2,FALSE)</f>
        <v>朝日/B4（折り無し）</v>
      </c>
      <c r="AE39" s="203">
        <f t="shared" ca="1" si="3"/>
        <v>0</v>
      </c>
      <c r="AF39" s="383">
        <f ca="1">IFERROR(IF(VLOOKUP(申込書!$C$32,★サイズ表記!$F$4:$H$55,3,FALSE)="切り捨て",ROUNDDOWN(L39*IF(AK39="◎",I39,J39)/100,2),IF(VLOOKUP(申込書!$C$32,★サイズ表記!$F$4:$H$55,3,FALSE)="切り上げ",ROUNDUP(L39*IF(AK39="◎",I39,J39)/100,2),ROUND(L39*IF(AK39="◎",I39,J39)/100,2))),0)</f>
        <v>2.35</v>
      </c>
      <c r="AG39" s="203">
        <f t="shared" ca="1" si="4"/>
        <v>0</v>
      </c>
      <c r="AJ39" s="460" t="str">
        <f>IFERROR(VLOOKUP(申込書!$C$30,★業種!$D$2:$E$87,2,FALSE),"")</f>
        <v>1003</v>
      </c>
      <c r="AK39" s="460" t="str">
        <f ca="1">IF(申込書!$C$36="◎",IF(OR(D39="浜坂・温泉",D39="美方・村岡",D39="香住",D39="岡山",D39="大阪"),"",IF(LEFT(F39)="D","◎",IF(AG39=0,"",IFERROR(IF(VLOOKUP(AG39,★仕入先!$A$2:$C$211,3,FALSE)=0,"","◎"),"")))),"")</f>
        <v/>
      </c>
      <c r="AL39" s="460">
        <f>申込書!$H$14</f>
        <v>0</v>
      </c>
      <c r="AM39" s="460" t="str">
        <f>申込書!$C$32</f>
        <v>B4（折り無し）</v>
      </c>
      <c r="AN39" s="460" t="str">
        <f>VLOOKUP(AM39,★サイズ表記!$D$4:$E$55,2,FALSE)</f>
        <v>1001</v>
      </c>
      <c r="AO39" s="460">
        <f>IF(C39&lt;&gt;"⑧兵庫",VLOOKUP(LEFT(F39),★新聞!$A$4:$B$12,2,FALSE),IF(LEFT(F39)&lt;&gt;"S",VLOOKUP(LEFT(F39),★新聞!$A$4:$B$12,2,FALSE),VLOOKUP("X",★新聞!$A$4:$B$12,2,FALSE)))</f>
        <v>2</v>
      </c>
      <c r="AP39" s="460" t="str">
        <f t="shared" ca="1" si="5"/>
        <v>0</v>
      </c>
      <c r="AQ39" s="460" t="str">
        <f>IF(申込書!$C$38="","",申込書!$C$38)</f>
        <v/>
      </c>
    </row>
    <row r="40" spans="1:43">
      <c r="A40" s="463">
        <f t="shared" si="6"/>
        <v>39</v>
      </c>
      <c r="B40" s="463" t="str">
        <f t="shared" si="7"/>
        <v>東部</v>
      </c>
      <c r="C40" s="464" t="s">
        <v>1101</v>
      </c>
      <c r="D40" s="464" t="s">
        <v>1022</v>
      </c>
      <c r="E40" s="464">
        <f>VLOOKUP(D40,★折込地区!$A$2:$D$10,4,FALSE)</f>
        <v>1</v>
      </c>
      <c r="F40" s="464" t="s">
        <v>421</v>
      </c>
      <c r="G40" s="464" t="str">
        <f>INDEX(★新聞!$E$4:$I$12, MATCH(LEFT(F40),★新聞!$A$4:$A$12,0), MATCH(LEFT(W40),★新聞!$E$3:$I$3,0))</f>
        <v>AA</v>
      </c>
      <c r="H40" s="475" t="s">
        <v>1104</v>
      </c>
      <c r="I40" s="464" cm="1">
        <f t="array" ref="I40">IFERROR(INDEX(★原価率!$A$2:$E$50,MATCH($C40&amp;$H40,★原価率!$A$2:$A$50&amp;★原価率!$B$2:$B$50,0),3),0)</f>
        <v>84</v>
      </c>
      <c r="J40" s="464" cm="1">
        <f t="array" ref="J40">IFERROR(INDEX(★原価率!$A$2:$E$50,MATCH($C40&amp;$H40,★原価率!$A$2:$A$50&amp;★原価率!$B$2:$B$50,0),4),0)</f>
        <v>84</v>
      </c>
      <c r="K40" s="464" cm="1">
        <f t="array" ref="K40">IFERROR(INDEX(★原価率!$A$2:$E$50,MATCH($C40&amp;$H40,★原価率!$A$2:$A$50&amp;★原価率!$B$2:$B$50,0),5),0)</f>
        <v>100</v>
      </c>
      <c r="L40" s="528">
        <f>IFERROR(VLOOKUP(W40,★商品!$A$1:$H$1231,8,FALSE),0)</f>
        <v>2.8</v>
      </c>
      <c r="M40" s="203" t="str">
        <f ca="1">CONCATENATE(VLOOKUP(B40,★営業所!$A$2:$B$5,2,FALSE),TEXT(NOW(),"yyyy"))</f>
        <v>T2023</v>
      </c>
      <c r="N40" s="203">
        <v>1</v>
      </c>
      <c r="O40" s="203">
        <v>0</v>
      </c>
      <c r="P40" s="213">
        <f>申込書!$B$6</f>
        <v>0</v>
      </c>
      <c r="Q40" s="203">
        <f>申込書!$C$34</f>
        <v>1000040</v>
      </c>
      <c r="R40" s="203">
        <v>0</v>
      </c>
      <c r="U40" s="203">
        <f>VLOOKUP(B40,★営業所!$A$2:$C$5,3,FALSE)</f>
        <v>8</v>
      </c>
      <c r="V40" s="203">
        <f>申込書!$B$9</f>
        <v>0</v>
      </c>
      <c r="W40" s="203" t="str">
        <f>CONCATENATE(VLOOKUP(B40,★営業所!$A$2:$B$5,2,FALSE),VLOOKUP(申込書!$C$32,★サイズ表記!$D$4:$E$55,2,FALSE),VLOOKUP(D40,★折込地区!$A$2:$B$11,2,FALSE))</f>
        <v>T1001Tot</v>
      </c>
      <c r="X40" s="203" t="str">
        <f>CONCATENATE(申込書!$B$9," ",VLOOKUP(RIGHT(W40,3),★折込地区!$B$2:$C$10,2,FALSE),"")</f>
        <v xml:space="preserve"> 鳥取</v>
      </c>
      <c r="Z40" s="206">
        <f t="shared" ca="1" si="0"/>
        <v>0</v>
      </c>
      <c r="AB40" s="383">
        <f t="shared" si="1"/>
        <v>2.8</v>
      </c>
      <c r="AC40" s="203" t="str">
        <f t="shared" si="2"/>
        <v>G1001</v>
      </c>
      <c r="AD40" s="203" t="str">
        <f>VLOOKUP(AC40,★原価商品!$E$6:$F$349,2,FALSE)</f>
        <v>朝日/B4（折り無し）</v>
      </c>
      <c r="AE40" s="203">
        <f t="shared" ca="1" si="3"/>
        <v>0</v>
      </c>
      <c r="AF40" s="383">
        <f ca="1">IFERROR(IF(VLOOKUP(申込書!$C$32,★サイズ表記!$F$4:$H$55,3,FALSE)="切り捨て",ROUNDDOWN(L40*IF(AK40="◎",I40,J40)/100,2),IF(VLOOKUP(申込書!$C$32,★サイズ表記!$F$4:$H$55,3,FALSE)="切り上げ",ROUNDUP(L40*IF(AK40="◎",I40,J40)/100,2),ROUND(L40*IF(AK40="◎",I40,J40)/100,2))),0)</f>
        <v>2.35</v>
      </c>
      <c r="AG40" s="203">
        <f t="shared" ca="1" si="4"/>
        <v>10113</v>
      </c>
      <c r="AJ40" s="460" t="str">
        <f>IFERROR(VLOOKUP(申込書!$C$30,★業種!$D$2:$E$87,2,FALSE),"")</f>
        <v>1003</v>
      </c>
      <c r="AK40" s="460" t="str">
        <f ca="1">IF(申込書!$C$36="◎",IF(OR(D40="浜坂・温泉",D40="美方・村岡",D40="香住",D40="岡山",D40="大阪"),"",IF(LEFT(F40)="D","◎",IF(AG40=0,"",IFERROR(IF(VLOOKUP(AG40,★仕入先!$A$2:$C$211,3,FALSE)=0,"","◎"),"")))),"")</f>
        <v/>
      </c>
      <c r="AL40" s="460">
        <f>申込書!$H$14</f>
        <v>0</v>
      </c>
      <c r="AM40" s="460" t="str">
        <f>申込書!$C$32</f>
        <v>B4（折り無し）</v>
      </c>
      <c r="AN40" s="460" t="str">
        <f>VLOOKUP(AM40,★サイズ表記!$D$4:$E$55,2,FALSE)</f>
        <v>1001</v>
      </c>
      <c r="AO40" s="460">
        <f>IF(C40&lt;&gt;"⑧兵庫",VLOOKUP(LEFT(F40),★新聞!$A$4:$B$12,2,FALSE),IF(LEFT(F40)&lt;&gt;"S",VLOOKUP(LEFT(F40),★新聞!$A$4:$B$12,2,FALSE),VLOOKUP("X",★新聞!$A$4:$B$12,2,FALSE)))</f>
        <v>2</v>
      </c>
      <c r="AP40" s="460" t="str">
        <f t="shared" ca="1" si="5"/>
        <v>0</v>
      </c>
      <c r="AQ40" s="460" t="str">
        <f>IF(申込書!$C$38="","",申込書!$C$38)</f>
        <v/>
      </c>
    </row>
    <row r="41" spans="1:43">
      <c r="A41" s="463">
        <f t="shared" si="6"/>
        <v>40</v>
      </c>
      <c r="B41" s="463" t="str">
        <f t="shared" si="7"/>
        <v>東部</v>
      </c>
      <c r="C41" s="464" t="s">
        <v>1101</v>
      </c>
      <c r="D41" s="464" t="s">
        <v>1022</v>
      </c>
      <c r="E41" s="464">
        <f>VLOOKUP(D41,★折込地区!$A$2:$D$10,4,FALSE)</f>
        <v>1</v>
      </c>
      <c r="F41" s="464" t="s">
        <v>422</v>
      </c>
      <c r="G41" s="464" t="str">
        <f>INDEX(★新聞!$E$4:$I$12, MATCH(LEFT(F41),★新聞!$A$4:$A$12,0), MATCH(LEFT(W41),★新聞!$E$3:$I$3,0))</f>
        <v>AA</v>
      </c>
      <c r="H41" s="475" t="s">
        <v>1104</v>
      </c>
      <c r="I41" s="464" cm="1">
        <f t="array" ref="I41">IFERROR(INDEX(★原価率!$A$2:$E$50,MATCH($C41&amp;$H41,★原価率!$A$2:$A$50&amp;★原価率!$B$2:$B$50,0),3),0)</f>
        <v>84</v>
      </c>
      <c r="J41" s="464" cm="1">
        <f t="array" ref="J41">IFERROR(INDEX(★原価率!$A$2:$E$50,MATCH($C41&amp;$H41,★原価率!$A$2:$A$50&amp;★原価率!$B$2:$B$50,0),4),0)</f>
        <v>84</v>
      </c>
      <c r="K41" s="464" cm="1">
        <f t="array" ref="K41">IFERROR(INDEX(★原価率!$A$2:$E$50,MATCH($C41&amp;$H41,★原価率!$A$2:$A$50&amp;★原価率!$B$2:$B$50,0),5),0)</f>
        <v>100</v>
      </c>
      <c r="L41" s="528">
        <f>IFERROR(VLOOKUP(W41,★商品!$A$1:$H$1231,8,FALSE),0)</f>
        <v>2.8</v>
      </c>
      <c r="M41" s="203" t="str">
        <f ca="1">CONCATENATE(VLOOKUP(B41,★営業所!$A$2:$B$5,2,FALSE),TEXT(NOW(),"yyyy"))</f>
        <v>T2023</v>
      </c>
      <c r="N41" s="203">
        <v>1</v>
      </c>
      <c r="O41" s="203">
        <v>0</v>
      </c>
      <c r="P41" s="213">
        <f>申込書!$B$6</f>
        <v>0</v>
      </c>
      <c r="Q41" s="203">
        <f>申込書!$C$34</f>
        <v>1000040</v>
      </c>
      <c r="R41" s="203">
        <v>0</v>
      </c>
      <c r="U41" s="203">
        <f>VLOOKUP(B41,★営業所!$A$2:$C$5,3,FALSE)</f>
        <v>8</v>
      </c>
      <c r="V41" s="203">
        <f>申込書!$B$9</f>
        <v>0</v>
      </c>
      <c r="W41" s="203" t="str">
        <f>CONCATENATE(VLOOKUP(B41,★営業所!$A$2:$B$5,2,FALSE),VLOOKUP(申込書!$C$32,★サイズ表記!$D$4:$E$55,2,FALSE),VLOOKUP(D41,★折込地区!$A$2:$B$11,2,FALSE))</f>
        <v>T1001Tot</v>
      </c>
      <c r="X41" s="203" t="str">
        <f>CONCATENATE(申込書!$B$9," ",VLOOKUP(RIGHT(W41,3),★折込地区!$B$2:$C$10,2,FALSE),"")</f>
        <v xml:space="preserve"> 鳥取</v>
      </c>
      <c r="Z41" s="206">
        <f t="shared" ca="1" si="0"/>
        <v>0</v>
      </c>
      <c r="AB41" s="383">
        <f t="shared" si="1"/>
        <v>2.8</v>
      </c>
      <c r="AC41" s="203" t="str">
        <f t="shared" si="2"/>
        <v>G1001</v>
      </c>
      <c r="AD41" s="203" t="str">
        <f>VLOOKUP(AC41,★原価商品!$E$6:$F$349,2,FALSE)</f>
        <v>朝日/B4（折り無し）</v>
      </c>
      <c r="AE41" s="203">
        <f t="shared" ca="1" si="3"/>
        <v>0</v>
      </c>
      <c r="AF41" s="383">
        <f ca="1">IFERROR(IF(VLOOKUP(申込書!$C$32,★サイズ表記!$F$4:$H$55,3,FALSE)="切り捨て",ROUNDDOWN(L41*IF(AK41="◎",I41,J41)/100,2),IF(VLOOKUP(申込書!$C$32,★サイズ表記!$F$4:$H$55,3,FALSE)="切り上げ",ROUNDUP(L41*IF(AK41="◎",I41,J41)/100,2),ROUND(L41*IF(AK41="◎",I41,J41)/100,2))),0)</f>
        <v>2.35</v>
      </c>
      <c r="AG41" s="203">
        <f t="shared" ca="1" si="4"/>
        <v>10113</v>
      </c>
      <c r="AJ41" s="460" t="str">
        <f>IFERROR(VLOOKUP(申込書!$C$30,★業種!$D$2:$E$87,2,FALSE),"")</f>
        <v>1003</v>
      </c>
      <c r="AK41" s="460" t="str">
        <f ca="1">IF(申込書!$C$36="◎",IF(OR(D41="浜坂・温泉",D41="美方・村岡",D41="香住",D41="岡山",D41="大阪"),"",IF(LEFT(F41)="D","◎",IF(AG41=0,"",IFERROR(IF(VLOOKUP(AG41,★仕入先!$A$2:$C$211,3,FALSE)=0,"","◎"),"")))),"")</f>
        <v/>
      </c>
      <c r="AL41" s="460">
        <f>申込書!$H$14</f>
        <v>0</v>
      </c>
      <c r="AM41" s="460" t="str">
        <f>申込書!$C$32</f>
        <v>B4（折り無し）</v>
      </c>
      <c r="AN41" s="460" t="str">
        <f>VLOOKUP(AM41,★サイズ表記!$D$4:$E$55,2,FALSE)</f>
        <v>1001</v>
      </c>
      <c r="AO41" s="460">
        <f>IF(C41&lt;&gt;"⑧兵庫",VLOOKUP(LEFT(F41),★新聞!$A$4:$B$12,2,FALSE),IF(LEFT(F41)&lt;&gt;"S",VLOOKUP(LEFT(F41),★新聞!$A$4:$B$12,2,FALSE),VLOOKUP("X",★新聞!$A$4:$B$12,2,FALSE)))</f>
        <v>2</v>
      </c>
      <c r="AP41" s="460" t="str">
        <f t="shared" ca="1" si="5"/>
        <v>0</v>
      </c>
      <c r="AQ41" s="460" t="str">
        <f>IF(申込書!$C$38="","",申込書!$C$38)</f>
        <v/>
      </c>
    </row>
    <row r="42" spans="1:43">
      <c r="A42" s="463">
        <f t="shared" si="6"/>
        <v>41</v>
      </c>
      <c r="B42" s="463" t="str">
        <f t="shared" si="7"/>
        <v>東部</v>
      </c>
      <c r="C42" s="464" t="s">
        <v>1101</v>
      </c>
      <c r="D42" s="464" t="s">
        <v>1022</v>
      </c>
      <c r="E42" s="464">
        <f>VLOOKUP(D42,★折込地区!$A$2:$D$10,4,FALSE)</f>
        <v>1</v>
      </c>
      <c r="F42" s="464" t="s">
        <v>423</v>
      </c>
      <c r="G42" s="464" t="str">
        <f>INDEX(★新聞!$E$4:$I$12, MATCH(LEFT(F42),★新聞!$A$4:$A$12,0), MATCH(LEFT(W42),★新聞!$E$3:$I$3,0))</f>
        <v>AA</v>
      </c>
      <c r="H42" s="555" t="s">
        <v>1102</v>
      </c>
      <c r="I42" s="464" cm="1">
        <f t="array" ref="I42">IFERROR(INDEX(★原価率!$A$2:$E$50,MATCH($C42&amp;$H42,★原価率!$A$2:$A$50&amp;★原価率!$B$2:$B$50,0),3),0)</f>
        <v>74</v>
      </c>
      <c r="J42" s="464" cm="1">
        <f t="array" ref="J42">IFERROR(INDEX(★原価率!$A$2:$E$50,MATCH($C42&amp;$H42,★原価率!$A$2:$A$50&amp;★原価率!$B$2:$B$50,0),4),0)</f>
        <v>84</v>
      </c>
      <c r="K42" s="464" cm="1">
        <f t="array" ref="K42">IFERROR(INDEX(★原価率!$A$2:$E$50,MATCH($C42&amp;$H42,★原価率!$A$2:$A$50&amp;★原価率!$B$2:$B$50,0),5),0)</f>
        <v>100</v>
      </c>
      <c r="L42" s="528">
        <f>IFERROR(VLOOKUP(W42,★商品!$A$1:$H$1231,8,FALSE),0)</f>
        <v>2.8</v>
      </c>
      <c r="M42" s="203" t="str">
        <f ca="1">CONCATENATE(VLOOKUP(B42,★営業所!$A$2:$B$5,2,FALSE),TEXT(NOW(),"yyyy"))</f>
        <v>T2023</v>
      </c>
      <c r="N42" s="203">
        <v>1</v>
      </c>
      <c r="O42" s="203">
        <v>0</v>
      </c>
      <c r="P42" s="213">
        <f>申込書!$B$6</f>
        <v>0</v>
      </c>
      <c r="Q42" s="203">
        <f>申込書!$C$34</f>
        <v>1000040</v>
      </c>
      <c r="R42" s="203">
        <v>0</v>
      </c>
      <c r="U42" s="203">
        <f>VLOOKUP(B42,★営業所!$A$2:$C$5,3,FALSE)</f>
        <v>8</v>
      </c>
      <c r="V42" s="203">
        <f>申込書!$B$9</f>
        <v>0</v>
      </c>
      <c r="W42" s="203" t="str">
        <f>CONCATENATE(VLOOKUP(B42,★営業所!$A$2:$B$5,2,FALSE),VLOOKUP(申込書!$C$32,★サイズ表記!$D$4:$E$55,2,FALSE),VLOOKUP(D42,★折込地区!$A$2:$B$11,2,FALSE))</f>
        <v>T1001Tot</v>
      </c>
      <c r="X42" s="203" t="str">
        <f>CONCATENATE(申込書!$B$9," ",VLOOKUP(RIGHT(W42,3),★折込地区!$B$2:$C$10,2,FALSE),"")</f>
        <v xml:space="preserve"> 鳥取</v>
      </c>
      <c r="Z42" s="206">
        <f t="shared" ca="1" si="0"/>
        <v>0</v>
      </c>
      <c r="AB42" s="383">
        <f t="shared" si="1"/>
        <v>2.8</v>
      </c>
      <c r="AC42" s="203" t="str">
        <f t="shared" si="2"/>
        <v>G1001</v>
      </c>
      <c r="AD42" s="203" t="str">
        <f>VLOOKUP(AC42,★原価商品!$E$6:$F$349,2,FALSE)</f>
        <v>朝日/B4（折り無し）</v>
      </c>
      <c r="AE42" s="203">
        <f t="shared" ca="1" si="3"/>
        <v>0</v>
      </c>
      <c r="AF42" s="383">
        <f ca="1">IFERROR(IF(VLOOKUP(申込書!$C$32,★サイズ表記!$F$4:$H$55,3,FALSE)="切り捨て",ROUNDDOWN(L42*IF(AK42="◎",I42,J42)/100,2),IF(VLOOKUP(申込書!$C$32,★サイズ表記!$F$4:$H$55,3,FALSE)="切り上げ",ROUNDUP(L42*IF(AK42="◎",I42,J42)/100,2),ROUND(L42*IF(AK42="◎",I42,J42)/100,2))),0)</f>
        <v>2.0699999999999998</v>
      </c>
      <c r="AG42" s="203">
        <f t="shared" ca="1" si="4"/>
        <v>10029</v>
      </c>
      <c r="AJ42" s="460" t="str">
        <f>IFERROR(VLOOKUP(申込書!$C$30,★業種!$D$2:$E$87,2,FALSE),"")</f>
        <v>1003</v>
      </c>
      <c r="AK42" s="460" t="str">
        <f ca="1">IF(申込書!$C$36="◎",IF(OR(D42="浜坂・温泉",D42="美方・村岡",D42="香住",D42="岡山",D42="大阪"),"",IF(LEFT(F42)="D","◎",IF(AG42=0,"",IFERROR(IF(VLOOKUP(AG42,★仕入先!$A$2:$C$211,3,FALSE)=0,"","◎"),"")))),"")</f>
        <v>◎</v>
      </c>
      <c r="AL42" s="460">
        <f>申込書!$H$14</f>
        <v>0</v>
      </c>
      <c r="AM42" s="460" t="str">
        <f>申込書!$C$32</f>
        <v>B4（折り無し）</v>
      </c>
      <c r="AN42" s="460" t="str">
        <f>VLOOKUP(AM42,★サイズ表記!$D$4:$E$55,2,FALSE)</f>
        <v>1001</v>
      </c>
      <c r="AO42" s="460">
        <f>IF(C42&lt;&gt;"⑧兵庫",VLOOKUP(LEFT(F42),★新聞!$A$4:$B$12,2,FALSE),IF(LEFT(F42)&lt;&gt;"S",VLOOKUP(LEFT(F42),★新聞!$A$4:$B$12,2,FALSE),VLOOKUP("X",★新聞!$A$4:$B$12,2,FALSE)))</f>
        <v>2</v>
      </c>
      <c r="AP42" s="460" t="str">
        <f t="shared" ca="1" si="5"/>
        <v>0</v>
      </c>
      <c r="AQ42" s="460" t="str">
        <f>IF(申込書!$C$38="","",申込書!$C$38)</f>
        <v/>
      </c>
    </row>
    <row r="43" spans="1:43">
      <c r="A43" s="463">
        <f t="shared" si="6"/>
        <v>42</v>
      </c>
      <c r="B43" s="463" t="str">
        <f t="shared" si="7"/>
        <v>東部</v>
      </c>
      <c r="C43" s="464" t="s">
        <v>1101</v>
      </c>
      <c r="D43" s="464" t="s">
        <v>1022</v>
      </c>
      <c r="E43" s="464">
        <f>VLOOKUP(D43,★折込地区!$A$2:$D$10,4,FALSE)</f>
        <v>1</v>
      </c>
      <c r="F43" s="464" t="s">
        <v>424</v>
      </c>
      <c r="G43" s="464" t="str">
        <f>INDEX(★新聞!$E$4:$I$12, MATCH(LEFT(F43),★新聞!$A$4:$A$12,0), MATCH(LEFT(W43),★新聞!$E$3:$I$3,0))</f>
        <v>AA</v>
      </c>
      <c r="H43" s="555" t="s">
        <v>1102</v>
      </c>
      <c r="I43" s="464" cm="1">
        <f t="array" ref="I43">IFERROR(INDEX(★原価率!$A$2:$E$50,MATCH($C43&amp;$H43,★原価率!$A$2:$A$50&amp;★原価率!$B$2:$B$50,0),3),0)</f>
        <v>74</v>
      </c>
      <c r="J43" s="464" cm="1">
        <f t="array" ref="J43">IFERROR(INDEX(★原価率!$A$2:$E$50,MATCH($C43&amp;$H43,★原価率!$A$2:$A$50&amp;★原価率!$B$2:$B$50,0),4),0)</f>
        <v>84</v>
      </c>
      <c r="K43" s="464" cm="1">
        <f t="array" ref="K43">IFERROR(INDEX(★原価率!$A$2:$E$50,MATCH($C43&amp;$H43,★原価率!$A$2:$A$50&amp;★原価率!$B$2:$B$50,0),5),0)</f>
        <v>100</v>
      </c>
      <c r="L43" s="528">
        <f>IFERROR(VLOOKUP(W43,★商品!$A$1:$H$1231,8,FALSE),0)</f>
        <v>2.8</v>
      </c>
      <c r="M43" s="203" t="str">
        <f ca="1">CONCATENATE(VLOOKUP(B43,★営業所!$A$2:$B$5,2,FALSE),TEXT(NOW(),"yyyy"))</f>
        <v>T2023</v>
      </c>
      <c r="N43" s="203">
        <v>1</v>
      </c>
      <c r="O43" s="203">
        <v>0</v>
      </c>
      <c r="P43" s="213">
        <f>申込書!$B$6</f>
        <v>0</v>
      </c>
      <c r="Q43" s="203">
        <f>申込書!$C$34</f>
        <v>1000040</v>
      </c>
      <c r="R43" s="203">
        <v>0</v>
      </c>
      <c r="U43" s="203">
        <f>VLOOKUP(B43,★営業所!$A$2:$C$5,3,FALSE)</f>
        <v>8</v>
      </c>
      <c r="V43" s="203">
        <f>申込書!$B$9</f>
        <v>0</v>
      </c>
      <c r="W43" s="203" t="str">
        <f>CONCATENATE(VLOOKUP(B43,★営業所!$A$2:$B$5,2,FALSE),VLOOKUP(申込書!$C$32,★サイズ表記!$D$4:$E$55,2,FALSE),VLOOKUP(D43,★折込地区!$A$2:$B$11,2,FALSE))</f>
        <v>T1001Tot</v>
      </c>
      <c r="X43" s="203" t="str">
        <f>CONCATENATE(申込書!$B$9," ",VLOOKUP(RIGHT(W43,3),★折込地区!$B$2:$C$10,2,FALSE),"")</f>
        <v xml:space="preserve"> 鳥取</v>
      </c>
      <c r="Z43" s="206">
        <f t="shared" ca="1" si="0"/>
        <v>0</v>
      </c>
      <c r="AB43" s="383">
        <f t="shared" si="1"/>
        <v>2.8</v>
      </c>
      <c r="AC43" s="203" t="str">
        <f t="shared" si="2"/>
        <v>G1001</v>
      </c>
      <c r="AD43" s="203" t="str">
        <f>VLOOKUP(AC43,★原価商品!$E$6:$F$349,2,FALSE)</f>
        <v>朝日/B4（折り無し）</v>
      </c>
      <c r="AE43" s="203">
        <f t="shared" ca="1" si="3"/>
        <v>0</v>
      </c>
      <c r="AF43" s="383">
        <f ca="1">IFERROR(IF(VLOOKUP(申込書!$C$32,★サイズ表記!$F$4:$H$55,3,FALSE)="切り捨て",ROUNDDOWN(L43*IF(AK43="◎",I43,J43)/100,2),IF(VLOOKUP(申込書!$C$32,★サイズ表記!$F$4:$H$55,3,FALSE)="切り上げ",ROUNDUP(L43*IF(AK43="◎",I43,J43)/100,2),ROUND(L43*IF(AK43="◎",I43,J43)/100,2))),0)</f>
        <v>2.0699999999999998</v>
      </c>
      <c r="AG43" s="203">
        <f t="shared" ca="1" si="4"/>
        <v>10033</v>
      </c>
      <c r="AJ43" s="460" t="str">
        <f>IFERROR(VLOOKUP(申込書!$C$30,★業種!$D$2:$E$87,2,FALSE),"")</f>
        <v>1003</v>
      </c>
      <c r="AK43" s="460" t="str">
        <f ca="1">IF(申込書!$C$36="◎",IF(OR(D43="浜坂・温泉",D43="美方・村岡",D43="香住",D43="岡山",D43="大阪"),"",IF(LEFT(F43)="D","◎",IF(AG43=0,"",IFERROR(IF(VLOOKUP(AG43,★仕入先!$A$2:$C$211,3,FALSE)=0,"","◎"),"")))),"")</f>
        <v>◎</v>
      </c>
      <c r="AL43" s="460">
        <f>申込書!$H$14</f>
        <v>0</v>
      </c>
      <c r="AM43" s="460" t="str">
        <f>申込書!$C$32</f>
        <v>B4（折り無し）</v>
      </c>
      <c r="AN43" s="460" t="str">
        <f>VLOOKUP(AM43,★サイズ表記!$D$4:$E$55,2,FALSE)</f>
        <v>1001</v>
      </c>
      <c r="AO43" s="460">
        <f>IF(C43&lt;&gt;"⑧兵庫",VLOOKUP(LEFT(F43),★新聞!$A$4:$B$12,2,FALSE),IF(LEFT(F43)&lt;&gt;"S",VLOOKUP(LEFT(F43),★新聞!$A$4:$B$12,2,FALSE),VLOOKUP("X",★新聞!$A$4:$B$12,2,FALSE)))</f>
        <v>2</v>
      </c>
      <c r="AP43" s="460" t="str">
        <f t="shared" ca="1" si="5"/>
        <v>0</v>
      </c>
      <c r="AQ43" s="460" t="str">
        <f>IF(申込書!$C$38="","",申込書!$C$38)</f>
        <v/>
      </c>
    </row>
    <row r="44" spans="1:43">
      <c r="A44" s="463">
        <f t="shared" si="6"/>
        <v>43</v>
      </c>
      <c r="B44" s="463" t="str">
        <f t="shared" si="7"/>
        <v>東部</v>
      </c>
      <c r="C44" s="464" t="s">
        <v>1101</v>
      </c>
      <c r="D44" s="464" t="s">
        <v>1022</v>
      </c>
      <c r="E44" s="464">
        <f>VLOOKUP(D44,★折込地区!$A$2:$D$10,4,FALSE)</f>
        <v>1</v>
      </c>
      <c r="F44" s="464" t="s">
        <v>425</v>
      </c>
      <c r="G44" s="464" t="str">
        <f>INDEX(★新聞!$E$4:$I$12, MATCH(LEFT(F44),★新聞!$A$4:$A$12,0), MATCH(LEFT(W44),★新聞!$E$3:$I$3,0))</f>
        <v>AA</v>
      </c>
      <c r="H44" s="555" t="s">
        <v>1102</v>
      </c>
      <c r="I44" s="464" cm="1">
        <f t="array" ref="I44">IFERROR(INDEX(★原価率!$A$2:$E$50,MATCH($C44&amp;$H44,★原価率!$A$2:$A$50&amp;★原価率!$B$2:$B$50,0),3),0)</f>
        <v>74</v>
      </c>
      <c r="J44" s="464" cm="1">
        <f t="array" ref="J44">IFERROR(INDEX(★原価率!$A$2:$E$50,MATCH($C44&amp;$H44,★原価率!$A$2:$A$50&amp;★原価率!$B$2:$B$50,0),4),0)</f>
        <v>84</v>
      </c>
      <c r="K44" s="464" cm="1">
        <f t="array" ref="K44">IFERROR(INDEX(★原価率!$A$2:$E$50,MATCH($C44&amp;$H44,★原価率!$A$2:$A$50&amp;★原価率!$B$2:$B$50,0),5),0)</f>
        <v>100</v>
      </c>
      <c r="L44" s="528">
        <f>IFERROR(VLOOKUP(W44,★商品!$A$1:$H$1231,8,FALSE),0)</f>
        <v>2.8</v>
      </c>
      <c r="M44" s="203" t="str">
        <f ca="1">CONCATENATE(VLOOKUP(B44,★営業所!$A$2:$B$5,2,FALSE),TEXT(NOW(),"yyyy"))</f>
        <v>T2023</v>
      </c>
      <c r="N44" s="203">
        <v>1</v>
      </c>
      <c r="O44" s="203">
        <v>0</v>
      </c>
      <c r="P44" s="213">
        <f>申込書!$B$6</f>
        <v>0</v>
      </c>
      <c r="Q44" s="203">
        <f>申込書!$C$34</f>
        <v>1000040</v>
      </c>
      <c r="R44" s="203">
        <v>0</v>
      </c>
      <c r="U44" s="203">
        <f>VLOOKUP(B44,★営業所!$A$2:$C$5,3,FALSE)</f>
        <v>8</v>
      </c>
      <c r="V44" s="203">
        <f>申込書!$B$9</f>
        <v>0</v>
      </c>
      <c r="W44" s="203" t="str">
        <f>CONCATENATE(VLOOKUP(B44,★営業所!$A$2:$B$5,2,FALSE),VLOOKUP(申込書!$C$32,★サイズ表記!$D$4:$E$55,2,FALSE),VLOOKUP(D44,★折込地区!$A$2:$B$11,2,FALSE))</f>
        <v>T1001Tot</v>
      </c>
      <c r="X44" s="203" t="str">
        <f>CONCATENATE(申込書!$B$9," ",VLOOKUP(RIGHT(W44,3),★折込地区!$B$2:$C$10,2,FALSE),"")</f>
        <v xml:space="preserve"> 鳥取</v>
      </c>
      <c r="Z44" s="206">
        <f t="shared" ca="1" si="0"/>
        <v>0</v>
      </c>
      <c r="AB44" s="383">
        <f t="shared" si="1"/>
        <v>2.8</v>
      </c>
      <c r="AC44" s="203" t="str">
        <f t="shared" si="2"/>
        <v>G1001</v>
      </c>
      <c r="AD44" s="203" t="str">
        <f>VLOOKUP(AC44,★原価商品!$E$6:$F$349,2,FALSE)</f>
        <v>朝日/B4（折り無し）</v>
      </c>
      <c r="AE44" s="203">
        <f t="shared" ca="1" si="3"/>
        <v>0</v>
      </c>
      <c r="AF44" s="383">
        <f ca="1">IFERROR(IF(VLOOKUP(申込書!$C$32,★サイズ表記!$F$4:$H$55,3,FALSE)="切り捨て",ROUNDDOWN(L44*IF(AK44="◎",I44,J44)/100,2),IF(VLOOKUP(申込書!$C$32,★サイズ表記!$F$4:$H$55,3,FALSE)="切り上げ",ROUNDUP(L44*IF(AK44="◎",I44,J44)/100,2),ROUND(L44*IF(AK44="◎",I44,J44)/100,2))),0)</f>
        <v>2.0699999999999998</v>
      </c>
      <c r="AG44" s="203">
        <f t="shared" ca="1" si="4"/>
        <v>10036</v>
      </c>
      <c r="AJ44" s="460" t="str">
        <f>IFERROR(VLOOKUP(申込書!$C$30,★業種!$D$2:$E$87,2,FALSE),"")</f>
        <v>1003</v>
      </c>
      <c r="AK44" s="460" t="str">
        <f ca="1">IF(申込書!$C$36="◎",IF(OR(D44="浜坂・温泉",D44="美方・村岡",D44="香住",D44="岡山",D44="大阪"),"",IF(LEFT(F44)="D","◎",IF(AG44=0,"",IFERROR(IF(VLOOKUP(AG44,★仕入先!$A$2:$C$211,3,FALSE)=0,"","◎"),"")))),"")</f>
        <v>◎</v>
      </c>
      <c r="AL44" s="460">
        <f>申込書!$H$14</f>
        <v>0</v>
      </c>
      <c r="AM44" s="460" t="str">
        <f>申込書!$C$32</f>
        <v>B4（折り無し）</v>
      </c>
      <c r="AN44" s="460" t="str">
        <f>VLOOKUP(AM44,★サイズ表記!$D$4:$E$55,2,FALSE)</f>
        <v>1001</v>
      </c>
      <c r="AO44" s="460">
        <f>IF(C44&lt;&gt;"⑧兵庫",VLOOKUP(LEFT(F44),★新聞!$A$4:$B$12,2,FALSE),IF(LEFT(F44)&lt;&gt;"S",VLOOKUP(LEFT(F44),★新聞!$A$4:$B$12,2,FALSE),VLOOKUP("X",★新聞!$A$4:$B$12,2,FALSE)))</f>
        <v>2</v>
      </c>
      <c r="AP44" s="460" t="str">
        <f t="shared" ca="1" si="5"/>
        <v>0</v>
      </c>
      <c r="AQ44" s="460" t="str">
        <f>IF(申込書!$C$38="","",申込書!$C$38)</f>
        <v/>
      </c>
    </row>
    <row r="45" spans="1:43">
      <c r="A45" s="463">
        <f t="shared" si="6"/>
        <v>44</v>
      </c>
      <c r="B45" s="463" t="str">
        <f t="shared" si="7"/>
        <v>東部</v>
      </c>
      <c r="C45" s="464" t="s">
        <v>1101</v>
      </c>
      <c r="D45" s="464" t="s">
        <v>1022</v>
      </c>
      <c r="E45" s="464">
        <f>VLOOKUP(D45,★折込地区!$A$2:$D$10,4,FALSE)</f>
        <v>1</v>
      </c>
      <c r="F45" s="464" t="s">
        <v>426</v>
      </c>
      <c r="G45" s="464" t="str">
        <f>INDEX(★新聞!$E$4:$I$12, MATCH(LEFT(F45),★新聞!$A$4:$A$12,0), MATCH(LEFT(W45),★新聞!$E$3:$I$3,0))</f>
        <v>AA</v>
      </c>
      <c r="H45" s="475" t="s">
        <v>1104</v>
      </c>
      <c r="I45" s="464" cm="1">
        <f t="array" ref="I45">IFERROR(INDEX(★原価率!$A$2:$E$50,MATCH($C45&amp;$H45,★原価率!$A$2:$A$50&amp;★原価率!$B$2:$B$50,0),3),0)</f>
        <v>84</v>
      </c>
      <c r="J45" s="464" cm="1">
        <f t="array" ref="J45">IFERROR(INDEX(★原価率!$A$2:$E$50,MATCH($C45&amp;$H45,★原価率!$A$2:$A$50&amp;★原価率!$B$2:$B$50,0),4),0)</f>
        <v>84</v>
      </c>
      <c r="K45" s="464" cm="1">
        <f t="array" ref="K45">IFERROR(INDEX(★原価率!$A$2:$E$50,MATCH($C45&amp;$H45,★原価率!$A$2:$A$50&amp;★原価率!$B$2:$B$50,0),5),0)</f>
        <v>100</v>
      </c>
      <c r="L45" s="528">
        <f>IFERROR(VLOOKUP(W45,★商品!$A$1:$H$1231,8,FALSE),0)</f>
        <v>2.8</v>
      </c>
      <c r="M45" s="203" t="str">
        <f ca="1">CONCATENATE(VLOOKUP(B45,★営業所!$A$2:$B$5,2,FALSE),TEXT(NOW(),"yyyy"))</f>
        <v>T2023</v>
      </c>
      <c r="N45" s="203">
        <v>1</v>
      </c>
      <c r="O45" s="203">
        <v>0</v>
      </c>
      <c r="P45" s="213">
        <f>申込書!$B$6</f>
        <v>0</v>
      </c>
      <c r="Q45" s="203">
        <f>申込書!$C$34</f>
        <v>1000040</v>
      </c>
      <c r="R45" s="203">
        <v>0</v>
      </c>
      <c r="U45" s="203">
        <f>VLOOKUP(B45,★営業所!$A$2:$C$5,3,FALSE)</f>
        <v>8</v>
      </c>
      <c r="V45" s="203">
        <f>申込書!$B$9</f>
        <v>0</v>
      </c>
      <c r="W45" s="203" t="str">
        <f>CONCATENATE(VLOOKUP(B45,★営業所!$A$2:$B$5,2,FALSE),VLOOKUP(申込書!$C$32,★サイズ表記!$D$4:$E$55,2,FALSE),VLOOKUP(D45,★折込地区!$A$2:$B$11,2,FALSE))</f>
        <v>T1001Tot</v>
      </c>
      <c r="X45" s="203" t="str">
        <f>CONCATENATE(申込書!$B$9," ",VLOOKUP(RIGHT(W45,3),★折込地区!$B$2:$C$10,2,FALSE),"")</f>
        <v xml:space="preserve"> 鳥取</v>
      </c>
      <c r="Z45" s="206">
        <f t="shared" ca="1" si="0"/>
        <v>0</v>
      </c>
      <c r="AB45" s="383">
        <f t="shared" si="1"/>
        <v>2.8</v>
      </c>
      <c r="AC45" s="203" t="str">
        <f t="shared" si="2"/>
        <v>G1001</v>
      </c>
      <c r="AD45" s="203" t="str">
        <f>VLOOKUP(AC45,★原価商品!$E$6:$F$349,2,FALSE)</f>
        <v>朝日/B4（折り無し）</v>
      </c>
      <c r="AE45" s="203">
        <f t="shared" ca="1" si="3"/>
        <v>0</v>
      </c>
      <c r="AF45" s="383">
        <f ca="1">IFERROR(IF(VLOOKUP(申込書!$C$32,★サイズ表記!$F$4:$H$55,3,FALSE)="切り捨て",ROUNDDOWN(L45*IF(AK45="◎",I45,J45)/100,2),IF(VLOOKUP(申込書!$C$32,★サイズ表記!$F$4:$H$55,3,FALSE)="切り上げ",ROUNDUP(L45*IF(AK45="◎",I45,J45)/100,2),ROUND(L45*IF(AK45="◎",I45,J45)/100,2))),0)</f>
        <v>2.35</v>
      </c>
      <c r="AG45" s="203">
        <f t="shared" ca="1" si="4"/>
        <v>0</v>
      </c>
      <c r="AJ45" s="460" t="str">
        <f>IFERROR(VLOOKUP(申込書!$C$30,★業種!$D$2:$E$87,2,FALSE),"")</f>
        <v>1003</v>
      </c>
      <c r="AK45" s="460" t="str">
        <f ca="1">IF(申込書!$C$36="◎",IF(OR(D45="浜坂・温泉",D45="美方・村岡",D45="香住",D45="岡山",D45="大阪"),"",IF(LEFT(F45)="D","◎",IF(AG45=0,"",IFERROR(IF(VLOOKUP(AG45,★仕入先!$A$2:$C$211,3,FALSE)=0,"","◎"),"")))),"")</f>
        <v/>
      </c>
      <c r="AL45" s="460">
        <f>申込書!$H$14</f>
        <v>0</v>
      </c>
      <c r="AM45" s="460" t="str">
        <f>申込書!$C$32</f>
        <v>B4（折り無し）</v>
      </c>
      <c r="AN45" s="460" t="str">
        <f>VLOOKUP(AM45,★サイズ表記!$D$4:$E$55,2,FALSE)</f>
        <v>1001</v>
      </c>
      <c r="AO45" s="460">
        <f>IF(C45&lt;&gt;"⑧兵庫",VLOOKUP(LEFT(F45),★新聞!$A$4:$B$12,2,FALSE),IF(LEFT(F45)&lt;&gt;"S",VLOOKUP(LEFT(F45),★新聞!$A$4:$B$12,2,FALSE),VLOOKUP("X",★新聞!$A$4:$B$12,2,FALSE)))</f>
        <v>2</v>
      </c>
      <c r="AP45" s="460" t="str">
        <f t="shared" ca="1" si="5"/>
        <v>0</v>
      </c>
      <c r="AQ45" s="460" t="str">
        <f>IF(申込書!$C$38="","",申込書!$C$38)</f>
        <v/>
      </c>
    </row>
    <row r="46" spans="1:43">
      <c r="A46" s="463">
        <f t="shared" si="6"/>
        <v>45</v>
      </c>
      <c r="B46" s="463" t="str">
        <f t="shared" si="7"/>
        <v>東部</v>
      </c>
      <c r="C46" s="464" t="s">
        <v>1101</v>
      </c>
      <c r="D46" s="464" t="s">
        <v>1022</v>
      </c>
      <c r="E46" s="464">
        <f>VLOOKUP(D46,★折込地区!$A$2:$D$10,4,FALSE)</f>
        <v>1</v>
      </c>
      <c r="F46" s="464" t="s">
        <v>384</v>
      </c>
      <c r="G46" s="464" t="str">
        <f>INDEX(★新聞!$E$4:$I$12, MATCH(LEFT(F46),★新聞!$A$4:$A$12,0), MATCH(LEFT(W46),★新聞!$E$3:$I$3,0))</f>
        <v>AD</v>
      </c>
      <c r="H46" s="475" t="s">
        <v>1104</v>
      </c>
      <c r="I46" s="464" cm="1">
        <f t="array" ref="I46">IFERROR(INDEX(★原価率!$A$2:$E$50,MATCH($C46&amp;$H46,★原価率!$A$2:$A$50&amp;★原価率!$B$2:$B$50,0),3),0)</f>
        <v>84</v>
      </c>
      <c r="J46" s="464" cm="1">
        <f t="array" ref="J46">IFERROR(INDEX(★原価率!$A$2:$E$50,MATCH($C46&amp;$H46,★原価率!$A$2:$A$50&amp;★原価率!$B$2:$B$50,0),4),0)</f>
        <v>84</v>
      </c>
      <c r="K46" s="464" cm="1">
        <f t="array" ref="K46">IFERROR(INDEX(★原価率!$A$2:$E$50,MATCH($C46&amp;$H46,★原価率!$A$2:$A$50&amp;★原価率!$B$2:$B$50,0),5),0)</f>
        <v>100</v>
      </c>
      <c r="L46" s="528">
        <f>IFERROR(VLOOKUP(W46,★商品!$A$1:$H$1231,8,FALSE),0)</f>
        <v>2.8</v>
      </c>
      <c r="M46" s="203" t="str">
        <f ca="1">CONCATENATE(VLOOKUP(B46,★営業所!$A$2:$B$5,2,FALSE),TEXT(NOW(),"yyyy"))</f>
        <v>T2023</v>
      </c>
      <c r="N46" s="203">
        <v>1</v>
      </c>
      <c r="O46" s="203">
        <v>0</v>
      </c>
      <c r="P46" s="213">
        <f>申込書!$B$6</f>
        <v>0</v>
      </c>
      <c r="Q46" s="203">
        <f>申込書!$C$34</f>
        <v>1000040</v>
      </c>
      <c r="R46" s="203">
        <v>0</v>
      </c>
      <c r="U46" s="203">
        <f>VLOOKUP(B46,★営業所!$A$2:$C$5,3,FALSE)</f>
        <v>8</v>
      </c>
      <c r="V46" s="203">
        <f>申込書!$B$9</f>
        <v>0</v>
      </c>
      <c r="W46" s="203" t="str">
        <f>CONCATENATE(VLOOKUP(B46,★営業所!$A$2:$B$5,2,FALSE),VLOOKUP(申込書!$C$32,★サイズ表記!$D$4:$E$55,2,FALSE),VLOOKUP(D46,★折込地区!$A$2:$B$11,2,FALSE))</f>
        <v>T1001Tot</v>
      </c>
      <c r="X46" s="203" t="str">
        <f>CONCATENATE(申込書!$B$9," ",VLOOKUP(RIGHT(W46,3),★折込地区!$B$2:$C$10,2,FALSE),"")</f>
        <v xml:space="preserve"> 鳥取</v>
      </c>
      <c r="Z46" s="206">
        <f t="shared" ca="1" si="0"/>
        <v>0</v>
      </c>
      <c r="AB46" s="383">
        <f t="shared" si="1"/>
        <v>2.8</v>
      </c>
      <c r="AC46" s="203" t="str">
        <f t="shared" si="2"/>
        <v>J1001</v>
      </c>
      <c r="AD46" s="203" t="str">
        <f>VLOOKUP(AC46,★原価商品!$E$6:$F$349,2,FALSE)</f>
        <v>読売/B4（折り無し）</v>
      </c>
      <c r="AE46" s="203">
        <f t="shared" ca="1" si="3"/>
        <v>0</v>
      </c>
      <c r="AF46" s="383">
        <f ca="1">IFERROR(IF(VLOOKUP(申込書!$C$32,★サイズ表記!$F$4:$H$55,3,FALSE)="切り捨て",ROUNDDOWN(L46*IF(AK46="◎",I46,J46)/100,2),IF(VLOOKUP(申込書!$C$32,★サイズ表記!$F$4:$H$55,3,FALSE)="切り上げ",ROUNDUP(L46*IF(AK46="◎",I46,J46)/100,2),ROUND(L46*IF(AK46="◎",I46,J46)/100,2))),0)</f>
        <v>2.35</v>
      </c>
      <c r="AG46" s="203">
        <f t="shared" ca="1" si="4"/>
        <v>10101</v>
      </c>
      <c r="AJ46" s="460" t="str">
        <f>IFERROR(VLOOKUP(申込書!$C$30,★業種!$D$2:$E$87,2,FALSE),"")</f>
        <v>1003</v>
      </c>
      <c r="AK46" s="460" t="str">
        <f ca="1">IF(申込書!$C$36="◎",IF(OR(D46="浜坂・温泉",D46="美方・村岡",D46="香住",D46="岡山",D46="大阪"),"",IF(LEFT(F46)="D","◎",IF(AG46=0,"",IFERROR(IF(VLOOKUP(AG46,★仕入先!$A$2:$C$211,3,FALSE)=0,"","◎"),"")))),"")</f>
        <v/>
      </c>
      <c r="AL46" s="460">
        <f>申込書!$H$14</f>
        <v>0</v>
      </c>
      <c r="AM46" s="460" t="str">
        <f>申込書!$C$32</f>
        <v>B4（折り無し）</v>
      </c>
      <c r="AN46" s="460" t="str">
        <f>VLOOKUP(AM46,★サイズ表記!$D$4:$E$55,2,FALSE)</f>
        <v>1001</v>
      </c>
      <c r="AO46" s="460">
        <f>IF(C46&lt;&gt;"⑧兵庫",VLOOKUP(LEFT(F46),★新聞!$A$4:$B$12,2,FALSE),IF(LEFT(F46)&lt;&gt;"S",VLOOKUP(LEFT(F46),★新聞!$A$4:$B$12,2,FALSE),VLOOKUP("X",★新聞!$A$4:$B$12,2,FALSE)))</f>
        <v>3</v>
      </c>
      <c r="AP46" s="460" t="str">
        <f t="shared" ca="1" si="5"/>
        <v>0</v>
      </c>
      <c r="AQ46" s="460" t="str">
        <f>IF(申込書!$C$38="","",申込書!$C$38)</f>
        <v/>
      </c>
    </row>
    <row r="47" spans="1:43">
      <c r="A47" s="463">
        <f t="shared" si="6"/>
        <v>46</v>
      </c>
      <c r="B47" s="463" t="str">
        <f t="shared" si="7"/>
        <v>東部</v>
      </c>
      <c r="C47" s="464" t="s">
        <v>1101</v>
      </c>
      <c r="D47" s="464" t="s">
        <v>1022</v>
      </c>
      <c r="E47" s="464">
        <f>VLOOKUP(D47,★折込地区!$A$2:$D$10,4,FALSE)</f>
        <v>1</v>
      </c>
      <c r="F47" s="464" t="s">
        <v>427</v>
      </c>
      <c r="G47" s="464" t="str">
        <f>INDEX(★新聞!$E$4:$I$12, MATCH(LEFT(F47),★新聞!$A$4:$A$12,0), MATCH(LEFT(W47),★新聞!$E$3:$I$3,0))</f>
        <v>AD</v>
      </c>
      <c r="H47" s="475" t="s">
        <v>1104</v>
      </c>
      <c r="I47" s="464" cm="1">
        <f t="array" ref="I47">IFERROR(INDEX(★原価率!$A$2:$E$50,MATCH($C47&amp;$H47,★原価率!$A$2:$A$50&amp;★原価率!$B$2:$B$50,0),3),0)</f>
        <v>84</v>
      </c>
      <c r="J47" s="464" cm="1">
        <f t="array" ref="J47">IFERROR(INDEX(★原価率!$A$2:$E$50,MATCH($C47&amp;$H47,★原価率!$A$2:$A$50&amp;★原価率!$B$2:$B$50,0),4),0)</f>
        <v>84</v>
      </c>
      <c r="K47" s="464" cm="1">
        <f t="array" ref="K47">IFERROR(INDEX(★原価率!$A$2:$E$50,MATCH($C47&amp;$H47,★原価率!$A$2:$A$50&amp;★原価率!$B$2:$B$50,0),5),0)</f>
        <v>100</v>
      </c>
      <c r="L47" s="528">
        <f>IFERROR(VLOOKUP(W47,★商品!$A$1:$H$1231,8,FALSE),0)</f>
        <v>2.8</v>
      </c>
      <c r="M47" s="203" t="str">
        <f ca="1">CONCATENATE(VLOOKUP(B47,★営業所!$A$2:$B$5,2,FALSE),TEXT(NOW(),"yyyy"))</f>
        <v>T2023</v>
      </c>
      <c r="N47" s="203">
        <v>1</v>
      </c>
      <c r="O47" s="203">
        <v>0</v>
      </c>
      <c r="P47" s="213">
        <f>申込書!$B$6</f>
        <v>0</v>
      </c>
      <c r="Q47" s="203">
        <f>申込書!$C$34</f>
        <v>1000040</v>
      </c>
      <c r="R47" s="203">
        <v>0</v>
      </c>
      <c r="U47" s="203">
        <f>VLOOKUP(B47,★営業所!$A$2:$C$5,3,FALSE)</f>
        <v>8</v>
      </c>
      <c r="V47" s="203">
        <f>申込書!$B$9</f>
        <v>0</v>
      </c>
      <c r="W47" s="203" t="str">
        <f>CONCATENATE(VLOOKUP(B47,★営業所!$A$2:$B$5,2,FALSE),VLOOKUP(申込書!$C$32,★サイズ表記!$D$4:$E$55,2,FALSE),VLOOKUP(D47,★折込地区!$A$2:$B$11,2,FALSE))</f>
        <v>T1001Tot</v>
      </c>
      <c r="X47" s="203" t="str">
        <f>CONCATENATE(申込書!$B$9," ",VLOOKUP(RIGHT(W47,3),★折込地区!$B$2:$C$10,2,FALSE),"")</f>
        <v xml:space="preserve"> 鳥取</v>
      </c>
      <c r="Z47" s="206">
        <f t="shared" ca="1" si="0"/>
        <v>0</v>
      </c>
      <c r="AB47" s="383">
        <f t="shared" si="1"/>
        <v>2.8</v>
      </c>
      <c r="AC47" s="203" t="str">
        <f t="shared" si="2"/>
        <v>J1001</v>
      </c>
      <c r="AD47" s="203" t="str">
        <f>VLOOKUP(AC47,★原価商品!$E$6:$F$349,2,FALSE)</f>
        <v>読売/B4（折り無し）</v>
      </c>
      <c r="AE47" s="203">
        <f t="shared" ca="1" si="3"/>
        <v>0</v>
      </c>
      <c r="AF47" s="383">
        <f ca="1">IFERROR(IF(VLOOKUP(申込書!$C$32,★サイズ表記!$F$4:$H$55,3,FALSE)="切り捨て",ROUNDDOWN(L47*IF(AK47="◎",I47,J47)/100,2),IF(VLOOKUP(申込書!$C$32,★サイズ表記!$F$4:$H$55,3,FALSE)="切り上げ",ROUNDUP(L47*IF(AK47="◎",I47,J47)/100,2),ROUND(L47*IF(AK47="◎",I47,J47)/100,2))),0)</f>
        <v>2.35</v>
      </c>
      <c r="AG47" s="203">
        <f t="shared" ca="1" si="4"/>
        <v>0</v>
      </c>
      <c r="AJ47" s="460" t="str">
        <f>IFERROR(VLOOKUP(申込書!$C$30,★業種!$D$2:$E$87,2,FALSE),"")</f>
        <v>1003</v>
      </c>
      <c r="AK47" s="460" t="str">
        <f ca="1">IF(申込書!$C$36="◎",IF(OR(D47="浜坂・温泉",D47="美方・村岡",D47="香住",D47="岡山",D47="大阪"),"",IF(LEFT(F47)="D","◎",IF(AG47=0,"",IFERROR(IF(VLOOKUP(AG47,★仕入先!$A$2:$C$211,3,FALSE)=0,"","◎"),"")))),"")</f>
        <v/>
      </c>
      <c r="AL47" s="460">
        <f>申込書!$H$14</f>
        <v>0</v>
      </c>
      <c r="AM47" s="460" t="str">
        <f>申込書!$C$32</f>
        <v>B4（折り無し）</v>
      </c>
      <c r="AN47" s="460" t="str">
        <f>VLOOKUP(AM47,★サイズ表記!$D$4:$E$55,2,FALSE)</f>
        <v>1001</v>
      </c>
      <c r="AO47" s="460">
        <f>IF(C47&lt;&gt;"⑧兵庫",VLOOKUP(LEFT(F47),★新聞!$A$4:$B$12,2,FALSE),IF(LEFT(F47)&lt;&gt;"S",VLOOKUP(LEFT(F47),★新聞!$A$4:$B$12,2,FALSE),VLOOKUP("X",★新聞!$A$4:$B$12,2,FALSE)))</f>
        <v>3</v>
      </c>
      <c r="AP47" s="460" t="str">
        <f t="shared" ca="1" si="5"/>
        <v>0</v>
      </c>
      <c r="AQ47" s="460" t="str">
        <f>IF(申込書!$C$38="","",申込書!$C$38)</f>
        <v/>
      </c>
    </row>
    <row r="48" spans="1:43">
      <c r="A48" s="463">
        <f t="shared" si="6"/>
        <v>47</v>
      </c>
      <c r="B48" s="463" t="str">
        <f t="shared" si="7"/>
        <v>東部</v>
      </c>
      <c r="C48" s="464" t="s">
        <v>1101</v>
      </c>
      <c r="D48" s="464" t="s">
        <v>1022</v>
      </c>
      <c r="E48" s="464">
        <f>VLOOKUP(D48,★折込地区!$A$2:$D$10,4,FALSE)</f>
        <v>1</v>
      </c>
      <c r="F48" s="464" t="s">
        <v>428</v>
      </c>
      <c r="G48" s="464" t="str">
        <f>INDEX(★新聞!$E$4:$I$12, MATCH(LEFT(F48),★新聞!$A$4:$A$12,0), MATCH(LEFT(W48),★新聞!$E$3:$I$3,0))</f>
        <v>AD</v>
      </c>
      <c r="H48" s="475" t="s">
        <v>1104</v>
      </c>
      <c r="I48" s="464" cm="1">
        <f t="array" ref="I48">IFERROR(INDEX(★原価率!$A$2:$E$50,MATCH($C48&amp;$H48,★原価率!$A$2:$A$50&amp;★原価率!$B$2:$B$50,0),3),0)</f>
        <v>84</v>
      </c>
      <c r="J48" s="464" cm="1">
        <f t="array" ref="J48">IFERROR(INDEX(★原価率!$A$2:$E$50,MATCH($C48&amp;$H48,★原価率!$A$2:$A$50&amp;★原価率!$B$2:$B$50,0),4),0)</f>
        <v>84</v>
      </c>
      <c r="K48" s="464" cm="1">
        <f t="array" ref="K48">IFERROR(INDEX(★原価率!$A$2:$E$50,MATCH($C48&amp;$H48,★原価率!$A$2:$A$50&amp;★原価率!$B$2:$B$50,0),5),0)</f>
        <v>100</v>
      </c>
      <c r="L48" s="528">
        <f>IFERROR(VLOOKUP(W48,★商品!$A$1:$H$1231,8,FALSE),0)</f>
        <v>2.8</v>
      </c>
      <c r="M48" s="203" t="str">
        <f ca="1">CONCATENATE(VLOOKUP(B48,★営業所!$A$2:$B$5,2,FALSE),TEXT(NOW(),"yyyy"))</f>
        <v>T2023</v>
      </c>
      <c r="N48" s="203">
        <v>1</v>
      </c>
      <c r="O48" s="203">
        <v>0</v>
      </c>
      <c r="P48" s="213">
        <f>申込書!$B$6</f>
        <v>0</v>
      </c>
      <c r="Q48" s="203">
        <f>申込書!$C$34</f>
        <v>1000040</v>
      </c>
      <c r="R48" s="203">
        <v>0</v>
      </c>
      <c r="U48" s="203">
        <f>VLOOKUP(B48,★営業所!$A$2:$C$5,3,FALSE)</f>
        <v>8</v>
      </c>
      <c r="V48" s="203">
        <f>申込書!$B$9</f>
        <v>0</v>
      </c>
      <c r="W48" s="203" t="str">
        <f>CONCATENATE(VLOOKUP(B48,★営業所!$A$2:$B$5,2,FALSE),VLOOKUP(申込書!$C$32,★サイズ表記!$D$4:$E$55,2,FALSE),VLOOKUP(D48,★折込地区!$A$2:$B$11,2,FALSE))</f>
        <v>T1001Tot</v>
      </c>
      <c r="X48" s="203" t="str">
        <f>CONCATENATE(申込書!$B$9," ",VLOOKUP(RIGHT(W48,3),★折込地区!$B$2:$C$10,2,FALSE),"")</f>
        <v xml:space="preserve"> 鳥取</v>
      </c>
      <c r="Z48" s="206">
        <f t="shared" ca="1" si="0"/>
        <v>0</v>
      </c>
      <c r="AB48" s="383">
        <f t="shared" si="1"/>
        <v>2.8</v>
      </c>
      <c r="AC48" s="203" t="str">
        <f t="shared" si="2"/>
        <v>J1001</v>
      </c>
      <c r="AD48" s="203" t="str">
        <f>VLOOKUP(AC48,★原価商品!$E$6:$F$349,2,FALSE)</f>
        <v>読売/B4（折り無し）</v>
      </c>
      <c r="AE48" s="203">
        <f t="shared" ca="1" si="3"/>
        <v>0</v>
      </c>
      <c r="AF48" s="383">
        <f ca="1">IFERROR(IF(VLOOKUP(申込書!$C$32,★サイズ表記!$F$4:$H$55,3,FALSE)="切り捨て",ROUNDDOWN(L48*IF(AK48="◎",I48,J48)/100,2),IF(VLOOKUP(申込書!$C$32,★サイズ表記!$F$4:$H$55,3,FALSE)="切り上げ",ROUNDUP(L48*IF(AK48="◎",I48,J48)/100,2),ROUND(L48*IF(AK48="◎",I48,J48)/100,2))),0)</f>
        <v>2.35</v>
      </c>
      <c r="AG48" s="203">
        <f t="shared" ca="1" si="4"/>
        <v>0</v>
      </c>
      <c r="AJ48" s="460" t="str">
        <f>IFERROR(VLOOKUP(申込書!$C$30,★業種!$D$2:$E$87,2,FALSE),"")</f>
        <v>1003</v>
      </c>
      <c r="AK48" s="460" t="str">
        <f ca="1">IF(申込書!$C$36="◎",IF(OR(D48="浜坂・温泉",D48="美方・村岡",D48="香住",D48="岡山",D48="大阪"),"",IF(LEFT(F48)="D","◎",IF(AG48=0,"",IFERROR(IF(VLOOKUP(AG48,★仕入先!$A$2:$C$211,3,FALSE)=0,"","◎"),"")))),"")</f>
        <v/>
      </c>
      <c r="AL48" s="460">
        <f>申込書!$H$14</f>
        <v>0</v>
      </c>
      <c r="AM48" s="460" t="str">
        <f>申込書!$C$32</f>
        <v>B4（折り無し）</v>
      </c>
      <c r="AN48" s="460" t="str">
        <f>VLOOKUP(AM48,★サイズ表記!$D$4:$E$55,2,FALSE)</f>
        <v>1001</v>
      </c>
      <c r="AO48" s="460">
        <f>IF(C48&lt;&gt;"⑧兵庫",VLOOKUP(LEFT(F48),★新聞!$A$4:$B$12,2,FALSE),IF(LEFT(F48)&lt;&gt;"S",VLOOKUP(LEFT(F48),★新聞!$A$4:$B$12,2,FALSE),VLOOKUP("X",★新聞!$A$4:$B$12,2,FALSE)))</f>
        <v>3</v>
      </c>
      <c r="AP48" s="460" t="str">
        <f t="shared" ca="1" si="5"/>
        <v>0</v>
      </c>
      <c r="AQ48" s="460" t="str">
        <f>IF(申込書!$C$38="","",申込書!$C$38)</f>
        <v/>
      </c>
    </row>
    <row r="49" spans="1:43">
      <c r="A49" s="463">
        <f t="shared" si="6"/>
        <v>48</v>
      </c>
      <c r="B49" s="463" t="str">
        <f t="shared" si="7"/>
        <v>東部</v>
      </c>
      <c r="C49" s="464" t="s">
        <v>1101</v>
      </c>
      <c r="D49" s="464" t="s">
        <v>1022</v>
      </c>
      <c r="E49" s="464">
        <f>VLOOKUP(D49,★折込地区!$A$2:$D$10,4,FALSE)</f>
        <v>1</v>
      </c>
      <c r="F49" s="464" t="s">
        <v>429</v>
      </c>
      <c r="G49" s="464" t="str">
        <f>INDEX(★新聞!$E$4:$I$12, MATCH(LEFT(F49),★新聞!$A$4:$A$12,0), MATCH(LEFT(W49),★新聞!$E$3:$I$3,0))</f>
        <v>AD</v>
      </c>
      <c r="H49" s="475" t="s">
        <v>1104</v>
      </c>
      <c r="I49" s="464" cm="1">
        <f t="array" ref="I49">IFERROR(INDEX(★原価率!$A$2:$E$50,MATCH($C49&amp;$H49,★原価率!$A$2:$A$50&amp;★原価率!$B$2:$B$50,0),3),0)</f>
        <v>84</v>
      </c>
      <c r="J49" s="464" cm="1">
        <f t="array" ref="J49">IFERROR(INDEX(★原価率!$A$2:$E$50,MATCH($C49&amp;$H49,★原価率!$A$2:$A$50&amp;★原価率!$B$2:$B$50,0),4),0)</f>
        <v>84</v>
      </c>
      <c r="K49" s="464" cm="1">
        <f t="array" ref="K49">IFERROR(INDEX(★原価率!$A$2:$E$50,MATCH($C49&amp;$H49,★原価率!$A$2:$A$50&amp;★原価率!$B$2:$B$50,0),5),0)</f>
        <v>100</v>
      </c>
      <c r="L49" s="528">
        <f>IFERROR(VLOOKUP(W49,★商品!$A$1:$H$1231,8,FALSE),0)</f>
        <v>2.8</v>
      </c>
      <c r="M49" s="203" t="str">
        <f ca="1">CONCATENATE(VLOOKUP(B49,★営業所!$A$2:$B$5,2,FALSE),TEXT(NOW(),"yyyy"))</f>
        <v>T2023</v>
      </c>
      <c r="N49" s="203">
        <v>1</v>
      </c>
      <c r="O49" s="203">
        <v>0</v>
      </c>
      <c r="P49" s="213">
        <f>申込書!$B$6</f>
        <v>0</v>
      </c>
      <c r="Q49" s="203">
        <f>申込書!$C$34</f>
        <v>1000040</v>
      </c>
      <c r="R49" s="203">
        <v>0</v>
      </c>
      <c r="U49" s="203">
        <f>VLOOKUP(B49,★営業所!$A$2:$C$5,3,FALSE)</f>
        <v>8</v>
      </c>
      <c r="V49" s="203">
        <f>申込書!$B$9</f>
        <v>0</v>
      </c>
      <c r="W49" s="203" t="str">
        <f>CONCATENATE(VLOOKUP(B49,★営業所!$A$2:$B$5,2,FALSE),VLOOKUP(申込書!$C$32,★サイズ表記!$D$4:$E$55,2,FALSE),VLOOKUP(D49,★折込地区!$A$2:$B$11,2,FALSE))</f>
        <v>T1001Tot</v>
      </c>
      <c r="X49" s="203" t="str">
        <f>CONCATENATE(申込書!$B$9," ",VLOOKUP(RIGHT(W49,3),★折込地区!$B$2:$C$10,2,FALSE),"")</f>
        <v xml:space="preserve"> 鳥取</v>
      </c>
      <c r="Z49" s="206">
        <f t="shared" ca="1" si="0"/>
        <v>0</v>
      </c>
      <c r="AB49" s="383">
        <f t="shared" si="1"/>
        <v>2.8</v>
      </c>
      <c r="AC49" s="203" t="str">
        <f t="shared" si="2"/>
        <v>J1001</v>
      </c>
      <c r="AD49" s="203" t="str">
        <f>VLOOKUP(AC49,★原価商品!$E$6:$F$349,2,FALSE)</f>
        <v>読売/B4（折り無し）</v>
      </c>
      <c r="AE49" s="203">
        <f t="shared" ca="1" si="3"/>
        <v>0</v>
      </c>
      <c r="AF49" s="383">
        <f ca="1">IFERROR(IF(VLOOKUP(申込書!$C$32,★サイズ表記!$F$4:$H$55,3,FALSE)="切り捨て",ROUNDDOWN(L49*IF(AK49="◎",I49,J49)/100,2),IF(VLOOKUP(申込書!$C$32,★サイズ表記!$F$4:$H$55,3,FALSE)="切り上げ",ROUNDUP(L49*IF(AK49="◎",I49,J49)/100,2),ROUND(L49*IF(AK49="◎",I49,J49)/100,2))),0)</f>
        <v>2.35</v>
      </c>
      <c r="AG49" s="203">
        <f t="shared" ca="1" si="4"/>
        <v>0</v>
      </c>
      <c r="AJ49" s="460" t="str">
        <f>IFERROR(VLOOKUP(申込書!$C$30,★業種!$D$2:$E$87,2,FALSE),"")</f>
        <v>1003</v>
      </c>
      <c r="AK49" s="460" t="str">
        <f ca="1">IF(申込書!$C$36="◎",IF(OR(D49="浜坂・温泉",D49="美方・村岡",D49="香住",D49="岡山",D49="大阪"),"",IF(LEFT(F49)="D","◎",IF(AG49=0,"",IFERROR(IF(VLOOKUP(AG49,★仕入先!$A$2:$C$211,3,FALSE)=0,"","◎"),"")))),"")</f>
        <v/>
      </c>
      <c r="AL49" s="460">
        <f>申込書!$H$14</f>
        <v>0</v>
      </c>
      <c r="AM49" s="460" t="str">
        <f>申込書!$C$32</f>
        <v>B4（折り無し）</v>
      </c>
      <c r="AN49" s="460" t="str">
        <f>VLOOKUP(AM49,★サイズ表記!$D$4:$E$55,2,FALSE)</f>
        <v>1001</v>
      </c>
      <c r="AO49" s="460">
        <f>IF(C49&lt;&gt;"⑧兵庫",VLOOKUP(LEFT(F49),★新聞!$A$4:$B$12,2,FALSE),IF(LEFT(F49)&lt;&gt;"S",VLOOKUP(LEFT(F49),★新聞!$A$4:$B$12,2,FALSE),VLOOKUP("X",★新聞!$A$4:$B$12,2,FALSE)))</f>
        <v>3</v>
      </c>
      <c r="AP49" s="460" t="str">
        <f t="shared" ca="1" si="5"/>
        <v>0</v>
      </c>
      <c r="AQ49" s="460" t="str">
        <f>IF(申込書!$C$38="","",申込書!$C$38)</f>
        <v/>
      </c>
    </row>
    <row r="50" spans="1:43">
      <c r="A50" s="463">
        <f t="shared" si="6"/>
        <v>49</v>
      </c>
      <c r="B50" s="463" t="str">
        <f t="shared" si="7"/>
        <v>東部</v>
      </c>
      <c r="C50" s="464" t="s">
        <v>1101</v>
      </c>
      <c r="D50" s="464" t="s">
        <v>1022</v>
      </c>
      <c r="E50" s="464">
        <f>VLOOKUP(D50,★折込地区!$A$2:$D$10,4,FALSE)</f>
        <v>1</v>
      </c>
      <c r="F50" s="464" t="s">
        <v>430</v>
      </c>
      <c r="G50" s="464" t="str">
        <f>INDEX(★新聞!$E$4:$I$12, MATCH(LEFT(F50),★新聞!$A$4:$A$12,0), MATCH(LEFT(W50),★新聞!$E$3:$I$3,0))</f>
        <v>AD</v>
      </c>
      <c r="H50" s="475" t="s">
        <v>1104</v>
      </c>
      <c r="I50" s="464" cm="1">
        <f t="array" ref="I50">IFERROR(INDEX(★原価率!$A$2:$E$50,MATCH($C50&amp;$H50,★原価率!$A$2:$A$50&amp;★原価率!$B$2:$B$50,0),3),0)</f>
        <v>84</v>
      </c>
      <c r="J50" s="464" cm="1">
        <f t="array" ref="J50">IFERROR(INDEX(★原価率!$A$2:$E$50,MATCH($C50&amp;$H50,★原価率!$A$2:$A$50&amp;★原価率!$B$2:$B$50,0),4),0)</f>
        <v>84</v>
      </c>
      <c r="K50" s="464" cm="1">
        <f t="array" ref="K50">IFERROR(INDEX(★原価率!$A$2:$E$50,MATCH($C50&amp;$H50,★原価率!$A$2:$A$50&amp;★原価率!$B$2:$B$50,0),5),0)</f>
        <v>100</v>
      </c>
      <c r="L50" s="528">
        <f>IFERROR(VLOOKUP(W50,★商品!$A$1:$H$1231,8,FALSE),0)</f>
        <v>2.8</v>
      </c>
      <c r="M50" s="203" t="str">
        <f ca="1">CONCATENATE(VLOOKUP(B50,★営業所!$A$2:$B$5,2,FALSE),TEXT(NOW(),"yyyy"))</f>
        <v>T2023</v>
      </c>
      <c r="N50" s="203">
        <v>1</v>
      </c>
      <c r="O50" s="203">
        <v>0</v>
      </c>
      <c r="P50" s="213">
        <f>申込書!$B$6</f>
        <v>0</v>
      </c>
      <c r="Q50" s="203">
        <f>申込書!$C$34</f>
        <v>1000040</v>
      </c>
      <c r="R50" s="203">
        <v>0</v>
      </c>
      <c r="U50" s="203">
        <f>VLOOKUP(B50,★営業所!$A$2:$C$5,3,FALSE)</f>
        <v>8</v>
      </c>
      <c r="V50" s="203">
        <f>申込書!$B$9</f>
        <v>0</v>
      </c>
      <c r="W50" s="203" t="str">
        <f>CONCATENATE(VLOOKUP(B50,★営業所!$A$2:$B$5,2,FALSE),VLOOKUP(申込書!$C$32,★サイズ表記!$D$4:$E$55,2,FALSE),VLOOKUP(D50,★折込地区!$A$2:$B$11,2,FALSE))</f>
        <v>T1001Tot</v>
      </c>
      <c r="X50" s="203" t="str">
        <f>CONCATENATE(申込書!$B$9," ",VLOOKUP(RIGHT(W50,3),★折込地区!$B$2:$C$10,2,FALSE),"")</f>
        <v xml:space="preserve"> 鳥取</v>
      </c>
      <c r="Z50" s="206">
        <f t="shared" ca="1" si="0"/>
        <v>0</v>
      </c>
      <c r="AB50" s="383">
        <f t="shared" si="1"/>
        <v>2.8</v>
      </c>
      <c r="AC50" s="203" t="str">
        <f t="shared" si="2"/>
        <v>J1001</v>
      </c>
      <c r="AD50" s="203" t="str">
        <f>VLOOKUP(AC50,★原価商品!$E$6:$F$349,2,FALSE)</f>
        <v>読売/B4（折り無し）</v>
      </c>
      <c r="AE50" s="203">
        <f t="shared" ca="1" si="3"/>
        <v>0</v>
      </c>
      <c r="AF50" s="383">
        <f ca="1">IFERROR(IF(VLOOKUP(申込書!$C$32,★サイズ表記!$F$4:$H$55,3,FALSE)="切り捨て",ROUNDDOWN(L50*IF(AK50="◎",I50,J50)/100,2),IF(VLOOKUP(申込書!$C$32,★サイズ表記!$F$4:$H$55,3,FALSE)="切り上げ",ROUNDUP(L50*IF(AK50="◎",I50,J50)/100,2),ROUND(L50*IF(AK50="◎",I50,J50)/100,2))),0)</f>
        <v>2.35</v>
      </c>
      <c r="AG50" s="203">
        <f t="shared" ca="1" si="4"/>
        <v>0</v>
      </c>
      <c r="AJ50" s="460" t="str">
        <f>IFERROR(VLOOKUP(申込書!$C$30,★業種!$D$2:$E$87,2,FALSE),"")</f>
        <v>1003</v>
      </c>
      <c r="AK50" s="460" t="str">
        <f ca="1">IF(申込書!$C$36="◎",IF(OR(D50="浜坂・温泉",D50="美方・村岡",D50="香住",D50="岡山",D50="大阪"),"",IF(LEFT(F50)="D","◎",IF(AG50=0,"",IFERROR(IF(VLOOKUP(AG50,★仕入先!$A$2:$C$211,3,FALSE)=0,"","◎"),"")))),"")</f>
        <v/>
      </c>
      <c r="AL50" s="460">
        <f>申込書!$H$14</f>
        <v>0</v>
      </c>
      <c r="AM50" s="460" t="str">
        <f>申込書!$C$32</f>
        <v>B4（折り無し）</v>
      </c>
      <c r="AN50" s="460" t="str">
        <f>VLOOKUP(AM50,★サイズ表記!$D$4:$E$55,2,FALSE)</f>
        <v>1001</v>
      </c>
      <c r="AO50" s="460">
        <f>IF(C50&lt;&gt;"⑧兵庫",VLOOKUP(LEFT(F50),★新聞!$A$4:$B$12,2,FALSE),IF(LEFT(F50)&lt;&gt;"S",VLOOKUP(LEFT(F50),★新聞!$A$4:$B$12,2,FALSE),VLOOKUP("X",★新聞!$A$4:$B$12,2,FALSE)))</f>
        <v>3</v>
      </c>
      <c r="AP50" s="460" t="str">
        <f t="shared" ca="1" si="5"/>
        <v>0</v>
      </c>
      <c r="AQ50" s="460" t="str">
        <f>IF(申込書!$C$38="","",申込書!$C$38)</f>
        <v/>
      </c>
    </row>
    <row r="51" spans="1:43">
      <c r="A51" s="463">
        <f t="shared" si="6"/>
        <v>50</v>
      </c>
      <c r="B51" s="463" t="str">
        <f t="shared" si="7"/>
        <v>東部</v>
      </c>
      <c r="C51" s="464" t="s">
        <v>1101</v>
      </c>
      <c r="D51" s="464" t="s">
        <v>1022</v>
      </c>
      <c r="E51" s="464">
        <f>VLOOKUP(D51,★折込地区!$A$2:$D$10,4,FALSE)</f>
        <v>1</v>
      </c>
      <c r="F51" s="464" t="s">
        <v>431</v>
      </c>
      <c r="G51" s="464" t="str">
        <f>INDEX(★新聞!$E$4:$I$12, MATCH(LEFT(F51),★新聞!$A$4:$A$12,0), MATCH(LEFT(W51),★新聞!$E$3:$I$3,0))</f>
        <v>AD</v>
      </c>
      <c r="H51" s="475" t="s">
        <v>1104</v>
      </c>
      <c r="I51" s="464" cm="1">
        <f t="array" ref="I51">IFERROR(INDEX(★原価率!$A$2:$E$50,MATCH($C51&amp;$H51,★原価率!$A$2:$A$50&amp;★原価率!$B$2:$B$50,0),3),0)</f>
        <v>84</v>
      </c>
      <c r="J51" s="464" cm="1">
        <f t="array" ref="J51">IFERROR(INDEX(★原価率!$A$2:$E$50,MATCH($C51&amp;$H51,★原価率!$A$2:$A$50&amp;★原価率!$B$2:$B$50,0),4),0)</f>
        <v>84</v>
      </c>
      <c r="K51" s="464" cm="1">
        <f t="array" ref="K51">IFERROR(INDEX(★原価率!$A$2:$E$50,MATCH($C51&amp;$H51,★原価率!$A$2:$A$50&amp;★原価率!$B$2:$B$50,0),5),0)</f>
        <v>100</v>
      </c>
      <c r="L51" s="528">
        <f>IFERROR(VLOOKUP(W51,★商品!$A$1:$H$1231,8,FALSE),0)</f>
        <v>2.8</v>
      </c>
      <c r="M51" s="203" t="str">
        <f ca="1">CONCATENATE(VLOOKUP(B51,★営業所!$A$2:$B$5,2,FALSE),TEXT(NOW(),"yyyy"))</f>
        <v>T2023</v>
      </c>
      <c r="N51" s="203">
        <v>1</v>
      </c>
      <c r="O51" s="203">
        <v>0</v>
      </c>
      <c r="P51" s="213">
        <f>申込書!$B$6</f>
        <v>0</v>
      </c>
      <c r="Q51" s="203">
        <f>申込書!$C$34</f>
        <v>1000040</v>
      </c>
      <c r="R51" s="203">
        <v>0</v>
      </c>
      <c r="U51" s="203">
        <f>VLOOKUP(B51,★営業所!$A$2:$C$5,3,FALSE)</f>
        <v>8</v>
      </c>
      <c r="V51" s="203">
        <f>申込書!$B$9</f>
        <v>0</v>
      </c>
      <c r="W51" s="203" t="str">
        <f>CONCATENATE(VLOOKUP(B51,★営業所!$A$2:$B$5,2,FALSE),VLOOKUP(申込書!$C$32,★サイズ表記!$D$4:$E$55,2,FALSE),VLOOKUP(D51,★折込地区!$A$2:$B$11,2,FALSE))</f>
        <v>T1001Tot</v>
      </c>
      <c r="X51" s="203" t="str">
        <f>CONCATENATE(申込書!$B$9," ",VLOOKUP(RIGHT(W51,3),★折込地区!$B$2:$C$10,2,FALSE),"")</f>
        <v xml:space="preserve"> 鳥取</v>
      </c>
      <c r="Z51" s="206">
        <f t="shared" ca="1" si="0"/>
        <v>0</v>
      </c>
      <c r="AB51" s="383">
        <f t="shared" si="1"/>
        <v>2.8</v>
      </c>
      <c r="AC51" s="203" t="str">
        <f t="shared" si="2"/>
        <v>J1001</v>
      </c>
      <c r="AD51" s="203" t="str">
        <f>VLOOKUP(AC51,★原価商品!$E$6:$F$349,2,FALSE)</f>
        <v>読売/B4（折り無し）</v>
      </c>
      <c r="AE51" s="203">
        <f t="shared" ca="1" si="3"/>
        <v>0</v>
      </c>
      <c r="AF51" s="383">
        <f ca="1">IFERROR(IF(VLOOKUP(申込書!$C$32,★サイズ表記!$F$4:$H$55,3,FALSE)="切り捨て",ROUNDDOWN(L51*IF(AK51="◎",I51,J51)/100,2),IF(VLOOKUP(申込書!$C$32,★サイズ表記!$F$4:$H$55,3,FALSE)="切り上げ",ROUNDUP(L51*IF(AK51="◎",I51,J51)/100,2),ROUND(L51*IF(AK51="◎",I51,J51)/100,2))),0)</f>
        <v>2.35</v>
      </c>
      <c r="AG51" s="203">
        <f t="shared" ca="1" si="4"/>
        <v>0</v>
      </c>
      <c r="AJ51" s="460" t="str">
        <f>IFERROR(VLOOKUP(申込書!$C$30,★業種!$D$2:$E$87,2,FALSE),"")</f>
        <v>1003</v>
      </c>
      <c r="AK51" s="460" t="str">
        <f ca="1">IF(申込書!$C$36="◎",IF(OR(D51="浜坂・温泉",D51="美方・村岡",D51="香住",D51="岡山",D51="大阪"),"",IF(LEFT(F51)="D","◎",IF(AG51=0,"",IFERROR(IF(VLOOKUP(AG51,★仕入先!$A$2:$C$211,3,FALSE)=0,"","◎"),"")))),"")</f>
        <v/>
      </c>
      <c r="AL51" s="460">
        <f>申込書!$H$14</f>
        <v>0</v>
      </c>
      <c r="AM51" s="460" t="str">
        <f>申込書!$C$32</f>
        <v>B4（折り無し）</v>
      </c>
      <c r="AN51" s="460" t="str">
        <f>VLOOKUP(AM51,★サイズ表記!$D$4:$E$55,2,FALSE)</f>
        <v>1001</v>
      </c>
      <c r="AO51" s="460">
        <f>IF(C51&lt;&gt;"⑧兵庫",VLOOKUP(LEFT(F51),★新聞!$A$4:$B$12,2,FALSE),IF(LEFT(F51)&lt;&gt;"S",VLOOKUP(LEFT(F51),★新聞!$A$4:$B$12,2,FALSE),VLOOKUP("X",★新聞!$A$4:$B$12,2,FALSE)))</f>
        <v>3</v>
      </c>
      <c r="AP51" s="460" t="str">
        <f t="shared" ca="1" si="5"/>
        <v>0</v>
      </c>
      <c r="AQ51" s="460" t="str">
        <f>IF(申込書!$C$38="","",申込書!$C$38)</f>
        <v/>
      </c>
    </row>
    <row r="52" spans="1:43">
      <c r="A52" s="463">
        <f t="shared" si="6"/>
        <v>51</v>
      </c>
      <c r="B52" s="463" t="str">
        <f t="shared" si="7"/>
        <v>東部</v>
      </c>
      <c r="C52" s="464" t="s">
        <v>1101</v>
      </c>
      <c r="D52" s="464" t="s">
        <v>1022</v>
      </c>
      <c r="E52" s="464">
        <f>VLOOKUP(D52,★折込地区!$A$2:$D$10,4,FALSE)</f>
        <v>1</v>
      </c>
      <c r="F52" s="464" t="s">
        <v>432</v>
      </c>
      <c r="G52" s="464" t="str">
        <f>INDEX(★新聞!$E$4:$I$12, MATCH(LEFT(F52),★新聞!$A$4:$A$12,0), MATCH(LEFT(W52),★新聞!$E$3:$I$3,0))</f>
        <v>AD</v>
      </c>
      <c r="H52" s="475" t="s">
        <v>1104</v>
      </c>
      <c r="I52" s="464" cm="1">
        <f t="array" ref="I52">IFERROR(INDEX(★原価率!$A$2:$E$50,MATCH($C52&amp;$H52,★原価率!$A$2:$A$50&amp;★原価率!$B$2:$B$50,0),3),0)</f>
        <v>84</v>
      </c>
      <c r="J52" s="464" cm="1">
        <f t="array" ref="J52">IFERROR(INDEX(★原価率!$A$2:$E$50,MATCH($C52&amp;$H52,★原価率!$A$2:$A$50&amp;★原価率!$B$2:$B$50,0),4),0)</f>
        <v>84</v>
      </c>
      <c r="K52" s="464" cm="1">
        <f t="array" ref="K52">IFERROR(INDEX(★原価率!$A$2:$E$50,MATCH($C52&amp;$H52,★原価率!$A$2:$A$50&amp;★原価率!$B$2:$B$50,0),5),0)</f>
        <v>100</v>
      </c>
      <c r="L52" s="528">
        <f>IFERROR(VLOOKUP(W52,★商品!$A$1:$H$1231,8,FALSE),0)</f>
        <v>2.8</v>
      </c>
      <c r="M52" s="203" t="str">
        <f ca="1">CONCATENATE(VLOOKUP(B52,★営業所!$A$2:$B$5,2,FALSE),TEXT(NOW(),"yyyy"))</f>
        <v>T2023</v>
      </c>
      <c r="N52" s="203">
        <v>1</v>
      </c>
      <c r="O52" s="203">
        <v>0</v>
      </c>
      <c r="P52" s="213">
        <f>申込書!$B$6</f>
        <v>0</v>
      </c>
      <c r="Q52" s="203">
        <f>申込書!$C$34</f>
        <v>1000040</v>
      </c>
      <c r="R52" s="203">
        <v>0</v>
      </c>
      <c r="U52" s="203">
        <f>VLOOKUP(B52,★営業所!$A$2:$C$5,3,FALSE)</f>
        <v>8</v>
      </c>
      <c r="V52" s="203">
        <f>申込書!$B$9</f>
        <v>0</v>
      </c>
      <c r="W52" s="203" t="str">
        <f>CONCATENATE(VLOOKUP(B52,★営業所!$A$2:$B$5,2,FALSE),VLOOKUP(申込書!$C$32,★サイズ表記!$D$4:$E$55,2,FALSE),VLOOKUP(D52,★折込地区!$A$2:$B$11,2,FALSE))</f>
        <v>T1001Tot</v>
      </c>
      <c r="X52" s="203" t="str">
        <f>CONCATENATE(申込書!$B$9," ",VLOOKUP(RIGHT(W52,3),★折込地区!$B$2:$C$10,2,FALSE),"")</f>
        <v xml:space="preserve"> 鳥取</v>
      </c>
      <c r="Z52" s="206">
        <f t="shared" ca="1" si="0"/>
        <v>0</v>
      </c>
      <c r="AB52" s="383">
        <f t="shared" si="1"/>
        <v>2.8</v>
      </c>
      <c r="AC52" s="203" t="str">
        <f t="shared" si="2"/>
        <v>J1001</v>
      </c>
      <c r="AD52" s="203" t="str">
        <f>VLOOKUP(AC52,★原価商品!$E$6:$F$349,2,FALSE)</f>
        <v>読売/B4（折り無し）</v>
      </c>
      <c r="AE52" s="203">
        <f t="shared" ca="1" si="3"/>
        <v>0</v>
      </c>
      <c r="AF52" s="383">
        <f ca="1">IFERROR(IF(VLOOKUP(申込書!$C$32,★サイズ表記!$F$4:$H$55,3,FALSE)="切り捨て",ROUNDDOWN(L52*IF(AK52="◎",I52,J52)/100,2),IF(VLOOKUP(申込書!$C$32,★サイズ表記!$F$4:$H$55,3,FALSE)="切り上げ",ROUNDUP(L52*IF(AK52="◎",I52,J52)/100,2),ROUND(L52*IF(AK52="◎",I52,J52)/100,2))),0)</f>
        <v>2.35</v>
      </c>
      <c r="AG52" s="203">
        <f t="shared" ca="1" si="4"/>
        <v>0</v>
      </c>
      <c r="AJ52" s="460" t="str">
        <f>IFERROR(VLOOKUP(申込書!$C$30,★業種!$D$2:$E$87,2,FALSE),"")</f>
        <v>1003</v>
      </c>
      <c r="AK52" s="460" t="str">
        <f ca="1">IF(申込書!$C$36="◎",IF(OR(D52="浜坂・温泉",D52="美方・村岡",D52="香住",D52="岡山",D52="大阪"),"",IF(LEFT(F52)="D","◎",IF(AG52=0,"",IFERROR(IF(VLOOKUP(AG52,★仕入先!$A$2:$C$211,3,FALSE)=0,"","◎"),"")))),"")</f>
        <v/>
      </c>
      <c r="AL52" s="460">
        <f>申込書!$H$14</f>
        <v>0</v>
      </c>
      <c r="AM52" s="460" t="str">
        <f>申込書!$C$32</f>
        <v>B4（折り無し）</v>
      </c>
      <c r="AN52" s="460" t="str">
        <f>VLOOKUP(AM52,★サイズ表記!$D$4:$E$55,2,FALSE)</f>
        <v>1001</v>
      </c>
      <c r="AO52" s="460">
        <f>IF(C52&lt;&gt;"⑧兵庫",VLOOKUP(LEFT(F52),★新聞!$A$4:$B$12,2,FALSE),IF(LEFT(F52)&lt;&gt;"S",VLOOKUP(LEFT(F52),★新聞!$A$4:$B$12,2,FALSE),VLOOKUP("X",★新聞!$A$4:$B$12,2,FALSE)))</f>
        <v>3</v>
      </c>
      <c r="AP52" s="460" t="str">
        <f t="shared" ca="1" si="5"/>
        <v>0</v>
      </c>
      <c r="AQ52" s="460" t="str">
        <f>IF(申込書!$C$38="","",申込書!$C$38)</f>
        <v/>
      </c>
    </row>
    <row r="53" spans="1:43">
      <c r="A53" s="463">
        <f t="shared" si="6"/>
        <v>52</v>
      </c>
      <c r="B53" s="463" t="str">
        <f t="shared" si="7"/>
        <v>東部</v>
      </c>
      <c r="C53" s="464" t="s">
        <v>1101</v>
      </c>
      <c r="D53" s="464" t="s">
        <v>1022</v>
      </c>
      <c r="E53" s="464">
        <f>VLOOKUP(D53,★折込地区!$A$2:$D$10,4,FALSE)</f>
        <v>1</v>
      </c>
      <c r="F53" s="464" t="s">
        <v>433</v>
      </c>
      <c r="G53" s="464" t="str">
        <f>INDEX(★新聞!$E$4:$I$12, MATCH(LEFT(F53),★新聞!$A$4:$A$12,0), MATCH(LEFT(W53),★新聞!$E$3:$I$3,0))</f>
        <v>AD</v>
      </c>
      <c r="H53" s="475" t="s">
        <v>1104</v>
      </c>
      <c r="I53" s="464" cm="1">
        <f t="array" ref="I53">IFERROR(INDEX(★原価率!$A$2:$E$50,MATCH($C53&amp;$H53,★原価率!$A$2:$A$50&amp;★原価率!$B$2:$B$50,0),3),0)</f>
        <v>84</v>
      </c>
      <c r="J53" s="464" cm="1">
        <f t="array" ref="J53">IFERROR(INDEX(★原価率!$A$2:$E$50,MATCH($C53&amp;$H53,★原価率!$A$2:$A$50&amp;★原価率!$B$2:$B$50,0),4),0)</f>
        <v>84</v>
      </c>
      <c r="K53" s="464" cm="1">
        <f t="array" ref="K53">IFERROR(INDEX(★原価率!$A$2:$E$50,MATCH($C53&amp;$H53,★原価率!$A$2:$A$50&amp;★原価率!$B$2:$B$50,0),5),0)</f>
        <v>100</v>
      </c>
      <c r="L53" s="528">
        <f>IFERROR(VLOOKUP(W53,★商品!$A$1:$H$1231,8,FALSE),0)</f>
        <v>2.8</v>
      </c>
      <c r="M53" s="203" t="str">
        <f ca="1">CONCATENATE(VLOOKUP(B53,★営業所!$A$2:$B$5,2,FALSE),TEXT(NOW(),"yyyy"))</f>
        <v>T2023</v>
      </c>
      <c r="N53" s="203">
        <v>1</v>
      </c>
      <c r="O53" s="203">
        <v>0</v>
      </c>
      <c r="P53" s="213">
        <f>申込書!$B$6</f>
        <v>0</v>
      </c>
      <c r="Q53" s="203">
        <f>申込書!$C$34</f>
        <v>1000040</v>
      </c>
      <c r="R53" s="203">
        <v>0</v>
      </c>
      <c r="U53" s="203">
        <f>VLOOKUP(B53,★営業所!$A$2:$C$5,3,FALSE)</f>
        <v>8</v>
      </c>
      <c r="V53" s="203">
        <f>申込書!$B$9</f>
        <v>0</v>
      </c>
      <c r="W53" s="203" t="str">
        <f>CONCATENATE(VLOOKUP(B53,★営業所!$A$2:$B$5,2,FALSE),VLOOKUP(申込書!$C$32,★サイズ表記!$D$4:$E$55,2,FALSE),VLOOKUP(D53,★折込地区!$A$2:$B$11,2,FALSE))</f>
        <v>T1001Tot</v>
      </c>
      <c r="X53" s="203" t="str">
        <f>CONCATENATE(申込書!$B$9," ",VLOOKUP(RIGHT(W53,3),★折込地区!$B$2:$C$10,2,FALSE),"")</f>
        <v xml:space="preserve"> 鳥取</v>
      </c>
      <c r="Z53" s="206">
        <f t="shared" ca="1" si="0"/>
        <v>0</v>
      </c>
      <c r="AB53" s="383">
        <f t="shared" si="1"/>
        <v>2.8</v>
      </c>
      <c r="AC53" s="203" t="str">
        <f t="shared" si="2"/>
        <v>J1001</v>
      </c>
      <c r="AD53" s="203" t="str">
        <f>VLOOKUP(AC53,★原価商品!$E$6:$F$349,2,FALSE)</f>
        <v>読売/B4（折り無し）</v>
      </c>
      <c r="AE53" s="203">
        <f t="shared" ca="1" si="3"/>
        <v>0</v>
      </c>
      <c r="AF53" s="383">
        <f ca="1">IFERROR(IF(VLOOKUP(申込書!$C$32,★サイズ表記!$F$4:$H$55,3,FALSE)="切り捨て",ROUNDDOWN(L53*IF(AK53="◎",I53,J53)/100,2),IF(VLOOKUP(申込書!$C$32,★サイズ表記!$F$4:$H$55,3,FALSE)="切り上げ",ROUNDUP(L53*IF(AK53="◎",I53,J53)/100,2),ROUND(L53*IF(AK53="◎",I53,J53)/100,2))),0)</f>
        <v>2.35</v>
      </c>
      <c r="AG53" s="203">
        <f t="shared" ca="1" si="4"/>
        <v>0</v>
      </c>
      <c r="AJ53" s="460" t="str">
        <f>IFERROR(VLOOKUP(申込書!$C$30,★業種!$D$2:$E$87,2,FALSE),"")</f>
        <v>1003</v>
      </c>
      <c r="AK53" s="460" t="str">
        <f ca="1">IF(申込書!$C$36="◎",IF(OR(D53="浜坂・温泉",D53="美方・村岡",D53="香住",D53="岡山",D53="大阪"),"",IF(LEFT(F53)="D","◎",IF(AG53=0,"",IFERROR(IF(VLOOKUP(AG53,★仕入先!$A$2:$C$211,3,FALSE)=0,"","◎"),"")))),"")</f>
        <v/>
      </c>
      <c r="AL53" s="460">
        <f>申込書!$H$14</f>
        <v>0</v>
      </c>
      <c r="AM53" s="460" t="str">
        <f>申込書!$C$32</f>
        <v>B4（折り無し）</v>
      </c>
      <c r="AN53" s="460" t="str">
        <f>VLOOKUP(AM53,★サイズ表記!$D$4:$E$55,2,FALSE)</f>
        <v>1001</v>
      </c>
      <c r="AO53" s="460">
        <f>IF(C53&lt;&gt;"⑧兵庫",VLOOKUP(LEFT(F53),★新聞!$A$4:$B$12,2,FALSE),IF(LEFT(F53)&lt;&gt;"S",VLOOKUP(LEFT(F53),★新聞!$A$4:$B$12,2,FALSE),VLOOKUP("X",★新聞!$A$4:$B$12,2,FALSE)))</f>
        <v>3</v>
      </c>
      <c r="AP53" s="460" t="str">
        <f t="shared" ca="1" si="5"/>
        <v>0</v>
      </c>
      <c r="AQ53" s="460" t="str">
        <f>IF(申込書!$C$38="","",申込書!$C$38)</f>
        <v/>
      </c>
    </row>
    <row r="54" spans="1:43">
      <c r="A54" s="463">
        <f t="shared" si="6"/>
        <v>53</v>
      </c>
      <c r="B54" s="463" t="str">
        <f t="shared" si="7"/>
        <v>東部</v>
      </c>
      <c r="C54" s="464" t="s">
        <v>1101</v>
      </c>
      <c r="D54" s="464" t="s">
        <v>1022</v>
      </c>
      <c r="E54" s="464">
        <f>VLOOKUP(D54,★折込地区!$A$2:$D$10,4,FALSE)</f>
        <v>1</v>
      </c>
      <c r="F54" s="464" t="s">
        <v>434</v>
      </c>
      <c r="G54" s="464" t="str">
        <f>INDEX(★新聞!$E$4:$I$12, MATCH(LEFT(F54),★新聞!$A$4:$A$12,0), MATCH(LEFT(W54),★新聞!$E$3:$I$3,0))</f>
        <v>AD</v>
      </c>
      <c r="H54" s="475" t="s">
        <v>1104</v>
      </c>
      <c r="I54" s="464" cm="1">
        <f t="array" ref="I54">IFERROR(INDEX(★原価率!$A$2:$E$50,MATCH($C54&amp;$H54,★原価率!$A$2:$A$50&amp;★原価率!$B$2:$B$50,0),3),0)</f>
        <v>84</v>
      </c>
      <c r="J54" s="464" cm="1">
        <f t="array" ref="J54">IFERROR(INDEX(★原価率!$A$2:$E$50,MATCH($C54&amp;$H54,★原価率!$A$2:$A$50&amp;★原価率!$B$2:$B$50,0),4),0)</f>
        <v>84</v>
      </c>
      <c r="K54" s="464" cm="1">
        <f t="array" ref="K54">IFERROR(INDEX(★原価率!$A$2:$E$50,MATCH($C54&amp;$H54,★原価率!$A$2:$A$50&amp;★原価率!$B$2:$B$50,0),5),0)</f>
        <v>100</v>
      </c>
      <c r="L54" s="528">
        <f>IFERROR(VLOOKUP(W54,★商品!$A$1:$H$1231,8,FALSE),0)</f>
        <v>2.8</v>
      </c>
      <c r="M54" s="203" t="str">
        <f ca="1">CONCATENATE(VLOOKUP(B54,★営業所!$A$2:$B$5,2,FALSE),TEXT(NOW(),"yyyy"))</f>
        <v>T2023</v>
      </c>
      <c r="N54" s="203">
        <v>1</v>
      </c>
      <c r="O54" s="203">
        <v>0</v>
      </c>
      <c r="P54" s="213">
        <f>申込書!$B$6</f>
        <v>0</v>
      </c>
      <c r="Q54" s="203">
        <f>申込書!$C$34</f>
        <v>1000040</v>
      </c>
      <c r="R54" s="203">
        <v>0</v>
      </c>
      <c r="U54" s="203">
        <f>VLOOKUP(B54,★営業所!$A$2:$C$5,3,FALSE)</f>
        <v>8</v>
      </c>
      <c r="V54" s="203">
        <f>申込書!$B$9</f>
        <v>0</v>
      </c>
      <c r="W54" s="203" t="str">
        <f>CONCATENATE(VLOOKUP(B54,★営業所!$A$2:$B$5,2,FALSE),VLOOKUP(申込書!$C$32,★サイズ表記!$D$4:$E$55,2,FALSE),VLOOKUP(D54,★折込地区!$A$2:$B$11,2,FALSE))</f>
        <v>T1001Tot</v>
      </c>
      <c r="X54" s="203" t="str">
        <f>CONCATENATE(申込書!$B$9," ",VLOOKUP(RIGHT(W54,3),★折込地区!$B$2:$C$10,2,FALSE),"")</f>
        <v xml:space="preserve"> 鳥取</v>
      </c>
      <c r="Z54" s="206">
        <f t="shared" ca="1" si="0"/>
        <v>0</v>
      </c>
      <c r="AB54" s="383">
        <f t="shared" si="1"/>
        <v>2.8</v>
      </c>
      <c r="AC54" s="203" t="str">
        <f t="shared" si="2"/>
        <v>J1001</v>
      </c>
      <c r="AD54" s="203" t="str">
        <f>VLOOKUP(AC54,★原価商品!$E$6:$F$349,2,FALSE)</f>
        <v>読売/B4（折り無し）</v>
      </c>
      <c r="AE54" s="203">
        <f t="shared" ca="1" si="3"/>
        <v>0</v>
      </c>
      <c r="AF54" s="383">
        <f ca="1">IFERROR(IF(VLOOKUP(申込書!$C$32,★サイズ表記!$F$4:$H$55,3,FALSE)="切り捨て",ROUNDDOWN(L54*IF(AK54="◎",I54,J54)/100,2),IF(VLOOKUP(申込書!$C$32,★サイズ表記!$F$4:$H$55,3,FALSE)="切り上げ",ROUNDUP(L54*IF(AK54="◎",I54,J54)/100,2),ROUND(L54*IF(AK54="◎",I54,J54)/100,2))),0)</f>
        <v>2.35</v>
      </c>
      <c r="AG54" s="203">
        <f t="shared" ca="1" si="4"/>
        <v>10103</v>
      </c>
      <c r="AJ54" s="460" t="str">
        <f>IFERROR(VLOOKUP(申込書!$C$30,★業種!$D$2:$E$87,2,FALSE),"")</f>
        <v>1003</v>
      </c>
      <c r="AK54" s="460" t="str">
        <f ca="1">IF(申込書!$C$36="◎",IF(OR(D54="浜坂・温泉",D54="美方・村岡",D54="香住",D54="岡山",D54="大阪"),"",IF(LEFT(F54)="D","◎",IF(AG54=0,"",IFERROR(IF(VLOOKUP(AG54,★仕入先!$A$2:$C$211,3,FALSE)=0,"","◎"),"")))),"")</f>
        <v/>
      </c>
      <c r="AL54" s="460">
        <f>申込書!$H$14</f>
        <v>0</v>
      </c>
      <c r="AM54" s="460" t="str">
        <f>申込書!$C$32</f>
        <v>B4（折り無し）</v>
      </c>
      <c r="AN54" s="460" t="str">
        <f>VLOOKUP(AM54,★サイズ表記!$D$4:$E$55,2,FALSE)</f>
        <v>1001</v>
      </c>
      <c r="AO54" s="460">
        <f>IF(C54&lt;&gt;"⑧兵庫",VLOOKUP(LEFT(F54),★新聞!$A$4:$B$12,2,FALSE),IF(LEFT(F54)&lt;&gt;"S",VLOOKUP(LEFT(F54),★新聞!$A$4:$B$12,2,FALSE),VLOOKUP("X",★新聞!$A$4:$B$12,2,FALSE)))</f>
        <v>3</v>
      </c>
      <c r="AP54" s="460" t="str">
        <f t="shared" ca="1" si="5"/>
        <v>0</v>
      </c>
      <c r="AQ54" s="460" t="str">
        <f>IF(申込書!$C$38="","",申込書!$C$38)</f>
        <v/>
      </c>
    </row>
    <row r="55" spans="1:43">
      <c r="A55" s="463">
        <f t="shared" si="6"/>
        <v>54</v>
      </c>
      <c r="B55" s="463" t="str">
        <f t="shared" si="7"/>
        <v>東部</v>
      </c>
      <c r="C55" s="464" t="s">
        <v>1101</v>
      </c>
      <c r="D55" s="464" t="s">
        <v>1022</v>
      </c>
      <c r="E55" s="464">
        <f>VLOOKUP(D55,★折込地区!$A$2:$D$10,4,FALSE)</f>
        <v>1</v>
      </c>
      <c r="F55" s="464" t="s">
        <v>435</v>
      </c>
      <c r="G55" s="464" t="str">
        <f>INDEX(★新聞!$E$4:$I$12, MATCH(LEFT(F55),★新聞!$A$4:$A$12,0), MATCH(LEFT(W55),★新聞!$E$3:$I$3,0))</f>
        <v>AD</v>
      </c>
      <c r="H55" s="475" t="s">
        <v>1104</v>
      </c>
      <c r="I55" s="464" cm="1">
        <f t="array" ref="I55">IFERROR(INDEX(★原価率!$A$2:$E$50,MATCH($C55&amp;$H55,★原価率!$A$2:$A$50&amp;★原価率!$B$2:$B$50,0),3),0)</f>
        <v>84</v>
      </c>
      <c r="J55" s="464" cm="1">
        <f t="array" ref="J55">IFERROR(INDEX(★原価率!$A$2:$E$50,MATCH($C55&amp;$H55,★原価率!$A$2:$A$50&amp;★原価率!$B$2:$B$50,0),4),0)</f>
        <v>84</v>
      </c>
      <c r="K55" s="464" cm="1">
        <f t="array" ref="K55">IFERROR(INDEX(★原価率!$A$2:$E$50,MATCH($C55&amp;$H55,★原価率!$A$2:$A$50&amp;★原価率!$B$2:$B$50,0),5),0)</f>
        <v>100</v>
      </c>
      <c r="L55" s="528">
        <f>IFERROR(VLOOKUP(W55,★商品!$A$1:$H$1231,8,FALSE),0)</f>
        <v>2.8</v>
      </c>
      <c r="M55" s="203" t="str">
        <f ca="1">CONCATENATE(VLOOKUP(B55,★営業所!$A$2:$B$5,2,FALSE),TEXT(NOW(),"yyyy"))</f>
        <v>T2023</v>
      </c>
      <c r="N55" s="203">
        <v>1</v>
      </c>
      <c r="O55" s="203">
        <v>0</v>
      </c>
      <c r="P55" s="213">
        <f>申込書!$B$6</f>
        <v>0</v>
      </c>
      <c r="Q55" s="203">
        <f>申込書!$C$34</f>
        <v>1000040</v>
      </c>
      <c r="R55" s="203">
        <v>0</v>
      </c>
      <c r="U55" s="203">
        <f>VLOOKUP(B55,★営業所!$A$2:$C$5,3,FALSE)</f>
        <v>8</v>
      </c>
      <c r="V55" s="203">
        <f>申込書!$B$9</f>
        <v>0</v>
      </c>
      <c r="W55" s="203" t="str">
        <f>CONCATENATE(VLOOKUP(B55,★営業所!$A$2:$B$5,2,FALSE),VLOOKUP(申込書!$C$32,★サイズ表記!$D$4:$E$55,2,FALSE),VLOOKUP(D55,★折込地区!$A$2:$B$11,2,FALSE))</f>
        <v>T1001Tot</v>
      </c>
      <c r="X55" s="203" t="str">
        <f>CONCATENATE(申込書!$B$9," ",VLOOKUP(RIGHT(W55,3),★折込地区!$B$2:$C$10,2,FALSE),"")</f>
        <v xml:space="preserve"> 鳥取</v>
      </c>
      <c r="Z55" s="206">
        <f t="shared" ca="1" si="0"/>
        <v>0</v>
      </c>
      <c r="AB55" s="383">
        <f t="shared" si="1"/>
        <v>2.8</v>
      </c>
      <c r="AC55" s="203" t="str">
        <f t="shared" si="2"/>
        <v>J1001</v>
      </c>
      <c r="AD55" s="203" t="str">
        <f>VLOOKUP(AC55,★原価商品!$E$6:$F$349,2,FALSE)</f>
        <v>読売/B4（折り無し）</v>
      </c>
      <c r="AE55" s="203">
        <f t="shared" ca="1" si="3"/>
        <v>0</v>
      </c>
      <c r="AF55" s="383">
        <f ca="1">IFERROR(IF(VLOOKUP(申込書!$C$32,★サイズ表記!$F$4:$H$55,3,FALSE)="切り捨て",ROUNDDOWN(L55*IF(AK55="◎",I55,J55)/100,2),IF(VLOOKUP(申込書!$C$32,★サイズ表記!$F$4:$H$55,3,FALSE)="切り上げ",ROUNDUP(L55*IF(AK55="◎",I55,J55)/100,2),ROUND(L55*IF(AK55="◎",I55,J55)/100,2))),0)</f>
        <v>2.35</v>
      </c>
      <c r="AG55" s="203">
        <f t="shared" ca="1" si="4"/>
        <v>0</v>
      </c>
      <c r="AJ55" s="460" t="str">
        <f>IFERROR(VLOOKUP(申込書!$C$30,★業種!$D$2:$E$87,2,FALSE),"")</f>
        <v>1003</v>
      </c>
      <c r="AK55" s="460" t="str">
        <f ca="1">IF(申込書!$C$36="◎",IF(OR(D55="浜坂・温泉",D55="美方・村岡",D55="香住",D55="岡山",D55="大阪"),"",IF(LEFT(F55)="D","◎",IF(AG55=0,"",IFERROR(IF(VLOOKUP(AG55,★仕入先!$A$2:$C$211,3,FALSE)=0,"","◎"),"")))),"")</f>
        <v/>
      </c>
      <c r="AL55" s="460">
        <f>申込書!$H$14</f>
        <v>0</v>
      </c>
      <c r="AM55" s="460" t="str">
        <f>申込書!$C$32</f>
        <v>B4（折り無し）</v>
      </c>
      <c r="AN55" s="460" t="str">
        <f>VLOOKUP(AM55,★サイズ表記!$D$4:$E$55,2,FALSE)</f>
        <v>1001</v>
      </c>
      <c r="AO55" s="460">
        <f>IF(C55&lt;&gt;"⑧兵庫",VLOOKUP(LEFT(F55),★新聞!$A$4:$B$12,2,FALSE),IF(LEFT(F55)&lt;&gt;"S",VLOOKUP(LEFT(F55),★新聞!$A$4:$B$12,2,FALSE),VLOOKUP("X",★新聞!$A$4:$B$12,2,FALSE)))</f>
        <v>3</v>
      </c>
      <c r="AP55" s="460" t="str">
        <f t="shared" ca="1" si="5"/>
        <v>0</v>
      </c>
      <c r="AQ55" s="460" t="str">
        <f>IF(申込書!$C$38="","",申込書!$C$38)</f>
        <v/>
      </c>
    </row>
    <row r="56" spans="1:43">
      <c r="A56" s="463">
        <f t="shared" si="6"/>
        <v>55</v>
      </c>
      <c r="B56" s="463" t="str">
        <f t="shared" si="7"/>
        <v>東部</v>
      </c>
      <c r="C56" s="464" t="s">
        <v>1101</v>
      </c>
      <c r="D56" s="464" t="s">
        <v>1022</v>
      </c>
      <c r="E56" s="464">
        <f>VLOOKUP(D56,★折込地区!$A$2:$D$10,4,FALSE)</f>
        <v>1</v>
      </c>
      <c r="F56" s="464" t="s">
        <v>436</v>
      </c>
      <c r="G56" s="464" t="str">
        <f>INDEX(★新聞!$E$4:$I$12, MATCH(LEFT(F56),★新聞!$A$4:$A$12,0), MATCH(LEFT(W56),★新聞!$E$3:$I$3,0))</f>
        <v>AD</v>
      </c>
      <c r="H56" s="475" t="s">
        <v>1104</v>
      </c>
      <c r="I56" s="464" cm="1">
        <f t="array" ref="I56">IFERROR(INDEX(★原価率!$A$2:$E$50,MATCH($C56&amp;$H56,★原価率!$A$2:$A$50&amp;★原価率!$B$2:$B$50,0),3),0)</f>
        <v>84</v>
      </c>
      <c r="J56" s="464" cm="1">
        <f t="array" ref="J56">IFERROR(INDEX(★原価率!$A$2:$E$50,MATCH($C56&amp;$H56,★原価率!$A$2:$A$50&amp;★原価率!$B$2:$B$50,0),4),0)</f>
        <v>84</v>
      </c>
      <c r="K56" s="464" cm="1">
        <f t="array" ref="K56">IFERROR(INDEX(★原価率!$A$2:$E$50,MATCH($C56&amp;$H56,★原価率!$A$2:$A$50&amp;★原価率!$B$2:$B$50,0),5),0)</f>
        <v>100</v>
      </c>
      <c r="L56" s="528">
        <f>IFERROR(VLOOKUP(W56,★商品!$A$1:$H$1231,8,FALSE),0)</f>
        <v>2.8</v>
      </c>
      <c r="M56" s="203" t="str">
        <f ca="1">CONCATENATE(VLOOKUP(B56,★営業所!$A$2:$B$5,2,FALSE),TEXT(NOW(),"yyyy"))</f>
        <v>T2023</v>
      </c>
      <c r="N56" s="203">
        <v>1</v>
      </c>
      <c r="O56" s="203">
        <v>0</v>
      </c>
      <c r="P56" s="213">
        <f>申込書!$B$6</f>
        <v>0</v>
      </c>
      <c r="Q56" s="203">
        <f>申込書!$C$34</f>
        <v>1000040</v>
      </c>
      <c r="R56" s="203">
        <v>0</v>
      </c>
      <c r="U56" s="203">
        <f>VLOOKUP(B56,★営業所!$A$2:$C$5,3,FALSE)</f>
        <v>8</v>
      </c>
      <c r="V56" s="203">
        <f>申込書!$B$9</f>
        <v>0</v>
      </c>
      <c r="W56" s="203" t="str">
        <f>CONCATENATE(VLOOKUP(B56,★営業所!$A$2:$B$5,2,FALSE),VLOOKUP(申込書!$C$32,★サイズ表記!$D$4:$E$55,2,FALSE),VLOOKUP(D56,★折込地区!$A$2:$B$11,2,FALSE))</f>
        <v>T1001Tot</v>
      </c>
      <c r="X56" s="203" t="str">
        <f>CONCATENATE(申込書!$B$9," ",VLOOKUP(RIGHT(W56,3),★折込地区!$B$2:$C$10,2,FALSE),"")</f>
        <v xml:space="preserve"> 鳥取</v>
      </c>
      <c r="Z56" s="206">
        <f t="shared" ca="1" si="0"/>
        <v>0</v>
      </c>
      <c r="AB56" s="383">
        <f t="shared" si="1"/>
        <v>2.8</v>
      </c>
      <c r="AC56" s="203" t="str">
        <f t="shared" si="2"/>
        <v>J1001</v>
      </c>
      <c r="AD56" s="203" t="str">
        <f>VLOOKUP(AC56,★原価商品!$E$6:$F$349,2,FALSE)</f>
        <v>読売/B4（折り無し）</v>
      </c>
      <c r="AE56" s="203">
        <f t="shared" ca="1" si="3"/>
        <v>0</v>
      </c>
      <c r="AF56" s="383">
        <f ca="1">IFERROR(IF(VLOOKUP(申込書!$C$32,★サイズ表記!$F$4:$H$55,3,FALSE)="切り捨て",ROUNDDOWN(L56*IF(AK56="◎",I56,J56)/100,2),IF(VLOOKUP(申込書!$C$32,★サイズ表記!$F$4:$H$55,3,FALSE)="切り上げ",ROUNDUP(L56*IF(AK56="◎",I56,J56)/100,2),ROUND(L56*IF(AK56="◎",I56,J56)/100,2))),0)</f>
        <v>2.35</v>
      </c>
      <c r="AG56" s="203">
        <f t="shared" ca="1" si="4"/>
        <v>0</v>
      </c>
      <c r="AJ56" s="460" t="str">
        <f>IFERROR(VLOOKUP(申込書!$C$30,★業種!$D$2:$E$87,2,FALSE),"")</f>
        <v>1003</v>
      </c>
      <c r="AK56" s="460" t="str">
        <f ca="1">IF(申込書!$C$36="◎",IF(OR(D56="浜坂・温泉",D56="美方・村岡",D56="香住",D56="岡山",D56="大阪"),"",IF(LEFT(F56)="D","◎",IF(AG56=0,"",IFERROR(IF(VLOOKUP(AG56,★仕入先!$A$2:$C$211,3,FALSE)=0,"","◎"),"")))),"")</f>
        <v/>
      </c>
      <c r="AL56" s="460">
        <f>申込書!$H$14</f>
        <v>0</v>
      </c>
      <c r="AM56" s="460" t="str">
        <f>申込書!$C$32</f>
        <v>B4（折り無し）</v>
      </c>
      <c r="AN56" s="460" t="str">
        <f>VLOOKUP(AM56,★サイズ表記!$D$4:$E$55,2,FALSE)</f>
        <v>1001</v>
      </c>
      <c r="AO56" s="460">
        <f>IF(C56&lt;&gt;"⑧兵庫",VLOOKUP(LEFT(F56),★新聞!$A$4:$B$12,2,FALSE),IF(LEFT(F56)&lt;&gt;"S",VLOOKUP(LEFT(F56),★新聞!$A$4:$B$12,2,FALSE),VLOOKUP("X",★新聞!$A$4:$B$12,2,FALSE)))</f>
        <v>3</v>
      </c>
      <c r="AP56" s="460" t="str">
        <f t="shared" ca="1" si="5"/>
        <v>0</v>
      </c>
      <c r="AQ56" s="460" t="str">
        <f>IF(申込書!$C$38="","",申込書!$C$38)</f>
        <v/>
      </c>
    </row>
    <row r="57" spans="1:43">
      <c r="A57" s="463">
        <f t="shared" si="6"/>
        <v>56</v>
      </c>
      <c r="B57" s="463" t="str">
        <f t="shared" si="7"/>
        <v>東部</v>
      </c>
      <c r="C57" s="464" t="s">
        <v>1101</v>
      </c>
      <c r="D57" s="464" t="s">
        <v>1022</v>
      </c>
      <c r="E57" s="464">
        <f>VLOOKUP(D57,★折込地区!$A$2:$D$10,4,FALSE)</f>
        <v>1</v>
      </c>
      <c r="F57" s="464" t="s">
        <v>437</v>
      </c>
      <c r="G57" s="464" t="str">
        <f>INDEX(★新聞!$E$4:$I$12, MATCH(LEFT(F57),★新聞!$A$4:$A$12,0), MATCH(LEFT(W57),★新聞!$E$3:$I$3,0))</f>
        <v>AD</v>
      </c>
      <c r="H57" s="475" t="s">
        <v>1104</v>
      </c>
      <c r="I57" s="464" cm="1">
        <f t="array" ref="I57">IFERROR(INDEX(★原価率!$A$2:$E$50,MATCH($C57&amp;$H57,★原価率!$A$2:$A$50&amp;★原価率!$B$2:$B$50,0),3),0)</f>
        <v>84</v>
      </c>
      <c r="J57" s="464" cm="1">
        <f t="array" ref="J57">IFERROR(INDEX(★原価率!$A$2:$E$50,MATCH($C57&amp;$H57,★原価率!$A$2:$A$50&amp;★原価率!$B$2:$B$50,0),4),0)</f>
        <v>84</v>
      </c>
      <c r="K57" s="464" cm="1">
        <f t="array" ref="K57">IFERROR(INDEX(★原価率!$A$2:$E$50,MATCH($C57&amp;$H57,★原価率!$A$2:$A$50&amp;★原価率!$B$2:$B$50,0),5),0)</f>
        <v>100</v>
      </c>
      <c r="L57" s="528">
        <f>IFERROR(VLOOKUP(W57,★商品!$A$1:$H$1231,8,FALSE),0)</f>
        <v>2.8</v>
      </c>
      <c r="M57" s="203" t="str">
        <f ca="1">CONCATENATE(VLOOKUP(B57,★営業所!$A$2:$B$5,2,FALSE),TEXT(NOW(),"yyyy"))</f>
        <v>T2023</v>
      </c>
      <c r="N57" s="203">
        <v>1</v>
      </c>
      <c r="O57" s="203">
        <v>0</v>
      </c>
      <c r="P57" s="213">
        <f>申込書!$B$6</f>
        <v>0</v>
      </c>
      <c r="Q57" s="203">
        <f>申込書!$C$34</f>
        <v>1000040</v>
      </c>
      <c r="R57" s="203">
        <v>0</v>
      </c>
      <c r="U57" s="203">
        <f>VLOOKUP(B57,★営業所!$A$2:$C$5,3,FALSE)</f>
        <v>8</v>
      </c>
      <c r="V57" s="203">
        <f>申込書!$B$9</f>
        <v>0</v>
      </c>
      <c r="W57" s="203" t="str">
        <f>CONCATENATE(VLOOKUP(B57,★営業所!$A$2:$B$5,2,FALSE),VLOOKUP(申込書!$C$32,★サイズ表記!$D$4:$E$55,2,FALSE),VLOOKUP(D57,★折込地区!$A$2:$B$11,2,FALSE))</f>
        <v>T1001Tot</v>
      </c>
      <c r="X57" s="203" t="str">
        <f>CONCATENATE(申込書!$B$9," ",VLOOKUP(RIGHT(W57,3),★折込地区!$B$2:$C$10,2,FALSE),"")</f>
        <v xml:space="preserve"> 鳥取</v>
      </c>
      <c r="Z57" s="206">
        <f t="shared" ca="1" si="0"/>
        <v>0</v>
      </c>
      <c r="AB57" s="383">
        <f t="shared" si="1"/>
        <v>2.8</v>
      </c>
      <c r="AC57" s="203" t="str">
        <f t="shared" si="2"/>
        <v>J1001</v>
      </c>
      <c r="AD57" s="203" t="str">
        <f>VLOOKUP(AC57,★原価商品!$E$6:$F$349,2,FALSE)</f>
        <v>読売/B4（折り無し）</v>
      </c>
      <c r="AE57" s="203">
        <f t="shared" ca="1" si="3"/>
        <v>0</v>
      </c>
      <c r="AF57" s="383">
        <f ca="1">IFERROR(IF(VLOOKUP(申込書!$C$32,★サイズ表記!$F$4:$H$55,3,FALSE)="切り捨て",ROUNDDOWN(L57*IF(AK57="◎",I57,J57)/100,2),IF(VLOOKUP(申込書!$C$32,★サイズ表記!$F$4:$H$55,3,FALSE)="切り上げ",ROUNDUP(L57*IF(AK57="◎",I57,J57)/100,2),ROUND(L57*IF(AK57="◎",I57,J57)/100,2))),0)</f>
        <v>2.35</v>
      </c>
      <c r="AG57" s="203">
        <f t="shared" ca="1" si="4"/>
        <v>0</v>
      </c>
      <c r="AJ57" s="460" t="str">
        <f>IFERROR(VLOOKUP(申込書!$C$30,★業種!$D$2:$E$87,2,FALSE),"")</f>
        <v>1003</v>
      </c>
      <c r="AK57" s="460" t="str">
        <f ca="1">IF(申込書!$C$36="◎",IF(OR(D57="浜坂・温泉",D57="美方・村岡",D57="香住",D57="岡山",D57="大阪"),"",IF(LEFT(F57)="D","◎",IF(AG57=0,"",IFERROR(IF(VLOOKUP(AG57,★仕入先!$A$2:$C$211,3,FALSE)=0,"","◎"),"")))),"")</f>
        <v/>
      </c>
      <c r="AL57" s="460">
        <f>申込書!$H$14</f>
        <v>0</v>
      </c>
      <c r="AM57" s="460" t="str">
        <f>申込書!$C$32</f>
        <v>B4（折り無し）</v>
      </c>
      <c r="AN57" s="460" t="str">
        <f>VLOOKUP(AM57,★サイズ表記!$D$4:$E$55,2,FALSE)</f>
        <v>1001</v>
      </c>
      <c r="AO57" s="460">
        <f>IF(C57&lt;&gt;"⑧兵庫",VLOOKUP(LEFT(F57),★新聞!$A$4:$B$12,2,FALSE),IF(LEFT(F57)&lt;&gt;"S",VLOOKUP(LEFT(F57),★新聞!$A$4:$B$12,2,FALSE),VLOOKUP("X",★新聞!$A$4:$B$12,2,FALSE)))</f>
        <v>3</v>
      </c>
      <c r="AP57" s="460" t="str">
        <f t="shared" ca="1" si="5"/>
        <v>0</v>
      </c>
      <c r="AQ57" s="460" t="str">
        <f>IF(申込書!$C$38="","",申込書!$C$38)</f>
        <v/>
      </c>
    </row>
    <row r="58" spans="1:43">
      <c r="A58" s="463">
        <f t="shared" si="6"/>
        <v>57</v>
      </c>
      <c r="B58" s="463" t="str">
        <f t="shared" si="7"/>
        <v>東部</v>
      </c>
      <c r="C58" s="464" t="s">
        <v>1101</v>
      </c>
      <c r="D58" s="464" t="s">
        <v>1022</v>
      </c>
      <c r="E58" s="464">
        <f>VLOOKUP(D58,★折込地区!$A$2:$D$10,4,FALSE)</f>
        <v>1</v>
      </c>
      <c r="F58" s="464" t="s">
        <v>438</v>
      </c>
      <c r="G58" s="464" t="str">
        <f>INDEX(★新聞!$E$4:$I$12, MATCH(LEFT(F58),★新聞!$A$4:$A$12,0), MATCH(LEFT(W58),★新聞!$E$3:$I$3,0))</f>
        <v>AD</v>
      </c>
      <c r="H58" s="475" t="s">
        <v>1104</v>
      </c>
      <c r="I58" s="464" cm="1">
        <f t="array" ref="I58">IFERROR(INDEX(★原価率!$A$2:$E$50,MATCH($C58&amp;$H58,★原価率!$A$2:$A$50&amp;★原価率!$B$2:$B$50,0),3),0)</f>
        <v>84</v>
      </c>
      <c r="J58" s="464" cm="1">
        <f t="array" ref="J58">IFERROR(INDEX(★原価率!$A$2:$E$50,MATCH($C58&amp;$H58,★原価率!$A$2:$A$50&amp;★原価率!$B$2:$B$50,0),4),0)</f>
        <v>84</v>
      </c>
      <c r="K58" s="464" cm="1">
        <f t="array" ref="K58">IFERROR(INDEX(★原価率!$A$2:$E$50,MATCH($C58&amp;$H58,★原価率!$A$2:$A$50&amp;★原価率!$B$2:$B$50,0),5),0)</f>
        <v>100</v>
      </c>
      <c r="L58" s="528">
        <f>IFERROR(VLOOKUP(W58,★商品!$A$1:$H$1231,8,FALSE),0)</f>
        <v>2.8</v>
      </c>
      <c r="M58" s="203" t="str">
        <f ca="1">CONCATENATE(VLOOKUP(B58,★営業所!$A$2:$B$5,2,FALSE),TEXT(NOW(),"yyyy"))</f>
        <v>T2023</v>
      </c>
      <c r="N58" s="203">
        <v>1</v>
      </c>
      <c r="O58" s="203">
        <v>0</v>
      </c>
      <c r="P58" s="213">
        <f>申込書!$B$6</f>
        <v>0</v>
      </c>
      <c r="Q58" s="203">
        <f>申込書!$C$34</f>
        <v>1000040</v>
      </c>
      <c r="R58" s="203">
        <v>0</v>
      </c>
      <c r="U58" s="203">
        <f>VLOOKUP(B58,★営業所!$A$2:$C$5,3,FALSE)</f>
        <v>8</v>
      </c>
      <c r="V58" s="203">
        <f>申込書!$B$9</f>
        <v>0</v>
      </c>
      <c r="W58" s="203" t="str">
        <f>CONCATENATE(VLOOKUP(B58,★営業所!$A$2:$B$5,2,FALSE),VLOOKUP(申込書!$C$32,★サイズ表記!$D$4:$E$55,2,FALSE),VLOOKUP(D58,★折込地区!$A$2:$B$11,2,FALSE))</f>
        <v>T1001Tot</v>
      </c>
      <c r="X58" s="203" t="str">
        <f>CONCATENATE(申込書!$B$9," ",VLOOKUP(RIGHT(W58,3),★折込地区!$B$2:$C$10,2,FALSE),"")</f>
        <v xml:space="preserve"> 鳥取</v>
      </c>
      <c r="Z58" s="206">
        <f t="shared" ca="1" si="0"/>
        <v>0</v>
      </c>
      <c r="AB58" s="383">
        <f t="shared" si="1"/>
        <v>2.8</v>
      </c>
      <c r="AC58" s="203" t="str">
        <f t="shared" si="2"/>
        <v>J1001</v>
      </c>
      <c r="AD58" s="203" t="str">
        <f>VLOOKUP(AC58,★原価商品!$E$6:$F$349,2,FALSE)</f>
        <v>読売/B4（折り無し）</v>
      </c>
      <c r="AE58" s="203">
        <f t="shared" ca="1" si="3"/>
        <v>0</v>
      </c>
      <c r="AF58" s="383">
        <f ca="1">IFERROR(IF(VLOOKUP(申込書!$C$32,★サイズ表記!$F$4:$H$55,3,FALSE)="切り捨て",ROUNDDOWN(L58*IF(AK58="◎",I58,J58)/100,2),IF(VLOOKUP(申込書!$C$32,★サイズ表記!$F$4:$H$55,3,FALSE)="切り上げ",ROUNDUP(L58*IF(AK58="◎",I58,J58)/100,2),ROUND(L58*IF(AK58="◎",I58,J58)/100,2))),0)</f>
        <v>2.35</v>
      </c>
      <c r="AG58" s="203">
        <f t="shared" ca="1" si="4"/>
        <v>0</v>
      </c>
      <c r="AJ58" s="460" t="str">
        <f>IFERROR(VLOOKUP(申込書!$C$30,★業種!$D$2:$E$87,2,FALSE),"")</f>
        <v>1003</v>
      </c>
      <c r="AK58" s="460" t="str">
        <f ca="1">IF(申込書!$C$36="◎",IF(OR(D58="浜坂・温泉",D58="美方・村岡",D58="香住",D58="岡山",D58="大阪"),"",IF(LEFT(F58)="D","◎",IF(AG58=0,"",IFERROR(IF(VLOOKUP(AG58,★仕入先!$A$2:$C$211,3,FALSE)=0,"","◎"),"")))),"")</f>
        <v/>
      </c>
      <c r="AL58" s="460">
        <f>申込書!$H$14</f>
        <v>0</v>
      </c>
      <c r="AM58" s="460" t="str">
        <f>申込書!$C$32</f>
        <v>B4（折り無し）</v>
      </c>
      <c r="AN58" s="460" t="str">
        <f>VLOOKUP(AM58,★サイズ表記!$D$4:$E$55,2,FALSE)</f>
        <v>1001</v>
      </c>
      <c r="AO58" s="460">
        <f>IF(C58&lt;&gt;"⑧兵庫",VLOOKUP(LEFT(F58),★新聞!$A$4:$B$12,2,FALSE),IF(LEFT(F58)&lt;&gt;"S",VLOOKUP(LEFT(F58),★新聞!$A$4:$B$12,2,FALSE),VLOOKUP("X",★新聞!$A$4:$B$12,2,FALSE)))</f>
        <v>3</v>
      </c>
      <c r="AP58" s="460" t="str">
        <f t="shared" ca="1" si="5"/>
        <v>0</v>
      </c>
      <c r="AQ58" s="460" t="str">
        <f>IF(申込書!$C$38="","",申込書!$C$38)</f>
        <v/>
      </c>
    </row>
    <row r="59" spans="1:43">
      <c r="A59" s="463">
        <f t="shared" si="6"/>
        <v>58</v>
      </c>
      <c r="B59" s="463" t="str">
        <f t="shared" si="7"/>
        <v>東部</v>
      </c>
      <c r="C59" s="464" t="s">
        <v>1101</v>
      </c>
      <c r="D59" s="464" t="s">
        <v>1022</v>
      </c>
      <c r="E59" s="464">
        <f>VLOOKUP(D59,★折込地区!$A$2:$D$10,4,FALSE)</f>
        <v>1</v>
      </c>
      <c r="F59" s="464" t="s">
        <v>439</v>
      </c>
      <c r="G59" s="464" t="str">
        <f>INDEX(★新聞!$E$4:$I$12, MATCH(LEFT(F59),★新聞!$A$4:$A$12,0), MATCH(LEFT(W59),★新聞!$E$3:$I$3,0))</f>
        <v>AD</v>
      </c>
      <c r="H59" s="557" t="s">
        <v>1622</v>
      </c>
      <c r="I59" s="464" cm="1">
        <f t="array" ref="I59">IFERROR(INDEX(★原価率!$A$2:$E$50,MATCH($C59&amp;$H59,★原価率!$A$2:$A$50&amp;★原価率!$B$2:$B$50,0),3),0)</f>
        <v>76</v>
      </c>
      <c r="J59" s="464" cm="1">
        <f t="array" ref="J59">IFERROR(INDEX(★原価率!$A$2:$E$50,MATCH($C59&amp;$H59,★原価率!$A$2:$A$50&amp;★原価率!$B$2:$B$50,0),4),0)</f>
        <v>76</v>
      </c>
      <c r="K59" s="464" cm="1">
        <f t="array" ref="K59">IFERROR(INDEX(★原価率!$A$2:$E$50,MATCH($C59&amp;$H59,★原価率!$A$2:$A$50&amp;★原価率!$B$2:$B$50,0),5),0)</f>
        <v>100</v>
      </c>
      <c r="L59" s="528">
        <f>IFERROR(VLOOKUP(W59,★商品!$A$1:$H$1231,8,FALSE),0)</f>
        <v>2.8</v>
      </c>
      <c r="M59" s="203" t="str">
        <f ca="1">CONCATENATE(VLOOKUP(B59,★営業所!$A$2:$B$5,2,FALSE),TEXT(NOW(),"yyyy"))</f>
        <v>T2023</v>
      </c>
      <c r="N59" s="203">
        <v>1</v>
      </c>
      <c r="O59" s="203">
        <v>0</v>
      </c>
      <c r="P59" s="213">
        <f>申込書!$B$6</f>
        <v>0</v>
      </c>
      <c r="Q59" s="203">
        <f>申込書!$C$34</f>
        <v>1000040</v>
      </c>
      <c r="R59" s="203">
        <v>0</v>
      </c>
      <c r="U59" s="203">
        <f>VLOOKUP(B59,★営業所!$A$2:$C$5,3,FALSE)</f>
        <v>8</v>
      </c>
      <c r="V59" s="203">
        <f>申込書!$B$9</f>
        <v>0</v>
      </c>
      <c r="W59" s="203" t="str">
        <f>CONCATENATE(VLOOKUP(B59,★営業所!$A$2:$B$5,2,FALSE),VLOOKUP(申込書!$C$32,★サイズ表記!$D$4:$E$55,2,FALSE),VLOOKUP(D59,★折込地区!$A$2:$B$11,2,FALSE))</f>
        <v>T1001Tot</v>
      </c>
      <c r="X59" s="203" t="str">
        <f>CONCATENATE(申込書!$B$9," ",VLOOKUP(RIGHT(W59,3),★折込地区!$B$2:$C$10,2,FALSE),"")</f>
        <v xml:space="preserve"> 鳥取</v>
      </c>
      <c r="Z59" s="206">
        <f t="shared" ca="1" si="0"/>
        <v>0</v>
      </c>
      <c r="AB59" s="383">
        <f t="shared" si="1"/>
        <v>2.8</v>
      </c>
      <c r="AC59" s="203" t="str">
        <f t="shared" si="2"/>
        <v>J1001</v>
      </c>
      <c r="AD59" s="203" t="str">
        <f>VLOOKUP(AC59,★原価商品!$E$6:$F$349,2,FALSE)</f>
        <v>読売/B4（折り無し）</v>
      </c>
      <c r="AE59" s="203">
        <f t="shared" ca="1" si="3"/>
        <v>0</v>
      </c>
      <c r="AF59" s="383">
        <f ca="1">IFERROR(IF(VLOOKUP(申込書!$C$32,★サイズ表記!$F$4:$H$55,3,FALSE)="切り捨て",ROUNDDOWN(L59*IF(AK59="◎",I59,J59)/100,2),IF(VLOOKUP(申込書!$C$32,★サイズ表記!$F$4:$H$55,3,FALSE)="切り上げ",ROUNDUP(L59*IF(AK59="◎",I59,J59)/100,2),ROUND(L59*IF(AK59="◎",I59,J59)/100,2))),0)</f>
        <v>2.12</v>
      </c>
      <c r="AG59" s="203">
        <f t="shared" ca="1" si="4"/>
        <v>10102</v>
      </c>
      <c r="AJ59" s="460" t="str">
        <f>IFERROR(VLOOKUP(申込書!$C$30,★業種!$D$2:$E$87,2,FALSE),"")</f>
        <v>1003</v>
      </c>
      <c r="AK59" s="460" t="str">
        <f ca="1">IF(申込書!$C$36="◎",IF(OR(D59="浜坂・温泉",D59="美方・村岡",D59="香住",D59="岡山",D59="大阪"),"",IF(LEFT(F59)="D","◎",IF(AG59=0,"",IFERROR(IF(VLOOKUP(AG59,★仕入先!$A$2:$C$211,3,FALSE)=0,"","◎"),"")))),"")</f>
        <v/>
      </c>
      <c r="AL59" s="460">
        <f>申込書!$H$14</f>
        <v>0</v>
      </c>
      <c r="AM59" s="460" t="str">
        <f>申込書!$C$32</f>
        <v>B4（折り無し）</v>
      </c>
      <c r="AN59" s="460" t="str">
        <f>VLOOKUP(AM59,★サイズ表記!$D$4:$E$55,2,FALSE)</f>
        <v>1001</v>
      </c>
      <c r="AO59" s="460">
        <f>IF(C59&lt;&gt;"⑧兵庫",VLOOKUP(LEFT(F59),★新聞!$A$4:$B$12,2,FALSE),IF(LEFT(F59)&lt;&gt;"S",VLOOKUP(LEFT(F59),★新聞!$A$4:$B$12,2,FALSE),VLOOKUP("X",★新聞!$A$4:$B$12,2,FALSE)))</f>
        <v>3</v>
      </c>
      <c r="AP59" s="460" t="str">
        <f t="shared" ca="1" si="5"/>
        <v>0</v>
      </c>
      <c r="AQ59" s="460" t="str">
        <f>IF(申込書!$C$38="","",申込書!$C$38)</f>
        <v/>
      </c>
    </row>
    <row r="60" spans="1:43">
      <c r="A60" s="463">
        <f t="shared" si="6"/>
        <v>59</v>
      </c>
      <c r="B60" s="463" t="str">
        <f t="shared" si="7"/>
        <v>東部</v>
      </c>
      <c r="C60" s="464" t="s">
        <v>1101</v>
      </c>
      <c r="D60" s="464" t="s">
        <v>1022</v>
      </c>
      <c r="E60" s="464">
        <f>VLOOKUP(D60,★折込地区!$A$2:$D$10,4,FALSE)</f>
        <v>1</v>
      </c>
      <c r="F60" s="464" t="s">
        <v>440</v>
      </c>
      <c r="G60" s="464" t="str">
        <f>INDEX(★新聞!$E$4:$I$12, MATCH(LEFT(F60),★新聞!$A$4:$A$12,0), MATCH(LEFT(W60),★新聞!$E$3:$I$3,0))</f>
        <v>AD</v>
      </c>
      <c r="H60" s="557" t="s">
        <v>1622</v>
      </c>
      <c r="I60" s="464" cm="1">
        <f t="array" ref="I60">IFERROR(INDEX(★原価率!$A$2:$E$50,MATCH($C60&amp;$H60,★原価率!$A$2:$A$50&amp;★原価率!$B$2:$B$50,0),3),0)</f>
        <v>76</v>
      </c>
      <c r="J60" s="464" cm="1">
        <f t="array" ref="J60">IFERROR(INDEX(★原価率!$A$2:$E$50,MATCH($C60&amp;$H60,★原価率!$A$2:$A$50&amp;★原価率!$B$2:$B$50,0),4),0)</f>
        <v>76</v>
      </c>
      <c r="K60" s="464" cm="1">
        <f t="array" ref="K60">IFERROR(INDEX(★原価率!$A$2:$E$50,MATCH($C60&amp;$H60,★原価率!$A$2:$A$50&amp;★原価率!$B$2:$B$50,0),5),0)</f>
        <v>100</v>
      </c>
      <c r="L60" s="528">
        <f>IFERROR(VLOOKUP(W60,★商品!$A$1:$H$1231,8,FALSE),0)</f>
        <v>2.8</v>
      </c>
      <c r="M60" s="203" t="str">
        <f ca="1">CONCATENATE(VLOOKUP(B60,★営業所!$A$2:$B$5,2,FALSE),TEXT(NOW(),"yyyy"))</f>
        <v>T2023</v>
      </c>
      <c r="N60" s="203">
        <v>1</v>
      </c>
      <c r="O60" s="203">
        <v>0</v>
      </c>
      <c r="P60" s="213">
        <f>申込書!$B$6</f>
        <v>0</v>
      </c>
      <c r="Q60" s="203">
        <f>申込書!$C$34</f>
        <v>1000040</v>
      </c>
      <c r="R60" s="203">
        <v>0</v>
      </c>
      <c r="U60" s="203">
        <f>VLOOKUP(B60,★営業所!$A$2:$C$5,3,FALSE)</f>
        <v>8</v>
      </c>
      <c r="V60" s="203">
        <f>申込書!$B$9</f>
        <v>0</v>
      </c>
      <c r="W60" s="203" t="str">
        <f>CONCATENATE(VLOOKUP(B60,★営業所!$A$2:$B$5,2,FALSE),VLOOKUP(申込書!$C$32,★サイズ表記!$D$4:$E$55,2,FALSE),VLOOKUP(D60,★折込地区!$A$2:$B$11,2,FALSE))</f>
        <v>T1001Tot</v>
      </c>
      <c r="X60" s="203" t="str">
        <f>CONCATENATE(申込書!$B$9," ",VLOOKUP(RIGHT(W60,3),★折込地区!$B$2:$C$10,2,FALSE),"")</f>
        <v xml:space="preserve"> 鳥取</v>
      </c>
      <c r="Z60" s="206">
        <f t="shared" ca="1" si="0"/>
        <v>0</v>
      </c>
      <c r="AB60" s="383">
        <f t="shared" si="1"/>
        <v>2.8</v>
      </c>
      <c r="AC60" s="203" t="str">
        <f t="shared" si="2"/>
        <v>J1001</v>
      </c>
      <c r="AD60" s="203" t="str">
        <f>VLOOKUP(AC60,★原価商品!$E$6:$F$349,2,FALSE)</f>
        <v>読売/B4（折り無し）</v>
      </c>
      <c r="AE60" s="203">
        <f t="shared" ca="1" si="3"/>
        <v>0</v>
      </c>
      <c r="AF60" s="383">
        <f ca="1">IFERROR(IF(VLOOKUP(申込書!$C$32,★サイズ表記!$F$4:$H$55,3,FALSE)="切り捨て",ROUNDDOWN(L60*IF(AK60="◎",I60,J60)/100,2),IF(VLOOKUP(申込書!$C$32,★サイズ表記!$F$4:$H$55,3,FALSE)="切り上げ",ROUNDUP(L60*IF(AK60="◎",I60,J60)/100,2),ROUND(L60*IF(AK60="◎",I60,J60)/100,2))),0)</f>
        <v>2.12</v>
      </c>
      <c r="AG60" s="203">
        <f t="shared" ca="1" si="4"/>
        <v>10102</v>
      </c>
      <c r="AJ60" s="460" t="str">
        <f>IFERROR(VLOOKUP(申込書!$C$30,★業種!$D$2:$E$87,2,FALSE),"")</f>
        <v>1003</v>
      </c>
      <c r="AK60" s="460" t="str">
        <f ca="1">IF(申込書!$C$36="◎",IF(OR(D60="浜坂・温泉",D60="美方・村岡",D60="香住",D60="岡山",D60="大阪"),"",IF(LEFT(F60)="D","◎",IF(AG60=0,"",IFERROR(IF(VLOOKUP(AG60,★仕入先!$A$2:$C$211,3,FALSE)=0,"","◎"),"")))),"")</f>
        <v/>
      </c>
      <c r="AL60" s="460">
        <f>申込書!$H$14</f>
        <v>0</v>
      </c>
      <c r="AM60" s="460" t="str">
        <f>申込書!$C$32</f>
        <v>B4（折り無し）</v>
      </c>
      <c r="AN60" s="460" t="str">
        <f>VLOOKUP(AM60,★サイズ表記!$D$4:$E$55,2,FALSE)</f>
        <v>1001</v>
      </c>
      <c r="AO60" s="460">
        <f>IF(C60&lt;&gt;"⑧兵庫",VLOOKUP(LEFT(F60),★新聞!$A$4:$B$12,2,FALSE),IF(LEFT(F60)&lt;&gt;"S",VLOOKUP(LEFT(F60),★新聞!$A$4:$B$12,2,FALSE),VLOOKUP("X",★新聞!$A$4:$B$12,2,FALSE)))</f>
        <v>3</v>
      </c>
      <c r="AP60" s="460" t="str">
        <f t="shared" ca="1" si="5"/>
        <v>0</v>
      </c>
      <c r="AQ60" s="460" t="str">
        <f>IF(申込書!$C$38="","",申込書!$C$38)</f>
        <v/>
      </c>
    </row>
    <row r="61" spans="1:43">
      <c r="A61" s="463">
        <f t="shared" si="6"/>
        <v>60</v>
      </c>
      <c r="B61" s="463" t="str">
        <f t="shared" si="7"/>
        <v>東部</v>
      </c>
      <c r="C61" s="464" t="s">
        <v>1101</v>
      </c>
      <c r="D61" s="464" t="s">
        <v>1022</v>
      </c>
      <c r="E61" s="464">
        <f>VLOOKUP(D61,★折込地区!$A$2:$D$10,4,FALSE)</f>
        <v>1</v>
      </c>
      <c r="F61" s="464" t="s">
        <v>441</v>
      </c>
      <c r="G61" s="464" t="str">
        <f>INDEX(★新聞!$E$4:$I$12, MATCH(LEFT(F61),★新聞!$A$4:$A$12,0), MATCH(LEFT(W61),★新聞!$E$3:$I$3,0))</f>
        <v>AD</v>
      </c>
      <c r="H61" s="557" t="s">
        <v>1622</v>
      </c>
      <c r="I61" s="464" cm="1">
        <f t="array" ref="I61">IFERROR(INDEX(★原価率!$A$2:$E$50,MATCH($C61&amp;$H61,★原価率!$A$2:$A$50&amp;★原価率!$B$2:$B$50,0),3),0)</f>
        <v>76</v>
      </c>
      <c r="J61" s="464" cm="1">
        <f t="array" ref="J61">IFERROR(INDEX(★原価率!$A$2:$E$50,MATCH($C61&amp;$H61,★原価率!$A$2:$A$50&amp;★原価率!$B$2:$B$50,0),4),0)</f>
        <v>76</v>
      </c>
      <c r="K61" s="464" cm="1">
        <f t="array" ref="K61">IFERROR(INDEX(★原価率!$A$2:$E$50,MATCH($C61&amp;$H61,★原価率!$A$2:$A$50&amp;★原価率!$B$2:$B$50,0),5),0)</f>
        <v>100</v>
      </c>
      <c r="L61" s="528">
        <f>IFERROR(VLOOKUP(W61,★商品!$A$1:$H$1231,8,FALSE),0)</f>
        <v>2.8</v>
      </c>
      <c r="M61" s="203" t="str">
        <f ca="1">CONCATENATE(VLOOKUP(B61,★営業所!$A$2:$B$5,2,FALSE),TEXT(NOW(),"yyyy"))</f>
        <v>T2023</v>
      </c>
      <c r="N61" s="203">
        <v>1</v>
      </c>
      <c r="O61" s="203">
        <v>0</v>
      </c>
      <c r="P61" s="213">
        <f>申込書!$B$6</f>
        <v>0</v>
      </c>
      <c r="Q61" s="203">
        <f>申込書!$C$34</f>
        <v>1000040</v>
      </c>
      <c r="R61" s="203">
        <v>0</v>
      </c>
      <c r="U61" s="203">
        <f>VLOOKUP(B61,★営業所!$A$2:$C$5,3,FALSE)</f>
        <v>8</v>
      </c>
      <c r="V61" s="203">
        <f>申込書!$B$9</f>
        <v>0</v>
      </c>
      <c r="W61" s="203" t="str">
        <f>CONCATENATE(VLOOKUP(B61,★営業所!$A$2:$B$5,2,FALSE),VLOOKUP(申込書!$C$32,★サイズ表記!$D$4:$E$55,2,FALSE),VLOOKUP(D61,★折込地区!$A$2:$B$11,2,FALSE))</f>
        <v>T1001Tot</v>
      </c>
      <c r="X61" s="203" t="str">
        <f>CONCATENATE(申込書!$B$9," ",VLOOKUP(RIGHT(W61,3),★折込地区!$B$2:$C$10,2,FALSE),"")</f>
        <v xml:space="preserve"> 鳥取</v>
      </c>
      <c r="Z61" s="206">
        <f t="shared" ca="1" si="0"/>
        <v>0</v>
      </c>
      <c r="AB61" s="383">
        <f t="shared" si="1"/>
        <v>2.8</v>
      </c>
      <c r="AC61" s="203" t="str">
        <f t="shared" si="2"/>
        <v>J1001</v>
      </c>
      <c r="AD61" s="203" t="str">
        <f>VLOOKUP(AC61,★原価商品!$E$6:$F$349,2,FALSE)</f>
        <v>読売/B4（折り無し）</v>
      </c>
      <c r="AE61" s="203">
        <f t="shared" ca="1" si="3"/>
        <v>0</v>
      </c>
      <c r="AF61" s="383">
        <f ca="1">IFERROR(IF(VLOOKUP(申込書!$C$32,★サイズ表記!$F$4:$H$55,3,FALSE)="切り捨て",ROUNDDOWN(L61*IF(AK61="◎",I61,J61)/100,2),IF(VLOOKUP(申込書!$C$32,★サイズ表記!$F$4:$H$55,3,FALSE)="切り上げ",ROUNDUP(L61*IF(AK61="◎",I61,J61)/100,2),ROUND(L61*IF(AK61="◎",I61,J61)/100,2))),0)</f>
        <v>2.12</v>
      </c>
      <c r="AG61" s="203">
        <f t="shared" ca="1" si="4"/>
        <v>0</v>
      </c>
      <c r="AJ61" s="460" t="str">
        <f>IFERROR(VLOOKUP(申込書!$C$30,★業種!$D$2:$E$87,2,FALSE),"")</f>
        <v>1003</v>
      </c>
      <c r="AK61" s="460" t="str">
        <f ca="1">IF(申込書!$C$36="◎",IF(OR(D61="浜坂・温泉",D61="美方・村岡",D61="香住",D61="岡山",D61="大阪"),"",IF(LEFT(F61)="D","◎",IF(AG61=0,"",IFERROR(IF(VLOOKUP(AG61,★仕入先!$A$2:$C$211,3,FALSE)=0,"","◎"),"")))),"")</f>
        <v/>
      </c>
      <c r="AL61" s="460">
        <f>申込書!$H$14</f>
        <v>0</v>
      </c>
      <c r="AM61" s="460" t="str">
        <f>申込書!$C$32</f>
        <v>B4（折り無し）</v>
      </c>
      <c r="AN61" s="460" t="str">
        <f>VLOOKUP(AM61,★サイズ表記!$D$4:$E$55,2,FALSE)</f>
        <v>1001</v>
      </c>
      <c r="AO61" s="460">
        <f>IF(C61&lt;&gt;"⑧兵庫",VLOOKUP(LEFT(F61),★新聞!$A$4:$B$12,2,FALSE),IF(LEFT(F61)&lt;&gt;"S",VLOOKUP(LEFT(F61),★新聞!$A$4:$B$12,2,FALSE),VLOOKUP("X",★新聞!$A$4:$B$12,2,FALSE)))</f>
        <v>3</v>
      </c>
      <c r="AP61" s="460" t="str">
        <f t="shared" ca="1" si="5"/>
        <v>0</v>
      </c>
      <c r="AQ61" s="460" t="str">
        <f>IF(申込書!$C$38="","",申込書!$C$38)</f>
        <v/>
      </c>
    </row>
    <row r="62" spans="1:43">
      <c r="A62" s="463">
        <f t="shared" si="6"/>
        <v>61</v>
      </c>
      <c r="B62" s="463" t="str">
        <f t="shared" si="7"/>
        <v>東部</v>
      </c>
      <c r="C62" s="464" t="s">
        <v>1101</v>
      </c>
      <c r="D62" s="464" t="s">
        <v>1022</v>
      </c>
      <c r="E62" s="464">
        <f>VLOOKUP(D62,★折込地区!$A$2:$D$10,4,FALSE)</f>
        <v>1</v>
      </c>
      <c r="F62" s="464" t="s">
        <v>442</v>
      </c>
      <c r="G62" s="464" t="str">
        <f>INDEX(★新聞!$E$4:$I$12, MATCH(LEFT(F62),★新聞!$A$4:$A$12,0), MATCH(LEFT(W62),★新聞!$E$3:$I$3,0))</f>
        <v>AD</v>
      </c>
      <c r="H62" s="557" t="s">
        <v>1622</v>
      </c>
      <c r="I62" s="464" cm="1">
        <f t="array" ref="I62">IFERROR(INDEX(★原価率!$A$2:$E$50,MATCH($C62&amp;$H62,★原価率!$A$2:$A$50&amp;★原価率!$B$2:$B$50,0),3),0)</f>
        <v>76</v>
      </c>
      <c r="J62" s="464" cm="1">
        <f t="array" ref="J62">IFERROR(INDEX(★原価率!$A$2:$E$50,MATCH($C62&amp;$H62,★原価率!$A$2:$A$50&amp;★原価率!$B$2:$B$50,0),4),0)</f>
        <v>76</v>
      </c>
      <c r="K62" s="464" cm="1">
        <f t="array" ref="K62">IFERROR(INDEX(★原価率!$A$2:$E$50,MATCH($C62&amp;$H62,★原価率!$A$2:$A$50&amp;★原価率!$B$2:$B$50,0),5),0)</f>
        <v>100</v>
      </c>
      <c r="L62" s="528">
        <f>IFERROR(VLOOKUP(W62,★商品!$A$1:$H$1231,8,FALSE),0)</f>
        <v>2.8</v>
      </c>
      <c r="M62" s="203" t="str">
        <f ca="1">CONCATENATE(VLOOKUP(B62,★営業所!$A$2:$B$5,2,FALSE),TEXT(NOW(),"yyyy"))</f>
        <v>T2023</v>
      </c>
      <c r="N62" s="203">
        <v>1</v>
      </c>
      <c r="O62" s="203">
        <v>0</v>
      </c>
      <c r="P62" s="213">
        <f>申込書!$B$6</f>
        <v>0</v>
      </c>
      <c r="Q62" s="203">
        <f>申込書!$C$34</f>
        <v>1000040</v>
      </c>
      <c r="R62" s="203">
        <v>0</v>
      </c>
      <c r="U62" s="203">
        <f>VLOOKUP(B62,★営業所!$A$2:$C$5,3,FALSE)</f>
        <v>8</v>
      </c>
      <c r="V62" s="203">
        <f>申込書!$B$9</f>
        <v>0</v>
      </c>
      <c r="W62" s="203" t="str">
        <f>CONCATENATE(VLOOKUP(B62,★営業所!$A$2:$B$5,2,FALSE),VLOOKUP(申込書!$C$32,★サイズ表記!$D$4:$E$55,2,FALSE),VLOOKUP(D62,★折込地区!$A$2:$B$11,2,FALSE))</f>
        <v>T1001Tot</v>
      </c>
      <c r="X62" s="203" t="str">
        <f>CONCATENATE(申込書!$B$9," ",VLOOKUP(RIGHT(W62,3),★折込地区!$B$2:$C$10,2,FALSE),"")</f>
        <v xml:space="preserve"> 鳥取</v>
      </c>
      <c r="Z62" s="206">
        <f t="shared" ca="1" si="0"/>
        <v>0</v>
      </c>
      <c r="AB62" s="383">
        <f t="shared" si="1"/>
        <v>2.8</v>
      </c>
      <c r="AC62" s="203" t="str">
        <f t="shared" si="2"/>
        <v>J1001</v>
      </c>
      <c r="AD62" s="203" t="str">
        <f>VLOOKUP(AC62,★原価商品!$E$6:$F$349,2,FALSE)</f>
        <v>読売/B4（折り無し）</v>
      </c>
      <c r="AE62" s="203">
        <f t="shared" ca="1" si="3"/>
        <v>0</v>
      </c>
      <c r="AF62" s="383">
        <f ca="1">IFERROR(IF(VLOOKUP(申込書!$C$32,★サイズ表記!$F$4:$H$55,3,FALSE)="切り捨て",ROUNDDOWN(L62*IF(AK62="◎",I62,J62)/100,2),IF(VLOOKUP(申込書!$C$32,★サイズ表記!$F$4:$H$55,3,FALSE)="切り上げ",ROUNDUP(L62*IF(AK62="◎",I62,J62)/100,2),ROUND(L62*IF(AK62="◎",I62,J62)/100,2))),0)</f>
        <v>2.12</v>
      </c>
      <c r="AG62" s="203">
        <f t="shared" ca="1" si="4"/>
        <v>10104</v>
      </c>
      <c r="AJ62" s="460" t="str">
        <f>IFERROR(VLOOKUP(申込書!$C$30,★業種!$D$2:$E$87,2,FALSE),"")</f>
        <v>1003</v>
      </c>
      <c r="AK62" s="460" t="str">
        <f ca="1">IF(申込書!$C$36="◎",IF(OR(D62="浜坂・温泉",D62="美方・村岡",D62="香住",D62="岡山",D62="大阪"),"",IF(LEFT(F62)="D","◎",IF(AG62=0,"",IFERROR(IF(VLOOKUP(AG62,★仕入先!$A$2:$C$211,3,FALSE)=0,"","◎"),"")))),"")</f>
        <v/>
      </c>
      <c r="AL62" s="460">
        <f>申込書!$H$14</f>
        <v>0</v>
      </c>
      <c r="AM62" s="460" t="str">
        <f>申込書!$C$32</f>
        <v>B4（折り無し）</v>
      </c>
      <c r="AN62" s="460" t="str">
        <f>VLOOKUP(AM62,★サイズ表記!$D$4:$E$55,2,FALSE)</f>
        <v>1001</v>
      </c>
      <c r="AO62" s="460">
        <f>IF(C62&lt;&gt;"⑧兵庫",VLOOKUP(LEFT(F62),★新聞!$A$4:$B$12,2,FALSE),IF(LEFT(F62)&lt;&gt;"S",VLOOKUP(LEFT(F62),★新聞!$A$4:$B$12,2,FALSE),VLOOKUP("X",★新聞!$A$4:$B$12,2,FALSE)))</f>
        <v>3</v>
      </c>
      <c r="AP62" s="460" t="str">
        <f t="shared" ca="1" si="5"/>
        <v>0</v>
      </c>
      <c r="AQ62" s="460" t="str">
        <f>IF(申込書!$C$38="","",申込書!$C$38)</f>
        <v/>
      </c>
    </row>
    <row r="63" spans="1:43">
      <c r="A63" s="463">
        <f t="shared" si="6"/>
        <v>62</v>
      </c>
      <c r="B63" s="463" t="str">
        <f t="shared" si="7"/>
        <v>東部</v>
      </c>
      <c r="C63" s="464" t="s">
        <v>1101</v>
      </c>
      <c r="D63" s="464" t="s">
        <v>1022</v>
      </c>
      <c r="E63" s="464">
        <f>VLOOKUP(D63,★折込地区!$A$2:$D$10,4,FALSE)</f>
        <v>1</v>
      </c>
      <c r="F63" s="464" t="s">
        <v>443</v>
      </c>
      <c r="G63" s="464" t="str">
        <f>INDEX(★新聞!$E$4:$I$12, MATCH(LEFT(F63),★新聞!$A$4:$A$12,0), MATCH(LEFT(W63),★新聞!$E$3:$I$3,0))</f>
        <v>AD</v>
      </c>
      <c r="H63" s="557" t="s">
        <v>1622</v>
      </c>
      <c r="I63" s="464" cm="1">
        <f t="array" ref="I63">IFERROR(INDEX(★原価率!$A$2:$E$50,MATCH($C63&amp;$H63,★原価率!$A$2:$A$50&amp;★原価率!$B$2:$B$50,0),3),0)</f>
        <v>76</v>
      </c>
      <c r="J63" s="464" cm="1">
        <f t="array" ref="J63">IFERROR(INDEX(★原価率!$A$2:$E$50,MATCH($C63&amp;$H63,★原価率!$A$2:$A$50&amp;★原価率!$B$2:$B$50,0),4),0)</f>
        <v>76</v>
      </c>
      <c r="K63" s="464" cm="1">
        <f t="array" ref="K63">IFERROR(INDEX(★原価率!$A$2:$E$50,MATCH($C63&amp;$H63,★原価率!$A$2:$A$50&amp;★原価率!$B$2:$B$50,0),5),0)</f>
        <v>100</v>
      </c>
      <c r="L63" s="528">
        <f>IFERROR(VLOOKUP(W63,★商品!$A$1:$H$1231,8,FALSE),0)</f>
        <v>2.8</v>
      </c>
      <c r="M63" s="203" t="str">
        <f ca="1">CONCATENATE(VLOOKUP(B63,★営業所!$A$2:$B$5,2,FALSE),TEXT(NOW(),"yyyy"))</f>
        <v>T2023</v>
      </c>
      <c r="N63" s="203">
        <v>1</v>
      </c>
      <c r="O63" s="203">
        <v>0</v>
      </c>
      <c r="P63" s="213">
        <f>申込書!$B$6</f>
        <v>0</v>
      </c>
      <c r="Q63" s="203">
        <f>申込書!$C$34</f>
        <v>1000040</v>
      </c>
      <c r="R63" s="203">
        <v>0</v>
      </c>
      <c r="U63" s="203">
        <f>VLOOKUP(B63,★営業所!$A$2:$C$5,3,FALSE)</f>
        <v>8</v>
      </c>
      <c r="V63" s="203">
        <f>申込書!$B$9</f>
        <v>0</v>
      </c>
      <c r="W63" s="203" t="str">
        <f>CONCATENATE(VLOOKUP(B63,★営業所!$A$2:$B$5,2,FALSE),VLOOKUP(申込書!$C$32,★サイズ表記!$D$4:$E$55,2,FALSE),VLOOKUP(D63,★折込地区!$A$2:$B$11,2,FALSE))</f>
        <v>T1001Tot</v>
      </c>
      <c r="X63" s="203" t="str">
        <f>CONCATENATE(申込書!$B$9," ",VLOOKUP(RIGHT(W63,3),★折込地区!$B$2:$C$10,2,FALSE),"")</f>
        <v xml:space="preserve"> 鳥取</v>
      </c>
      <c r="Z63" s="206">
        <f t="shared" ca="1" si="0"/>
        <v>0</v>
      </c>
      <c r="AB63" s="383">
        <f t="shared" si="1"/>
        <v>2.8</v>
      </c>
      <c r="AC63" s="203" t="str">
        <f t="shared" si="2"/>
        <v>J1001</v>
      </c>
      <c r="AD63" s="203" t="str">
        <f>VLOOKUP(AC63,★原価商品!$E$6:$F$349,2,FALSE)</f>
        <v>読売/B4（折り無し）</v>
      </c>
      <c r="AE63" s="203">
        <f t="shared" ca="1" si="3"/>
        <v>0</v>
      </c>
      <c r="AF63" s="383">
        <f ca="1">IFERROR(IF(VLOOKUP(申込書!$C$32,★サイズ表記!$F$4:$H$55,3,FALSE)="切り捨て",ROUNDDOWN(L63*IF(AK63="◎",I63,J63)/100,2),IF(VLOOKUP(申込書!$C$32,★サイズ表記!$F$4:$H$55,3,FALSE)="切り上げ",ROUNDUP(L63*IF(AK63="◎",I63,J63)/100,2),ROUND(L63*IF(AK63="◎",I63,J63)/100,2))),0)</f>
        <v>2.12</v>
      </c>
      <c r="AG63" s="203">
        <f t="shared" ca="1" si="4"/>
        <v>10102</v>
      </c>
      <c r="AJ63" s="460" t="str">
        <f>IFERROR(VLOOKUP(申込書!$C$30,★業種!$D$2:$E$87,2,FALSE),"")</f>
        <v>1003</v>
      </c>
      <c r="AK63" s="460" t="str">
        <f ca="1">IF(申込書!$C$36="◎",IF(OR(D63="浜坂・温泉",D63="美方・村岡",D63="香住",D63="岡山",D63="大阪"),"",IF(LEFT(F63)="D","◎",IF(AG63=0,"",IFERROR(IF(VLOOKUP(AG63,★仕入先!$A$2:$C$211,3,FALSE)=0,"","◎"),"")))),"")</f>
        <v/>
      </c>
      <c r="AL63" s="460">
        <f>申込書!$H$14</f>
        <v>0</v>
      </c>
      <c r="AM63" s="460" t="str">
        <f>申込書!$C$32</f>
        <v>B4（折り無し）</v>
      </c>
      <c r="AN63" s="460" t="str">
        <f>VLOOKUP(AM63,★サイズ表記!$D$4:$E$55,2,FALSE)</f>
        <v>1001</v>
      </c>
      <c r="AO63" s="460">
        <f>IF(C63&lt;&gt;"⑧兵庫",VLOOKUP(LEFT(F63),★新聞!$A$4:$B$12,2,FALSE),IF(LEFT(F63)&lt;&gt;"S",VLOOKUP(LEFT(F63),★新聞!$A$4:$B$12,2,FALSE),VLOOKUP("X",★新聞!$A$4:$B$12,2,FALSE)))</f>
        <v>3</v>
      </c>
      <c r="AP63" s="460" t="str">
        <f t="shared" ca="1" si="5"/>
        <v>0</v>
      </c>
      <c r="AQ63" s="460" t="str">
        <f>IF(申込書!$C$38="","",申込書!$C$38)</f>
        <v/>
      </c>
    </row>
    <row r="64" spans="1:43">
      <c r="A64" s="463">
        <f t="shared" si="6"/>
        <v>63</v>
      </c>
      <c r="B64" s="463" t="str">
        <f t="shared" si="7"/>
        <v>東部</v>
      </c>
      <c r="C64" s="464" t="s">
        <v>1101</v>
      </c>
      <c r="D64" s="464" t="s">
        <v>1022</v>
      </c>
      <c r="E64" s="464">
        <f>VLOOKUP(D64,★折込地区!$A$2:$D$10,4,FALSE)</f>
        <v>1</v>
      </c>
      <c r="F64" s="464" t="s">
        <v>444</v>
      </c>
      <c r="G64" s="464" t="str">
        <f>INDEX(★新聞!$E$4:$I$12, MATCH(LEFT(F64),★新聞!$A$4:$A$12,0), MATCH(LEFT(W64),★新聞!$E$3:$I$3,0))</f>
        <v>AD</v>
      </c>
      <c r="H64" s="475" t="s">
        <v>1104</v>
      </c>
      <c r="I64" s="464" cm="1">
        <f t="array" ref="I64">IFERROR(INDEX(★原価率!$A$2:$E$50,MATCH($C64&amp;$H64,★原価率!$A$2:$A$50&amp;★原価率!$B$2:$B$50,0),3),0)</f>
        <v>84</v>
      </c>
      <c r="J64" s="464" cm="1">
        <f t="array" ref="J64">IFERROR(INDEX(★原価率!$A$2:$E$50,MATCH($C64&amp;$H64,★原価率!$A$2:$A$50&amp;★原価率!$B$2:$B$50,0),4),0)</f>
        <v>84</v>
      </c>
      <c r="K64" s="464" cm="1">
        <f t="array" ref="K64">IFERROR(INDEX(★原価率!$A$2:$E$50,MATCH($C64&amp;$H64,★原価率!$A$2:$A$50&amp;★原価率!$B$2:$B$50,0),5),0)</f>
        <v>100</v>
      </c>
      <c r="L64" s="528">
        <f>IFERROR(VLOOKUP(W64,★商品!$A$1:$H$1231,8,FALSE),0)</f>
        <v>2.8</v>
      </c>
      <c r="M64" s="203" t="str">
        <f ca="1">CONCATENATE(VLOOKUP(B64,★営業所!$A$2:$B$5,2,FALSE),TEXT(NOW(),"yyyy"))</f>
        <v>T2023</v>
      </c>
      <c r="N64" s="203">
        <v>1</v>
      </c>
      <c r="O64" s="203">
        <v>0</v>
      </c>
      <c r="P64" s="213">
        <f>申込書!$B$6</f>
        <v>0</v>
      </c>
      <c r="Q64" s="203">
        <f>申込書!$C$34</f>
        <v>1000040</v>
      </c>
      <c r="R64" s="203">
        <v>0</v>
      </c>
      <c r="U64" s="203">
        <f>VLOOKUP(B64,★営業所!$A$2:$C$5,3,FALSE)</f>
        <v>8</v>
      </c>
      <c r="V64" s="203">
        <f>申込書!$B$9</f>
        <v>0</v>
      </c>
      <c r="W64" s="203" t="str">
        <f>CONCATENATE(VLOOKUP(B64,★営業所!$A$2:$B$5,2,FALSE),VLOOKUP(申込書!$C$32,★サイズ表記!$D$4:$E$55,2,FALSE),VLOOKUP(D64,★折込地区!$A$2:$B$11,2,FALSE))</f>
        <v>T1001Tot</v>
      </c>
      <c r="X64" s="203" t="str">
        <f>CONCATENATE(申込書!$B$9," ",VLOOKUP(RIGHT(W64,3),★折込地区!$B$2:$C$10,2,FALSE),"")</f>
        <v xml:space="preserve"> 鳥取</v>
      </c>
      <c r="Z64" s="206">
        <f t="shared" ca="1" si="0"/>
        <v>0</v>
      </c>
      <c r="AB64" s="383">
        <f t="shared" si="1"/>
        <v>2.8</v>
      </c>
      <c r="AC64" s="203" t="str">
        <f t="shared" si="2"/>
        <v>J1001</v>
      </c>
      <c r="AD64" s="203" t="str">
        <f>VLOOKUP(AC64,★原価商品!$E$6:$F$349,2,FALSE)</f>
        <v>読売/B4（折り無し）</v>
      </c>
      <c r="AE64" s="203">
        <f t="shared" ca="1" si="3"/>
        <v>0</v>
      </c>
      <c r="AF64" s="383">
        <f ca="1">IFERROR(IF(VLOOKUP(申込書!$C$32,★サイズ表記!$F$4:$H$55,3,FALSE)="切り捨て",ROUNDDOWN(L64*IF(AK64="◎",I64,J64)/100,2),IF(VLOOKUP(申込書!$C$32,★サイズ表記!$F$4:$H$55,3,FALSE)="切り上げ",ROUNDUP(L64*IF(AK64="◎",I64,J64)/100,2),ROUND(L64*IF(AK64="◎",I64,J64)/100,2))),0)</f>
        <v>2.35</v>
      </c>
      <c r="AG64" s="203">
        <f t="shared" ca="1" si="4"/>
        <v>0</v>
      </c>
      <c r="AJ64" s="460" t="str">
        <f>IFERROR(VLOOKUP(申込書!$C$30,★業種!$D$2:$E$87,2,FALSE),"")</f>
        <v>1003</v>
      </c>
      <c r="AK64" s="460" t="str">
        <f ca="1">IF(申込書!$C$36="◎",IF(OR(D64="浜坂・温泉",D64="美方・村岡",D64="香住",D64="岡山",D64="大阪"),"",IF(LEFT(F64)="D","◎",IF(AG64=0,"",IFERROR(IF(VLOOKUP(AG64,★仕入先!$A$2:$C$211,3,FALSE)=0,"","◎"),"")))),"")</f>
        <v/>
      </c>
      <c r="AL64" s="460">
        <f>申込書!$H$14</f>
        <v>0</v>
      </c>
      <c r="AM64" s="460" t="str">
        <f>申込書!$C$32</f>
        <v>B4（折り無し）</v>
      </c>
      <c r="AN64" s="460" t="str">
        <f>VLOOKUP(AM64,★サイズ表記!$D$4:$E$55,2,FALSE)</f>
        <v>1001</v>
      </c>
      <c r="AO64" s="460">
        <f>IF(C64&lt;&gt;"⑧兵庫",VLOOKUP(LEFT(F64),★新聞!$A$4:$B$12,2,FALSE),IF(LEFT(F64)&lt;&gt;"S",VLOOKUP(LEFT(F64),★新聞!$A$4:$B$12,2,FALSE),VLOOKUP("X",★新聞!$A$4:$B$12,2,FALSE)))</f>
        <v>3</v>
      </c>
      <c r="AP64" s="460" t="str">
        <f t="shared" ca="1" si="5"/>
        <v>0</v>
      </c>
      <c r="AQ64" s="460" t="str">
        <f>IF(申込書!$C$38="","",申込書!$C$38)</f>
        <v/>
      </c>
    </row>
    <row r="65" spans="1:43">
      <c r="A65" s="463">
        <f t="shared" si="6"/>
        <v>64</v>
      </c>
      <c r="B65" s="463" t="str">
        <f t="shared" si="7"/>
        <v>東部</v>
      </c>
      <c r="C65" s="464" t="s">
        <v>1101</v>
      </c>
      <c r="D65" s="464" t="s">
        <v>1022</v>
      </c>
      <c r="E65" s="464">
        <f>VLOOKUP(D65,★折込地区!$A$2:$D$10,4,FALSE)</f>
        <v>1</v>
      </c>
      <c r="F65" s="464" t="s">
        <v>445</v>
      </c>
      <c r="G65" s="464" t="str">
        <f>INDEX(★新聞!$E$4:$I$12, MATCH(LEFT(F65),★新聞!$A$4:$A$12,0), MATCH(LEFT(W65),★新聞!$E$3:$I$3,0))</f>
        <v>AD</v>
      </c>
      <c r="H65" s="475" t="s">
        <v>1104</v>
      </c>
      <c r="I65" s="464" cm="1">
        <f t="array" ref="I65">IFERROR(INDEX(★原価率!$A$2:$E$50,MATCH($C65&amp;$H65,★原価率!$A$2:$A$50&amp;★原価率!$B$2:$B$50,0),3),0)</f>
        <v>84</v>
      </c>
      <c r="J65" s="464" cm="1">
        <f t="array" ref="J65">IFERROR(INDEX(★原価率!$A$2:$E$50,MATCH($C65&amp;$H65,★原価率!$A$2:$A$50&amp;★原価率!$B$2:$B$50,0),4),0)</f>
        <v>84</v>
      </c>
      <c r="K65" s="464" cm="1">
        <f t="array" ref="K65">IFERROR(INDEX(★原価率!$A$2:$E$50,MATCH($C65&amp;$H65,★原価率!$A$2:$A$50&amp;★原価率!$B$2:$B$50,0),5),0)</f>
        <v>100</v>
      </c>
      <c r="L65" s="528">
        <f>IFERROR(VLOOKUP(W65,★商品!$A$1:$H$1231,8,FALSE),0)</f>
        <v>2.8</v>
      </c>
      <c r="M65" s="203" t="str">
        <f ca="1">CONCATENATE(VLOOKUP(B65,★営業所!$A$2:$B$5,2,FALSE),TEXT(NOW(),"yyyy"))</f>
        <v>T2023</v>
      </c>
      <c r="N65" s="203">
        <v>1</v>
      </c>
      <c r="O65" s="203">
        <v>0</v>
      </c>
      <c r="P65" s="213">
        <f>申込書!$B$6</f>
        <v>0</v>
      </c>
      <c r="Q65" s="203">
        <f>申込書!$C$34</f>
        <v>1000040</v>
      </c>
      <c r="R65" s="203">
        <v>0</v>
      </c>
      <c r="U65" s="203">
        <f>VLOOKUP(B65,★営業所!$A$2:$C$5,3,FALSE)</f>
        <v>8</v>
      </c>
      <c r="V65" s="203">
        <f>申込書!$B$9</f>
        <v>0</v>
      </c>
      <c r="W65" s="203" t="str">
        <f>CONCATENATE(VLOOKUP(B65,★営業所!$A$2:$B$5,2,FALSE),VLOOKUP(申込書!$C$32,★サイズ表記!$D$4:$E$55,2,FALSE),VLOOKUP(D65,★折込地区!$A$2:$B$11,2,FALSE))</f>
        <v>T1001Tot</v>
      </c>
      <c r="X65" s="203" t="str">
        <f>CONCATENATE(申込書!$B$9," ",VLOOKUP(RIGHT(W65,3),★折込地区!$B$2:$C$10,2,FALSE),"")</f>
        <v xml:space="preserve"> 鳥取</v>
      </c>
      <c r="Z65" s="206">
        <f t="shared" ca="1" si="0"/>
        <v>0</v>
      </c>
      <c r="AB65" s="383">
        <f t="shared" si="1"/>
        <v>2.8</v>
      </c>
      <c r="AC65" s="203" t="str">
        <f t="shared" si="2"/>
        <v>J1001</v>
      </c>
      <c r="AD65" s="203" t="str">
        <f>VLOOKUP(AC65,★原価商品!$E$6:$F$349,2,FALSE)</f>
        <v>読売/B4（折り無し）</v>
      </c>
      <c r="AE65" s="203">
        <f t="shared" ca="1" si="3"/>
        <v>0</v>
      </c>
      <c r="AF65" s="383">
        <f ca="1">IFERROR(IF(VLOOKUP(申込書!$C$32,★サイズ表記!$F$4:$H$55,3,FALSE)="切り捨て",ROUNDDOWN(L65*IF(AK65="◎",I65,J65)/100,2),IF(VLOOKUP(申込書!$C$32,★サイズ表記!$F$4:$H$55,3,FALSE)="切り上げ",ROUNDUP(L65*IF(AK65="◎",I65,J65)/100,2),ROUND(L65*IF(AK65="◎",I65,J65)/100,2))),0)</f>
        <v>2.35</v>
      </c>
      <c r="AG65" s="203">
        <f t="shared" ca="1" si="4"/>
        <v>0</v>
      </c>
      <c r="AJ65" s="460" t="str">
        <f>IFERROR(VLOOKUP(申込書!$C$30,★業種!$D$2:$E$87,2,FALSE),"")</f>
        <v>1003</v>
      </c>
      <c r="AK65" s="460" t="str">
        <f ca="1">IF(申込書!$C$36="◎",IF(OR(D65="浜坂・温泉",D65="美方・村岡",D65="香住",D65="岡山",D65="大阪"),"",IF(LEFT(F65)="D","◎",IF(AG65=0,"",IFERROR(IF(VLOOKUP(AG65,★仕入先!$A$2:$C$211,3,FALSE)=0,"","◎"),"")))),"")</f>
        <v/>
      </c>
      <c r="AL65" s="460">
        <f>申込書!$H$14</f>
        <v>0</v>
      </c>
      <c r="AM65" s="460" t="str">
        <f>申込書!$C$32</f>
        <v>B4（折り無し）</v>
      </c>
      <c r="AN65" s="460" t="str">
        <f>VLOOKUP(AM65,★サイズ表記!$D$4:$E$55,2,FALSE)</f>
        <v>1001</v>
      </c>
      <c r="AO65" s="460">
        <f>IF(C65&lt;&gt;"⑧兵庫",VLOOKUP(LEFT(F65),★新聞!$A$4:$B$12,2,FALSE),IF(LEFT(F65)&lt;&gt;"S",VLOOKUP(LEFT(F65),★新聞!$A$4:$B$12,2,FALSE),VLOOKUP("X",★新聞!$A$4:$B$12,2,FALSE)))</f>
        <v>3</v>
      </c>
      <c r="AP65" s="460" t="str">
        <f t="shared" ca="1" si="5"/>
        <v>0</v>
      </c>
      <c r="AQ65" s="460" t="str">
        <f>IF(申込書!$C$38="","",申込書!$C$38)</f>
        <v/>
      </c>
    </row>
    <row r="66" spans="1:43">
      <c r="A66" s="463">
        <f t="shared" si="6"/>
        <v>65</v>
      </c>
      <c r="B66" s="463" t="str">
        <f t="shared" si="7"/>
        <v>東部</v>
      </c>
      <c r="C66" s="464" t="s">
        <v>1101</v>
      </c>
      <c r="D66" s="464" t="s">
        <v>1022</v>
      </c>
      <c r="E66" s="464">
        <f>VLOOKUP(D66,★折込地区!$A$2:$D$10,4,FALSE)</f>
        <v>1</v>
      </c>
      <c r="F66" s="464" t="s">
        <v>446</v>
      </c>
      <c r="G66" s="464" t="str">
        <f>INDEX(★新聞!$E$4:$I$12, MATCH(LEFT(F66),★新聞!$A$4:$A$12,0), MATCH(LEFT(W66),★新聞!$E$3:$I$3,0))</f>
        <v>AD</v>
      </c>
      <c r="H66" s="475" t="s">
        <v>1104</v>
      </c>
      <c r="I66" s="464" cm="1">
        <f t="array" ref="I66">IFERROR(INDEX(★原価率!$A$2:$E$50,MATCH($C66&amp;$H66,★原価率!$A$2:$A$50&amp;★原価率!$B$2:$B$50,0),3),0)</f>
        <v>84</v>
      </c>
      <c r="J66" s="464" cm="1">
        <f t="array" ref="J66">IFERROR(INDEX(★原価率!$A$2:$E$50,MATCH($C66&amp;$H66,★原価率!$A$2:$A$50&amp;★原価率!$B$2:$B$50,0),4),0)</f>
        <v>84</v>
      </c>
      <c r="K66" s="464" cm="1">
        <f t="array" ref="K66">IFERROR(INDEX(★原価率!$A$2:$E$50,MATCH($C66&amp;$H66,★原価率!$A$2:$A$50&amp;★原価率!$B$2:$B$50,0),5),0)</f>
        <v>100</v>
      </c>
      <c r="L66" s="528">
        <f>IFERROR(VLOOKUP(W66,★商品!$A$1:$H$1231,8,FALSE),0)</f>
        <v>2.8</v>
      </c>
      <c r="M66" s="203" t="str">
        <f ca="1">CONCATENATE(VLOOKUP(B66,★営業所!$A$2:$B$5,2,FALSE),TEXT(NOW(),"yyyy"))</f>
        <v>T2023</v>
      </c>
      <c r="N66" s="203">
        <v>1</v>
      </c>
      <c r="O66" s="203">
        <v>0</v>
      </c>
      <c r="P66" s="213">
        <f>申込書!$B$6</f>
        <v>0</v>
      </c>
      <c r="Q66" s="203">
        <f>申込書!$C$34</f>
        <v>1000040</v>
      </c>
      <c r="R66" s="203">
        <v>0</v>
      </c>
      <c r="U66" s="203">
        <f>VLOOKUP(B66,★営業所!$A$2:$C$5,3,FALSE)</f>
        <v>8</v>
      </c>
      <c r="V66" s="203">
        <f>申込書!$B$9</f>
        <v>0</v>
      </c>
      <c r="W66" s="203" t="str">
        <f>CONCATENATE(VLOOKUP(B66,★営業所!$A$2:$B$5,2,FALSE),VLOOKUP(申込書!$C$32,★サイズ表記!$D$4:$E$55,2,FALSE),VLOOKUP(D66,★折込地区!$A$2:$B$11,2,FALSE))</f>
        <v>T1001Tot</v>
      </c>
      <c r="X66" s="203" t="str">
        <f>CONCATENATE(申込書!$B$9," ",VLOOKUP(RIGHT(W66,3),★折込地区!$B$2:$C$10,2,FALSE),"")</f>
        <v xml:space="preserve"> 鳥取</v>
      </c>
      <c r="Z66" s="206">
        <f t="shared" ref="Z66:Z129" ca="1" si="8">SUMIFS($AE$2:$AE$977,$W$2:$W$977,W66,$AG$2:$AG$977,"&lt;&gt;0")</f>
        <v>0</v>
      </c>
      <c r="AB66" s="383">
        <f t="shared" ref="AB66:AB129" si="9">IFERROR(L66*K66/100,0)</f>
        <v>2.8</v>
      </c>
      <c r="AC66" s="203" t="str">
        <f t="shared" ref="AC66:AC129" si="10">CONCATENATE(LEFT(F66),AN66)</f>
        <v>J1001</v>
      </c>
      <c r="AD66" s="203" t="str">
        <f>VLOOKUP(AC66,★原価商品!$E$6:$F$349,2,FALSE)</f>
        <v>読売/B4（折り無し）</v>
      </c>
      <c r="AE66" s="203">
        <f t="shared" ref="AE66:AE129" ca="1" si="11">INDIRECT(C66 &amp; "!" &amp; F66)</f>
        <v>0</v>
      </c>
      <c r="AF66" s="383">
        <f ca="1">IFERROR(IF(VLOOKUP(申込書!$C$32,★サイズ表記!$F$4:$H$55,3,FALSE)="切り捨て",ROUNDDOWN(L66*IF(AK66="◎",I66,J66)/100,2),IF(VLOOKUP(申込書!$C$32,★サイズ表記!$F$4:$H$55,3,FALSE)="切り上げ",ROUNDUP(L66*IF(AK66="◎",I66,J66)/100,2),ROUND(L66*IF(AK66="◎",I66,J66)/100,2))),0)</f>
        <v>2.35</v>
      </c>
      <c r="AG66" s="203">
        <f t="shared" ref="AG66:AG129" ca="1" si="12">IFERROR(INDIRECT(C66 &amp; "!" &amp; G66 &amp; MID(F66,2,1000)),0)</f>
        <v>0</v>
      </c>
      <c r="AJ66" s="460" t="str">
        <f>IFERROR(VLOOKUP(申込書!$C$30,★業種!$D$2:$E$87,2,FALSE),"")</f>
        <v>1003</v>
      </c>
      <c r="AK66" s="460" t="str">
        <f ca="1">IF(申込書!$C$36="◎",IF(OR(D66="浜坂・温泉",D66="美方・村岡",D66="香住",D66="岡山",D66="大阪"),"",IF(LEFT(F66)="D","◎",IF(AG66=0,"",IFERROR(IF(VLOOKUP(AG66,★仕入先!$A$2:$C$211,3,FALSE)=0,"","◎"),"")))),"")</f>
        <v/>
      </c>
      <c r="AL66" s="460">
        <f>申込書!$H$14</f>
        <v>0</v>
      </c>
      <c r="AM66" s="460" t="str">
        <f>申込書!$C$32</f>
        <v>B4（折り無し）</v>
      </c>
      <c r="AN66" s="460" t="str">
        <f>VLOOKUP(AM66,★サイズ表記!$D$4:$E$55,2,FALSE)</f>
        <v>1001</v>
      </c>
      <c r="AO66" s="460">
        <f>IF(C66&lt;&gt;"⑧兵庫",VLOOKUP(LEFT(F66),★新聞!$A$4:$B$12,2,FALSE),IF(LEFT(F66)&lt;&gt;"S",VLOOKUP(LEFT(F66),★新聞!$A$4:$B$12,2,FALSE),VLOOKUP("X",★新聞!$A$4:$B$12,2,FALSE)))</f>
        <v>3</v>
      </c>
      <c r="AP66" s="460" t="str">
        <f t="shared" ref="AP66:AP129" ca="1" si="13">FIXED(SUM($AE$2:$AE$977),0,FALSE)</f>
        <v>0</v>
      </c>
      <c r="AQ66" s="460" t="str">
        <f>IF(申込書!$C$38="","",申込書!$C$38)</f>
        <v/>
      </c>
    </row>
    <row r="67" spans="1:43">
      <c r="A67" s="463">
        <f t="shared" si="6"/>
        <v>66</v>
      </c>
      <c r="B67" s="463" t="str">
        <f t="shared" si="7"/>
        <v>東部</v>
      </c>
      <c r="C67" s="464" t="s">
        <v>1101</v>
      </c>
      <c r="D67" s="464" t="s">
        <v>1022</v>
      </c>
      <c r="E67" s="464">
        <f>VLOOKUP(D67,★折込地区!$A$2:$D$10,4,FALSE)</f>
        <v>1</v>
      </c>
      <c r="F67" s="464" t="s">
        <v>447</v>
      </c>
      <c r="G67" s="464" t="str">
        <f>INDEX(★新聞!$E$4:$I$12, MATCH(LEFT(F67),★新聞!$A$4:$A$12,0), MATCH(LEFT(W67),★新聞!$E$3:$I$3,0))</f>
        <v>AD</v>
      </c>
      <c r="H67" s="475" t="s">
        <v>1104</v>
      </c>
      <c r="I67" s="464" cm="1">
        <f t="array" ref="I67">IFERROR(INDEX(★原価率!$A$2:$E$50,MATCH($C67&amp;$H67,★原価率!$A$2:$A$50&amp;★原価率!$B$2:$B$50,0),3),0)</f>
        <v>84</v>
      </c>
      <c r="J67" s="464" cm="1">
        <f t="array" ref="J67">IFERROR(INDEX(★原価率!$A$2:$E$50,MATCH($C67&amp;$H67,★原価率!$A$2:$A$50&amp;★原価率!$B$2:$B$50,0),4),0)</f>
        <v>84</v>
      </c>
      <c r="K67" s="464" cm="1">
        <f t="array" ref="K67">IFERROR(INDEX(★原価率!$A$2:$E$50,MATCH($C67&amp;$H67,★原価率!$A$2:$A$50&amp;★原価率!$B$2:$B$50,0),5),0)</f>
        <v>100</v>
      </c>
      <c r="L67" s="528">
        <f>IFERROR(VLOOKUP(W67,★商品!$A$1:$H$1231,8,FALSE),0)</f>
        <v>2.8</v>
      </c>
      <c r="M67" s="203" t="str">
        <f ca="1">CONCATENATE(VLOOKUP(B67,★営業所!$A$2:$B$5,2,FALSE),TEXT(NOW(),"yyyy"))</f>
        <v>T2023</v>
      </c>
      <c r="N67" s="203">
        <v>1</v>
      </c>
      <c r="O67" s="203">
        <v>0</v>
      </c>
      <c r="P67" s="213">
        <f>申込書!$B$6</f>
        <v>0</v>
      </c>
      <c r="Q67" s="203">
        <f>申込書!$C$34</f>
        <v>1000040</v>
      </c>
      <c r="R67" s="203">
        <v>0</v>
      </c>
      <c r="U67" s="203">
        <f>VLOOKUP(B67,★営業所!$A$2:$C$5,3,FALSE)</f>
        <v>8</v>
      </c>
      <c r="V67" s="203">
        <f>申込書!$B$9</f>
        <v>0</v>
      </c>
      <c r="W67" s="203" t="str">
        <f>CONCATENATE(VLOOKUP(B67,★営業所!$A$2:$B$5,2,FALSE),VLOOKUP(申込書!$C$32,★サイズ表記!$D$4:$E$55,2,FALSE),VLOOKUP(D67,★折込地区!$A$2:$B$11,2,FALSE))</f>
        <v>T1001Tot</v>
      </c>
      <c r="X67" s="203" t="str">
        <f>CONCATENATE(申込書!$B$9," ",VLOOKUP(RIGHT(W67,3),★折込地区!$B$2:$C$10,2,FALSE),"")</f>
        <v xml:space="preserve"> 鳥取</v>
      </c>
      <c r="Z67" s="206">
        <f t="shared" ca="1" si="8"/>
        <v>0</v>
      </c>
      <c r="AB67" s="383">
        <f t="shared" si="9"/>
        <v>2.8</v>
      </c>
      <c r="AC67" s="203" t="str">
        <f t="shared" si="10"/>
        <v>J1001</v>
      </c>
      <c r="AD67" s="203" t="str">
        <f>VLOOKUP(AC67,★原価商品!$E$6:$F$349,2,FALSE)</f>
        <v>読売/B4（折り無し）</v>
      </c>
      <c r="AE67" s="203">
        <f t="shared" ca="1" si="11"/>
        <v>0</v>
      </c>
      <c r="AF67" s="383">
        <f ca="1">IFERROR(IF(VLOOKUP(申込書!$C$32,★サイズ表記!$F$4:$H$55,3,FALSE)="切り捨て",ROUNDDOWN(L67*IF(AK67="◎",I67,J67)/100,2),IF(VLOOKUP(申込書!$C$32,★サイズ表記!$F$4:$H$55,3,FALSE)="切り上げ",ROUNDUP(L67*IF(AK67="◎",I67,J67)/100,2),ROUND(L67*IF(AK67="◎",I67,J67)/100,2))),0)</f>
        <v>2.35</v>
      </c>
      <c r="AG67" s="203">
        <f t="shared" ca="1" si="12"/>
        <v>0</v>
      </c>
      <c r="AJ67" s="460" t="str">
        <f>IFERROR(VLOOKUP(申込書!$C$30,★業種!$D$2:$E$87,2,FALSE),"")</f>
        <v>1003</v>
      </c>
      <c r="AK67" s="460" t="str">
        <f ca="1">IF(申込書!$C$36="◎",IF(OR(D67="浜坂・温泉",D67="美方・村岡",D67="香住",D67="岡山",D67="大阪"),"",IF(LEFT(F67)="D","◎",IF(AG67=0,"",IFERROR(IF(VLOOKUP(AG67,★仕入先!$A$2:$C$211,3,FALSE)=0,"","◎"),"")))),"")</f>
        <v/>
      </c>
      <c r="AL67" s="460">
        <f>申込書!$H$14</f>
        <v>0</v>
      </c>
      <c r="AM67" s="460" t="str">
        <f>申込書!$C$32</f>
        <v>B4（折り無し）</v>
      </c>
      <c r="AN67" s="460" t="str">
        <f>VLOOKUP(AM67,★サイズ表記!$D$4:$E$55,2,FALSE)</f>
        <v>1001</v>
      </c>
      <c r="AO67" s="460">
        <f>IF(C67&lt;&gt;"⑧兵庫",VLOOKUP(LEFT(F67),★新聞!$A$4:$B$12,2,FALSE),IF(LEFT(F67)&lt;&gt;"S",VLOOKUP(LEFT(F67),★新聞!$A$4:$B$12,2,FALSE),VLOOKUP("X",★新聞!$A$4:$B$12,2,FALSE)))</f>
        <v>3</v>
      </c>
      <c r="AP67" s="460" t="str">
        <f t="shared" ca="1" si="13"/>
        <v>0</v>
      </c>
      <c r="AQ67" s="460" t="str">
        <f>IF(申込書!$C$38="","",申込書!$C$38)</f>
        <v/>
      </c>
    </row>
    <row r="68" spans="1:43">
      <c r="A68" s="463">
        <f t="shared" ref="A68:A131" si="14">A67+1</f>
        <v>67</v>
      </c>
      <c r="B68" s="463" t="str">
        <f t="shared" ref="B68:B131" si="15">$B$2</f>
        <v>東部</v>
      </c>
      <c r="C68" s="464" t="s">
        <v>1101</v>
      </c>
      <c r="D68" s="464" t="s">
        <v>1022</v>
      </c>
      <c r="E68" s="464">
        <f>VLOOKUP(D68,★折込地区!$A$2:$D$10,4,FALSE)</f>
        <v>1</v>
      </c>
      <c r="F68" s="464" t="s">
        <v>383</v>
      </c>
      <c r="G68" s="464" t="str">
        <f>INDEX(★新聞!$E$4:$I$12, MATCH(LEFT(F68),★新聞!$A$4:$A$12,0), MATCH(LEFT(W68),★新聞!$E$3:$I$3,0))</f>
        <v>AG</v>
      </c>
      <c r="H68" s="475" t="s">
        <v>1104</v>
      </c>
      <c r="I68" s="464" cm="1">
        <f t="array" ref="I68">IFERROR(INDEX(★原価率!$A$2:$E$50,MATCH($C68&amp;$H68,★原価率!$A$2:$A$50&amp;★原価率!$B$2:$B$50,0),3),0)</f>
        <v>84</v>
      </c>
      <c r="J68" s="464" cm="1">
        <f t="array" ref="J68">IFERROR(INDEX(★原価率!$A$2:$E$50,MATCH($C68&amp;$H68,★原価率!$A$2:$A$50&amp;★原価率!$B$2:$B$50,0),4),0)</f>
        <v>84</v>
      </c>
      <c r="K68" s="464" cm="1">
        <f t="array" ref="K68">IFERROR(INDEX(★原価率!$A$2:$E$50,MATCH($C68&amp;$H68,★原価率!$A$2:$A$50&amp;★原価率!$B$2:$B$50,0),5),0)</f>
        <v>100</v>
      </c>
      <c r="L68" s="528">
        <f>IFERROR(VLOOKUP(W68,★商品!$A$1:$H$1231,8,FALSE),0)</f>
        <v>2.8</v>
      </c>
      <c r="M68" s="203" t="str">
        <f ca="1">CONCATENATE(VLOOKUP(B68,★営業所!$A$2:$B$5,2,FALSE),TEXT(NOW(),"yyyy"))</f>
        <v>T2023</v>
      </c>
      <c r="N68" s="203">
        <v>1</v>
      </c>
      <c r="O68" s="203">
        <v>0</v>
      </c>
      <c r="P68" s="213">
        <f>申込書!$B$6</f>
        <v>0</v>
      </c>
      <c r="Q68" s="203">
        <f>申込書!$C$34</f>
        <v>1000040</v>
      </c>
      <c r="R68" s="203">
        <v>0</v>
      </c>
      <c r="U68" s="203">
        <f>VLOOKUP(B68,★営業所!$A$2:$C$5,3,FALSE)</f>
        <v>8</v>
      </c>
      <c r="V68" s="203">
        <f>申込書!$B$9</f>
        <v>0</v>
      </c>
      <c r="W68" s="203" t="str">
        <f>CONCATENATE(VLOOKUP(B68,★営業所!$A$2:$B$5,2,FALSE),VLOOKUP(申込書!$C$32,★サイズ表記!$D$4:$E$55,2,FALSE),VLOOKUP(D68,★折込地区!$A$2:$B$11,2,FALSE))</f>
        <v>T1001Tot</v>
      </c>
      <c r="X68" s="203" t="str">
        <f>CONCATENATE(申込書!$B$9," ",VLOOKUP(RIGHT(W68,3),★折込地区!$B$2:$C$10,2,FALSE),"")</f>
        <v xml:space="preserve"> 鳥取</v>
      </c>
      <c r="Z68" s="206">
        <f t="shared" ca="1" si="8"/>
        <v>0</v>
      </c>
      <c r="AB68" s="383">
        <f t="shared" si="9"/>
        <v>2.8</v>
      </c>
      <c r="AC68" s="203" t="str">
        <f t="shared" si="10"/>
        <v>M1001</v>
      </c>
      <c r="AD68" s="203" t="str">
        <f>VLOOKUP(AC68,★原価商品!$E$6:$F$349,2,FALSE)</f>
        <v>毎日/B4（折り無し）</v>
      </c>
      <c r="AE68" s="203">
        <f t="shared" ca="1" si="11"/>
        <v>0</v>
      </c>
      <c r="AF68" s="383">
        <f ca="1">IFERROR(IF(VLOOKUP(申込書!$C$32,★サイズ表記!$F$4:$H$55,3,FALSE)="切り捨て",ROUNDDOWN(L68*IF(AK68="◎",I68,J68)/100,2),IF(VLOOKUP(申込書!$C$32,★サイズ表記!$F$4:$H$55,3,FALSE)="切り上げ",ROUNDUP(L68*IF(AK68="◎",I68,J68)/100,2),ROUND(L68*IF(AK68="◎",I68,J68)/100,2))),0)</f>
        <v>2.35</v>
      </c>
      <c r="AG68" s="203">
        <f t="shared" ca="1" si="12"/>
        <v>10121</v>
      </c>
      <c r="AJ68" s="460" t="str">
        <f>IFERROR(VLOOKUP(申込書!$C$30,★業種!$D$2:$E$87,2,FALSE),"")</f>
        <v>1003</v>
      </c>
      <c r="AK68" s="460" t="str">
        <f ca="1">IF(申込書!$C$36="◎",IF(OR(D68="浜坂・温泉",D68="美方・村岡",D68="香住",D68="岡山",D68="大阪"),"",IF(LEFT(F68)="D","◎",IF(AG68=0,"",IFERROR(IF(VLOOKUP(AG68,★仕入先!$A$2:$C$211,3,FALSE)=0,"","◎"),"")))),"")</f>
        <v/>
      </c>
      <c r="AL68" s="460">
        <f>申込書!$H$14</f>
        <v>0</v>
      </c>
      <c r="AM68" s="460" t="str">
        <f>申込書!$C$32</f>
        <v>B4（折り無し）</v>
      </c>
      <c r="AN68" s="460" t="str">
        <f>VLOOKUP(AM68,★サイズ表記!$D$4:$E$55,2,FALSE)</f>
        <v>1001</v>
      </c>
      <c r="AO68" s="460">
        <f>IF(C68&lt;&gt;"⑧兵庫",VLOOKUP(LEFT(F68),★新聞!$A$4:$B$12,2,FALSE),IF(LEFT(F68)&lt;&gt;"S",VLOOKUP(LEFT(F68),★新聞!$A$4:$B$12,2,FALSE),VLOOKUP("X",★新聞!$A$4:$B$12,2,FALSE)))</f>
        <v>4</v>
      </c>
      <c r="AP68" s="460" t="str">
        <f t="shared" ca="1" si="13"/>
        <v>0</v>
      </c>
      <c r="AQ68" s="460" t="str">
        <f>IF(申込書!$C$38="","",申込書!$C$38)</f>
        <v/>
      </c>
    </row>
    <row r="69" spans="1:43">
      <c r="A69" s="463">
        <f t="shared" si="14"/>
        <v>68</v>
      </c>
      <c r="B69" s="463" t="str">
        <f t="shared" si="15"/>
        <v>東部</v>
      </c>
      <c r="C69" s="464" t="s">
        <v>1101</v>
      </c>
      <c r="D69" s="464" t="s">
        <v>1022</v>
      </c>
      <c r="E69" s="464">
        <f>VLOOKUP(D69,★折込地区!$A$2:$D$10,4,FALSE)</f>
        <v>1</v>
      </c>
      <c r="F69" s="464" t="s">
        <v>448</v>
      </c>
      <c r="G69" s="464" t="str">
        <f>INDEX(★新聞!$E$4:$I$12, MATCH(LEFT(F69),★新聞!$A$4:$A$12,0), MATCH(LEFT(W69),★新聞!$E$3:$I$3,0))</f>
        <v>AG</v>
      </c>
      <c r="H69" s="475" t="s">
        <v>1104</v>
      </c>
      <c r="I69" s="464" cm="1">
        <f t="array" ref="I69">IFERROR(INDEX(★原価率!$A$2:$E$50,MATCH($C69&amp;$H69,★原価率!$A$2:$A$50&amp;★原価率!$B$2:$B$50,0),3),0)</f>
        <v>84</v>
      </c>
      <c r="J69" s="464" cm="1">
        <f t="array" ref="J69">IFERROR(INDEX(★原価率!$A$2:$E$50,MATCH($C69&amp;$H69,★原価率!$A$2:$A$50&amp;★原価率!$B$2:$B$50,0),4),0)</f>
        <v>84</v>
      </c>
      <c r="K69" s="464" cm="1">
        <f t="array" ref="K69">IFERROR(INDEX(★原価率!$A$2:$E$50,MATCH($C69&amp;$H69,★原価率!$A$2:$A$50&amp;★原価率!$B$2:$B$50,0),5),0)</f>
        <v>100</v>
      </c>
      <c r="L69" s="528">
        <f>IFERROR(VLOOKUP(W69,★商品!$A$1:$H$1231,8,FALSE),0)</f>
        <v>2.8</v>
      </c>
      <c r="M69" s="203" t="str">
        <f ca="1">CONCATENATE(VLOOKUP(B69,★営業所!$A$2:$B$5,2,FALSE),TEXT(NOW(),"yyyy"))</f>
        <v>T2023</v>
      </c>
      <c r="N69" s="203">
        <v>1</v>
      </c>
      <c r="O69" s="203">
        <v>0</v>
      </c>
      <c r="P69" s="213">
        <f>申込書!$B$6</f>
        <v>0</v>
      </c>
      <c r="Q69" s="203">
        <f>申込書!$C$34</f>
        <v>1000040</v>
      </c>
      <c r="R69" s="203">
        <v>0</v>
      </c>
      <c r="U69" s="203">
        <f>VLOOKUP(B69,★営業所!$A$2:$C$5,3,FALSE)</f>
        <v>8</v>
      </c>
      <c r="V69" s="203">
        <f>申込書!$B$9</f>
        <v>0</v>
      </c>
      <c r="W69" s="203" t="str">
        <f>CONCATENATE(VLOOKUP(B69,★営業所!$A$2:$B$5,2,FALSE),VLOOKUP(申込書!$C$32,★サイズ表記!$D$4:$E$55,2,FALSE),VLOOKUP(D69,★折込地区!$A$2:$B$11,2,FALSE))</f>
        <v>T1001Tot</v>
      </c>
      <c r="X69" s="203" t="str">
        <f>CONCATENATE(申込書!$B$9," ",VLOOKUP(RIGHT(W69,3),★折込地区!$B$2:$C$10,2,FALSE),"")</f>
        <v xml:space="preserve"> 鳥取</v>
      </c>
      <c r="Z69" s="206">
        <f t="shared" ca="1" si="8"/>
        <v>0</v>
      </c>
      <c r="AB69" s="383">
        <f t="shared" si="9"/>
        <v>2.8</v>
      </c>
      <c r="AC69" s="203" t="str">
        <f t="shared" si="10"/>
        <v>M1001</v>
      </c>
      <c r="AD69" s="203" t="str">
        <f>VLOOKUP(AC69,★原価商品!$E$6:$F$349,2,FALSE)</f>
        <v>毎日/B4（折り無し）</v>
      </c>
      <c r="AE69" s="203">
        <f t="shared" ca="1" si="11"/>
        <v>0</v>
      </c>
      <c r="AF69" s="383">
        <f ca="1">IFERROR(IF(VLOOKUP(申込書!$C$32,★サイズ表記!$F$4:$H$55,3,FALSE)="切り捨て",ROUNDDOWN(L69*IF(AK69="◎",I69,J69)/100,2),IF(VLOOKUP(申込書!$C$32,★サイズ表記!$F$4:$H$55,3,FALSE)="切り上げ",ROUNDUP(L69*IF(AK69="◎",I69,J69)/100,2),ROUND(L69*IF(AK69="◎",I69,J69)/100,2))),0)</f>
        <v>2.35</v>
      </c>
      <c r="AG69" s="203">
        <f t="shared" ca="1" si="12"/>
        <v>0</v>
      </c>
      <c r="AJ69" s="460" t="str">
        <f>IFERROR(VLOOKUP(申込書!$C$30,★業種!$D$2:$E$87,2,FALSE),"")</f>
        <v>1003</v>
      </c>
      <c r="AK69" s="460" t="str">
        <f ca="1">IF(申込書!$C$36="◎",IF(OR(D69="浜坂・温泉",D69="美方・村岡",D69="香住",D69="岡山",D69="大阪"),"",IF(LEFT(F69)="D","◎",IF(AG69=0,"",IFERROR(IF(VLOOKUP(AG69,★仕入先!$A$2:$C$211,3,FALSE)=0,"","◎"),"")))),"")</f>
        <v/>
      </c>
      <c r="AL69" s="460">
        <f>申込書!$H$14</f>
        <v>0</v>
      </c>
      <c r="AM69" s="460" t="str">
        <f>申込書!$C$32</f>
        <v>B4（折り無し）</v>
      </c>
      <c r="AN69" s="460" t="str">
        <f>VLOOKUP(AM69,★サイズ表記!$D$4:$E$55,2,FALSE)</f>
        <v>1001</v>
      </c>
      <c r="AO69" s="460">
        <f>IF(C69&lt;&gt;"⑧兵庫",VLOOKUP(LEFT(F69),★新聞!$A$4:$B$12,2,FALSE),IF(LEFT(F69)&lt;&gt;"S",VLOOKUP(LEFT(F69),★新聞!$A$4:$B$12,2,FALSE),VLOOKUP("X",★新聞!$A$4:$B$12,2,FALSE)))</f>
        <v>4</v>
      </c>
      <c r="AP69" s="460" t="str">
        <f t="shared" ca="1" si="13"/>
        <v>0</v>
      </c>
      <c r="AQ69" s="460" t="str">
        <f>IF(申込書!$C$38="","",申込書!$C$38)</f>
        <v/>
      </c>
    </row>
    <row r="70" spans="1:43">
      <c r="A70" s="463">
        <f t="shared" si="14"/>
        <v>69</v>
      </c>
      <c r="B70" s="463" t="str">
        <f t="shared" si="15"/>
        <v>東部</v>
      </c>
      <c r="C70" s="464" t="s">
        <v>1101</v>
      </c>
      <c r="D70" s="464" t="s">
        <v>1022</v>
      </c>
      <c r="E70" s="464">
        <f>VLOOKUP(D70,★折込地区!$A$2:$D$10,4,FALSE)</f>
        <v>1</v>
      </c>
      <c r="F70" s="464" t="s">
        <v>449</v>
      </c>
      <c r="G70" s="464" t="str">
        <f>INDEX(★新聞!$E$4:$I$12, MATCH(LEFT(F70),★新聞!$A$4:$A$12,0), MATCH(LEFT(W70),★新聞!$E$3:$I$3,0))</f>
        <v>AG</v>
      </c>
      <c r="H70" s="475" t="s">
        <v>1104</v>
      </c>
      <c r="I70" s="464" cm="1">
        <f t="array" ref="I70">IFERROR(INDEX(★原価率!$A$2:$E$50,MATCH($C70&amp;$H70,★原価率!$A$2:$A$50&amp;★原価率!$B$2:$B$50,0),3),0)</f>
        <v>84</v>
      </c>
      <c r="J70" s="464" cm="1">
        <f t="array" ref="J70">IFERROR(INDEX(★原価率!$A$2:$E$50,MATCH($C70&amp;$H70,★原価率!$A$2:$A$50&amp;★原価率!$B$2:$B$50,0),4),0)</f>
        <v>84</v>
      </c>
      <c r="K70" s="464" cm="1">
        <f t="array" ref="K70">IFERROR(INDEX(★原価率!$A$2:$E$50,MATCH($C70&amp;$H70,★原価率!$A$2:$A$50&amp;★原価率!$B$2:$B$50,0),5),0)</f>
        <v>100</v>
      </c>
      <c r="L70" s="528">
        <f>IFERROR(VLOOKUP(W70,★商品!$A$1:$H$1231,8,FALSE),0)</f>
        <v>2.8</v>
      </c>
      <c r="M70" s="203" t="str">
        <f ca="1">CONCATENATE(VLOOKUP(B70,★営業所!$A$2:$B$5,2,FALSE),TEXT(NOW(),"yyyy"))</f>
        <v>T2023</v>
      </c>
      <c r="N70" s="203">
        <v>1</v>
      </c>
      <c r="O70" s="203">
        <v>0</v>
      </c>
      <c r="P70" s="213">
        <f>申込書!$B$6</f>
        <v>0</v>
      </c>
      <c r="Q70" s="203">
        <f>申込書!$C$34</f>
        <v>1000040</v>
      </c>
      <c r="R70" s="203">
        <v>0</v>
      </c>
      <c r="U70" s="203">
        <f>VLOOKUP(B70,★営業所!$A$2:$C$5,3,FALSE)</f>
        <v>8</v>
      </c>
      <c r="V70" s="203">
        <f>申込書!$B$9</f>
        <v>0</v>
      </c>
      <c r="W70" s="203" t="str">
        <f>CONCATENATE(VLOOKUP(B70,★営業所!$A$2:$B$5,2,FALSE),VLOOKUP(申込書!$C$32,★サイズ表記!$D$4:$E$55,2,FALSE),VLOOKUP(D70,★折込地区!$A$2:$B$11,2,FALSE))</f>
        <v>T1001Tot</v>
      </c>
      <c r="X70" s="203" t="str">
        <f>CONCATENATE(申込書!$B$9," ",VLOOKUP(RIGHT(W70,3),★折込地区!$B$2:$C$10,2,FALSE),"")</f>
        <v xml:space="preserve"> 鳥取</v>
      </c>
      <c r="Z70" s="206">
        <f t="shared" ca="1" si="8"/>
        <v>0</v>
      </c>
      <c r="AB70" s="383">
        <f t="shared" si="9"/>
        <v>2.8</v>
      </c>
      <c r="AC70" s="203" t="str">
        <f t="shared" si="10"/>
        <v>M1001</v>
      </c>
      <c r="AD70" s="203" t="str">
        <f>VLOOKUP(AC70,★原価商品!$E$6:$F$349,2,FALSE)</f>
        <v>毎日/B4（折り無し）</v>
      </c>
      <c r="AE70" s="203">
        <f t="shared" ca="1" si="11"/>
        <v>0</v>
      </c>
      <c r="AF70" s="383">
        <f ca="1">IFERROR(IF(VLOOKUP(申込書!$C$32,★サイズ表記!$F$4:$H$55,3,FALSE)="切り捨て",ROUNDDOWN(L70*IF(AK70="◎",I70,J70)/100,2),IF(VLOOKUP(申込書!$C$32,★サイズ表記!$F$4:$H$55,3,FALSE)="切り上げ",ROUNDUP(L70*IF(AK70="◎",I70,J70)/100,2),ROUND(L70*IF(AK70="◎",I70,J70)/100,2))),0)</f>
        <v>2.35</v>
      </c>
      <c r="AG70" s="203">
        <f t="shared" ca="1" si="12"/>
        <v>0</v>
      </c>
      <c r="AJ70" s="460" t="str">
        <f>IFERROR(VLOOKUP(申込書!$C$30,★業種!$D$2:$E$87,2,FALSE),"")</f>
        <v>1003</v>
      </c>
      <c r="AK70" s="460" t="str">
        <f ca="1">IF(申込書!$C$36="◎",IF(OR(D70="浜坂・温泉",D70="美方・村岡",D70="香住",D70="岡山",D70="大阪"),"",IF(LEFT(F70)="D","◎",IF(AG70=0,"",IFERROR(IF(VLOOKUP(AG70,★仕入先!$A$2:$C$211,3,FALSE)=0,"","◎"),"")))),"")</f>
        <v/>
      </c>
      <c r="AL70" s="460">
        <f>申込書!$H$14</f>
        <v>0</v>
      </c>
      <c r="AM70" s="460" t="str">
        <f>申込書!$C$32</f>
        <v>B4（折り無し）</v>
      </c>
      <c r="AN70" s="460" t="str">
        <f>VLOOKUP(AM70,★サイズ表記!$D$4:$E$55,2,FALSE)</f>
        <v>1001</v>
      </c>
      <c r="AO70" s="460">
        <f>IF(C70&lt;&gt;"⑧兵庫",VLOOKUP(LEFT(F70),★新聞!$A$4:$B$12,2,FALSE),IF(LEFT(F70)&lt;&gt;"S",VLOOKUP(LEFT(F70),★新聞!$A$4:$B$12,2,FALSE),VLOOKUP("X",★新聞!$A$4:$B$12,2,FALSE)))</f>
        <v>4</v>
      </c>
      <c r="AP70" s="460" t="str">
        <f t="shared" ca="1" si="13"/>
        <v>0</v>
      </c>
      <c r="AQ70" s="460" t="str">
        <f>IF(申込書!$C$38="","",申込書!$C$38)</f>
        <v/>
      </c>
    </row>
    <row r="71" spans="1:43">
      <c r="A71" s="463">
        <f t="shared" si="14"/>
        <v>70</v>
      </c>
      <c r="B71" s="463" t="str">
        <f t="shared" si="15"/>
        <v>東部</v>
      </c>
      <c r="C71" s="464" t="s">
        <v>1101</v>
      </c>
      <c r="D71" s="464" t="s">
        <v>1022</v>
      </c>
      <c r="E71" s="464">
        <f>VLOOKUP(D71,★折込地区!$A$2:$D$10,4,FALSE)</f>
        <v>1</v>
      </c>
      <c r="F71" s="464" t="s">
        <v>450</v>
      </c>
      <c r="G71" s="464" t="str">
        <f>INDEX(★新聞!$E$4:$I$12, MATCH(LEFT(F71),★新聞!$A$4:$A$12,0), MATCH(LEFT(W71),★新聞!$E$3:$I$3,0))</f>
        <v>AG</v>
      </c>
      <c r="H71" s="475" t="s">
        <v>1104</v>
      </c>
      <c r="I71" s="464" cm="1">
        <f t="array" ref="I71">IFERROR(INDEX(★原価率!$A$2:$E$50,MATCH($C71&amp;$H71,★原価率!$A$2:$A$50&amp;★原価率!$B$2:$B$50,0),3),0)</f>
        <v>84</v>
      </c>
      <c r="J71" s="464" cm="1">
        <f t="array" ref="J71">IFERROR(INDEX(★原価率!$A$2:$E$50,MATCH($C71&amp;$H71,★原価率!$A$2:$A$50&amp;★原価率!$B$2:$B$50,0),4),0)</f>
        <v>84</v>
      </c>
      <c r="K71" s="464" cm="1">
        <f t="array" ref="K71">IFERROR(INDEX(★原価率!$A$2:$E$50,MATCH($C71&amp;$H71,★原価率!$A$2:$A$50&amp;★原価率!$B$2:$B$50,0),5),0)</f>
        <v>100</v>
      </c>
      <c r="L71" s="528">
        <f>IFERROR(VLOOKUP(W71,★商品!$A$1:$H$1231,8,FALSE),0)</f>
        <v>2.8</v>
      </c>
      <c r="M71" s="203" t="str">
        <f ca="1">CONCATENATE(VLOOKUP(B71,★営業所!$A$2:$B$5,2,FALSE),TEXT(NOW(),"yyyy"))</f>
        <v>T2023</v>
      </c>
      <c r="N71" s="203">
        <v>1</v>
      </c>
      <c r="O71" s="203">
        <v>0</v>
      </c>
      <c r="P71" s="213">
        <f>申込書!$B$6</f>
        <v>0</v>
      </c>
      <c r="Q71" s="203">
        <f>申込書!$C$34</f>
        <v>1000040</v>
      </c>
      <c r="R71" s="203">
        <v>0</v>
      </c>
      <c r="U71" s="203">
        <f>VLOOKUP(B71,★営業所!$A$2:$C$5,3,FALSE)</f>
        <v>8</v>
      </c>
      <c r="V71" s="203">
        <f>申込書!$B$9</f>
        <v>0</v>
      </c>
      <c r="W71" s="203" t="str">
        <f>CONCATENATE(VLOOKUP(B71,★営業所!$A$2:$B$5,2,FALSE),VLOOKUP(申込書!$C$32,★サイズ表記!$D$4:$E$55,2,FALSE),VLOOKUP(D71,★折込地区!$A$2:$B$11,2,FALSE))</f>
        <v>T1001Tot</v>
      </c>
      <c r="X71" s="203" t="str">
        <f>CONCATENATE(申込書!$B$9," ",VLOOKUP(RIGHT(W71,3),★折込地区!$B$2:$C$10,2,FALSE),"")</f>
        <v xml:space="preserve"> 鳥取</v>
      </c>
      <c r="Z71" s="206">
        <f t="shared" ca="1" si="8"/>
        <v>0</v>
      </c>
      <c r="AB71" s="383">
        <f t="shared" si="9"/>
        <v>2.8</v>
      </c>
      <c r="AC71" s="203" t="str">
        <f t="shared" si="10"/>
        <v>M1001</v>
      </c>
      <c r="AD71" s="203" t="str">
        <f>VLOOKUP(AC71,★原価商品!$E$6:$F$349,2,FALSE)</f>
        <v>毎日/B4（折り無し）</v>
      </c>
      <c r="AE71" s="203">
        <f t="shared" ca="1" si="11"/>
        <v>0</v>
      </c>
      <c r="AF71" s="383">
        <f ca="1">IFERROR(IF(VLOOKUP(申込書!$C$32,★サイズ表記!$F$4:$H$55,3,FALSE)="切り捨て",ROUNDDOWN(L71*IF(AK71="◎",I71,J71)/100,2),IF(VLOOKUP(申込書!$C$32,★サイズ表記!$F$4:$H$55,3,FALSE)="切り上げ",ROUNDUP(L71*IF(AK71="◎",I71,J71)/100,2),ROUND(L71*IF(AK71="◎",I71,J71)/100,2))),0)</f>
        <v>2.35</v>
      </c>
      <c r="AG71" s="203">
        <f t="shared" ca="1" si="12"/>
        <v>0</v>
      </c>
      <c r="AJ71" s="460" t="str">
        <f>IFERROR(VLOOKUP(申込書!$C$30,★業種!$D$2:$E$87,2,FALSE),"")</f>
        <v>1003</v>
      </c>
      <c r="AK71" s="460" t="str">
        <f ca="1">IF(申込書!$C$36="◎",IF(OR(D71="浜坂・温泉",D71="美方・村岡",D71="香住",D71="岡山",D71="大阪"),"",IF(LEFT(F71)="D","◎",IF(AG71=0,"",IFERROR(IF(VLOOKUP(AG71,★仕入先!$A$2:$C$211,3,FALSE)=0,"","◎"),"")))),"")</f>
        <v/>
      </c>
      <c r="AL71" s="460">
        <f>申込書!$H$14</f>
        <v>0</v>
      </c>
      <c r="AM71" s="460" t="str">
        <f>申込書!$C$32</f>
        <v>B4（折り無し）</v>
      </c>
      <c r="AN71" s="460" t="str">
        <f>VLOOKUP(AM71,★サイズ表記!$D$4:$E$55,2,FALSE)</f>
        <v>1001</v>
      </c>
      <c r="AO71" s="460">
        <f>IF(C71&lt;&gt;"⑧兵庫",VLOOKUP(LEFT(F71),★新聞!$A$4:$B$12,2,FALSE),IF(LEFT(F71)&lt;&gt;"S",VLOOKUP(LEFT(F71),★新聞!$A$4:$B$12,2,FALSE),VLOOKUP("X",★新聞!$A$4:$B$12,2,FALSE)))</f>
        <v>4</v>
      </c>
      <c r="AP71" s="460" t="str">
        <f t="shared" ca="1" si="13"/>
        <v>0</v>
      </c>
      <c r="AQ71" s="460" t="str">
        <f>IF(申込書!$C$38="","",申込書!$C$38)</f>
        <v/>
      </c>
    </row>
    <row r="72" spans="1:43">
      <c r="A72" s="463">
        <f t="shared" si="14"/>
        <v>71</v>
      </c>
      <c r="B72" s="463" t="str">
        <f t="shared" si="15"/>
        <v>東部</v>
      </c>
      <c r="C72" s="464" t="s">
        <v>1101</v>
      </c>
      <c r="D72" s="464" t="s">
        <v>1022</v>
      </c>
      <c r="E72" s="464">
        <f>VLOOKUP(D72,★折込地区!$A$2:$D$10,4,FALSE)</f>
        <v>1</v>
      </c>
      <c r="F72" s="464" t="s">
        <v>451</v>
      </c>
      <c r="G72" s="464" t="str">
        <f>INDEX(★新聞!$E$4:$I$12, MATCH(LEFT(F72),★新聞!$A$4:$A$12,0), MATCH(LEFT(W72),★新聞!$E$3:$I$3,0))</f>
        <v>AG</v>
      </c>
      <c r="H72" s="475" t="s">
        <v>1104</v>
      </c>
      <c r="I72" s="464" cm="1">
        <f t="array" ref="I72">IFERROR(INDEX(★原価率!$A$2:$E$50,MATCH($C72&amp;$H72,★原価率!$A$2:$A$50&amp;★原価率!$B$2:$B$50,0),3),0)</f>
        <v>84</v>
      </c>
      <c r="J72" s="464" cm="1">
        <f t="array" ref="J72">IFERROR(INDEX(★原価率!$A$2:$E$50,MATCH($C72&amp;$H72,★原価率!$A$2:$A$50&amp;★原価率!$B$2:$B$50,0),4),0)</f>
        <v>84</v>
      </c>
      <c r="K72" s="464" cm="1">
        <f t="array" ref="K72">IFERROR(INDEX(★原価率!$A$2:$E$50,MATCH($C72&amp;$H72,★原価率!$A$2:$A$50&amp;★原価率!$B$2:$B$50,0),5),0)</f>
        <v>100</v>
      </c>
      <c r="L72" s="528">
        <f>IFERROR(VLOOKUP(W72,★商品!$A$1:$H$1231,8,FALSE),0)</f>
        <v>2.8</v>
      </c>
      <c r="M72" s="203" t="str">
        <f ca="1">CONCATENATE(VLOOKUP(B72,★営業所!$A$2:$B$5,2,FALSE),TEXT(NOW(),"yyyy"))</f>
        <v>T2023</v>
      </c>
      <c r="N72" s="203">
        <v>1</v>
      </c>
      <c r="O72" s="203">
        <v>0</v>
      </c>
      <c r="P72" s="213">
        <f>申込書!$B$6</f>
        <v>0</v>
      </c>
      <c r="Q72" s="203">
        <f>申込書!$C$34</f>
        <v>1000040</v>
      </c>
      <c r="R72" s="203">
        <v>0</v>
      </c>
      <c r="U72" s="203">
        <f>VLOOKUP(B72,★営業所!$A$2:$C$5,3,FALSE)</f>
        <v>8</v>
      </c>
      <c r="V72" s="203">
        <f>申込書!$B$9</f>
        <v>0</v>
      </c>
      <c r="W72" s="203" t="str">
        <f>CONCATENATE(VLOOKUP(B72,★営業所!$A$2:$B$5,2,FALSE),VLOOKUP(申込書!$C$32,★サイズ表記!$D$4:$E$55,2,FALSE),VLOOKUP(D72,★折込地区!$A$2:$B$11,2,FALSE))</f>
        <v>T1001Tot</v>
      </c>
      <c r="X72" s="203" t="str">
        <f>CONCATENATE(申込書!$B$9," ",VLOOKUP(RIGHT(W72,3),★折込地区!$B$2:$C$10,2,FALSE),"")</f>
        <v xml:space="preserve"> 鳥取</v>
      </c>
      <c r="Z72" s="206">
        <f t="shared" ca="1" si="8"/>
        <v>0</v>
      </c>
      <c r="AB72" s="383">
        <f t="shared" si="9"/>
        <v>2.8</v>
      </c>
      <c r="AC72" s="203" t="str">
        <f t="shared" si="10"/>
        <v>M1001</v>
      </c>
      <c r="AD72" s="203" t="str">
        <f>VLOOKUP(AC72,★原価商品!$E$6:$F$349,2,FALSE)</f>
        <v>毎日/B4（折り無し）</v>
      </c>
      <c r="AE72" s="203">
        <f t="shared" ca="1" si="11"/>
        <v>0</v>
      </c>
      <c r="AF72" s="383">
        <f ca="1">IFERROR(IF(VLOOKUP(申込書!$C$32,★サイズ表記!$F$4:$H$55,3,FALSE)="切り捨て",ROUNDDOWN(L72*IF(AK72="◎",I72,J72)/100,2),IF(VLOOKUP(申込書!$C$32,★サイズ表記!$F$4:$H$55,3,FALSE)="切り上げ",ROUNDUP(L72*IF(AK72="◎",I72,J72)/100,2),ROUND(L72*IF(AK72="◎",I72,J72)/100,2))),0)</f>
        <v>2.35</v>
      </c>
      <c r="AG72" s="203">
        <f t="shared" ca="1" si="12"/>
        <v>0</v>
      </c>
      <c r="AJ72" s="460" t="str">
        <f>IFERROR(VLOOKUP(申込書!$C$30,★業種!$D$2:$E$87,2,FALSE),"")</f>
        <v>1003</v>
      </c>
      <c r="AK72" s="460" t="str">
        <f ca="1">IF(申込書!$C$36="◎",IF(OR(D72="浜坂・温泉",D72="美方・村岡",D72="香住",D72="岡山",D72="大阪"),"",IF(LEFT(F72)="D","◎",IF(AG72=0,"",IFERROR(IF(VLOOKUP(AG72,★仕入先!$A$2:$C$211,3,FALSE)=0,"","◎"),"")))),"")</f>
        <v/>
      </c>
      <c r="AL72" s="460">
        <f>申込書!$H$14</f>
        <v>0</v>
      </c>
      <c r="AM72" s="460" t="str">
        <f>申込書!$C$32</f>
        <v>B4（折り無し）</v>
      </c>
      <c r="AN72" s="460" t="str">
        <f>VLOOKUP(AM72,★サイズ表記!$D$4:$E$55,2,FALSE)</f>
        <v>1001</v>
      </c>
      <c r="AO72" s="460">
        <f>IF(C72&lt;&gt;"⑧兵庫",VLOOKUP(LEFT(F72),★新聞!$A$4:$B$12,2,FALSE),IF(LEFT(F72)&lt;&gt;"S",VLOOKUP(LEFT(F72),★新聞!$A$4:$B$12,2,FALSE),VLOOKUP("X",★新聞!$A$4:$B$12,2,FALSE)))</f>
        <v>4</v>
      </c>
      <c r="AP72" s="460" t="str">
        <f t="shared" ca="1" si="13"/>
        <v>0</v>
      </c>
      <c r="AQ72" s="460" t="str">
        <f>IF(申込書!$C$38="","",申込書!$C$38)</f>
        <v/>
      </c>
    </row>
    <row r="73" spans="1:43">
      <c r="A73" s="463">
        <f t="shared" si="14"/>
        <v>72</v>
      </c>
      <c r="B73" s="463" t="str">
        <f t="shared" si="15"/>
        <v>東部</v>
      </c>
      <c r="C73" s="464" t="s">
        <v>1101</v>
      </c>
      <c r="D73" s="464" t="s">
        <v>1022</v>
      </c>
      <c r="E73" s="464">
        <f>VLOOKUP(D73,★折込地区!$A$2:$D$10,4,FALSE)</f>
        <v>1</v>
      </c>
      <c r="F73" s="464" t="s">
        <v>452</v>
      </c>
      <c r="G73" s="464" t="str">
        <f>INDEX(★新聞!$E$4:$I$12, MATCH(LEFT(F73),★新聞!$A$4:$A$12,0), MATCH(LEFT(W73),★新聞!$E$3:$I$3,0))</f>
        <v>AG</v>
      </c>
      <c r="H73" s="475" t="s">
        <v>1104</v>
      </c>
      <c r="I73" s="464" cm="1">
        <f t="array" ref="I73">IFERROR(INDEX(★原価率!$A$2:$E$50,MATCH($C73&amp;$H73,★原価率!$A$2:$A$50&amp;★原価率!$B$2:$B$50,0),3),0)</f>
        <v>84</v>
      </c>
      <c r="J73" s="464" cm="1">
        <f t="array" ref="J73">IFERROR(INDEX(★原価率!$A$2:$E$50,MATCH($C73&amp;$H73,★原価率!$A$2:$A$50&amp;★原価率!$B$2:$B$50,0),4),0)</f>
        <v>84</v>
      </c>
      <c r="K73" s="464" cm="1">
        <f t="array" ref="K73">IFERROR(INDEX(★原価率!$A$2:$E$50,MATCH($C73&amp;$H73,★原価率!$A$2:$A$50&amp;★原価率!$B$2:$B$50,0),5),0)</f>
        <v>100</v>
      </c>
      <c r="L73" s="528">
        <f>IFERROR(VLOOKUP(W73,★商品!$A$1:$H$1231,8,FALSE),0)</f>
        <v>2.8</v>
      </c>
      <c r="M73" s="203" t="str">
        <f ca="1">CONCATENATE(VLOOKUP(B73,★営業所!$A$2:$B$5,2,FALSE),TEXT(NOW(),"yyyy"))</f>
        <v>T2023</v>
      </c>
      <c r="N73" s="203">
        <v>1</v>
      </c>
      <c r="O73" s="203">
        <v>0</v>
      </c>
      <c r="P73" s="213">
        <f>申込書!$B$6</f>
        <v>0</v>
      </c>
      <c r="Q73" s="203">
        <f>申込書!$C$34</f>
        <v>1000040</v>
      </c>
      <c r="R73" s="203">
        <v>0</v>
      </c>
      <c r="U73" s="203">
        <f>VLOOKUP(B73,★営業所!$A$2:$C$5,3,FALSE)</f>
        <v>8</v>
      </c>
      <c r="V73" s="203">
        <f>申込書!$B$9</f>
        <v>0</v>
      </c>
      <c r="W73" s="203" t="str">
        <f>CONCATENATE(VLOOKUP(B73,★営業所!$A$2:$B$5,2,FALSE),VLOOKUP(申込書!$C$32,★サイズ表記!$D$4:$E$55,2,FALSE),VLOOKUP(D73,★折込地区!$A$2:$B$11,2,FALSE))</f>
        <v>T1001Tot</v>
      </c>
      <c r="X73" s="203" t="str">
        <f>CONCATENATE(申込書!$B$9," ",VLOOKUP(RIGHT(W73,3),★折込地区!$B$2:$C$10,2,FALSE),"")</f>
        <v xml:space="preserve"> 鳥取</v>
      </c>
      <c r="Z73" s="206">
        <f t="shared" ca="1" si="8"/>
        <v>0</v>
      </c>
      <c r="AB73" s="383">
        <f t="shared" si="9"/>
        <v>2.8</v>
      </c>
      <c r="AC73" s="203" t="str">
        <f t="shared" si="10"/>
        <v>M1001</v>
      </c>
      <c r="AD73" s="203" t="str">
        <f>VLOOKUP(AC73,★原価商品!$E$6:$F$349,2,FALSE)</f>
        <v>毎日/B4（折り無し）</v>
      </c>
      <c r="AE73" s="203">
        <f t="shared" ca="1" si="11"/>
        <v>0</v>
      </c>
      <c r="AF73" s="383">
        <f ca="1">IFERROR(IF(VLOOKUP(申込書!$C$32,★サイズ表記!$F$4:$H$55,3,FALSE)="切り捨て",ROUNDDOWN(L73*IF(AK73="◎",I73,J73)/100,2),IF(VLOOKUP(申込書!$C$32,★サイズ表記!$F$4:$H$55,3,FALSE)="切り上げ",ROUNDUP(L73*IF(AK73="◎",I73,J73)/100,2),ROUND(L73*IF(AK73="◎",I73,J73)/100,2))),0)</f>
        <v>2.35</v>
      </c>
      <c r="AG73" s="203">
        <f t="shared" ca="1" si="12"/>
        <v>0</v>
      </c>
      <c r="AJ73" s="460" t="str">
        <f>IFERROR(VLOOKUP(申込書!$C$30,★業種!$D$2:$E$87,2,FALSE),"")</f>
        <v>1003</v>
      </c>
      <c r="AK73" s="460" t="str">
        <f ca="1">IF(申込書!$C$36="◎",IF(OR(D73="浜坂・温泉",D73="美方・村岡",D73="香住",D73="岡山",D73="大阪"),"",IF(LEFT(F73)="D","◎",IF(AG73=0,"",IFERROR(IF(VLOOKUP(AG73,★仕入先!$A$2:$C$211,3,FALSE)=0,"","◎"),"")))),"")</f>
        <v/>
      </c>
      <c r="AL73" s="460">
        <f>申込書!$H$14</f>
        <v>0</v>
      </c>
      <c r="AM73" s="460" t="str">
        <f>申込書!$C$32</f>
        <v>B4（折り無し）</v>
      </c>
      <c r="AN73" s="460" t="str">
        <f>VLOOKUP(AM73,★サイズ表記!$D$4:$E$55,2,FALSE)</f>
        <v>1001</v>
      </c>
      <c r="AO73" s="460">
        <f>IF(C73&lt;&gt;"⑧兵庫",VLOOKUP(LEFT(F73),★新聞!$A$4:$B$12,2,FALSE),IF(LEFT(F73)&lt;&gt;"S",VLOOKUP(LEFT(F73),★新聞!$A$4:$B$12,2,FALSE),VLOOKUP("X",★新聞!$A$4:$B$12,2,FALSE)))</f>
        <v>4</v>
      </c>
      <c r="AP73" s="460" t="str">
        <f t="shared" ca="1" si="13"/>
        <v>0</v>
      </c>
      <c r="AQ73" s="460" t="str">
        <f>IF(申込書!$C$38="","",申込書!$C$38)</f>
        <v/>
      </c>
    </row>
    <row r="74" spans="1:43">
      <c r="A74" s="463">
        <f t="shared" si="14"/>
        <v>73</v>
      </c>
      <c r="B74" s="463" t="str">
        <f t="shared" si="15"/>
        <v>東部</v>
      </c>
      <c r="C74" s="464" t="s">
        <v>1101</v>
      </c>
      <c r="D74" s="464" t="s">
        <v>1022</v>
      </c>
      <c r="E74" s="464">
        <f>VLOOKUP(D74,★折込地区!$A$2:$D$10,4,FALSE)</f>
        <v>1</v>
      </c>
      <c r="F74" s="464" t="s">
        <v>453</v>
      </c>
      <c r="G74" s="464" t="str">
        <f>INDEX(★新聞!$E$4:$I$12, MATCH(LEFT(F74),★新聞!$A$4:$A$12,0), MATCH(LEFT(W74),★新聞!$E$3:$I$3,0))</f>
        <v>AG</v>
      </c>
      <c r="H74" s="475" t="s">
        <v>1104</v>
      </c>
      <c r="I74" s="464" cm="1">
        <f t="array" ref="I74">IFERROR(INDEX(★原価率!$A$2:$E$50,MATCH($C74&amp;$H74,★原価率!$A$2:$A$50&amp;★原価率!$B$2:$B$50,0),3),0)</f>
        <v>84</v>
      </c>
      <c r="J74" s="464" cm="1">
        <f t="array" ref="J74">IFERROR(INDEX(★原価率!$A$2:$E$50,MATCH($C74&amp;$H74,★原価率!$A$2:$A$50&amp;★原価率!$B$2:$B$50,0),4),0)</f>
        <v>84</v>
      </c>
      <c r="K74" s="464" cm="1">
        <f t="array" ref="K74">IFERROR(INDEX(★原価率!$A$2:$E$50,MATCH($C74&amp;$H74,★原価率!$A$2:$A$50&amp;★原価率!$B$2:$B$50,0),5),0)</f>
        <v>100</v>
      </c>
      <c r="L74" s="528">
        <f>IFERROR(VLOOKUP(W74,★商品!$A$1:$H$1231,8,FALSE),0)</f>
        <v>2.8</v>
      </c>
      <c r="M74" s="203" t="str">
        <f ca="1">CONCATENATE(VLOOKUP(B74,★営業所!$A$2:$B$5,2,FALSE),TEXT(NOW(),"yyyy"))</f>
        <v>T2023</v>
      </c>
      <c r="N74" s="203">
        <v>1</v>
      </c>
      <c r="O74" s="203">
        <v>0</v>
      </c>
      <c r="P74" s="213">
        <f>申込書!$B$6</f>
        <v>0</v>
      </c>
      <c r="Q74" s="203">
        <f>申込書!$C$34</f>
        <v>1000040</v>
      </c>
      <c r="R74" s="203">
        <v>0</v>
      </c>
      <c r="U74" s="203">
        <f>VLOOKUP(B74,★営業所!$A$2:$C$5,3,FALSE)</f>
        <v>8</v>
      </c>
      <c r="V74" s="203">
        <f>申込書!$B$9</f>
        <v>0</v>
      </c>
      <c r="W74" s="203" t="str">
        <f>CONCATENATE(VLOOKUP(B74,★営業所!$A$2:$B$5,2,FALSE),VLOOKUP(申込書!$C$32,★サイズ表記!$D$4:$E$55,2,FALSE),VLOOKUP(D74,★折込地区!$A$2:$B$11,2,FALSE))</f>
        <v>T1001Tot</v>
      </c>
      <c r="X74" s="203" t="str">
        <f>CONCATENATE(申込書!$B$9," ",VLOOKUP(RIGHT(W74,3),★折込地区!$B$2:$C$10,2,FALSE),"")</f>
        <v xml:space="preserve"> 鳥取</v>
      </c>
      <c r="Z74" s="206">
        <f t="shared" ca="1" si="8"/>
        <v>0</v>
      </c>
      <c r="AB74" s="383">
        <f t="shared" si="9"/>
        <v>2.8</v>
      </c>
      <c r="AC74" s="203" t="str">
        <f t="shared" si="10"/>
        <v>M1001</v>
      </c>
      <c r="AD74" s="203" t="str">
        <f>VLOOKUP(AC74,★原価商品!$E$6:$F$349,2,FALSE)</f>
        <v>毎日/B4（折り無し）</v>
      </c>
      <c r="AE74" s="203">
        <f t="shared" ca="1" si="11"/>
        <v>0</v>
      </c>
      <c r="AF74" s="383">
        <f ca="1">IFERROR(IF(VLOOKUP(申込書!$C$32,★サイズ表記!$F$4:$H$55,3,FALSE)="切り捨て",ROUNDDOWN(L74*IF(AK74="◎",I74,J74)/100,2),IF(VLOOKUP(申込書!$C$32,★サイズ表記!$F$4:$H$55,3,FALSE)="切り上げ",ROUNDUP(L74*IF(AK74="◎",I74,J74)/100,2),ROUND(L74*IF(AK74="◎",I74,J74)/100,2))),0)</f>
        <v>2.35</v>
      </c>
      <c r="AG74" s="203">
        <f t="shared" ca="1" si="12"/>
        <v>0</v>
      </c>
      <c r="AJ74" s="460" t="str">
        <f>IFERROR(VLOOKUP(申込書!$C$30,★業種!$D$2:$E$87,2,FALSE),"")</f>
        <v>1003</v>
      </c>
      <c r="AK74" s="460" t="str">
        <f ca="1">IF(申込書!$C$36="◎",IF(OR(D74="浜坂・温泉",D74="美方・村岡",D74="香住",D74="岡山",D74="大阪"),"",IF(LEFT(F74)="D","◎",IF(AG74=0,"",IFERROR(IF(VLOOKUP(AG74,★仕入先!$A$2:$C$211,3,FALSE)=0,"","◎"),"")))),"")</f>
        <v/>
      </c>
      <c r="AL74" s="460">
        <f>申込書!$H$14</f>
        <v>0</v>
      </c>
      <c r="AM74" s="460" t="str">
        <f>申込書!$C$32</f>
        <v>B4（折り無し）</v>
      </c>
      <c r="AN74" s="460" t="str">
        <f>VLOOKUP(AM74,★サイズ表記!$D$4:$E$55,2,FALSE)</f>
        <v>1001</v>
      </c>
      <c r="AO74" s="460">
        <f>IF(C74&lt;&gt;"⑧兵庫",VLOOKUP(LEFT(F74),★新聞!$A$4:$B$12,2,FALSE),IF(LEFT(F74)&lt;&gt;"S",VLOOKUP(LEFT(F74),★新聞!$A$4:$B$12,2,FALSE),VLOOKUP("X",★新聞!$A$4:$B$12,2,FALSE)))</f>
        <v>4</v>
      </c>
      <c r="AP74" s="460" t="str">
        <f t="shared" ca="1" si="13"/>
        <v>0</v>
      </c>
      <c r="AQ74" s="460" t="str">
        <f>IF(申込書!$C$38="","",申込書!$C$38)</f>
        <v/>
      </c>
    </row>
    <row r="75" spans="1:43">
      <c r="A75" s="463">
        <f t="shared" si="14"/>
        <v>74</v>
      </c>
      <c r="B75" s="463" t="str">
        <f t="shared" si="15"/>
        <v>東部</v>
      </c>
      <c r="C75" s="464" t="s">
        <v>1101</v>
      </c>
      <c r="D75" s="464" t="s">
        <v>1022</v>
      </c>
      <c r="E75" s="464">
        <f>VLOOKUP(D75,★折込地区!$A$2:$D$10,4,FALSE)</f>
        <v>1</v>
      </c>
      <c r="F75" s="464" t="s">
        <v>454</v>
      </c>
      <c r="G75" s="464" t="str">
        <f>INDEX(★新聞!$E$4:$I$12, MATCH(LEFT(F75),★新聞!$A$4:$A$12,0), MATCH(LEFT(W75),★新聞!$E$3:$I$3,0))</f>
        <v>AG</v>
      </c>
      <c r="H75" s="475" t="s">
        <v>1104</v>
      </c>
      <c r="I75" s="464" cm="1">
        <f t="array" ref="I75">IFERROR(INDEX(★原価率!$A$2:$E$50,MATCH($C75&amp;$H75,★原価率!$A$2:$A$50&amp;★原価率!$B$2:$B$50,0),3),0)</f>
        <v>84</v>
      </c>
      <c r="J75" s="464" cm="1">
        <f t="array" ref="J75">IFERROR(INDEX(★原価率!$A$2:$E$50,MATCH($C75&amp;$H75,★原価率!$A$2:$A$50&amp;★原価率!$B$2:$B$50,0),4),0)</f>
        <v>84</v>
      </c>
      <c r="K75" s="464" cm="1">
        <f t="array" ref="K75">IFERROR(INDEX(★原価率!$A$2:$E$50,MATCH($C75&amp;$H75,★原価率!$A$2:$A$50&amp;★原価率!$B$2:$B$50,0),5),0)</f>
        <v>100</v>
      </c>
      <c r="L75" s="528">
        <f>IFERROR(VLOOKUP(W75,★商品!$A$1:$H$1231,8,FALSE),0)</f>
        <v>2.8</v>
      </c>
      <c r="M75" s="203" t="str">
        <f ca="1">CONCATENATE(VLOOKUP(B75,★営業所!$A$2:$B$5,2,FALSE),TEXT(NOW(),"yyyy"))</f>
        <v>T2023</v>
      </c>
      <c r="N75" s="203">
        <v>1</v>
      </c>
      <c r="O75" s="203">
        <v>0</v>
      </c>
      <c r="P75" s="213">
        <f>申込書!$B$6</f>
        <v>0</v>
      </c>
      <c r="Q75" s="203">
        <f>申込書!$C$34</f>
        <v>1000040</v>
      </c>
      <c r="R75" s="203">
        <v>0</v>
      </c>
      <c r="U75" s="203">
        <f>VLOOKUP(B75,★営業所!$A$2:$C$5,3,FALSE)</f>
        <v>8</v>
      </c>
      <c r="V75" s="203">
        <f>申込書!$B$9</f>
        <v>0</v>
      </c>
      <c r="W75" s="203" t="str">
        <f>CONCATENATE(VLOOKUP(B75,★営業所!$A$2:$B$5,2,FALSE),VLOOKUP(申込書!$C$32,★サイズ表記!$D$4:$E$55,2,FALSE),VLOOKUP(D75,★折込地区!$A$2:$B$11,2,FALSE))</f>
        <v>T1001Tot</v>
      </c>
      <c r="X75" s="203" t="str">
        <f>CONCATENATE(申込書!$B$9," ",VLOOKUP(RIGHT(W75,3),★折込地区!$B$2:$C$10,2,FALSE),"")</f>
        <v xml:space="preserve"> 鳥取</v>
      </c>
      <c r="Z75" s="206">
        <f t="shared" ca="1" si="8"/>
        <v>0</v>
      </c>
      <c r="AB75" s="383">
        <f t="shared" si="9"/>
        <v>2.8</v>
      </c>
      <c r="AC75" s="203" t="str">
        <f t="shared" si="10"/>
        <v>M1001</v>
      </c>
      <c r="AD75" s="203" t="str">
        <f>VLOOKUP(AC75,★原価商品!$E$6:$F$349,2,FALSE)</f>
        <v>毎日/B4（折り無し）</v>
      </c>
      <c r="AE75" s="203">
        <f t="shared" ca="1" si="11"/>
        <v>0</v>
      </c>
      <c r="AF75" s="383">
        <f ca="1">IFERROR(IF(VLOOKUP(申込書!$C$32,★サイズ表記!$F$4:$H$55,3,FALSE)="切り捨て",ROUNDDOWN(L75*IF(AK75="◎",I75,J75)/100,2),IF(VLOOKUP(申込書!$C$32,★サイズ表記!$F$4:$H$55,3,FALSE)="切り上げ",ROUNDUP(L75*IF(AK75="◎",I75,J75)/100,2),ROUND(L75*IF(AK75="◎",I75,J75)/100,2))),0)</f>
        <v>2.35</v>
      </c>
      <c r="AG75" s="203">
        <f t="shared" ca="1" si="12"/>
        <v>0</v>
      </c>
      <c r="AJ75" s="460" t="str">
        <f>IFERROR(VLOOKUP(申込書!$C$30,★業種!$D$2:$E$87,2,FALSE),"")</f>
        <v>1003</v>
      </c>
      <c r="AK75" s="460" t="str">
        <f ca="1">IF(申込書!$C$36="◎",IF(OR(D75="浜坂・温泉",D75="美方・村岡",D75="香住",D75="岡山",D75="大阪"),"",IF(LEFT(F75)="D","◎",IF(AG75=0,"",IFERROR(IF(VLOOKUP(AG75,★仕入先!$A$2:$C$211,3,FALSE)=0,"","◎"),"")))),"")</f>
        <v/>
      </c>
      <c r="AL75" s="460">
        <f>申込書!$H$14</f>
        <v>0</v>
      </c>
      <c r="AM75" s="460" t="str">
        <f>申込書!$C$32</f>
        <v>B4（折り無し）</v>
      </c>
      <c r="AN75" s="460" t="str">
        <f>VLOOKUP(AM75,★サイズ表記!$D$4:$E$55,2,FALSE)</f>
        <v>1001</v>
      </c>
      <c r="AO75" s="460">
        <f>IF(C75&lt;&gt;"⑧兵庫",VLOOKUP(LEFT(F75),★新聞!$A$4:$B$12,2,FALSE),IF(LEFT(F75)&lt;&gt;"S",VLOOKUP(LEFT(F75),★新聞!$A$4:$B$12,2,FALSE),VLOOKUP("X",★新聞!$A$4:$B$12,2,FALSE)))</f>
        <v>4</v>
      </c>
      <c r="AP75" s="460" t="str">
        <f t="shared" ca="1" si="13"/>
        <v>0</v>
      </c>
      <c r="AQ75" s="460" t="str">
        <f>IF(申込書!$C$38="","",申込書!$C$38)</f>
        <v/>
      </c>
    </row>
    <row r="76" spans="1:43">
      <c r="A76" s="463">
        <f t="shared" si="14"/>
        <v>75</v>
      </c>
      <c r="B76" s="463" t="str">
        <f t="shared" si="15"/>
        <v>東部</v>
      </c>
      <c r="C76" s="464" t="s">
        <v>1101</v>
      </c>
      <c r="D76" s="464" t="s">
        <v>1022</v>
      </c>
      <c r="E76" s="464">
        <f>VLOOKUP(D76,★折込地区!$A$2:$D$10,4,FALSE)</f>
        <v>1</v>
      </c>
      <c r="F76" s="464" t="s">
        <v>455</v>
      </c>
      <c r="G76" s="464" t="str">
        <f>INDEX(★新聞!$E$4:$I$12, MATCH(LEFT(F76),★新聞!$A$4:$A$12,0), MATCH(LEFT(W76),★新聞!$E$3:$I$3,0))</f>
        <v>AG</v>
      </c>
      <c r="H76" s="475" t="s">
        <v>1104</v>
      </c>
      <c r="I76" s="464" cm="1">
        <f t="array" ref="I76">IFERROR(INDEX(★原価率!$A$2:$E$50,MATCH($C76&amp;$H76,★原価率!$A$2:$A$50&amp;★原価率!$B$2:$B$50,0),3),0)</f>
        <v>84</v>
      </c>
      <c r="J76" s="464" cm="1">
        <f t="array" ref="J76">IFERROR(INDEX(★原価率!$A$2:$E$50,MATCH($C76&amp;$H76,★原価率!$A$2:$A$50&amp;★原価率!$B$2:$B$50,0),4),0)</f>
        <v>84</v>
      </c>
      <c r="K76" s="464" cm="1">
        <f t="array" ref="K76">IFERROR(INDEX(★原価率!$A$2:$E$50,MATCH($C76&amp;$H76,★原価率!$A$2:$A$50&amp;★原価率!$B$2:$B$50,0),5),0)</f>
        <v>100</v>
      </c>
      <c r="L76" s="528">
        <f>IFERROR(VLOOKUP(W76,★商品!$A$1:$H$1231,8,FALSE),0)</f>
        <v>2.8</v>
      </c>
      <c r="M76" s="203" t="str">
        <f ca="1">CONCATENATE(VLOOKUP(B76,★営業所!$A$2:$B$5,2,FALSE),TEXT(NOW(),"yyyy"))</f>
        <v>T2023</v>
      </c>
      <c r="N76" s="203">
        <v>1</v>
      </c>
      <c r="O76" s="203">
        <v>0</v>
      </c>
      <c r="P76" s="213">
        <f>申込書!$B$6</f>
        <v>0</v>
      </c>
      <c r="Q76" s="203">
        <f>申込書!$C$34</f>
        <v>1000040</v>
      </c>
      <c r="R76" s="203">
        <v>0</v>
      </c>
      <c r="U76" s="203">
        <f>VLOOKUP(B76,★営業所!$A$2:$C$5,3,FALSE)</f>
        <v>8</v>
      </c>
      <c r="V76" s="203">
        <f>申込書!$B$9</f>
        <v>0</v>
      </c>
      <c r="W76" s="203" t="str">
        <f>CONCATENATE(VLOOKUP(B76,★営業所!$A$2:$B$5,2,FALSE),VLOOKUP(申込書!$C$32,★サイズ表記!$D$4:$E$55,2,FALSE),VLOOKUP(D76,★折込地区!$A$2:$B$11,2,FALSE))</f>
        <v>T1001Tot</v>
      </c>
      <c r="X76" s="203" t="str">
        <f>CONCATENATE(申込書!$B$9," ",VLOOKUP(RIGHT(W76,3),★折込地区!$B$2:$C$10,2,FALSE),"")</f>
        <v xml:space="preserve"> 鳥取</v>
      </c>
      <c r="Z76" s="206">
        <f t="shared" ca="1" si="8"/>
        <v>0</v>
      </c>
      <c r="AB76" s="383">
        <f t="shared" si="9"/>
        <v>2.8</v>
      </c>
      <c r="AC76" s="203" t="str">
        <f t="shared" si="10"/>
        <v>M1001</v>
      </c>
      <c r="AD76" s="203" t="str">
        <f>VLOOKUP(AC76,★原価商品!$E$6:$F$349,2,FALSE)</f>
        <v>毎日/B4（折り無し）</v>
      </c>
      <c r="AE76" s="203">
        <f t="shared" ca="1" si="11"/>
        <v>0</v>
      </c>
      <c r="AF76" s="383">
        <f ca="1">IFERROR(IF(VLOOKUP(申込書!$C$32,★サイズ表記!$F$4:$H$55,3,FALSE)="切り捨て",ROUNDDOWN(L76*IF(AK76="◎",I76,J76)/100,2),IF(VLOOKUP(申込書!$C$32,★サイズ表記!$F$4:$H$55,3,FALSE)="切り上げ",ROUNDUP(L76*IF(AK76="◎",I76,J76)/100,2),ROUND(L76*IF(AK76="◎",I76,J76)/100,2))),0)</f>
        <v>2.35</v>
      </c>
      <c r="AG76" s="203">
        <f t="shared" ca="1" si="12"/>
        <v>10122</v>
      </c>
      <c r="AJ76" s="460" t="str">
        <f>IFERROR(VLOOKUP(申込書!$C$30,★業種!$D$2:$E$87,2,FALSE),"")</f>
        <v>1003</v>
      </c>
      <c r="AK76" s="460" t="str">
        <f ca="1">IF(申込書!$C$36="◎",IF(OR(D76="浜坂・温泉",D76="美方・村岡",D76="香住",D76="岡山",D76="大阪"),"",IF(LEFT(F76)="D","◎",IF(AG76=0,"",IFERROR(IF(VLOOKUP(AG76,★仕入先!$A$2:$C$211,3,FALSE)=0,"","◎"),"")))),"")</f>
        <v/>
      </c>
      <c r="AL76" s="460">
        <f>申込書!$H$14</f>
        <v>0</v>
      </c>
      <c r="AM76" s="460" t="str">
        <f>申込書!$C$32</f>
        <v>B4（折り無し）</v>
      </c>
      <c r="AN76" s="460" t="str">
        <f>VLOOKUP(AM76,★サイズ表記!$D$4:$E$55,2,FALSE)</f>
        <v>1001</v>
      </c>
      <c r="AO76" s="460">
        <f>IF(C76&lt;&gt;"⑧兵庫",VLOOKUP(LEFT(F76),★新聞!$A$4:$B$12,2,FALSE),IF(LEFT(F76)&lt;&gt;"S",VLOOKUP(LEFT(F76),★新聞!$A$4:$B$12,2,FALSE),VLOOKUP("X",★新聞!$A$4:$B$12,2,FALSE)))</f>
        <v>4</v>
      </c>
      <c r="AP76" s="460" t="str">
        <f t="shared" ca="1" si="13"/>
        <v>0</v>
      </c>
      <c r="AQ76" s="460" t="str">
        <f>IF(申込書!$C$38="","",申込書!$C$38)</f>
        <v/>
      </c>
    </row>
    <row r="77" spans="1:43">
      <c r="A77" s="463">
        <f t="shared" si="14"/>
        <v>76</v>
      </c>
      <c r="B77" s="463" t="str">
        <f t="shared" si="15"/>
        <v>東部</v>
      </c>
      <c r="C77" s="464" t="s">
        <v>1101</v>
      </c>
      <c r="D77" s="464" t="s">
        <v>1022</v>
      </c>
      <c r="E77" s="464">
        <f>VLOOKUP(D77,★折込地区!$A$2:$D$10,4,FALSE)</f>
        <v>1</v>
      </c>
      <c r="F77" s="464" t="s">
        <v>456</v>
      </c>
      <c r="G77" s="464" t="str">
        <f>INDEX(★新聞!$E$4:$I$12, MATCH(LEFT(F77),★新聞!$A$4:$A$12,0), MATCH(LEFT(W77),★新聞!$E$3:$I$3,0))</f>
        <v>AG</v>
      </c>
      <c r="H77" s="475" t="s">
        <v>1104</v>
      </c>
      <c r="I77" s="464" cm="1">
        <f t="array" ref="I77">IFERROR(INDEX(★原価率!$A$2:$E$50,MATCH($C77&amp;$H77,★原価率!$A$2:$A$50&amp;★原価率!$B$2:$B$50,0),3),0)</f>
        <v>84</v>
      </c>
      <c r="J77" s="464" cm="1">
        <f t="array" ref="J77">IFERROR(INDEX(★原価率!$A$2:$E$50,MATCH($C77&amp;$H77,★原価率!$A$2:$A$50&amp;★原価率!$B$2:$B$50,0),4),0)</f>
        <v>84</v>
      </c>
      <c r="K77" s="464" cm="1">
        <f t="array" ref="K77">IFERROR(INDEX(★原価率!$A$2:$E$50,MATCH($C77&amp;$H77,★原価率!$A$2:$A$50&amp;★原価率!$B$2:$B$50,0),5),0)</f>
        <v>100</v>
      </c>
      <c r="L77" s="528">
        <f>IFERROR(VLOOKUP(W77,★商品!$A$1:$H$1231,8,FALSE),0)</f>
        <v>2.8</v>
      </c>
      <c r="M77" s="203" t="str">
        <f ca="1">CONCATENATE(VLOOKUP(B77,★営業所!$A$2:$B$5,2,FALSE),TEXT(NOW(),"yyyy"))</f>
        <v>T2023</v>
      </c>
      <c r="N77" s="203">
        <v>1</v>
      </c>
      <c r="O77" s="203">
        <v>0</v>
      </c>
      <c r="P77" s="213">
        <f>申込書!$B$6</f>
        <v>0</v>
      </c>
      <c r="Q77" s="203">
        <f>申込書!$C$34</f>
        <v>1000040</v>
      </c>
      <c r="R77" s="203">
        <v>0</v>
      </c>
      <c r="U77" s="203">
        <f>VLOOKUP(B77,★営業所!$A$2:$C$5,3,FALSE)</f>
        <v>8</v>
      </c>
      <c r="V77" s="203">
        <f>申込書!$B$9</f>
        <v>0</v>
      </c>
      <c r="W77" s="203" t="str">
        <f>CONCATENATE(VLOOKUP(B77,★営業所!$A$2:$B$5,2,FALSE),VLOOKUP(申込書!$C$32,★サイズ表記!$D$4:$E$55,2,FALSE),VLOOKUP(D77,★折込地区!$A$2:$B$11,2,FALSE))</f>
        <v>T1001Tot</v>
      </c>
      <c r="X77" s="203" t="str">
        <f>CONCATENATE(申込書!$B$9," ",VLOOKUP(RIGHT(W77,3),★折込地区!$B$2:$C$10,2,FALSE),"")</f>
        <v xml:space="preserve"> 鳥取</v>
      </c>
      <c r="Z77" s="206">
        <f t="shared" ca="1" si="8"/>
        <v>0</v>
      </c>
      <c r="AB77" s="383">
        <f t="shared" si="9"/>
        <v>2.8</v>
      </c>
      <c r="AC77" s="203" t="str">
        <f t="shared" si="10"/>
        <v>M1001</v>
      </c>
      <c r="AD77" s="203" t="str">
        <f>VLOOKUP(AC77,★原価商品!$E$6:$F$349,2,FALSE)</f>
        <v>毎日/B4（折り無し）</v>
      </c>
      <c r="AE77" s="203">
        <f t="shared" ca="1" si="11"/>
        <v>0</v>
      </c>
      <c r="AF77" s="383">
        <f ca="1">IFERROR(IF(VLOOKUP(申込書!$C$32,★サイズ表記!$F$4:$H$55,3,FALSE)="切り捨て",ROUNDDOWN(L77*IF(AK77="◎",I77,J77)/100,2),IF(VLOOKUP(申込書!$C$32,★サイズ表記!$F$4:$H$55,3,FALSE)="切り上げ",ROUNDUP(L77*IF(AK77="◎",I77,J77)/100,2),ROUND(L77*IF(AK77="◎",I77,J77)/100,2))),0)</f>
        <v>2.35</v>
      </c>
      <c r="AG77" s="203">
        <f t="shared" ca="1" si="12"/>
        <v>0</v>
      </c>
      <c r="AJ77" s="460" t="str">
        <f>IFERROR(VLOOKUP(申込書!$C$30,★業種!$D$2:$E$87,2,FALSE),"")</f>
        <v>1003</v>
      </c>
      <c r="AK77" s="460" t="str">
        <f ca="1">IF(申込書!$C$36="◎",IF(OR(D77="浜坂・温泉",D77="美方・村岡",D77="香住",D77="岡山",D77="大阪"),"",IF(LEFT(F77)="D","◎",IF(AG77=0,"",IFERROR(IF(VLOOKUP(AG77,★仕入先!$A$2:$C$211,3,FALSE)=0,"","◎"),"")))),"")</f>
        <v/>
      </c>
      <c r="AL77" s="460">
        <f>申込書!$H$14</f>
        <v>0</v>
      </c>
      <c r="AM77" s="460" t="str">
        <f>申込書!$C$32</f>
        <v>B4（折り無し）</v>
      </c>
      <c r="AN77" s="460" t="str">
        <f>VLOOKUP(AM77,★サイズ表記!$D$4:$E$55,2,FALSE)</f>
        <v>1001</v>
      </c>
      <c r="AO77" s="460">
        <f>IF(C77&lt;&gt;"⑧兵庫",VLOOKUP(LEFT(F77),★新聞!$A$4:$B$12,2,FALSE),IF(LEFT(F77)&lt;&gt;"S",VLOOKUP(LEFT(F77),★新聞!$A$4:$B$12,2,FALSE),VLOOKUP("X",★新聞!$A$4:$B$12,2,FALSE)))</f>
        <v>4</v>
      </c>
      <c r="AP77" s="460" t="str">
        <f t="shared" ca="1" si="13"/>
        <v>0</v>
      </c>
      <c r="AQ77" s="460" t="str">
        <f>IF(申込書!$C$38="","",申込書!$C$38)</f>
        <v/>
      </c>
    </row>
    <row r="78" spans="1:43">
      <c r="A78" s="463">
        <f t="shared" si="14"/>
        <v>77</v>
      </c>
      <c r="B78" s="463" t="str">
        <f t="shared" si="15"/>
        <v>東部</v>
      </c>
      <c r="C78" s="464" t="s">
        <v>1101</v>
      </c>
      <c r="D78" s="464" t="s">
        <v>1022</v>
      </c>
      <c r="E78" s="464">
        <f>VLOOKUP(D78,★折込地区!$A$2:$D$10,4,FALSE)</f>
        <v>1</v>
      </c>
      <c r="F78" s="464" t="s">
        <v>457</v>
      </c>
      <c r="G78" s="464" t="str">
        <f>INDEX(★新聞!$E$4:$I$12, MATCH(LEFT(F78),★新聞!$A$4:$A$12,0), MATCH(LEFT(W78),★新聞!$E$3:$I$3,0))</f>
        <v>AG</v>
      </c>
      <c r="H78" s="475" t="s">
        <v>1104</v>
      </c>
      <c r="I78" s="464" cm="1">
        <f t="array" ref="I78">IFERROR(INDEX(★原価率!$A$2:$E$50,MATCH($C78&amp;$H78,★原価率!$A$2:$A$50&amp;★原価率!$B$2:$B$50,0),3),0)</f>
        <v>84</v>
      </c>
      <c r="J78" s="464" cm="1">
        <f t="array" ref="J78">IFERROR(INDEX(★原価率!$A$2:$E$50,MATCH($C78&amp;$H78,★原価率!$A$2:$A$50&amp;★原価率!$B$2:$B$50,0),4),0)</f>
        <v>84</v>
      </c>
      <c r="K78" s="464" cm="1">
        <f t="array" ref="K78">IFERROR(INDEX(★原価率!$A$2:$E$50,MATCH($C78&amp;$H78,★原価率!$A$2:$A$50&amp;★原価率!$B$2:$B$50,0),5),0)</f>
        <v>100</v>
      </c>
      <c r="L78" s="528">
        <f>IFERROR(VLOOKUP(W78,★商品!$A$1:$H$1231,8,FALSE),0)</f>
        <v>2.8</v>
      </c>
      <c r="M78" s="203" t="str">
        <f ca="1">CONCATENATE(VLOOKUP(B78,★営業所!$A$2:$B$5,2,FALSE),TEXT(NOW(),"yyyy"))</f>
        <v>T2023</v>
      </c>
      <c r="N78" s="203">
        <v>1</v>
      </c>
      <c r="O78" s="203">
        <v>0</v>
      </c>
      <c r="P78" s="213">
        <f>申込書!$B$6</f>
        <v>0</v>
      </c>
      <c r="Q78" s="203">
        <f>申込書!$C$34</f>
        <v>1000040</v>
      </c>
      <c r="R78" s="203">
        <v>0</v>
      </c>
      <c r="U78" s="203">
        <f>VLOOKUP(B78,★営業所!$A$2:$C$5,3,FALSE)</f>
        <v>8</v>
      </c>
      <c r="V78" s="203">
        <f>申込書!$B$9</f>
        <v>0</v>
      </c>
      <c r="W78" s="203" t="str">
        <f>CONCATENATE(VLOOKUP(B78,★営業所!$A$2:$B$5,2,FALSE),VLOOKUP(申込書!$C$32,★サイズ表記!$D$4:$E$55,2,FALSE),VLOOKUP(D78,★折込地区!$A$2:$B$11,2,FALSE))</f>
        <v>T1001Tot</v>
      </c>
      <c r="X78" s="203" t="str">
        <f>CONCATENATE(申込書!$B$9," ",VLOOKUP(RIGHT(W78,3),★折込地区!$B$2:$C$10,2,FALSE),"")</f>
        <v xml:space="preserve"> 鳥取</v>
      </c>
      <c r="Z78" s="206">
        <f t="shared" ca="1" si="8"/>
        <v>0</v>
      </c>
      <c r="AB78" s="383">
        <f t="shared" si="9"/>
        <v>2.8</v>
      </c>
      <c r="AC78" s="203" t="str">
        <f t="shared" si="10"/>
        <v>M1001</v>
      </c>
      <c r="AD78" s="203" t="str">
        <f>VLOOKUP(AC78,★原価商品!$E$6:$F$349,2,FALSE)</f>
        <v>毎日/B4（折り無し）</v>
      </c>
      <c r="AE78" s="203">
        <f t="shared" ca="1" si="11"/>
        <v>0</v>
      </c>
      <c r="AF78" s="383">
        <f ca="1">IFERROR(IF(VLOOKUP(申込書!$C$32,★サイズ表記!$F$4:$H$55,3,FALSE)="切り捨て",ROUNDDOWN(L78*IF(AK78="◎",I78,J78)/100,2),IF(VLOOKUP(申込書!$C$32,★サイズ表記!$F$4:$H$55,3,FALSE)="切り上げ",ROUNDUP(L78*IF(AK78="◎",I78,J78)/100,2),ROUND(L78*IF(AK78="◎",I78,J78)/100,2))),0)</f>
        <v>2.35</v>
      </c>
      <c r="AG78" s="203">
        <f t="shared" ca="1" si="12"/>
        <v>0</v>
      </c>
      <c r="AJ78" s="460" t="str">
        <f>IFERROR(VLOOKUP(申込書!$C$30,★業種!$D$2:$E$87,2,FALSE),"")</f>
        <v>1003</v>
      </c>
      <c r="AK78" s="460" t="str">
        <f ca="1">IF(申込書!$C$36="◎",IF(OR(D78="浜坂・温泉",D78="美方・村岡",D78="香住",D78="岡山",D78="大阪"),"",IF(LEFT(F78)="D","◎",IF(AG78=0,"",IFERROR(IF(VLOOKUP(AG78,★仕入先!$A$2:$C$211,3,FALSE)=0,"","◎"),"")))),"")</f>
        <v/>
      </c>
      <c r="AL78" s="460">
        <f>申込書!$H$14</f>
        <v>0</v>
      </c>
      <c r="AM78" s="460" t="str">
        <f>申込書!$C$32</f>
        <v>B4（折り無し）</v>
      </c>
      <c r="AN78" s="460" t="str">
        <f>VLOOKUP(AM78,★サイズ表記!$D$4:$E$55,2,FALSE)</f>
        <v>1001</v>
      </c>
      <c r="AO78" s="460">
        <f>IF(C78&lt;&gt;"⑧兵庫",VLOOKUP(LEFT(F78),★新聞!$A$4:$B$12,2,FALSE),IF(LEFT(F78)&lt;&gt;"S",VLOOKUP(LEFT(F78),★新聞!$A$4:$B$12,2,FALSE),VLOOKUP("X",★新聞!$A$4:$B$12,2,FALSE)))</f>
        <v>4</v>
      </c>
      <c r="AP78" s="460" t="str">
        <f t="shared" ca="1" si="13"/>
        <v>0</v>
      </c>
      <c r="AQ78" s="460" t="str">
        <f>IF(申込書!$C$38="","",申込書!$C$38)</f>
        <v/>
      </c>
    </row>
    <row r="79" spans="1:43">
      <c r="A79" s="463">
        <f t="shared" si="14"/>
        <v>78</v>
      </c>
      <c r="B79" s="463" t="str">
        <f t="shared" si="15"/>
        <v>東部</v>
      </c>
      <c r="C79" s="464" t="s">
        <v>1101</v>
      </c>
      <c r="D79" s="464" t="s">
        <v>1022</v>
      </c>
      <c r="E79" s="464">
        <f>VLOOKUP(D79,★折込地区!$A$2:$D$10,4,FALSE)</f>
        <v>1</v>
      </c>
      <c r="F79" s="464" t="s">
        <v>458</v>
      </c>
      <c r="G79" s="464" t="str">
        <f>INDEX(★新聞!$E$4:$I$12, MATCH(LEFT(F79),★新聞!$A$4:$A$12,0), MATCH(LEFT(W79),★新聞!$E$3:$I$3,0))</f>
        <v>AG</v>
      </c>
      <c r="H79" s="475" t="s">
        <v>1104</v>
      </c>
      <c r="I79" s="464" cm="1">
        <f t="array" ref="I79">IFERROR(INDEX(★原価率!$A$2:$E$50,MATCH($C79&amp;$H79,★原価率!$A$2:$A$50&amp;★原価率!$B$2:$B$50,0),3),0)</f>
        <v>84</v>
      </c>
      <c r="J79" s="464" cm="1">
        <f t="array" ref="J79">IFERROR(INDEX(★原価率!$A$2:$E$50,MATCH($C79&amp;$H79,★原価率!$A$2:$A$50&amp;★原価率!$B$2:$B$50,0),4),0)</f>
        <v>84</v>
      </c>
      <c r="K79" s="464" cm="1">
        <f t="array" ref="K79">IFERROR(INDEX(★原価率!$A$2:$E$50,MATCH($C79&amp;$H79,★原価率!$A$2:$A$50&amp;★原価率!$B$2:$B$50,0),5),0)</f>
        <v>100</v>
      </c>
      <c r="L79" s="528">
        <f>IFERROR(VLOOKUP(W79,★商品!$A$1:$H$1231,8,FALSE),0)</f>
        <v>2.8</v>
      </c>
      <c r="M79" s="203" t="str">
        <f ca="1">CONCATENATE(VLOOKUP(B79,★営業所!$A$2:$B$5,2,FALSE),TEXT(NOW(),"yyyy"))</f>
        <v>T2023</v>
      </c>
      <c r="N79" s="203">
        <v>1</v>
      </c>
      <c r="O79" s="203">
        <v>0</v>
      </c>
      <c r="P79" s="213">
        <f>申込書!$B$6</f>
        <v>0</v>
      </c>
      <c r="Q79" s="203">
        <f>申込書!$C$34</f>
        <v>1000040</v>
      </c>
      <c r="R79" s="203">
        <v>0</v>
      </c>
      <c r="U79" s="203">
        <f>VLOOKUP(B79,★営業所!$A$2:$C$5,3,FALSE)</f>
        <v>8</v>
      </c>
      <c r="V79" s="203">
        <f>申込書!$B$9</f>
        <v>0</v>
      </c>
      <c r="W79" s="203" t="str">
        <f>CONCATENATE(VLOOKUP(B79,★営業所!$A$2:$B$5,2,FALSE),VLOOKUP(申込書!$C$32,★サイズ表記!$D$4:$E$55,2,FALSE),VLOOKUP(D79,★折込地区!$A$2:$B$11,2,FALSE))</f>
        <v>T1001Tot</v>
      </c>
      <c r="X79" s="203" t="str">
        <f>CONCATENATE(申込書!$B$9," ",VLOOKUP(RIGHT(W79,3),★折込地区!$B$2:$C$10,2,FALSE),"")</f>
        <v xml:space="preserve"> 鳥取</v>
      </c>
      <c r="Z79" s="206">
        <f t="shared" ca="1" si="8"/>
        <v>0</v>
      </c>
      <c r="AB79" s="383">
        <f t="shared" si="9"/>
        <v>2.8</v>
      </c>
      <c r="AC79" s="203" t="str">
        <f t="shared" si="10"/>
        <v>M1001</v>
      </c>
      <c r="AD79" s="203" t="str">
        <f>VLOOKUP(AC79,★原価商品!$E$6:$F$349,2,FALSE)</f>
        <v>毎日/B4（折り無し）</v>
      </c>
      <c r="AE79" s="203">
        <f t="shared" ca="1" si="11"/>
        <v>0</v>
      </c>
      <c r="AF79" s="383">
        <f ca="1">IFERROR(IF(VLOOKUP(申込書!$C$32,★サイズ表記!$F$4:$H$55,3,FALSE)="切り捨て",ROUNDDOWN(L79*IF(AK79="◎",I79,J79)/100,2),IF(VLOOKUP(申込書!$C$32,★サイズ表記!$F$4:$H$55,3,FALSE)="切り上げ",ROUNDUP(L79*IF(AK79="◎",I79,J79)/100,2),ROUND(L79*IF(AK79="◎",I79,J79)/100,2))),0)</f>
        <v>2.35</v>
      </c>
      <c r="AG79" s="203">
        <f t="shared" ca="1" si="12"/>
        <v>10114</v>
      </c>
      <c r="AJ79" s="460" t="str">
        <f>IFERROR(VLOOKUP(申込書!$C$30,★業種!$D$2:$E$87,2,FALSE),"")</f>
        <v>1003</v>
      </c>
      <c r="AK79" s="460" t="str">
        <f ca="1">IF(申込書!$C$36="◎",IF(OR(D79="浜坂・温泉",D79="美方・村岡",D79="香住",D79="岡山",D79="大阪"),"",IF(LEFT(F79)="D","◎",IF(AG79=0,"",IFERROR(IF(VLOOKUP(AG79,★仕入先!$A$2:$C$211,3,FALSE)=0,"","◎"),"")))),"")</f>
        <v/>
      </c>
      <c r="AL79" s="460">
        <f>申込書!$H$14</f>
        <v>0</v>
      </c>
      <c r="AM79" s="460" t="str">
        <f>申込書!$C$32</f>
        <v>B4（折り無し）</v>
      </c>
      <c r="AN79" s="460" t="str">
        <f>VLOOKUP(AM79,★サイズ表記!$D$4:$E$55,2,FALSE)</f>
        <v>1001</v>
      </c>
      <c r="AO79" s="460">
        <f>IF(C79&lt;&gt;"⑧兵庫",VLOOKUP(LEFT(F79),★新聞!$A$4:$B$12,2,FALSE),IF(LEFT(F79)&lt;&gt;"S",VLOOKUP(LEFT(F79),★新聞!$A$4:$B$12,2,FALSE),VLOOKUP("X",★新聞!$A$4:$B$12,2,FALSE)))</f>
        <v>4</v>
      </c>
      <c r="AP79" s="460" t="str">
        <f t="shared" ca="1" si="13"/>
        <v>0</v>
      </c>
      <c r="AQ79" s="460" t="str">
        <f>IF(申込書!$C$38="","",申込書!$C$38)</f>
        <v/>
      </c>
    </row>
    <row r="80" spans="1:43">
      <c r="A80" s="463">
        <f t="shared" si="14"/>
        <v>79</v>
      </c>
      <c r="B80" s="463" t="str">
        <f t="shared" si="15"/>
        <v>東部</v>
      </c>
      <c r="C80" s="464" t="s">
        <v>1101</v>
      </c>
      <c r="D80" s="464" t="s">
        <v>1022</v>
      </c>
      <c r="E80" s="464">
        <f>VLOOKUP(D80,★折込地区!$A$2:$D$10,4,FALSE)</f>
        <v>1</v>
      </c>
      <c r="F80" s="464" t="s">
        <v>459</v>
      </c>
      <c r="G80" s="464" t="str">
        <f>INDEX(★新聞!$E$4:$I$12, MATCH(LEFT(F80),★新聞!$A$4:$A$12,0), MATCH(LEFT(W80),★新聞!$E$3:$I$3,0))</f>
        <v>AG</v>
      </c>
      <c r="H80" s="475" t="s">
        <v>1104</v>
      </c>
      <c r="I80" s="464" cm="1">
        <f t="array" ref="I80">IFERROR(INDEX(★原価率!$A$2:$E$50,MATCH($C80&amp;$H80,★原価率!$A$2:$A$50&amp;★原価率!$B$2:$B$50,0),3),0)</f>
        <v>84</v>
      </c>
      <c r="J80" s="464" cm="1">
        <f t="array" ref="J80">IFERROR(INDEX(★原価率!$A$2:$E$50,MATCH($C80&amp;$H80,★原価率!$A$2:$A$50&amp;★原価率!$B$2:$B$50,0),4),0)</f>
        <v>84</v>
      </c>
      <c r="K80" s="464" cm="1">
        <f t="array" ref="K80">IFERROR(INDEX(★原価率!$A$2:$E$50,MATCH($C80&amp;$H80,★原価率!$A$2:$A$50&amp;★原価率!$B$2:$B$50,0),5),0)</f>
        <v>100</v>
      </c>
      <c r="L80" s="528">
        <f>IFERROR(VLOOKUP(W80,★商品!$A$1:$H$1231,8,FALSE),0)</f>
        <v>2.8</v>
      </c>
      <c r="M80" s="203" t="str">
        <f ca="1">CONCATENATE(VLOOKUP(B80,★営業所!$A$2:$B$5,2,FALSE),TEXT(NOW(),"yyyy"))</f>
        <v>T2023</v>
      </c>
      <c r="N80" s="203">
        <v>1</v>
      </c>
      <c r="O80" s="203">
        <v>0</v>
      </c>
      <c r="P80" s="213">
        <f>申込書!$B$6</f>
        <v>0</v>
      </c>
      <c r="Q80" s="203">
        <f>申込書!$C$34</f>
        <v>1000040</v>
      </c>
      <c r="R80" s="203">
        <v>0</v>
      </c>
      <c r="U80" s="203">
        <f>VLOOKUP(B80,★営業所!$A$2:$C$5,3,FALSE)</f>
        <v>8</v>
      </c>
      <c r="V80" s="203">
        <f>申込書!$B$9</f>
        <v>0</v>
      </c>
      <c r="W80" s="203" t="str">
        <f>CONCATENATE(VLOOKUP(B80,★営業所!$A$2:$B$5,2,FALSE),VLOOKUP(申込書!$C$32,★サイズ表記!$D$4:$E$55,2,FALSE),VLOOKUP(D80,★折込地区!$A$2:$B$11,2,FALSE))</f>
        <v>T1001Tot</v>
      </c>
      <c r="X80" s="203" t="str">
        <f>CONCATENATE(申込書!$B$9," ",VLOOKUP(RIGHT(W80,3),★折込地区!$B$2:$C$10,2,FALSE),"")</f>
        <v xml:space="preserve"> 鳥取</v>
      </c>
      <c r="Z80" s="206">
        <f t="shared" ca="1" si="8"/>
        <v>0</v>
      </c>
      <c r="AB80" s="383">
        <f t="shared" si="9"/>
        <v>2.8</v>
      </c>
      <c r="AC80" s="203" t="str">
        <f t="shared" si="10"/>
        <v>M1001</v>
      </c>
      <c r="AD80" s="203" t="str">
        <f>VLOOKUP(AC80,★原価商品!$E$6:$F$349,2,FALSE)</f>
        <v>毎日/B4（折り無し）</v>
      </c>
      <c r="AE80" s="203">
        <f t="shared" ca="1" si="11"/>
        <v>0</v>
      </c>
      <c r="AF80" s="383">
        <f ca="1">IFERROR(IF(VLOOKUP(申込書!$C$32,★サイズ表記!$F$4:$H$55,3,FALSE)="切り捨て",ROUNDDOWN(L80*IF(AK80="◎",I80,J80)/100,2),IF(VLOOKUP(申込書!$C$32,★サイズ表記!$F$4:$H$55,3,FALSE)="切り上げ",ROUNDUP(L80*IF(AK80="◎",I80,J80)/100,2),ROUND(L80*IF(AK80="◎",I80,J80)/100,2))),0)</f>
        <v>2.35</v>
      </c>
      <c r="AG80" s="203">
        <f t="shared" ca="1" si="12"/>
        <v>0</v>
      </c>
      <c r="AJ80" s="460" t="str">
        <f>IFERROR(VLOOKUP(申込書!$C$30,★業種!$D$2:$E$87,2,FALSE),"")</f>
        <v>1003</v>
      </c>
      <c r="AK80" s="460" t="str">
        <f ca="1">IF(申込書!$C$36="◎",IF(OR(D80="浜坂・温泉",D80="美方・村岡",D80="香住",D80="岡山",D80="大阪"),"",IF(LEFT(F80)="D","◎",IF(AG80=0,"",IFERROR(IF(VLOOKUP(AG80,★仕入先!$A$2:$C$211,3,FALSE)=0,"","◎"),"")))),"")</f>
        <v/>
      </c>
      <c r="AL80" s="460">
        <f>申込書!$H$14</f>
        <v>0</v>
      </c>
      <c r="AM80" s="460" t="str">
        <f>申込書!$C$32</f>
        <v>B4（折り無し）</v>
      </c>
      <c r="AN80" s="460" t="str">
        <f>VLOOKUP(AM80,★サイズ表記!$D$4:$E$55,2,FALSE)</f>
        <v>1001</v>
      </c>
      <c r="AO80" s="460">
        <f>IF(C80&lt;&gt;"⑧兵庫",VLOOKUP(LEFT(F80),★新聞!$A$4:$B$12,2,FALSE),IF(LEFT(F80)&lt;&gt;"S",VLOOKUP(LEFT(F80),★新聞!$A$4:$B$12,2,FALSE),VLOOKUP("X",★新聞!$A$4:$B$12,2,FALSE)))</f>
        <v>4</v>
      </c>
      <c r="AP80" s="460" t="str">
        <f t="shared" ca="1" si="13"/>
        <v>0</v>
      </c>
      <c r="AQ80" s="460" t="str">
        <f>IF(申込書!$C$38="","",申込書!$C$38)</f>
        <v/>
      </c>
    </row>
    <row r="81" spans="1:43">
      <c r="A81" s="463">
        <f t="shared" si="14"/>
        <v>80</v>
      </c>
      <c r="B81" s="463" t="str">
        <f t="shared" si="15"/>
        <v>東部</v>
      </c>
      <c r="C81" s="464" t="s">
        <v>1101</v>
      </c>
      <c r="D81" s="464" t="s">
        <v>1022</v>
      </c>
      <c r="E81" s="464">
        <f>VLOOKUP(D81,★折込地区!$A$2:$D$10,4,FALSE)</f>
        <v>1</v>
      </c>
      <c r="F81" s="464" t="s">
        <v>460</v>
      </c>
      <c r="G81" s="464" t="str">
        <f>INDEX(★新聞!$E$4:$I$12, MATCH(LEFT(F81),★新聞!$A$4:$A$12,0), MATCH(LEFT(W81),★新聞!$E$3:$I$3,0))</f>
        <v>AG</v>
      </c>
      <c r="H81" s="475" t="s">
        <v>1104</v>
      </c>
      <c r="I81" s="464" cm="1">
        <f t="array" ref="I81">IFERROR(INDEX(★原価率!$A$2:$E$50,MATCH($C81&amp;$H81,★原価率!$A$2:$A$50&amp;★原価率!$B$2:$B$50,0),3),0)</f>
        <v>84</v>
      </c>
      <c r="J81" s="464" cm="1">
        <f t="array" ref="J81">IFERROR(INDEX(★原価率!$A$2:$E$50,MATCH($C81&amp;$H81,★原価率!$A$2:$A$50&amp;★原価率!$B$2:$B$50,0),4),0)</f>
        <v>84</v>
      </c>
      <c r="K81" s="464" cm="1">
        <f t="array" ref="K81">IFERROR(INDEX(★原価率!$A$2:$E$50,MATCH($C81&amp;$H81,★原価率!$A$2:$A$50&amp;★原価率!$B$2:$B$50,0),5),0)</f>
        <v>100</v>
      </c>
      <c r="L81" s="528">
        <f>IFERROR(VLOOKUP(W81,★商品!$A$1:$H$1231,8,FALSE),0)</f>
        <v>2.8</v>
      </c>
      <c r="M81" s="203" t="str">
        <f ca="1">CONCATENATE(VLOOKUP(B81,★営業所!$A$2:$B$5,2,FALSE),TEXT(NOW(),"yyyy"))</f>
        <v>T2023</v>
      </c>
      <c r="N81" s="203">
        <v>1</v>
      </c>
      <c r="O81" s="203">
        <v>0</v>
      </c>
      <c r="P81" s="213">
        <f>申込書!$B$6</f>
        <v>0</v>
      </c>
      <c r="Q81" s="203">
        <f>申込書!$C$34</f>
        <v>1000040</v>
      </c>
      <c r="R81" s="203">
        <v>0</v>
      </c>
      <c r="U81" s="203">
        <f>VLOOKUP(B81,★営業所!$A$2:$C$5,3,FALSE)</f>
        <v>8</v>
      </c>
      <c r="V81" s="203">
        <f>申込書!$B$9</f>
        <v>0</v>
      </c>
      <c r="W81" s="203" t="str">
        <f>CONCATENATE(VLOOKUP(B81,★営業所!$A$2:$B$5,2,FALSE),VLOOKUP(申込書!$C$32,★サイズ表記!$D$4:$E$55,2,FALSE),VLOOKUP(D81,★折込地区!$A$2:$B$11,2,FALSE))</f>
        <v>T1001Tot</v>
      </c>
      <c r="X81" s="203" t="str">
        <f>CONCATENATE(申込書!$B$9," ",VLOOKUP(RIGHT(W81,3),★折込地区!$B$2:$C$10,2,FALSE),"")</f>
        <v xml:space="preserve"> 鳥取</v>
      </c>
      <c r="Z81" s="206">
        <f t="shared" ca="1" si="8"/>
        <v>0</v>
      </c>
      <c r="AB81" s="383">
        <f t="shared" si="9"/>
        <v>2.8</v>
      </c>
      <c r="AC81" s="203" t="str">
        <f t="shared" si="10"/>
        <v>M1001</v>
      </c>
      <c r="AD81" s="203" t="str">
        <f>VLOOKUP(AC81,★原価商品!$E$6:$F$349,2,FALSE)</f>
        <v>毎日/B4（折り無し）</v>
      </c>
      <c r="AE81" s="203">
        <f t="shared" ca="1" si="11"/>
        <v>0</v>
      </c>
      <c r="AF81" s="383">
        <f ca="1">IFERROR(IF(VLOOKUP(申込書!$C$32,★サイズ表記!$F$4:$H$55,3,FALSE)="切り捨て",ROUNDDOWN(L81*IF(AK81="◎",I81,J81)/100,2),IF(VLOOKUP(申込書!$C$32,★サイズ表記!$F$4:$H$55,3,FALSE)="切り上げ",ROUNDUP(L81*IF(AK81="◎",I81,J81)/100,2),ROUND(L81*IF(AK81="◎",I81,J81)/100,2))),0)</f>
        <v>2.35</v>
      </c>
      <c r="AG81" s="203">
        <f t="shared" ca="1" si="12"/>
        <v>10113</v>
      </c>
      <c r="AJ81" s="460" t="str">
        <f>IFERROR(VLOOKUP(申込書!$C$30,★業種!$D$2:$E$87,2,FALSE),"")</f>
        <v>1003</v>
      </c>
      <c r="AK81" s="460" t="str">
        <f ca="1">IF(申込書!$C$36="◎",IF(OR(D81="浜坂・温泉",D81="美方・村岡",D81="香住",D81="岡山",D81="大阪"),"",IF(LEFT(F81)="D","◎",IF(AG81=0,"",IFERROR(IF(VLOOKUP(AG81,★仕入先!$A$2:$C$211,3,FALSE)=0,"","◎"),"")))),"")</f>
        <v/>
      </c>
      <c r="AL81" s="460">
        <f>申込書!$H$14</f>
        <v>0</v>
      </c>
      <c r="AM81" s="460" t="str">
        <f>申込書!$C$32</f>
        <v>B4（折り無し）</v>
      </c>
      <c r="AN81" s="460" t="str">
        <f>VLOOKUP(AM81,★サイズ表記!$D$4:$E$55,2,FALSE)</f>
        <v>1001</v>
      </c>
      <c r="AO81" s="460">
        <f>IF(C81&lt;&gt;"⑧兵庫",VLOOKUP(LEFT(F81),★新聞!$A$4:$B$12,2,FALSE),IF(LEFT(F81)&lt;&gt;"S",VLOOKUP(LEFT(F81),★新聞!$A$4:$B$12,2,FALSE),VLOOKUP("X",★新聞!$A$4:$B$12,2,FALSE)))</f>
        <v>4</v>
      </c>
      <c r="AP81" s="460" t="str">
        <f t="shared" ca="1" si="13"/>
        <v>0</v>
      </c>
      <c r="AQ81" s="460" t="str">
        <f>IF(申込書!$C$38="","",申込書!$C$38)</f>
        <v/>
      </c>
    </row>
    <row r="82" spans="1:43">
      <c r="A82" s="463">
        <f t="shared" si="14"/>
        <v>81</v>
      </c>
      <c r="B82" s="463" t="str">
        <f t="shared" si="15"/>
        <v>東部</v>
      </c>
      <c r="C82" s="464" t="s">
        <v>1101</v>
      </c>
      <c r="D82" s="464" t="s">
        <v>1022</v>
      </c>
      <c r="E82" s="464">
        <f>VLOOKUP(D82,★折込地区!$A$2:$D$10,4,FALSE)</f>
        <v>1</v>
      </c>
      <c r="F82" s="464" t="s">
        <v>461</v>
      </c>
      <c r="G82" s="464" t="str">
        <f>INDEX(★新聞!$E$4:$I$12, MATCH(LEFT(F82),★新聞!$A$4:$A$12,0), MATCH(LEFT(W82),★新聞!$E$3:$I$3,0))</f>
        <v>AG</v>
      </c>
      <c r="H82" s="475" t="s">
        <v>1104</v>
      </c>
      <c r="I82" s="464" cm="1">
        <f t="array" ref="I82">IFERROR(INDEX(★原価率!$A$2:$E$50,MATCH($C82&amp;$H82,★原価率!$A$2:$A$50&amp;★原価率!$B$2:$B$50,0),3),0)</f>
        <v>84</v>
      </c>
      <c r="J82" s="464" cm="1">
        <f t="array" ref="J82">IFERROR(INDEX(★原価率!$A$2:$E$50,MATCH($C82&amp;$H82,★原価率!$A$2:$A$50&amp;★原価率!$B$2:$B$50,0),4),0)</f>
        <v>84</v>
      </c>
      <c r="K82" s="464" cm="1">
        <f t="array" ref="K82">IFERROR(INDEX(★原価率!$A$2:$E$50,MATCH($C82&amp;$H82,★原価率!$A$2:$A$50&amp;★原価率!$B$2:$B$50,0),5),0)</f>
        <v>100</v>
      </c>
      <c r="L82" s="528">
        <f>IFERROR(VLOOKUP(W82,★商品!$A$1:$H$1231,8,FALSE),0)</f>
        <v>2.8</v>
      </c>
      <c r="M82" s="203" t="str">
        <f ca="1">CONCATENATE(VLOOKUP(B82,★営業所!$A$2:$B$5,2,FALSE),TEXT(NOW(),"yyyy"))</f>
        <v>T2023</v>
      </c>
      <c r="N82" s="203">
        <v>1</v>
      </c>
      <c r="O82" s="203">
        <v>0</v>
      </c>
      <c r="P82" s="213">
        <f>申込書!$B$6</f>
        <v>0</v>
      </c>
      <c r="Q82" s="203">
        <f>申込書!$C$34</f>
        <v>1000040</v>
      </c>
      <c r="R82" s="203">
        <v>0</v>
      </c>
      <c r="U82" s="203">
        <f>VLOOKUP(B82,★営業所!$A$2:$C$5,3,FALSE)</f>
        <v>8</v>
      </c>
      <c r="V82" s="203">
        <f>申込書!$B$9</f>
        <v>0</v>
      </c>
      <c r="W82" s="203" t="str">
        <f>CONCATENATE(VLOOKUP(B82,★営業所!$A$2:$B$5,2,FALSE),VLOOKUP(申込書!$C$32,★サイズ表記!$D$4:$E$55,2,FALSE),VLOOKUP(D82,★折込地区!$A$2:$B$11,2,FALSE))</f>
        <v>T1001Tot</v>
      </c>
      <c r="X82" s="203" t="str">
        <f>CONCATENATE(申込書!$B$9," ",VLOOKUP(RIGHT(W82,3),★折込地区!$B$2:$C$10,2,FALSE),"")</f>
        <v xml:space="preserve"> 鳥取</v>
      </c>
      <c r="Z82" s="206">
        <f t="shared" ca="1" si="8"/>
        <v>0</v>
      </c>
      <c r="AB82" s="383">
        <f t="shared" si="9"/>
        <v>2.8</v>
      </c>
      <c r="AC82" s="203" t="str">
        <f t="shared" si="10"/>
        <v>M1001</v>
      </c>
      <c r="AD82" s="203" t="str">
        <f>VLOOKUP(AC82,★原価商品!$E$6:$F$349,2,FALSE)</f>
        <v>毎日/B4（折り無し）</v>
      </c>
      <c r="AE82" s="203">
        <f t="shared" ca="1" si="11"/>
        <v>0</v>
      </c>
      <c r="AF82" s="383">
        <f ca="1">IFERROR(IF(VLOOKUP(申込書!$C$32,★サイズ表記!$F$4:$H$55,3,FALSE)="切り捨て",ROUNDDOWN(L82*IF(AK82="◎",I82,J82)/100,2),IF(VLOOKUP(申込書!$C$32,★サイズ表記!$F$4:$H$55,3,FALSE)="切り上げ",ROUNDUP(L82*IF(AK82="◎",I82,J82)/100,2),ROUND(L82*IF(AK82="◎",I82,J82)/100,2))),0)</f>
        <v>2.35</v>
      </c>
      <c r="AG82" s="203">
        <f t="shared" ca="1" si="12"/>
        <v>10113</v>
      </c>
      <c r="AJ82" s="460" t="str">
        <f>IFERROR(VLOOKUP(申込書!$C$30,★業種!$D$2:$E$87,2,FALSE),"")</f>
        <v>1003</v>
      </c>
      <c r="AK82" s="460" t="str">
        <f ca="1">IF(申込書!$C$36="◎",IF(OR(D82="浜坂・温泉",D82="美方・村岡",D82="香住",D82="岡山",D82="大阪"),"",IF(LEFT(F82)="D","◎",IF(AG82=0,"",IFERROR(IF(VLOOKUP(AG82,★仕入先!$A$2:$C$211,3,FALSE)=0,"","◎"),"")))),"")</f>
        <v/>
      </c>
      <c r="AL82" s="460">
        <f>申込書!$H$14</f>
        <v>0</v>
      </c>
      <c r="AM82" s="460" t="str">
        <f>申込書!$C$32</f>
        <v>B4（折り無し）</v>
      </c>
      <c r="AN82" s="460" t="str">
        <f>VLOOKUP(AM82,★サイズ表記!$D$4:$E$55,2,FALSE)</f>
        <v>1001</v>
      </c>
      <c r="AO82" s="460">
        <f>IF(C82&lt;&gt;"⑧兵庫",VLOOKUP(LEFT(F82),★新聞!$A$4:$B$12,2,FALSE),IF(LEFT(F82)&lt;&gt;"S",VLOOKUP(LEFT(F82),★新聞!$A$4:$B$12,2,FALSE),VLOOKUP("X",★新聞!$A$4:$B$12,2,FALSE)))</f>
        <v>4</v>
      </c>
      <c r="AP82" s="460" t="str">
        <f t="shared" ca="1" si="13"/>
        <v>0</v>
      </c>
      <c r="AQ82" s="460" t="str">
        <f>IF(申込書!$C$38="","",申込書!$C$38)</f>
        <v/>
      </c>
    </row>
    <row r="83" spans="1:43">
      <c r="A83" s="463">
        <f t="shared" si="14"/>
        <v>82</v>
      </c>
      <c r="B83" s="463" t="str">
        <f t="shared" si="15"/>
        <v>東部</v>
      </c>
      <c r="C83" s="464" t="s">
        <v>1101</v>
      </c>
      <c r="D83" s="464" t="s">
        <v>1022</v>
      </c>
      <c r="E83" s="464">
        <f>VLOOKUP(D83,★折込地区!$A$2:$D$10,4,FALSE)</f>
        <v>1</v>
      </c>
      <c r="F83" s="464" t="s">
        <v>462</v>
      </c>
      <c r="G83" s="464" t="str">
        <f>INDEX(★新聞!$E$4:$I$12, MATCH(LEFT(F83),★新聞!$A$4:$A$12,0), MATCH(LEFT(W83),★新聞!$E$3:$I$3,0))</f>
        <v>AG</v>
      </c>
      <c r="H83" s="475" t="s">
        <v>1104</v>
      </c>
      <c r="I83" s="464" cm="1">
        <f t="array" ref="I83">IFERROR(INDEX(★原価率!$A$2:$E$50,MATCH($C83&amp;$H83,★原価率!$A$2:$A$50&amp;★原価率!$B$2:$B$50,0),3),0)</f>
        <v>84</v>
      </c>
      <c r="J83" s="464" cm="1">
        <f t="array" ref="J83">IFERROR(INDEX(★原価率!$A$2:$E$50,MATCH($C83&amp;$H83,★原価率!$A$2:$A$50&amp;★原価率!$B$2:$B$50,0),4),0)</f>
        <v>84</v>
      </c>
      <c r="K83" s="464" cm="1">
        <f t="array" ref="K83">IFERROR(INDEX(★原価率!$A$2:$E$50,MATCH($C83&amp;$H83,★原価率!$A$2:$A$50&amp;★原価率!$B$2:$B$50,0),5),0)</f>
        <v>100</v>
      </c>
      <c r="L83" s="528">
        <f>IFERROR(VLOOKUP(W83,★商品!$A$1:$H$1231,8,FALSE),0)</f>
        <v>2.8</v>
      </c>
      <c r="M83" s="203" t="str">
        <f ca="1">CONCATENATE(VLOOKUP(B83,★営業所!$A$2:$B$5,2,FALSE),TEXT(NOW(),"yyyy"))</f>
        <v>T2023</v>
      </c>
      <c r="N83" s="203">
        <v>1</v>
      </c>
      <c r="O83" s="203">
        <v>0</v>
      </c>
      <c r="P83" s="213">
        <f>申込書!$B$6</f>
        <v>0</v>
      </c>
      <c r="Q83" s="203">
        <f>申込書!$C$34</f>
        <v>1000040</v>
      </c>
      <c r="R83" s="203">
        <v>0</v>
      </c>
      <c r="U83" s="203">
        <f>VLOOKUP(B83,★営業所!$A$2:$C$5,3,FALSE)</f>
        <v>8</v>
      </c>
      <c r="V83" s="203">
        <f>申込書!$B$9</f>
        <v>0</v>
      </c>
      <c r="W83" s="203" t="str">
        <f>CONCATENATE(VLOOKUP(B83,★営業所!$A$2:$B$5,2,FALSE),VLOOKUP(申込書!$C$32,★サイズ表記!$D$4:$E$55,2,FALSE),VLOOKUP(D83,★折込地区!$A$2:$B$11,2,FALSE))</f>
        <v>T1001Tot</v>
      </c>
      <c r="X83" s="203" t="str">
        <f>CONCATENATE(申込書!$B$9," ",VLOOKUP(RIGHT(W83,3),★折込地区!$B$2:$C$10,2,FALSE),"")</f>
        <v xml:space="preserve"> 鳥取</v>
      </c>
      <c r="Z83" s="206">
        <f t="shared" ca="1" si="8"/>
        <v>0</v>
      </c>
      <c r="AB83" s="383">
        <f t="shared" si="9"/>
        <v>2.8</v>
      </c>
      <c r="AC83" s="203" t="str">
        <f t="shared" si="10"/>
        <v>M1001</v>
      </c>
      <c r="AD83" s="203" t="str">
        <f>VLOOKUP(AC83,★原価商品!$E$6:$F$349,2,FALSE)</f>
        <v>毎日/B4（折り無し）</v>
      </c>
      <c r="AE83" s="203">
        <f t="shared" ca="1" si="11"/>
        <v>0</v>
      </c>
      <c r="AF83" s="383">
        <f ca="1">IFERROR(IF(VLOOKUP(申込書!$C$32,★サイズ表記!$F$4:$H$55,3,FALSE)="切り捨て",ROUNDDOWN(L83*IF(AK83="◎",I83,J83)/100,2),IF(VLOOKUP(申込書!$C$32,★サイズ表記!$F$4:$H$55,3,FALSE)="切り上げ",ROUNDUP(L83*IF(AK83="◎",I83,J83)/100,2),ROUND(L83*IF(AK83="◎",I83,J83)/100,2))),0)</f>
        <v>2.35</v>
      </c>
      <c r="AG83" s="203">
        <f t="shared" ca="1" si="12"/>
        <v>0</v>
      </c>
      <c r="AJ83" s="460" t="str">
        <f>IFERROR(VLOOKUP(申込書!$C$30,★業種!$D$2:$E$87,2,FALSE),"")</f>
        <v>1003</v>
      </c>
      <c r="AK83" s="460" t="str">
        <f ca="1">IF(申込書!$C$36="◎",IF(OR(D83="浜坂・温泉",D83="美方・村岡",D83="香住",D83="岡山",D83="大阪"),"",IF(LEFT(F83)="D","◎",IF(AG83=0,"",IFERROR(IF(VLOOKUP(AG83,★仕入先!$A$2:$C$211,3,FALSE)=0,"","◎"),"")))),"")</f>
        <v/>
      </c>
      <c r="AL83" s="460">
        <f>申込書!$H$14</f>
        <v>0</v>
      </c>
      <c r="AM83" s="460" t="str">
        <f>申込書!$C$32</f>
        <v>B4（折り無し）</v>
      </c>
      <c r="AN83" s="460" t="str">
        <f>VLOOKUP(AM83,★サイズ表記!$D$4:$E$55,2,FALSE)</f>
        <v>1001</v>
      </c>
      <c r="AO83" s="460">
        <f>IF(C83&lt;&gt;"⑧兵庫",VLOOKUP(LEFT(F83),★新聞!$A$4:$B$12,2,FALSE),IF(LEFT(F83)&lt;&gt;"S",VLOOKUP(LEFT(F83),★新聞!$A$4:$B$12,2,FALSE),VLOOKUP("X",★新聞!$A$4:$B$12,2,FALSE)))</f>
        <v>4</v>
      </c>
      <c r="AP83" s="460" t="str">
        <f t="shared" ca="1" si="13"/>
        <v>0</v>
      </c>
      <c r="AQ83" s="460" t="str">
        <f>IF(申込書!$C$38="","",申込書!$C$38)</f>
        <v/>
      </c>
    </row>
    <row r="84" spans="1:43">
      <c r="A84" s="463">
        <f t="shared" si="14"/>
        <v>83</v>
      </c>
      <c r="B84" s="463" t="str">
        <f t="shared" si="15"/>
        <v>東部</v>
      </c>
      <c r="C84" s="464" t="s">
        <v>1101</v>
      </c>
      <c r="D84" s="464" t="s">
        <v>1022</v>
      </c>
      <c r="E84" s="464">
        <f>VLOOKUP(D84,★折込地区!$A$2:$D$10,4,FALSE)</f>
        <v>1</v>
      </c>
      <c r="F84" s="464" t="s">
        <v>463</v>
      </c>
      <c r="G84" s="464" t="str">
        <f>INDEX(★新聞!$E$4:$I$12, MATCH(LEFT(F84),★新聞!$A$4:$A$12,0), MATCH(LEFT(W84),★新聞!$E$3:$I$3,0))</f>
        <v>AG</v>
      </c>
      <c r="H84" s="475" t="s">
        <v>1104</v>
      </c>
      <c r="I84" s="464" cm="1">
        <f t="array" ref="I84">IFERROR(INDEX(★原価率!$A$2:$E$50,MATCH($C84&amp;$H84,★原価率!$A$2:$A$50&amp;★原価率!$B$2:$B$50,0),3),0)</f>
        <v>84</v>
      </c>
      <c r="J84" s="464" cm="1">
        <f t="array" ref="J84">IFERROR(INDEX(★原価率!$A$2:$E$50,MATCH($C84&amp;$H84,★原価率!$A$2:$A$50&amp;★原価率!$B$2:$B$50,0),4),0)</f>
        <v>84</v>
      </c>
      <c r="K84" s="464" cm="1">
        <f t="array" ref="K84">IFERROR(INDEX(★原価率!$A$2:$E$50,MATCH($C84&amp;$H84,★原価率!$A$2:$A$50&amp;★原価率!$B$2:$B$50,0),5),0)</f>
        <v>100</v>
      </c>
      <c r="L84" s="528">
        <f>IFERROR(VLOOKUP(W84,★商品!$A$1:$H$1231,8,FALSE),0)</f>
        <v>2.8</v>
      </c>
      <c r="M84" s="203" t="str">
        <f ca="1">CONCATENATE(VLOOKUP(B84,★営業所!$A$2:$B$5,2,FALSE),TEXT(NOW(),"yyyy"))</f>
        <v>T2023</v>
      </c>
      <c r="N84" s="203">
        <v>1</v>
      </c>
      <c r="O84" s="203">
        <v>0</v>
      </c>
      <c r="P84" s="213">
        <f>申込書!$B$6</f>
        <v>0</v>
      </c>
      <c r="Q84" s="203">
        <f>申込書!$C$34</f>
        <v>1000040</v>
      </c>
      <c r="R84" s="203">
        <v>0</v>
      </c>
      <c r="U84" s="203">
        <f>VLOOKUP(B84,★営業所!$A$2:$C$5,3,FALSE)</f>
        <v>8</v>
      </c>
      <c r="V84" s="203">
        <f>申込書!$B$9</f>
        <v>0</v>
      </c>
      <c r="W84" s="203" t="str">
        <f>CONCATENATE(VLOOKUP(B84,★営業所!$A$2:$B$5,2,FALSE),VLOOKUP(申込書!$C$32,★サイズ表記!$D$4:$E$55,2,FALSE),VLOOKUP(D84,★折込地区!$A$2:$B$11,2,FALSE))</f>
        <v>T1001Tot</v>
      </c>
      <c r="X84" s="203" t="str">
        <f>CONCATENATE(申込書!$B$9," ",VLOOKUP(RIGHT(W84,3),★折込地区!$B$2:$C$10,2,FALSE),"")</f>
        <v xml:space="preserve"> 鳥取</v>
      </c>
      <c r="Z84" s="206">
        <f t="shared" ca="1" si="8"/>
        <v>0</v>
      </c>
      <c r="AB84" s="383">
        <f t="shared" si="9"/>
        <v>2.8</v>
      </c>
      <c r="AC84" s="203" t="str">
        <f t="shared" si="10"/>
        <v>M1001</v>
      </c>
      <c r="AD84" s="203" t="str">
        <f>VLOOKUP(AC84,★原価商品!$E$6:$F$349,2,FALSE)</f>
        <v>毎日/B4（折り無し）</v>
      </c>
      <c r="AE84" s="203">
        <f t="shared" ca="1" si="11"/>
        <v>0</v>
      </c>
      <c r="AF84" s="383">
        <f ca="1">IFERROR(IF(VLOOKUP(申込書!$C$32,★サイズ表記!$F$4:$H$55,3,FALSE)="切り捨て",ROUNDDOWN(L84*IF(AK84="◎",I84,J84)/100,2),IF(VLOOKUP(申込書!$C$32,★サイズ表記!$F$4:$H$55,3,FALSE)="切り上げ",ROUNDUP(L84*IF(AK84="◎",I84,J84)/100,2),ROUND(L84*IF(AK84="◎",I84,J84)/100,2))),0)</f>
        <v>2.35</v>
      </c>
      <c r="AG84" s="203">
        <f t="shared" ca="1" si="12"/>
        <v>10113</v>
      </c>
      <c r="AJ84" s="460" t="str">
        <f>IFERROR(VLOOKUP(申込書!$C$30,★業種!$D$2:$E$87,2,FALSE),"")</f>
        <v>1003</v>
      </c>
      <c r="AK84" s="460" t="str">
        <f ca="1">IF(申込書!$C$36="◎",IF(OR(D84="浜坂・温泉",D84="美方・村岡",D84="香住",D84="岡山",D84="大阪"),"",IF(LEFT(F84)="D","◎",IF(AG84=0,"",IFERROR(IF(VLOOKUP(AG84,★仕入先!$A$2:$C$211,3,FALSE)=0,"","◎"),"")))),"")</f>
        <v/>
      </c>
      <c r="AL84" s="460">
        <f>申込書!$H$14</f>
        <v>0</v>
      </c>
      <c r="AM84" s="460" t="str">
        <f>申込書!$C$32</f>
        <v>B4（折り無し）</v>
      </c>
      <c r="AN84" s="460" t="str">
        <f>VLOOKUP(AM84,★サイズ表記!$D$4:$E$55,2,FALSE)</f>
        <v>1001</v>
      </c>
      <c r="AO84" s="460">
        <f>IF(C84&lt;&gt;"⑧兵庫",VLOOKUP(LEFT(F84),★新聞!$A$4:$B$12,2,FALSE),IF(LEFT(F84)&lt;&gt;"S",VLOOKUP(LEFT(F84),★新聞!$A$4:$B$12,2,FALSE),VLOOKUP("X",★新聞!$A$4:$B$12,2,FALSE)))</f>
        <v>4</v>
      </c>
      <c r="AP84" s="460" t="str">
        <f t="shared" ca="1" si="13"/>
        <v>0</v>
      </c>
      <c r="AQ84" s="460" t="str">
        <f>IF(申込書!$C$38="","",申込書!$C$38)</f>
        <v/>
      </c>
    </row>
    <row r="85" spans="1:43">
      <c r="A85" s="463">
        <f t="shared" si="14"/>
        <v>84</v>
      </c>
      <c r="B85" s="463" t="str">
        <f t="shared" si="15"/>
        <v>東部</v>
      </c>
      <c r="C85" s="464" t="s">
        <v>1101</v>
      </c>
      <c r="D85" s="464" t="s">
        <v>1022</v>
      </c>
      <c r="E85" s="464">
        <f>VLOOKUP(D85,★折込地区!$A$2:$D$10,4,FALSE)</f>
        <v>1</v>
      </c>
      <c r="F85" s="464" t="s">
        <v>464</v>
      </c>
      <c r="G85" s="464" t="str">
        <f>INDEX(★新聞!$E$4:$I$12, MATCH(LEFT(F85),★新聞!$A$4:$A$12,0), MATCH(LEFT(W85),★新聞!$E$3:$I$3,0))</f>
        <v>AG</v>
      </c>
      <c r="H85" s="475" t="s">
        <v>1104</v>
      </c>
      <c r="I85" s="464" cm="1">
        <f t="array" ref="I85">IFERROR(INDEX(★原価率!$A$2:$E$50,MATCH($C85&amp;$H85,★原価率!$A$2:$A$50&amp;★原価率!$B$2:$B$50,0),3),0)</f>
        <v>84</v>
      </c>
      <c r="J85" s="464" cm="1">
        <f t="array" ref="J85">IFERROR(INDEX(★原価率!$A$2:$E$50,MATCH($C85&amp;$H85,★原価率!$A$2:$A$50&amp;★原価率!$B$2:$B$50,0),4),0)</f>
        <v>84</v>
      </c>
      <c r="K85" s="464" cm="1">
        <f t="array" ref="K85">IFERROR(INDEX(★原価率!$A$2:$E$50,MATCH($C85&amp;$H85,★原価率!$A$2:$A$50&amp;★原価率!$B$2:$B$50,0),5),0)</f>
        <v>100</v>
      </c>
      <c r="L85" s="528">
        <f>IFERROR(VLOOKUP(W85,★商品!$A$1:$H$1231,8,FALSE),0)</f>
        <v>2.8</v>
      </c>
      <c r="M85" s="203" t="str">
        <f ca="1">CONCATENATE(VLOOKUP(B85,★営業所!$A$2:$B$5,2,FALSE),TEXT(NOW(),"yyyy"))</f>
        <v>T2023</v>
      </c>
      <c r="N85" s="203">
        <v>1</v>
      </c>
      <c r="O85" s="203">
        <v>0</v>
      </c>
      <c r="P85" s="213">
        <f>申込書!$B$6</f>
        <v>0</v>
      </c>
      <c r="Q85" s="203">
        <f>申込書!$C$34</f>
        <v>1000040</v>
      </c>
      <c r="R85" s="203">
        <v>0</v>
      </c>
      <c r="U85" s="203">
        <f>VLOOKUP(B85,★営業所!$A$2:$C$5,3,FALSE)</f>
        <v>8</v>
      </c>
      <c r="V85" s="203">
        <f>申込書!$B$9</f>
        <v>0</v>
      </c>
      <c r="W85" s="203" t="str">
        <f>CONCATENATE(VLOOKUP(B85,★営業所!$A$2:$B$5,2,FALSE),VLOOKUP(申込書!$C$32,★サイズ表記!$D$4:$E$55,2,FALSE),VLOOKUP(D85,★折込地区!$A$2:$B$11,2,FALSE))</f>
        <v>T1001Tot</v>
      </c>
      <c r="X85" s="203" t="str">
        <f>CONCATENATE(申込書!$B$9," ",VLOOKUP(RIGHT(W85,3),★折込地区!$B$2:$C$10,2,FALSE),"")</f>
        <v xml:space="preserve"> 鳥取</v>
      </c>
      <c r="Z85" s="206">
        <f t="shared" ca="1" si="8"/>
        <v>0</v>
      </c>
      <c r="AB85" s="383">
        <f t="shared" si="9"/>
        <v>2.8</v>
      </c>
      <c r="AC85" s="203" t="str">
        <f t="shared" si="10"/>
        <v>M1001</v>
      </c>
      <c r="AD85" s="203" t="str">
        <f>VLOOKUP(AC85,★原価商品!$E$6:$F$349,2,FALSE)</f>
        <v>毎日/B4（折り無し）</v>
      </c>
      <c r="AE85" s="203">
        <f t="shared" ca="1" si="11"/>
        <v>0</v>
      </c>
      <c r="AF85" s="383">
        <f ca="1">IFERROR(IF(VLOOKUP(申込書!$C$32,★サイズ表記!$F$4:$H$55,3,FALSE)="切り捨て",ROUNDDOWN(L85*IF(AK85="◎",I85,J85)/100,2),IF(VLOOKUP(申込書!$C$32,★サイズ表記!$F$4:$H$55,3,FALSE)="切り上げ",ROUNDUP(L85*IF(AK85="◎",I85,J85)/100,2),ROUND(L85*IF(AK85="◎",I85,J85)/100,2))),0)</f>
        <v>2.35</v>
      </c>
      <c r="AG85" s="203">
        <f t="shared" ca="1" si="12"/>
        <v>10113</v>
      </c>
      <c r="AJ85" s="460" t="str">
        <f>IFERROR(VLOOKUP(申込書!$C$30,★業種!$D$2:$E$87,2,FALSE),"")</f>
        <v>1003</v>
      </c>
      <c r="AK85" s="460" t="str">
        <f ca="1">IF(申込書!$C$36="◎",IF(OR(D85="浜坂・温泉",D85="美方・村岡",D85="香住",D85="岡山",D85="大阪"),"",IF(LEFT(F85)="D","◎",IF(AG85=0,"",IFERROR(IF(VLOOKUP(AG85,★仕入先!$A$2:$C$211,3,FALSE)=0,"","◎"),"")))),"")</f>
        <v/>
      </c>
      <c r="AL85" s="460">
        <f>申込書!$H$14</f>
        <v>0</v>
      </c>
      <c r="AM85" s="460" t="str">
        <f>申込書!$C$32</f>
        <v>B4（折り無し）</v>
      </c>
      <c r="AN85" s="460" t="str">
        <f>VLOOKUP(AM85,★サイズ表記!$D$4:$E$55,2,FALSE)</f>
        <v>1001</v>
      </c>
      <c r="AO85" s="460">
        <f>IF(C85&lt;&gt;"⑧兵庫",VLOOKUP(LEFT(F85),★新聞!$A$4:$B$12,2,FALSE),IF(LEFT(F85)&lt;&gt;"S",VLOOKUP(LEFT(F85),★新聞!$A$4:$B$12,2,FALSE),VLOOKUP("X",★新聞!$A$4:$B$12,2,FALSE)))</f>
        <v>4</v>
      </c>
      <c r="AP85" s="460" t="str">
        <f t="shared" ca="1" si="13"/>
        <v>0</v>
      </c>
      <c r="AQ85" s="460" t="str">
        <f>IF(申込書!$C$38="","",申込書!$C$38)</f>
        <v/>
      </c>
    </row>
    <row r="86" spans="1:43">
      <c r="A86" s="463">
        <f t="shared" si="14"/>
        <v>85</v>
      </c>
      <c r="B86" s="463" t="str">
        <f t="shared" si="15"/>
        <v>東部</v>
      </c>
      <c r="C86" s="464" t="s">
        <v>1101</v>
      </c>
      <c r="D86" s="464" t="s">
        <v>1022</v>
      </c>
      <c r="E86" s="464">
        <f>VLOOKUP(D86,★折込地区!$A$2:$D$10,4,FALSE)</f>
        <v>1</v>
      </c>
      <c r="F86" s="464" t="s">
        <v>465</v>
      </c>
      <c r="G86" s="464" t="str">
        <f>INDEX(★新聞!$E$4:$I$12, MATCH(LEFT(F86),★新聞!$A$4:$A$12,0), MATCH(LEFT(W86),★新聞!$E$3:$I$3,0))</f>
        <v>AG</v>
      </c>
      <c r="H86" s="555" t="s">
        <v>1102</v>
      </c>
      <c r="I86" s="464" cm="1">
        <f t="array" ref="I86">IFERROR(INDEX(★原価率!$A$2:$E$50,MATCH($C86&amp;$H86,★原価率!$A$2:$A$50&amp;★原価率!$B$2:$B$50,0),3),0)</f>
        <v>74</v>
      </c>
      <c r="J86" s="464" cm="1">
        <f t="array" ref="J86">IFERROR(INDEX(★原価率!$A$2:$E$50,MATCH($C86&amp;$H86,★原価率!$A$2:$A$50&amp;★原価率!$B$2:$B$50,0),4),0)</f>
        <v>84</v>
      </c>
      <c r="K86" s="464" cm="1">
        <f t="array" ref="K86">IFERROR(INDEX(★原価率!$A$2:$E$50,MATCH($C86&amp;$H86,★原価率!$A$2:$A$50&amp;★原価率!$B$2:$B$50,0),5),0)</f>
        <v>100</v>
      </c>
      <c r="L86" s="528">
        <f>IFERROR(VLOOKUP(W86,★商品!$A$1:$H$1231,8,FALSE),0)</f>
        <v>2.8</v>
      </c>
      <c r="M86" s="203" t="str">
        <f ca="1">CONCATENATE(VLOOKUP(B86,★営業所!$A$2:$B$5,2,FALSE),TEXT(NOW(),"yyyy"))</f>
        <v>T2023</v>
      </c>
      <c r="N86" s="203">
        <v>1</v>
      </c>
      <c r="O86" s="203">
        <v>0</v>
      </c>
      <c r="P86" s="213">
        <f>申込書!$B$6</f>
        <v>0</v>
      </c>
      <c r="Q86" s="203">
        <f>申込書!$C$34</f>
        <v>1000040</v>
      </c>
      <c r="R86" s="203">
        <v>0</v>
      </c>
      <c r="U86" s="203">
        <f>VLOOKUP(B86,★営業所!$A$2:$C$5,3,FALSE)</f>
        <v>8</v>
      </c>
      <c r="V86" s="203">
        <f>申込書!$B$9</f>
        <v>0</v>
      </c>
      <c r="W86" s="203" t="str">
        <f>CONCATENATE(VLOOKUP(B86,★営業所!$A$2:$B$5,2,FALSE),VLOOKUP(申込書!$C$32,★サイズ表記!$D$4:$E$55,2,FALSE),VLOOKUP(D86,★折込地区!$A$2:$B$11,2,FALSE))</f>
        <v>T1001Tot</v>
      </c>
      <c r="X86" s="203" t="str">
        <f>CONCATENATE(申込書!$B$9," ",VLOOKUP(RIGHT(W86,3),★折込地区!$B$2:$C$10,2,FALSE),"")</f>
        <v xml:space="preserve"> 鳥取</v>
      </c>
      <c r="Z86" s="206">
        <f t="shared" ca="1" si="8"/>
        <v>0</v>
      </c>
      <c r="AB86" s="383">
        <f t="shared" si="9"/>
        <v>2.8</v>
      </c>
      <c r="AC86" s="203" t="str">
        <f t="shared" si="10"/>
        <v>M1001</v>
      </c>
      <c r="AD86" s="203" t="str">
        <f>VLOOKUP(AC86,★原価商品!$E$6:$F$349,2,FALSE)</f>
        <v>毎日/B4（折り無し）</v>
      </c>
      <c r="AE86" s="203">
        <f t="shared" ca="1" si="11"/>
        <v>0</v>
      </c>
      <c r="AF86" s="383">
        <f ca="1">IFERROR(IF(VLOOKUP(申込書!$C$32,★サイズ表記!$F$4:$H$55,3,FALSE)="切り捨て",ROUNDDOWN(L86*IF(AK86="◎",I86,J86)/100,2),IF(VLOOKUP(申込書!$C$32,★サイズ表記!$F$4:$H$55,3,FALSE)="切り上げ",ROUNDUP(L86*IF(AK86="◎",I86,J86)/100,2),ROUND(L86*IF(AK86="◎",I86,J86)/100,2))),0)</f>
        <v>2.0699999999999998</v>
      </c>
      <c r="AG86" s="203">
        <f t="shared" ca="1" si="12"/>
        <v>10029</v>
      </c>
      <c r="AJ86" s="460" t="str">
        <f>IFERROR(VLOOKUP(申込書!$C$30,★業種!$D$2:$E$87,2,FALSE),"")</f>
        <v>1003</v>
      </c>
      <c r="AK86" s="460" t="str">
        <f ca="1">IF(申込書!$C$36="◎",IF(OR(D86="浜坂・温泉",D86="美方・村岡",D86="香住",D86="岡山",D86="大阪"),"",IF(LEFT(F86)="D","◎",IF(AG86=0,"",IFERROR(IF(VLOOKUP(AG86,★仕入先!$A$2:$C$211,3,FALSE)=0,"","◎"),"")))),"")</f>
        <v>◎</v>
      </c>
      <c r="AL86" s="460">
        <f>申込書!$H$14</f>
        <v>0</v>
      </c>
      <c r="AM86" s="460" t="str">
        <f>申込書!$C$32</f>
        <v>B4（折り無し）</v>
      </c>
      <c r="AN86" s="460" t="str">
        <f>VLOOKUP(AM86,★サイズ表記!$D$4:$E$55,2,FALSE)</f>
        <v>1001</v>
      </c>
      <c r="AO86" s="460">
        <f>IF(C86&lt;&gt;"⑧兵庫",VLOOKUP(LEFT(F86),★新聞!$A$4:$B$12,2,FALSE),IF(LEFT(F86)&lt;&gt;"S",VLOOKUP(LEFT(F86),★新聞!$A$4:$B$12,2,FALSE),VLOOKUP("X",★新聞!$A$4:$B$12,2,FALSE)))</f>
        <v>4</v>
      </c>
      <c r="AP86" s="460" t="str">
        <f t="shared" ca="1" si="13"/>
        <v>0</v>
      </c>
      <c r="AQ86" s="460" t="str">
        <f>IF(申込書!$C$38="","",申込書!$C$38)</f>
        <v/>
      </c>
    </row>
    <row r="87" spans="1:43">
      <c r="A87" s="463">
        <f t="shared" si="14"/>
        <v>86</v>
      </c>
      <c r="B87" s="463" t="str">
        <f t="shared" si="15"/>
        <v>東部</v>
      </c>
      <c r="C87" s="464" t="s">
        <v>1101</v>
      </c>
      <c r="D87" s="464" t="s">
        <v>1022</v>
      </c>
      <c r="E87" s="464">
        <f>VLOOKUP(D87,★折込地区!$A$2:$D$10,4,FALSE)</f>
        <v>1</v>
      </c>
      <c r="F87" s="464" t="s">
        <v>466</v>
      </c>
      <c r="G87" s="464" t="str">
        <f>INDEX(★新聞!$E$4:$I$12, MATCH(LEFT(F87),★新聞!$A$4:$A$12,0), MATCH(LEFT(W87),★新聞!$E$3:$I$3,0))</f>
        <v>AG</v>
      </c>
      <c r="H87" s="555" t="s">
        <v>1102</v>
      </c>
      <c r="I87" s="464" cm="1">
        <f t="array" ref="I87">IFERROR(INDEX(★原価率!$A$2:$E$50,MATCH($C87&amp;$H87,★原価率!$A$2:$A$50&amp;★原価率!$B$2:$B$50,0),3),0)</f>
        <v>74</v>
      </c>
      <c r="J87" s="464" cm="1">
        <f t="array" ref="J87">IFERROR(INDEX(★原価率!$A$2:$E$50,MATCH($C87&amp;$H87,★原価率!$A$2:$A$50&amp;★原価率!$B$2:$B$50,0),4),0)</f>
        <v>84</v>
      </c>
      <c r="K87" s="464" cm="1">
        <f t="array" ref="K87">IFERROR(INDEX(★原価率!$A$2:$E$50,MATCH($C87&amp;$H87,★原価率!$A$2:$A$50&amp;★原価率!$B$2:$B$50,0),5),0)</f>
        <v>100</v>
      </c>
      <c r="L87" s="528">
        <f>IFERROR(VLOOKUP(W87,★商品!$A$1:$H$1231,8,FALSE),0)</f>
        <v>2.8</v>
      </c>
      <c r="M87" s="203" t="str">
        <f ca="1">CONCATENATE(VLOOKUP(B87,★営業所!$A$2:$B$5,2,FALSE),TEXT(NOW(),"yyyy"))</f>
        <v>T2023</v>
      </c>
      <c r="N87" s="203">
        <v>1</v>
      </c>
      <c r="O87" s="203">
        <v>0</v>
      </c>
      <c r="P87" s="213">
        <f>申込書!$B$6</f>
        <v>0</v>
      </c>
      <c r="Q87" s="203">
        <f>申込書!$C$34</f>
        <v>1000040</v>
      </c>
      <c r="R87" s="203">
        <v>0</v>
      </c>
      <c r="U87" s="203">
        <f>VLOOKUP(B87,★営業所!$A$2:$C$5,3,FALSE)</f>
        <v>8</v>
      </c>
      <c r="V87" s="203">
        <f>申込書!$B$9</f>
        <v>0</v>
      </c>
      <c r="W87" s="203" t="str">
        <f>CONCATENATE(VLOOKUP(B87,★営業所!$A$2:$B$5,2,FALSE),VLOOKUP(申込書!$C$32,★サイズ表記!$D$4:$E$55,2,FALSE),VLOOKUP(D87,★折込地区!$A$2:$B$11,2,FALSE))</f>
        <v>T1001Tot</v>
      </c>
      <c r="X87" s="203" t="str">
        <f>CONCATENATE(申込書!$B$9," ",VLOOKUP(RIGHT(W87,3),★折込地区!$B$2:$C$10,2,FALSE),"")</f>
        <v xml:space="preserve"> 鳥取</v>
      </c>
      <c r="Z87" s="206">
        <f t="shared" ca="1" si="8"/>
        <v>0</v>
      </c>
      <c r="AB87" s="383">
        <f t="shared" si="9"/>
        <v>2.8</v>
      </c>
      <c r="AC87" s="203" t="str">
        <f t="shared" si="10"/>
        <v>M1001</v>
      </c>
      <c r="AD87" s="203" t="str">
        <f>VLOOKUP(AC87,★原価商品!$E$6:$F$349,2,FALSE)</f>
        <v>毎日/B4（折り無し）</v>
      </c>
      <c r="AE87" s="203">
        <f t="shared" ca="1" si="11"/>
        <v>0</v>
      </c>
      <c r="AF87" s="383">
        <f ca="1">IFERROR(IF(VLOOKUP(申込書!$C$32,★サイズ表記!$F$4:$H$55,3,FALSE)="切り捨て",ROUNDDOWN(L87*IF(AK87="◎",I87,J87)/100,2),IF(VLOOKUP(申込書!$C$32,★サイズ表記!$F$4:$H$55,3,FALSE)="切り上げ",ROUNDUP(L87*IF(AK87="◎",I87,J87)/100,2),ROUND(L87*IF(AK87="◎",I87,J87)/100,2))),0)</f>
        <v>2.0699999999999998</v>
      </c>
      <c r="AG87" s="203">
        <f t="shared" ca="1" si="12"/>
        <v>10033</v>
      </c>
      <c r="AJ87" s="460" t="str">
        <f>IFERROR(VLOOKUP(申込書!$C$30,★業種!$D$2:$E$87,2,FALSE),"")</f>
        <v>1003</v>
      </c>
      <c r="AK87" s="460" t="str">
        <f ca="1">IF(申込書!$C$36="◎",IF(OR(D87="浜坂・温泉",D87="美方・村岡",D87="香住",D87="岡山",D87="大阪"),"",IF(LEFT(F87)="D","◎",IF(AG87=0,"",IFERROR(IF(VLOOKUP(AG87,★仕入先!$A$2:$C$211,3,FALSE)=0,"","◎"),"")))),"")</f>
        <v>◎</v>
      </c>
      <c r="AL87" s="460">
        <f>申込書!$H$14</f>
        <v>0</v>
      </c>
      <c r="AM87" s="460" t="str">
        <f>申込書!$C$32</f>
        <v>B4（折り無し）</v>
      </c>
      <c r="AN87" s="460" t="str">
        <f>VLOOKUP(AM87,★サイズ表記!$D$4:$E$55,2,FALSE)</f>
        <v>1001</v>
      </c>
      <c r="AO87" s="460">
        <f>IF(C87&lt;&gt;"⑧兵庫",VLOOKUP(LEFT(F87),★新聞!$A$4:$B$12,2,FALSE),IF(LEFT(F87)&lt;&gt;"S",VLOOKUP(LEFT(F87),★新聞!$A$4:$B$12,2,FALSE),VLOOKUP("X",★新聞!$A$4:$B$12,2,FALSE)))</f>
        <v>4</v>
      </c>
      <c r="AP87" s="460" t="str">
        <f t="shared" ca="1" si="13"/>
        <v>0</v>
      </c>
      <c r="AQ87" s="460" t="str">
        <f>IF(申込書!$C$38="","",申込書!$C$38)</f>
        <v/>
      </c>
    </row>
    <row r="88" spans="1:43">
      <c r="A88" s="463">
        <f t="shared" si="14"/>
        <v>87</v>
      </c>
      <c r="B88" s="463" t="str">
        <f t="shared" si="15"/>
        <v>東部</v>
      </c>
      <c r="C88" s="464" t="s">
        <v>1101</v>
      </c>
      <c r="D88" s="464" t="s">
        <v>1022</v>
      </c>
      <c r="E88" s="464">
        <f>VLOOKUP(D88,★折込地区!$A$2:$D$10,4,FALSE)</f>
        <v>1</v>
      </c>
      <c r="F88" s="464" t="s">
        <v>467</v>
      </c>
      <c r="G88" s="464" t="str">
        <f>INDEX(★新聞!$E$4:$I$12, MATCH(LEFT(F88),★新聞!$A$4:$A$12,0), MATCH(LEFT(W88),★新聞!$E$3:$I$3,0))</f>
        <v>AG</v>
      </c>
      <c r="H88" s="555" t="s">
        <v>1102</v>
      </c>
      <c r="I88" s="464" cm="1">
        <f t="array" ref="I88">IFERROR(INDEX(★原価率!$A$2:$E$50,MATCH($C88&amp;$H88,★原価率!$A$2:$A$50&amp;★原価率!$B$2:$B$50,0),3),0)</f>
        <v>74</v>
      </c>
      <c r="J88" s="464" cm="1">
        <f t="array" ref="J88">IFERROR(INDEX(★原価率!$A$2:$E$50,MATCH($C88&amp;$H88,★原価率!$A$2:$A$50&amp;★原価率!$B$2:$B$50,0),4),0)</f>
        <v>84</v>
      </c>
      <c r="K88" s="464" cm="1">
        <f t="array" ref="K88">IFERROR(INDEX(★原価率!$A$2:$E$50,MATCH($C88&amp;$H88,★原価率!$A$2:$A$50&amp;★原価率!$B$2:$B$50,0),5),0)</f>
        <v>100</v>
      </c>
      <c r="L88" s="528">
        <f>IFERROR(VLOOKUP(W88,★商品!$A$1:$H$1231,8,FALSE),0)</f>
        <v>2.8</v>
      </c>
      <c r="M88" s="203" t="str">
        <f ca="1">CONCATENATE(VLOOKUP(B88,★営業所!$A$2:$B$5,2,FALSE),TEXT(NOW(),"yyyy"))</f>
        <v>T2023</v>
      </c>
      <c r="N88" s="203">
        <v>1</v>
      </c>
      <c r="O88" s="203">
        <v>0</v>
      </c>
      <c r="P88" s="213">
        <f>申込書!$B$6</f>
        <v>0</v>
      </c>
      <c r="Q88" s="203">
        <f>申込書!$C$34</f>
        <v>1000040</v>
      </c>
      <c r="R88" s="203">
        <v>0</v>
      </c>
      <c r="U88" s="203">
        <f>VLOOKUP(B88,★営業所!$A$2:$C$5,3,FALSE)</f>
        <v>8</v>
      </c>
      <c r="V88" s="203">
        <f>申込書!$B$9</f>
        <v>0</v>
      </c>
      <c r="W88" s="203" t="str">
        <f>CONCATENATE(VLOOKUP(B88,★営業所!$A$2:$B$5,2,FALSE),VLOOKUP(申込書!$C$32,★サイズ表記!$D$4:$E$55,2,FALSE),VLOOKUP(D88,★折込地区!$A$2:$B$11,2,FALSE))</f>
        <v>T1001Tot</v>
      </c>
      <c r="X88" s="203" t="str">
        <f>CONCATENATE(申込書!$B$9," ",VLOOKUP(RIGHT(W88,3),★折込地区!$B$2:$C$10,2,FALSE),"")</f>
        <v xml:space="preserve"> 鳥取</v>
      </c>
      <c r="Z88" s="206">
        <f t="shared" ca="1" si="8"/>
        <v>0</v>
      </c>
      <c r="AB88" s="383">
        <f t="shared" si="9"/>
        <v>2.8</v>
      </c>
      <c r="AC88" s="203" t="str">
        <f t="shared" si="10"/>
        <v>M1001</v>
      </c>
      <c r="AD88" s="203" t="str">
        <f>VLOOKUP(AC88,★原価商品!$E$6:$F$349,2,FALSE)</f>
        <v>毎日/B4（折り無し）</v>
      </c>
      <c r="AE88" s="203">
        <f t="shared" ca="1" si="11"/>
        <v>0</v>
      </c>
      <c r="AF88" s="383">
        <f ca="1">IFERROR(IF(VLOOKUP(申込書!$C$32,★サイズ表記!$F$4:$H$55,3,FALSE)="切り捨て",ROUNDDOWN(L88*IF(AK88="◎",I88,J88)/100,2),IF(VLOOKUP(申込書!$C$32,★サイズ表記!$F$4:$H$55,3,FALSE)="切り上げ",ROUNDUP(L88*IF(AK88="◎",I88,J88)/100,2),ROUND(L88*IF(AK88="◎",I88,J88)/100,2))),0)</f>
        <v>2.0699999999999998</v>
      </c>
      <c r="AG88" s="203">
        <f t="shared" ca="1" si="12"/>
        <v>10036</v>
      </c>
      <c r="AJ88" s="460" t="str">
        <f>IFERROR(VLOOKUP(申込書!$C$30,★業種!$D$2:$E$87,2,FALSE),"")</f>
        <v>1003</v>
      </c>
      <c r="AK88" s="460" t="str">
        <f ca="1">IF(申込書!$C$36="◎",IF(OR(D88="浜坂・温泉",D88="美方・村岡",D88="香住",D88="岡山",D88="大阪"),"",IF(LEFT(F88)="D","◎",IF(AG88=0,"",IFERROR(IF(VLOOKUP(AG88,★仕入先!$A$2:$C$211,3,FALSE)=0,"","◎"),"")))),"")</f>
        <v>◎</v>
      </c>
      <c r="AL88" s="460">
        <f>申込書!$H$14</f>
        <v>0</v>
      </c>
      <c r="AM88" s="460" t="str">
        <f>申込書!$C$32</f>
        <v>B4（折り無し）</v>
      </c>
      <c r="AN88" s="460" t="str">
        <f>VLOOKUP(AM88,★サイズ表記!$D$4:$E$55,2,FALSE)</f>
        <v>1001</v>
      </c>
      <c r="AO88" s="460">
        <f>IF(C88&lt;&gt;"⑧兵庫",VLOOKUP(LEFT(F88),★新聞!$A$4:$B$12,2,FALSE),IF(LEFT(F88)&lt;&gt;"S",VLOOKUP(LEFT(F88),★新聞!$A$4:$B$12,2,FALSE),VLOOKUP("X",★新聞!$A$4:$B$12,2,FALSE)))</f>
        <v>4</v>
      </c>
      <c r="AP88" s="460" t="str">
        <f t="shared" ca="1" si="13"/>
        <v>0</v>
      </c>
      <c r="AQ88" s="460" t="str">
        <f>IF(申込書!$C$38="","",申込書!$C$38)</f>
        <v/>
      </c>
    </row>
    <row r="89" spans="1:43">
      <c r="A89" s="463">
        <f t="shared" si="14"/>
        <v>88</v>
      </c>
      <c r="B89" s="463" t="str">
        <f t="shared" si="15"/>
        <v>東部</v>
      </c>
      <c r="C89" s="464" t="s">
        <v>1101</v>
      </c>
      <c r="D89" s="464" t="s">
        <v>1022</v>
      </c>
      <c r="E89" s="464">
        <f>VLOOKUP(D89,★折込地区!$A$2:$D$10,4,FALSE)</f>
        <v>1</v>
      </c>
      <c r="F89" s="464" t="s">
        <v>468</v>
      </c>
      <c r="G89" s="464" t="str">
        <f>INDEX(★新聞!$E$4:$I$12, MATCH(LEFT(F89),★新聞!$A$4:$A$12,0), MATCH(LEFT(W89),★新聞!$E$3:$I$3,0))</f>
        <v>AG</v>
      </c>
      <c r="H89" s="475" t="s">
        <v>1104</v>
      </c>
      <c r="I89" s="464" cm="1">
        <f t="array" ref="I89">IFERROR(INDEX(★原価率!$A$2:$E$50,MATCH($C89&amp;$H89,★原価率!$A$2:$A$50&amp;★原価率!$B$2:$B$50,0),3),0)</f>
        <v>84</v>
      </c>
      <c r="J89" s="464" cm="1">
        <f t="array" ref="J89">IFERROR(INDEX(★原価率!$A$2:$E$50,MATCH($C89&amp;$H89,★原価率!$A$2:$A$50&amp;★原価率!$B$2:$B$50,0),4),0)</f>
        <v>84</v>
      </c>
      <c r="K89" s="464" cm="1">
        <f t="array" ref="K89">IFERROR(INDEX(★原価率!$A$2:$E$50,MATCH($C89&amp;$H89,★原価率!$A$2:$A$50&amp;★原価率!$B$2:$B$50,0),5),0)</f>
        <v>100</v>
      </c>
      <c r="L89" s="528">
        <f>IFERROR(VLOOKUP(W89,★商品!$A$1:$H$1231,8,FALSE),0)</f>
        <v>2.8</v>
      </c>
      <c r="M89" s="203" t="str">
        <f ca="1">CONCATENATE(VLOOKUP(B89,★営業所!$A$2:$B$5,2,FALSE),TEXT(NOW(),"yyyy"))</f>
        <v>T2023</v>
      </c>
      <c r="N89" s="203">
        <v>1</v>
      </c>
      <c r="O89" s="203">
        <v>0</v>
      </c>
      <c r="P89" s="213">
        <f>申込書!$B$6</f>
        <v>0</v>
      </c>
      <c r="Q89" s="203">
        <f>申込書!$C$34</f>
        <v>1000040</v>
      </c>
      <c r="R89" s="203">
        <v>0</v>
      </c>
      <c r="U89" s="203">
        <f>VLOOKUP(B89,★営業所!$A$2:$C$5,3,FALSE)</f>
        <v>8</v>
      </c>
      <c r="V89" s="203">
        <f>申込書!$B$9</f>
        <v>0</v>
      </c>
      <c r="W89" s="203" t="str">
        <f>CONCATENATE(VLOOKUP(B89,★営業所!$A$2:$B$5,2,FALSE),VLOOKUP(申込書!$C$32,★サイズ表記!$D$4:$E$55,2,FALSE),VLOOKUP(D89,★折込地区!$A$2:$B$11,2,FALSE))</f>
        <v>T1001Tot</v>
      </c>
      <c r="X89" s="203" t="str">
        <f>CONCATENATE(申込書!$B$9," ",VLOOKUP(RIGHT(W89,3),★折込地区!$B$2:$C$10,2,FALSE),"")</f>
        <v xml:space="preserve"> 鳥取</v>
      </c>
      <c r="Z89" s="206">
        <f t="shared" ca="1" si="8"/>
        <v>0</v>
      </c>
      <c r="AB89" s="383">
        <f t="shared" si="9"/>
        <v>2.8</v>
      </c>
      <c r="AC89" s="203" t="str">
        <f t="shared" si="10"/>
        <v>M1001</v>
      </c>
      <c r="AD89" s="203" t="str">
        <f>VLOOKUP(AC89,★原価商品!$E$6:$F$349,2,FALSE)</f>
        <v>毎日/B4（折り無し）</v>
      </c>
      <c r="AE89" s="203">
        <f t="shared" ca="1" si="11"/>
        <v>0</v>
      </c>
      <c r="AF89" s="383">
        <f ca="1">IFERROR(IF(VLOOKUP(申込書!$C$32,★サイズ表記!$F$4:$H$55,3,FALSE)="切り捨て",ROUNDDOWN(L89*IF(AK89="◎",I89,J89)/100,2),IF(VLOOKUP(申込書!$C$32,★サイズ表記!$F$4:$H$55,3,FALSE)="切り上げ",ROUNDUP(L89*IF(AK89="◎",I89,J89)/100,2),ROUND(L89*IF(AK89="◎",I89,J89)/100,2))),0)</f>
        <v>2.35</v>
      </c>
      <c r="AG89" s="203">
        <f t="shared" ca="1" si="12"/>
        <v>0</v>
      </c>
      <c r="AJ89" s="460" t="str">
        <f>IFERROR(VLOOKUP(申込書!$C$30,★業種!$D$2:$E$87,2,FALSE),"")</f>
        <v>1003</v>
      </c>
      <c r="AK89" s="460" t="str">
        <f ca="1">IF(申込書!$C$36="◎",IF(OR(D89="浜坂・温泉",D89="美方・村岡",D89="香住",D89="岡山",D89="大阪"),"",IF(LEFT(F89)="D","◎",IF(AG89=0,"",IFERROR(IF(VLOOKUP(AG89,★仕入先!$A$2:$C$211,3,FALSE)=0,"","◎"),"")))),"")</f>
        <v/>
      </c>
      <c r="AL89" s="460">
        <f>申込書!$H$14</f>
        <v>0</v>
      </c>
      <c r="AM89" s="460" t="str">
        <f>申込書!$C$32</f>
        <v>B4（折り無し）</v>
      </c>
      <c r="AN89" s="460" t="str">
        <f>VLOOKUP(AM89,★サイズ表記!$D$4:$E$55,2,FALSE)</f>
        <v>1001</v>
      </c>
      <c r="AO89" s="460">
        <f>IF(C89&lt;&gt;"⑧兵庫",VLOOKUP(LEFT(F89),★新聞!$A$4:$B$12,2,FALSE),IF(LEFT(F89)&lt;&gt;"S",VLOOKUP(LEFT(F89),★新聞!$A$4:$B$12,2,FALSE),VLOOKUP("X",★新聞!$A$4:$B$12,2,FALSE)))</f>
        <v>4</v>
      </c>
      <c r="AP89" s="460" t="str">
        <f t="shared" ca="1" si="13"/>
        <v>0</v>
      </c>
      <c r="AQ89" s="460" t="str">
        <f>IF(申込書!$C$38="","",申込書!$C$38)</f>
        <v/>
      </c>
    </row>
    <row r="90" spans="1:43">
      <c r="A90" s="463">
        <f t="shared" si="14"/>
        <v>89</v>
      </c>
      <c r="B90" s="463" t="str">
        <f t="shared" si="15"/>
        <v>東部</v>
      </c>
      <c r="C90" s="464" t="s">
        <v>1101</v>
      </c>
      <c r="D90" s="464" t="s">
        <v>1022</v>
      </c>
      <c r="E90" s="464">
        <f>VLOOKUP(D90,★折込地区!$A$2:$D$10,4,FALSE)</f>
        <v>1</v>
      </c>
      <c r="F90" s="464" t="s">
        <v>469</v>
      </c>
      <c r="G90" s="464" t="str">
        <f>INDEX(★新聞!$E$4:$I$12, MATCH(LEFT(F90),★新聞!$A$4:$A$12,0), MATCH(LEFT(W90),★新聞!$E$3:$I$3,0))</f>
        <v>AJ</v>
      </c>
      <c r="H90" s="475" t="s">
        <v>1104</v>
      </c>
      <c r="I90" s="464" cm="1">
        <f t="array" ref="I90">IFERROR(INDEX(★原価率!$A$2:$E$50,MATCH($C90&amp;$H90,★原価率!$A$2:$A$50&amp;★原価率!$B$2:$B$50,0),3),0)</f>
        <v>84</v>
      </c>
      <c r="J90" s="464" cm="1">
        <f t="array" ref="J90">IFERROR(INDEX(★原価率!$A$2:$E$50,MATCH($C90&amp;$H90,★原価率!$A$2:$A$50&amp;★原価率!$B$2:$B$50,0),4),0)</f>
        <v>84</v>
      </c>
      <c r="K90" s="464" cm="1">
        <f t="array" ref="K90">IFERROR(INDEX(★原価率!$A$2:$E$50,MATCH($C90&amp;$H90,★原価率!$A$2:$A$50&amp;★原価率!$B$2:$B$50,0),5),0)</f>
        <v>100</v>
      </c>
      <c r="L90" s="528">
        <f>IFERROR(VLOOKUP(W90,★商品!$A$1:$H$1231,8,FALSE),0)</f>
        <v>2.8</v>
      </c>
      <c r="M90" s="203" t="str">
        <f ca="1">CONCATENATE(VLOOKUP(B90,★営業所!$A$2:$B$5,2,FALSE),TEXT(NOW(),"yyyy"))</f>
        <v>T2023</v>
      </c>
      <c r="N90" s="203">
        <v>1</v>
      </c>
      <c r="O90" s="203">
        <v>0</v>
      </c>
      <c r="P90" s="213">
        <f>申込書!$B$6</f>
        <v>0</v>
      </c>
      <c r="Q90" s="203">
        <f>申込書!$C$34</f>
        <v>1000040</v>
      </c>
      <c r="R90" s="203">
        <v>0</v>
      </c>
      <c r="U90" s="203">
        <f>VLOOKUP(B90,★営業所!$A$2:$C$5,3,FALSE)</f>
        <v>8</v>
      </c>
      <c r="V90" s="203">
        <f>申込書!$B$9</f>
        <v>0</v>
      </c>
      <c r="W90" s="203" t="str">
        <f>CONCATENATE(VLOOKUP(B90,★営業所!$A$2:$B$5,2,FALSE),VLOOKUP(申込書!$C$32,★サイズ表記!$D$4:$E$55,2,FALSE),VLOOKUP(D90,★折込地区!$A$2:$B$11,2,FALSE))</f>
        <v>T1001Tot</v>
      </c>
      <c r="X90" s="203" t="str">
        <f>CONCATENATE(申込書!$B$9," ",VLOOKUP(RIGHT(W90,3),★折込地区!$B$2:$C$10,2,FALSE),"")</f>
        <v xml:space="preserve"> 鳥取</v>
      </c>
      <c r="Z90" s="206">
        <f t="shared" ca="1" si="8"/>
        <v>0</v>
      </c>
      <c r="AB90" s="383">
        <f t="shared" si="9"/>
        <v>2.8</v>
      </c>
      <c r="AC90" s="203" t="str">
        <f t="shared" si="10"/>
        <v>P1001</v>
      </c>
      <c r="AD90" s="203" t="str">
        <f>VLOOKUP(AC90,★原価商品!$E$6:$F$349,2,FALSE)</f>
        <v>産経/B4（折り無し）</v>
      </c>
      <c r="AE90" s="203">
        <f t="shared" ca="1" si="11"/>
        <v>0</v>
      </c>
      <c r="AF90" s="383">
        <f ca="1">IFERROR(IF(VLOOKUP(申込書!$C$32,★サイズ表記!$F$4:$H$55,3,FALSE)="切り捨て",ROUNDDOWN(L90*IF(AK90="◎",I90,J90)/100,2),IF(VLOOKUP(申込書!$C$32,★サイズ表記!$F$4:$H$55,3,FALSE)="切り上げ",ROUNDUP(L90*IF(AK90="◎",I90,J90)/100,2),ROUND(L90*IF(AK90="◎",I90,J90)/100,2))),0)</f>
        <v>2.35</v>
      </c>
      <c r="AG90" s="203">
        <f t="shared" ca="1" si="12"/>
        <v>10111</v>
      </c>
      <c r="AJ90" s="460" t="str">
        <f>IFERROR(VLOOKUP(申込書!$C$30,★業種!$D$2:$E$87,2,FALSE),"")</f>
        <v>1003</v>
      </c>
      <c r="AK90" s="460" t="str">
        <f ca="1">IF(申込書!$C$36="◎",IF(OR(D90="浜坂・温泉",D90="美方・村岡",D90="香住",D90="岡山",D90="大阪"),"",IF(LEFT(F90)="D","◎",IF(AG90=0,"",IFERROR(IF(VLOOKUP(AG90,★仕入先!$A$2:$C$211,3,FALSE)=0,"","◎"),"")))),"")</f>
        <v/>
      </c>
      <c r="AL90" s="460">
        <f>申込書!$H$14</f>
        <v>0</v>
      </c>
      <c r="AM90" s="460" t="str">
        <f>申込書!$C$32</f>
        <v>B4（折り無し）</v>
      </c>
      <c r="AN90" s="460" t="str">
        <f>VLOOKUP(AM90,★サイズ表記!$D$4:$E$55,2,FALSE)</f>
        <v>1001</v>
      </c>
      <c r="AO90" s="460">
        <f>IF(C90&lt;&gt;"⑧兵庫",VLOOKUP(LEFT(F90),★新聞!$A$4:$B$12,2,FALSE),IF(LEFT(F90)&lt;&gt;"S",VLOOKUP(LEFT(F90),★新聞!$A$4:$B$12,2,FALSE),VLOOKUP("X",★新聞!$A$4:$B$12,2,FALSE)))</f>
        <v>5</v>
      </c>
      <c r="AP90" s="460" t="str">
        <f t="shared" ca="1" si="13"/>
        <v>0</v>
      </c>
      <c r="AQ90" s="460" t="str">
        <f>IF(申込書!$C$38="","",申込書!$C$38)</f>
        <v/>
      </c>
    </row>
    <row r="91" spans="1:43">
      <c r="A91" s="463">
        <f t="shared" si="14"/>
        <v>90</v>
      </c>
      <c r="B91" s="463" t="str">
        <f t="shared" si="15"/>
        <v>東部</v>
      </c>
      <c r="C91" s="464" t="s">
        <v>1101</v>
      </c>
      <c r="D91" s="464" t="s">
        <v>1022</v>
      </c>
      <c r="E91" s="464">
        <f>VLOOKUP(D91,★折込地区!$A$2:$D$10,4,FALSE)</f>
        <v>1</v>
      </c>
      <c r="F91" s="464" t="s">
        <v>470</v>
      </c>
      <c r="G91" s="464" t="str">
        <f>INDEX(★新聞!$E$4:$I$12, MATCH(LEFT(F91),★新聞!$A$4:$A$12,0), MATCH(LEFT(W91),★新聞!$E$3:$I$3,0))</f>
        <v>AJ</v>
      </c>
      <c r="H91" s="475" t="s">
        <v>1104</v>
      </c>
      <c r="I91" s="464" cm="1">
        <f t="array" ref="I91">IFERROR(INDEX(★原価率!$A$2:$E$50,MATCH($C91&amp;$H91,★原価率!$A$2:$A$50&amp;★原価率!$B$2:$B$50,0),3),0)</f>
        <v>84</v>
      </c>
      <c r="J91" s="464" cm="1">
        <f t="array" ref="J91">IFERROR(INDEX(★原価率!$A$2:$E$50,MATCH($C91&amp;$H91,★原価率!$A$2:$A$50&amp;★原価率!$B$2:$B$50,0),4),0)</f>
        <v>84</v>
      </c>
      <c r="K91" s="464" cm="1">
        <f t="array" ref="K91">IFERROR(INDEX(★原価率!$A$2:$E$50,MATCH($C91&amp;$H91,★原価率!$A$2:$A$50&amp;★原価率!$B$2:$B$50,0),5),0)</f>
        <v>100</v>
      </c>
      <c r="L91" s="528">
        <f>IFERROR(VLOOKUP(W91,★商品!$A$1:$H$1231,8,FALSE),0)</f>
        <v>2.8</v>
      </c>
      <c r="M91" s="203" t="str">
        <f ca="1">CONCATENATE(VLOOKUP(B91,★営業所!$A$2:$B$5,2,FALSE),TEXT(NOW(),"yyyy"))</f>
        <v>T2023</v>
      </c>
      <c r="N91" s="203">
        <v>1</v>
      </c>
      <c r="O91" s="203">
        <v>0</v>
      </c>
      <c r="P91" s="213">
        <f>申込書!$B$6</f>
        <v>0</v>
      </c>
      <c r="Q91" s="203">
        <f>申込書!$C$34</f>
        <v>1000040</v>
      </c>
      <c r="R91" s="203">
        <v>0</v>
      </c>
      <c r="U91" s="203">
        <f>VLOOKUP(B91,★営業所!$A$2:$C$5,3,FALSE)</f>
        <v>8</v>
      </c>
      <c r="V91" s="203">
        <f>申込書!$B$9</f>
        <v>0</v>
      </c>
      <c r="W91" s="203" t="str">
        <f>CONCATENATE(VLOOKUP(B91,★営業所!$A$2:$B$5,2,FALSE),VLOOKUP(申込書!$C$32,★サイズ表記!$D$4:$E$55,2,FALSE),VLOOKUP(D91,★折込地区!$A$2:$B$11,2,FALSE))</f>
        <v>T1001Tot</v>
      </c>
      <c r="X91" s="203" t="str">
        <f>CONCATENATE(申込書!$B$9," ",VLOOKUP(RIGHT(W91,3),★折込地区!$B$2:$C$10,2,FALSE),"")</f>
        <v xml:space="preserve"> 鳥取</v>
      </c>
      <c r="Z91" s="206">
        <f t="shared" ca="1" si="8"/>
        <v>0</v>
      </c>
      <c r="AB91" s="383">
        <f t="shared" si="9"/>
        <v>2.8</v>
      </c>
      <c r="AC91" s="203" t="str">
        <f t="shared" si="10"/>
        <v>P1001</v>
      </c>
      <c r="AD91" s="203" t="str">
        <f>VLOOKUP(AC91,★原価商品!$E$6:$F$349,2,FALSE)</f>
        <v>産経/B4（折り無し）</v>
      </c>
      <c r="AE91" s="203">
        <f t="shared" ca="1" si="11"/>
        <v>0</v>
      </c>
      <c r="AF91" s="383">
        <f ca="1">IFERROR(IF(VLOOKUP(申込書!$C$32,★サイズ表記!$F$4:$H$55,3,FALSE)="切り捨て",ROUNDDOWN(L91*IF(AK91="◎",I91,J91)/100,2),IF(VLOOKUP(申込書!$C$32,★サイズ表記!$F$4:$H$55,3,FALSE)="切り上げ",ROUNDUP(L91*IF(AK91="◎",I91,J91)/100,2),ROUND(L91*IF(AK91="◎",I91,J91)/100,2))),0)</f>
        <v>2.35</v>
      </c>
      <c r="AG91" s="203">
        <f t="shared" ca="1" si="12"/>
        <v>0</v>
      </c>
      <c r="AJ91" s="460" t="str">
        <f>IFERROR(VLOOKUP(申込書!$C$30,★業種!$D$2:$E$87,2,FALSE),"")</f>
        <v>1003</v>
      </c>
      <c r="AK91" s="460" t="str">
        <f ca="1">IF(申込書!$C$36="◎",IF(OR(D91="浜坂・温泉",D91="美方・村岡",D91="香住",D91="岡山",D91="大阪"),"",IF(LEFT(F91)="D","◎",IF(AG91=0,"",IFERROR(IF(VLOOKUP(AG91,★仕入先!$A$2:$C$211,3,FALSE)=0,"","◎"),"")))),"")</f>
        <v/>
      </c>
      <c r="AL91" s="460">
        <f>申込書!$H$14</f>
        <v>0</v>
      </c>
      <c r="AM91" s="460" t="str">
        <f>申込書!$C$32</f>
        <v>B4（折り無し）</v>
      </c>
      <c r="AN91" s="460" t="str">
        <f>VLOOKUP(AM91,★サイズ表記!$D$4:$E$55,2,FALSE)</f>
        <v>1001</v>
      </c>
      <c r="AO91" s="460">
        <f>IF(C91&lt;&gt;"⑧兵庫",VLOOKUP(LEFT(F91),★新聞!$A$4:$B$12,2,FALSE),IF(LEFT(F91)&lt;&gt;"S",VLOOKUP(LEFT(F91),★新聞!$A$4:$B$12,2,FALSE),VLOOKUP("X",★新聞!$A$4:$B$12,2,FALSE)))</f>
        <v>5</v>
      </c>
      <c r="AP91" s="460" t="str">
        <f t="shared" ca="1" si="13"/>
        <v>0</v>
      </c>
      <c r="AQ91" s="460" t="str">
        <f>IF(申込書!$C$38="","",申込書!$C$38)</f>
        <v/>
      </c>
    </row>
    <row r="92" spans="1:43">
      <c r="A92" s="463">
        <f t="shared" si="14"/>
        <v>91</v>
      </c>
      <c r="B92" s="463" t="str">
        <f t="shared" si="15"/>
        <v>東部</v>
      </c>
      <c r="C92" s="464" t="s">
        <v>1101</v>
      </c>
      <c r="D92" s="464" t="s">
        <v>1022</v>
      </c>
      <c r="E92" s="464">
        <f>VLOOKUP(D92,★折込地区!$A$2:$D$10,4,FALSE)</f>
        <v>1</v>
      </c>
      <c r="F92" s="464" t="s">
        <v>471</v>
      </c>
      <c r="G92" s="464" t="str">
        <f>INDEX(★新聞!$E$4:$I$12, MATCH(LEFT(F92),★新聞!$A$4:$A$12,0), MATCH(LEFT(W92),★新聞!$E$3:$I$3,0))</f>
        <v>AJ</v>
      </c>
      <c r="H92" s="475" t="s">
        <v>1104</v>
      </c>
      <c r="I92" s="464" cm="1">
        <f t="array" ref="I92">IFERROR(INDEX(★原価率!$A$2:$E$50,MATCH($C92&amp;$H92,★原価率!$A$2:$A$50&amp;★原価率!$B$2:$B$50,0),3),0)</f>
        <v>84</v>
      </c>
      <c r="J92" s="464" cm="1">
        <f t="array" ref="J92">IFERROR(INDEX(★原価率!$A$2:$E$50,MATCH($C92&amp;$H92,★原価率!$A$2:$A$50&amp;★原価率!$B$2:$B$50,0),4),0)</f>
        <v>84</v>
      </c>
      <c r="K92" s="464" cm="1">
        <f t="array" ref="K92">IFERROR(INDEX(★原価率!$A$2:$E$50,MATCH($C92&amp;$H92,★原価率!$A$2:$A$50&amp;★原価率!$B$2:$B$50,0),5),0)</f>
        <v>100</v>
      </c>
      <c r="L92" s="528">
        <f>IFERROR(VLOOKUP(W92,★商品!$A$1:$H$1231,8,FALSE),0)</f>
        <v>2.8</v>
      </c>
      <c r="M92" s="203" t="str">
        <f ca="1">CONCATENATE(VLOOKUP(B92,★営業所!$A$2:$B$5,2,FALSE),TEXT(NOW(),"yyyy"))</f>
        <v>T2023</v>
      </c>
      <c r="N92" s="203">
        <v>1</v>
      </c>
      <c r="O92" s="203">
        <v>0</v>
      </c>
      <c r="P92" s="213">
        <f>申込書!$B$6</f>
        <v>0</v>
      </c>
      <c r="Q92" s="203">
        <f>申込書!$C$34</f>
        <v>1000040</v>
      </c>
      <c r="R92" s="203">
        <v>0</v>
      </c>
      <c r="U92" s="203">
        <f>VLOOKUP(B92,★営業所!$A$2:$C$5,3,FALSE)</f>
        <v>8</v>
      </c>
      <c r="V92" s="203">
        <f>申込書!$B$9</f>
        <v>0</v>
      </c>
      <c r="W92" s="203" t="str">
        <f>CONCATENATE(VLOOKUP(B92,★営業所!$A$2:$B$5,2,FALSE),VLOOKUP(申込書!$C$32,★サイズ表記!$D$4:$E$55,2,FALSE),VLOOKUP(D92,★折込地区!$A$2:$B$11,2,FALSE))</f>
        <v>T1001Tot</v>
      </c>
      <c r="X92" s="203" t="str">
        <f>CONCATENATE(申込書!$B$9," ",VLOOKUP(RIGHT(W92,3),★折込地区!$B$2:$C$10,2,FALSE),"")</f>
        <v xml:space="preserve"> 鳥取</v>
      </c>
      <c r="Z92" s="206">
        <f t="shared" ca="1" si="8"/>
        <v>0</v>
      </c>
      <c r="AB92" s="383">
        <f t="shared" si="9"/>
        <v>2.8</v>
      </c>
      <c r="AC92" s="203" t="str">
        <f t="shared" si="10"/>
        <v>P1001</v>
      </c>
      <c r="AD92" s="203" t="str">
        <f>VLOOKUP(AC92,★原価商品!$E$6:$F$349,2,FALSE)</f>
        <v>産経/B4（折り無し）</v>
      </c>
      <c r="AE92" s="203">
        <f t="shared" ca="1" si="11"/>
        <v>0</v>
      </c>
      <c r="AF92" s="383">
        <f ca="1">IFERROR(IF(VLOOKUP(申込書!$C$32,★サイズ表記!$F$4:$H$55,3,FALSE)="切り捨て",ROUNDDOWN(L92*IF(AK92="◎",I92,J92)/100,2),IF(VLOOKUP(申込書!$C$32,★サイズ表記!$F$4:$H$55,3,FALSE)="切り上げ",ROUNDUP(L92*IF(AK92="◎",I92,J92)/100,2),ROUND(L92*IF(AK92="◎",I92,J92)/100,2))),0)</f>
        <v>2.35</v>
      </c>
      <c r="AG92" s="203">
        <f t="shared" ca="1" si="12"/>
        <v>0</v>
      </c>
      <c r="AJ92" s="460" t="str">
        <f>IFERROR(VLOOKUP(申込書!$C$30,★業種!$D$2:$E$87,2,FALSE),"")</f>
        <v>1003</v>
      </c>
      <c r="AK92" s="460" t="str">
        <f ca="1">IF(申込書!$C$36="◎",IF(OR(D92="浜坂・温泉",D92="美方・村岡",D92="香住",D92="岡山",D92="大阪"),"",IF(LEFT(F92)="D","◎",IF(AG92=0,"",IFERROR(IF(VLOOKUP(AG92,★仕入先!$A$2:$C$211,3,FALSE)=0,"","◎"),"")))),"")</f>
        <v/>
      </c>
      <c r="AL92" s="460">
        <f>申込書!$H$14</f>
        <v>0</v>
      </c>
      <c r="AM92" s="460" t="str">
        <f>申込書!$C$32</f>
        <v>B4（折り無し）</v>
      </c>
      <c r="AN92" s="460" t="str">
        <f>VLOOKUP(AM92,★サイズ表記!$D$4:$E$55,2,FALSE)</f>
        <v>1001</v>
      </c>
      <c r="AO92" s="460">
        <f>IF(C92&lt;&gt;"⑧兵庫",VLOOKUP(LEFT(F92),★新聞!$A$4:$B$12,2,FALSE),IF(LEFT(F92)&lt;&gt;"S",VLOOKUP(LEFT(F92),★新聞!$A$4:$B$12,2,FALSE),VLOOKUP("X",★新聞!$A$4:$B$12,2,FALSE)))</f>
        <v>5</v>
      </c>
      <c r="AP92" s="460" t="str">
        <f t="shared" ca="1" si="13"/>
        <v>0</v>
      </c>
      <c r="AQ92" s="460" t="str">
        <f>IF(申込書!$C$38="","",申込書!$C$38)</f>
        <v/>
      </c>
    </row>
    <row r="93" spans="1:43">
      <c r="A93" s="463">
        <f t="shared" si="14"/>
        <v>92</v>
      </c>
      <c r="B93" s="463" t="str">
        <f t="shared" si="15"/>
        <v>東部</v>
      </c>
      <c r="C93" s="464" t="s">
        <v>1101</v>
      </c>
      <c r="D93" s="464" t="s">
        <v>1022</v>
      </c>
      <c r="E93" s="464">
        <f>VLOOKUP(D93,★折込地区!$A$2:$D$10,4,FALSE)</f>
        <v>1</v>
      </c>
      <c r="F93" s="464" t="s">
        <v>472</v>
      </c>
      <c r="G93" s="464" t="str">
        <f>INDEX(★新聞!$E$4:$I$12, MATCH(LEFT(F93),★新聞!$A$4:$A$12,0), MATCH(LEFT(W93),★新聞!$E$3:$I$3,0))</f>
        <v>AJ</v>
      </c>
      <c r="H93" s="475" t="s">
        <v>1104</v>
      </c>
      <c r="I93" s="464" cm="1">
        <f t="array" ref="I93">IFERROR(INDEX(★原価率!$A$2:$E$50,MATCH($C93&amp;$H93,★原価率!$A$2:$A$50&amp;★原価率!$B$2:$B$50,0),3),0)</f>
        <v>84</v>
      </c>
      <c r="J93" s="464" cm="1">
        <f t="array" ref="J93">IFERROR(INDEX(★原価率!$A$2:$E$50,MATCH($C93&amp;$H93,★原価率!$A$2:$A$50&amp;★原価率!$B$2:$B$50,0),4),0)</f>
        <v>84</v>
      </c>
      <c r="K93" s="464" cm="1">
        <f t="array" ref="K93">IFERROR(INDEX(★原価率!$A$2:$E$50,MATCH($C93&amp;$H93,★原価率!$A$2:$A$50&amp;★原価率!$B$2:$B$50,0),5),0)</f>
        <v>100</v>
      </c>
      <c r="L93" s="528">
        <f>IFERROR(VLOOKUP(W93,★商品!$A$1:$H$1231,8,FALSE),0)</f>
        <v>2.8</v>
      </c>
      <c r="M93" s="203" t="str">
        <f ca="1">CONCATENATE(VLOOKUP(B93,★営業所!$A$2:$B$5,2,FALSE),TEXT(NOW(),"yyyy"))</f>
        <v>T2023</v>
      </c>
      <c r="N93" s="203">
        <v>1</v>
      </c>
      <c r="O93" s="203">
        <v>0</v>
      </c>
      <c r="P93" s="213">
        <f>申込書!$B$6</f>
        <v>0</v>
      </c>
      <c r="Q93" s="203">
        <f>申込書!$C$34</f>
        <v>1000040</v>
      </c>
      <c r="R93" s="203">
        <v>0</v>
      </c>
      <c r="U93" s="203">
        <f>VLOOKUP(B93,★営業所!$A$2:$C$5,3,FALSE)</f>
        <v>8</v>
      </c>
      <c r="V93" s="203">
        <f>申込書!$B$9</f>
        <v>0</v>
      </c>
      <c r="W93" s="203" t="str">
        <f>CONCATENATE(VLOOKUP(B93,★営業所!$A$2:$B$5,2,FALSE),VLOOKUP(申込書!$C$32,★サイズ表記!$D$4:$E$55,2,FALSE),VLOOKUP(D93,★折込地区!$A$2:$B$11,2,FALSE))</f>
        <v>T1001Tot</v>
      </c>
      <c r="X93" s="203" t="str">
        <f>CONCATENATE(申込書!$B$9," ",VLOOKUP(RIGHT(W93,3),★折込地区!$B$2:$C$10,2,FALSE),"")</f>
        <v xml:space="preserve"> 鳥取</v>
      </c>
      <c r="Z93" s="206">
        <f t="shared" ca="1" si="8"/>
        <v>0</v>
      </c>
      <c r="AB93" s="383">
        <f t="shared" si="9"/>
        <v>2.8</v>
      </c>
      <c r="AC93" s="203" t="str">
        <f t="shared" si="10"/>
        <v>P1001</v>
      </c>
      <c r="AD93" s="203" t="str">
        <f>VLOOKUP(AC93,★原価商品!$E$6:$F$349,2,FALSE)</f>
        <v>産経/B4（折り無し）</v>
      </c>
      <c r="AE93" s="203">
        <f t="shared" ca="1" si="11"/>
        <v>0</v>
      </c>
      <c r="AF93" s="383">
        <f ca="1">IFERROR(IF(VLOOKUP(申込書!$C$32,★サイズ表記!$F$4:$H$55,3,FALSE)="切り捨て",ROUNDDOWN(L93*IF(AK93="◎",I93,J93)/100,2),IF(VLOOKUP(申込書!$C$32,★サイズ表記!$F$4:$H$55,3,FALSE)="切り上げ",ROUNDUP(L93*IF(AK93="◎",I93,J93)/100,2),ROUND(L93*IF(AK93="◎",I93,J93)/100,2))),0)</f>
        <v>2.35</v>
      </c>
      <c r="AG93" s="203">
        <f t="shared" ca="1" si="12"/>
        <v>0</v>
      </c>
      <c r="AJ93" s="460" t="str">
        <f>IFERROR(VLOOKUP(申込書!$C$30,★業種!$D$2:$E$87,2,FALSE),"")</f>
        <v>1003</v>
      </c>
      <c r="AK93" s="460" t="str">
        <f ca="1">IF(申込書!$C$36="◎",IF(OR(D93="浜坂・温泉",D93="美方・村岡",D93="香住",D93="岡山",D93="大阪"),"",IF(LEFT(F93)="D","◎",IF(AG93=0,"",IFERROR(IF(VLOOKUP(AG93,★仕入先!$A$2:$C$211,3,FALSE)=0,"","◎"),"")))),"")</f>
        <v/>
      </c>
      <c r="AL93" s="460">
        <f>申込書!$H$14</f>
        <v>0</v>
      </c>
      <c r="AM93" s="460" t="str">
        <f>申込書!$C$32</f>
        <v>B4（折り無し）</v>
      </c>
      <c r="AN93" s="460" t="str">
        <f>VLOOKUP(AM93,★サイズ表記!$D$4:$E$55,2,FALSE)</f>
        <v>1001</v>
      </c>
      <c r="AO93" s="460">
        <f>IF(C93&lt;&gt;"⑧兵庫",VLOOKUP(LEFT(F93),★新聞!$A$4:$B$12,2,FALSE),IF(LEFT(F93)&lt;&gt;"S",VLOOKUP(LEFT(F93),★新聞!$A$4:$B$12,2,FALSE),VLOOKUP("X",★新聞!$A$4:$B$12,2,FALSE)))</f>
        <v>5</v>
      </c>
      <c r="AP93" s="460" t="str">
        <f t="shared" ca="1" si="13"/>
        <v>0</v>
      </c>
      <c r="AQ93" s="460" t="str">
        <f>IF(申込書!$C$38="","",申込書!$C$38)</f>
        <v/>
      </c>
    </row>
    <row r="94" spans="1:43">
      <c r="A94" s="463">
        <f t="shared" si="14"/>
        <v>93</v>
      </c>
      <c r="B94" s="463" t="str">
        <f t="shared" si="15"/>
        <v>東部</v>
      </c>
      <c r="C94" s="464" t="s">
        <v>1101</v>
      </c>
      <c r="D94" s="464" t="s">
        <v>1022</v>
      </c>
      <c r="E94" s="464">
        <f>VLOOKUP(D94,★折込地区!$A$2:$D$10,4,FALSE)</f>
        <v>1</v>
      </c>
      <c r="F94" s="464" t="s">
        <v>473</v>
      </c>
      <c r="G94" s="464" t="str">
        <f>INDEX(★新聞!$E$4:$I$12, MATCH(LEFT(F94),★新聞!$A$4:$A$12,0), MATCH(LEFT(W94),★新聞!$E$3:$I$3,0))</f>
        <v>AJ</v>
      </c>
      <c r="H94" s="475" t="s">
        <v>1104</v>
      </c>
      <c r="I94" s="464" cm="1">
        <f t="array" ref="I94">IFERROR(INDEX(★原価率!$A$2:$E$50,MATCH($C94&amp;$H94,★原価率!$A$2:$A$50&amp;★原価率!$B$2:$B$50,0),3),0)</f>
        <v>84</v>
      </c>
      <c r="J94" s="464" cm="1">
        <f t="array" ref="J94">IFERROR(INDEX(★原価率!$A$2:$E$50,MATCH($C94&amp;$H94,★原価率!$A$2:$A$50&amp;★原価率!$B$2:$B$50,0),4),0)</f>
        <v>84</v>
      </c>
      <c r="K94" s="464" cm="1">
        <f t="array" ref="K94">IFERROR(INDEX(★原価率!$A$2:$E$50,MATCH($C94&amp;$H94,★原価率!$A$2:$A$50&amp;★原価率!$B$2:$B$50,0),5),0)</f>
        <v>100</v>
      </c>
      <c r="L94" s="528">
        <f>IFERROR(VLOOKUP(W94,★商品!$A$1:$H$1231,8,FALSE),0)</f>
        <v>2.8</v>
      </c>
      <c r="M94" s="203" t="str">
        <f ca="1">CONCATENATE(VLOOKUP(B94,★営業所!$A$2:$B$5,2,FALSE),TEXT(NOW(),"yyyy"))</f>
        <v>T2023</v>
      </c>
      <c r="N94" s="203">
        <v>1</v>
      </c>
      <c r="O94" s="203">
        <v>0</v>
      </c>
      <c r="P94" s="213">
        <f>申込書!$B$6</f>
        <v>0</v>
      </c>
      <c r="Q94" s="203">
        <f>申込書!$C$34</f>
        <v>1000040</v>
      </c>
      <c r="R94" s="203">
        <v>0</v>
      </c>
      <c r="U94" s="203">
        <f>VLOOKUP(B94,★営業所!$A$2:$C$5,3,FALSE)</f>
        <v>8</v>
      </c>
      <c r="V94" s="203">
        <f>申込書!$B$9</f>
        <v>0</v>
      </c>
      <c r="W94" s="203" t="str">
        <f>CONCATENATE(VLOOKUP(B94,★営業所!$A$2:$B$5,2,FALSE),VLOOKUP(申込書!$C$32,★サイズ表記!$D$4:$E$55,2,FALSE),VLOOKUP(D94,★折込地区!$A$2:$B$11,2,FALSE))</f>
        <v>T1001Tot</v>
      </c>
      <c r="X94" s="203" t="str">
        <f>CONCATENATE(申込書!$B$9," ",VLOOKUP(RIGHT(W94,3),★折込地区!$B$2:$C$10,2,FALSE),"")</f>
        <v xml:space="preserve"> 鳥取</v>
      </c>
      <c r="Z94" s="206">
        <f t="shared" ca="1" si="8"/>
        <v>0</v>
      </c>
      <c r="AB94" s="383">
        <f t="shared" si="9"/>
        <v>2.8</v>
      </c>
      <c r="AC94" s="203" t="str">
        <f t="shared" si="10"/>
        <v>P1001</v>
      </c>
      <c r="AD94" s="203" t="str">
        <f>VLOOKUP(AC94,★原価商品!$E$6:$F$349,2,FALSE)</f>
        <v>産経/B4（折り無し）</v>
      </c>
      <c r="AE94" s="203">
        <f t="shared" ca="1" si="11"/>
        <v>0</v>
      </c>
      <c r="AF94" s="383">
        <f ca="1">IFERROR(IF(VLOOKUP(申込書!$C$32,★サイズ表記!$F$4:$H$55,3,FALSE)="切り捨て",ROUNDDOWN(L94*IF(AK94="◎",I94,J94)/100,2),IF(VLOOKUP(申込書!$C$32,★サイズ表記!$F$4:$H$55,3,FALSE)="切り上げ",ROUNDUP(L94*IF(AK94="◎",I94,J94)/100,2),ROUND(L94*IF(AK94="◎",I94,J94)/100,2))),0)</f>
        <v>2.35</v>
      </c>
      <c r="AG94" s="203">
        <f t="shared" ca="1" si="12"/>
        <v>0</v>
      </c>
      <c r="AJ94" s="460" t="str">
        <f>IFERROR(VLOOKUP(申込書!$C$30,★業種!$D$2:$E$87,2,FALSE),"")</f>
        <v>1003</v>
      </c>
      <c r="AK94" s="460" t="str">
        <f ca="1">IF(申込書!$C$36="◎",IF(OR(D94="浜坂・温泉",D94="美方・村岡",D94="香住",D94="岡山",D94="大阪"),"",IF(LEFT(F94)="D","◎",IF(AG94=0,"",IFERROR(IF(VLOOKUP(AG94,★仕入先!$A$2:$C$211,3,FALSE)=0,"","◎"),"")))),"")</f>
        <v/>
      </c>
      <c r="AL94" s="460">
        <f>申込書!$H$14</f>
        <v>0</v>
      </c>
      <c r="AM94" s="460" t="str">
        <f>申込書!$C$32</f>
        <v>B4（折り無し）</v>
      </c>
      <c r="AN94" s="460" t="str">
        <f>VLOOKUP(AM94,★サイズ表記!$D$4:$E$55,2,FALSE)</f>
        <v>1001</v>
      </c>
      <c r="AO94" s="460">
        <f>IF(C94&lt;&gt;"⑧兵庫",VLOOKUP(LEFT(F94),★新聞!$A$4:$B$12,2,FALSE),IF(LEFT(F94)&lt;&gt;"S",VLOOKUP(LEFT(F94),★新聞!$A$4:$B$12,2,FALSE),VLOOKUP("X",★新聞!$A$4:$B$12,2,FALSE)))</f>
        <v>5</v>
      </c>
      <c r="AP94" s="460" t="str">
        <f t="shared" ca="1" si="13"/>
        <v>0</v>
      </c>
      <c r="AQ94" s="460" t="str">
        <f>IF(申込書!$C$38="","",申込書!$C$38)</f>
        <v/>
      </c>
    </row>
    <row r="95" spans="1:43">
      <c r="A95" s="463">
        <f t="shared" si="14"/>
        <v>94</v>
      </c>
      <c r="B95" s="463" t="str">
        <f t="shared" si="15"/>
        <v>東部</v>
      </c>
      <c r="C95" s="464" t="s">
        <v>1101</v>
      </c>
      <c r="D95" s="464" t="s">
        <v>1022</v>
      </c>
      <c r="E95" s="464">
        <f>VLOOKUP(D95,★折込地区!$A$2:$D$10,4,FALSE)</f>
        <v>1</v>
      </c>
      <c r="F95" s="464" t="s">
        <v>474</v>
      </c>
      <c r="G95" s="464" t="str">
        <f>INDEX(★新聞!$E$4:$I$12, MATCH(LEFT(F95),★新聞!$A$4:$A$12,0), MATCH(LEFT(W95),★新聞!$E$3:$I$3,0))</f>
        <v>AJ</v>
      </c>
      <c r="H95" s="475" t="s">
        <v>1104</v>
      </c>
      <c r="I95" s="464" cm="1">
        <f t="array" ref="I95">IFERROR(INDEX(★原価率!$A$2:$E$50,MATCH($C95&amp;$H95,★原価率!$A$2:$A$50&amp;★原価率!$B$2:$B$50,0),3),0)</f>
        <v>84</v>
      </c>
      <c r="J95" s="464" cm="1">
        <f t="array" ref="J95">IFERROR(INDEX(★原価率!$A$2:$E$50,MATCH($C95&amp;$H95,★原価率!$A$2:$A$50&amp;★原価率!$B$2:$B$50,0),4),0)</f>
        <v>84</v>
      </c>
      <c r="K95" s="464" cm="1">
        <f t="array" ref="K95">IFERROR(INDEX(★原価率!$A$2:$E$50,MATCH($C95&amp;$H95,★原価率!$A$2:$A$50&amp;★原価率!$B$2:$B$50,0),5),0)</f>
        <v>100</v>
      </c>
      <c r="L95" s="528">
        <f>IFERROR(VLOOKUP(W95,★商品!$A$1:$H$1231,8,FALSE),0)</f>
        <v>2.8</v>
      </c>
      <c r="M95" s="203" t="str">
        <f ca="1">CONCATENATE(VLOOKUP(B95,★営業所!$A$2:$B$5,2,FALSE),TEXT(NOW(),"yyyy"))</f>
        <v>T2023</v>
      </c>
      <c r="N95" s="203">
        <v>1</v>
      </c>
      <c r="O95" s="203">
        <v>0</v>
      </c>
      <c r="P95" s="213">
        <f>申込書!$B$6</f>
        <v>0</v>
      </c>
      <c r="Q95" s="203">
        <f>申込書!$C$34</f>
        <v>1000040</v>
      </c>
      <c r="R95" s="203">
        <v>0</v>
      </c>
      <c r="U95" s="203">
        <f>VLOOKUP(B95,★営業所!$A$2:$C$5,3,FALSE)</f>
        <v>8</v>
      </c>
      <c r="V95" s="203">
        <f>申込書!$B$9</f>
        <v>0</v>
      </c>
      <c r="W95" s="203" t="str">
        <f>CONCATENATE(VLOOKUP(B95,★営業所!$A$2:$B$5,2,FALSE),VLOOKUP(申込書!$C$32,★サイズ表記!$D$4:$E$55,2,FALSE),VLOOKUP(D95,★折込地区!$A$2:$B$11,2,FALSE))</f>
        <v>T1001Tot</v>
      </c>
      <c r="X95" s="203" t="str">
        <f>CONCATENATE(申込書!$B$9," ",VLOOKUP(RIGHT(W95,3),★折込地区!$B$2:$C$10,2,FALSE),"")</f>
        <v xml:space="preserve"> 鳥取</v>
      </c>
      <c r="Z95" s="206">
        <f t="shared" ca="1" si="8"/>
        <v>0</v>
      </c>
      <c r="AB95" s="383">
        <f t="shared" si="9"/>
        <v>2.8</v>
      </c>
      <c r="AC95" s="203" t="str">
        <f t="shared" si="10"/>
        <v>P1001</v>
      </c>
      <c r="AD95" s="203" t="str">
        <f>VLOOKUP(AC95,★原価商品!$E$6:$F$349,2,FALSE)</f>
        <v>産経/B4（折り無し）</v>
      </c>
      <c r="AE95" s="203">
        <f t="shared" ca="1" si="11"/>
        <v>0</v>
      </c>
      <c r="AF95" s="383">
        <f ca="1">IFERROR(IF(VLOOKUP(申込書!$C$32,★サイズ表記!$F$4:$H$55,3,FALSE)="切り捨て",ROUNDDOWN(L95*IF(AK95="◎",I95,J95)/100,2),IF(VLOOKUP(申込書!$C$32,★サイズ表記!$F$4:$H$55,3,FALSE)="切り上げ",ROUNDUP(L95*IF(AK95="◎",I95,J95)/100,2),ROUND(L95*IF(AK95="◎",I95,J95)/100,2))),0)</f>
        <v>2.35</v>
      </c>
      <c r="AG95" s="203">
        <f t="shared" ca="1" si="12"/>
        <v>0</v>
      </c>
      <c r="AJ95" s="460" t="str">
        <f>IFERROR(VLOOKUP(申込書!$C$30,★業種!$D$2:$E$87,2,FALSE),"")</f>
        <v>1003</v>
      </c>
      <c r="AK95" s="460" t="str">
        <f ca="1">IF(申込書!$C$36="◎",IF(OR(D95="浜坂・温泉",D95="美方・村岡",D95="香住",D95="岡山",D95="大阪"),"",IF(LEFT(F95)="D","◎",IF(AG95=0,"",IFERROR(IF(VLOOKUP(AG95,★仕入先!$A$2:$C$211,3,FALSE)=0,"","◎"),"")))),"")</f>
        <v/>
      </c>
      <c r="AL95" s="460">
        <f>申込書!$H$14</f>
        <v>0</v>
      </c>
      <c r="AM95" s="460" t="str">
        <f>申込書!$C$32</f>
        <v>B4（折り無し）</v>
      </c>
      <c r="AN95" s="460" t="str">
        <f>VLOOKUP(AM95,★サイズ表記!$D$4:$E$55,2,FALSE)</f>
        <v>1001</v>
      </c>
      <c r="AO95" s="460">
        <f>IF(C95&lt;&gt;"⑧兵庫",VLOOKUP(LEFT(F95),★新聞!$A$4:$B$12,2,FALSE),IF(LEFT(F95)&lt;&gt;"S",VLOOKUP(LEFT(F95),★新聞!$A$4:$B$12,2,FALSE),VLOOKUP("X",★新聞!$A$4:$B$12,2,FALSE)))</f>
        <v>5</v>
      </c>
      <c r="AP95" s="460" t="str">
        <f t="shared" ca="1" si="13"/>
        <v>0</v>
      </c>
      <c r="AQ95" s="460" t="str">
        <f>IF(申込書!$C$38="","",申込書!$C$38)</f>
        <v/>
      </c>
    </row>
    <row r="96" spans="1:43">
      <c r="A96" s="463">
        <f t="shared" si="14"/>
        <v>95</v>
      </c>
      <c r="B96" s="463" t="str">
        <f t="shared" si="15"/>
        <v>東部</v>
      </c>
      <c r="C96" s="464" t="s">
        <v>1101</v>
      </c>
      <c r="D96" s="464" t="s">
        <v>1022</v>
      </c>
      <c r="E96" s="464">
        <f>VLOOKUP(D96,★折込地区!$A$2:$D$10,4,FALSE)</f>
        <v>1</v>
      </c>
      <c r="F96" s="464" t="s">
        <v>475</v>
      </c>
      <c r="G96" s="464" t="str">
        <f>INDEX(★新聞!$E$4:$I$12, MATCH(LEFT(F96),★新聞!$A$4:$A$12,0), MATCH(LEFT(W96),★新聞!$E$3:$I$3,0))</f>
        <v>AJ</v>
      </c>
      <c r="H96" s="475" t="s">
        <v>1104</v>
      </c>
      <c r="I96" s="464" cm="1">
        <f t="array" ref="I96">IFERROR(INDEX(★原価率!$A$2:$E$50,MATCH($C96&amp;$H96,★原価率!$A$2:$A$50&amp;★原価率!$B$2:$B$50,0),3),0)</f>
        <v>84</v>
      </c>
      <c r="J96" s="464" cm="1">
        <f t="array" ref="J96">IFERROR(INDEX(★原価率!$A$2:$E$50,MATCH($C96&amp;$H96,★原価率!$A$2:$A$50&amp;★原価率!$B$2:$B$50,0),4),0)</f>
        <v>84</v>
      </c>
      <c r="K96" s="464" cm="1">
        <f t="array" ref="K96">IFERROR(INDEX(★原価率!$A$2:$E$50,MATCH($C96&amp;$H96,★原価率!$A$2:$A$50&amp;★原価率!$B$2:$B$50,0),5),0)</f>
        <v>100</v>
      </c>
      <c r="L96" s="528">
        <f>IFERROR(VLOOKUP(W96,★商品!$A$1:$H$1231,8,FALSE),0)</f>
        <v>2.8</v>
      </c>
      <c r="M96" s="203" t="str">
        <f ca="1">CONCATENATE(VLOOKUP(B96,★営業所!$A$2:$B$5,2,FALSE),TEXT(NOW(),"yyyy"))</f>
        <v>T2023</v>
      </c>
      <c r="N96" s="203">
        <v>1</v>
      </c>
      <c r="O96" s="203">
        <v>0</v>
      </c>
      <c r="P96" s="213">
        <f>申込書!$B$6</f>
        <v>0</v>
      </c>
      <c r="Q96" s="203">
        <f>申込書!$C$34</f>
        <v>1000040</v>
      </c>
      <c r="R96" s="203">
        <v>0</v>
      </c>
      <c r="U96" s="203">
        <f>VLOOKUP(B96,★営業所!$A$2:$C$5,3,FALSE)</f>
        <v>8</v>
      </c>
      <c r="V96" s="203">
        <f>申込書!$B$9</f>
        <v>0</v>
      </c>
      <c r="W96" s="203" t="str">
        <f>CONCATENATE(VLOOKUP(B96,★営業所!$A$2:$B$5,2,FALSE),VLOOKUP(申込書!$C$32,★サイズ表記!$D$4:$E$55,2,FALSE),VLOOKUP(D96,★折込地区!$A$2:$B$11,2,FALSE))</f>
        <v>T1001Tot</v>
      </c>
      <c r="X96" s="203" t="str">
        <f>CONCATENATE(申込書!$B$9," ",VLOOKUP(RIGHT(W96,3),★折込地区!$B$2:$C$10,2,FALSE),"")</f>
        <v xml:space="preserve"> 鳥取</v>
      </c>
      <c r="Z96" s="206">
        <f t="shared" ca="1" si="8"/>
        <v>0</v>
      </c>
      <c r="AB96" s="383">
        <f t="shared" si="9"/>
        <v>2.8</v>
      </c>
      <c r="AC96" s="203" t="str">
        <f t="shared" si="10"/>
        <v>P1001</v>
      </c>
      <c r="AD96" s="203" t="str">
        <f>VLOOKUP(AC96,★原価商品!$E$6:$F$349,2,FALSE)</f>
        <v>産経/B4（折り無し）</v>
      </c>
      <c r="AE96" s="203">
        <f t="shared" ca="1" si="11"/>
        <v>0</v>
      </c>
      <c r="AF96" s="383">
        <f ca="1">IFERROR(IF(VLOOKUP(申込書!$C$32,★サイズ表記!$F$4:$H$55,3,FALSE)="切り捨て",ROUNDDOWN(L96*IF(AK96="◎",I96,J96)/100,2),IF(VLOOKUP(申込書!$C$32,★サイズ表記!$F$4:$H$55,3,FALSE)="切り上げ",ROUNDUP(L96*IF(AK96="◎",I96,J96)/100,2),ROUND(L96*IF(AK96="◎",I96,J96)/100,2))),0)</f>
        <v>2.35</v>
      </c>
      <c r="AG96" s="203">
        <f t="shared" ca="1" si="12"/>
        <v>0</v>
      </c>
      <c r="AJ96" s="460" t="str">
        <f>IFERROR(VLOOKUP(申込書!$C$30,★業種!$D$2:$E$87,2,FALSE),"")</f>
        <v>1003</v>
      </c>
      <c r="AK96" s="460" t="str">
        <f ca="1">IF(申込書!$C$36="◎",IF(OR(D96="浜坂・温泉",D96="美方・村岡",D96="香住",D96="岡山",D96="大阪"),"",IF(LEFT(F96)="D","◎",IF(AG96=0,"",IFERROR(IF(VLOOKUP(AG96,★仕入先!$A$2:$C$211,3,FALSE)=0,"","◎"),"")))),"")</f>
        <v/>
      </c>
      <c r="AL96" s="460">
        <f>申込書!$H$14</f>
        <v>0</v>
      </c>
      <c r="AM96" s="460" t="str">
        <f>申込書!$C$32</f>
        <v>B4（折り無し）</v>
      </c>
      <c r="AN96" s="460" t="str">
        <f>VLOOKUP(AM96,★サイズ表記!$D$4:$E$55,2,FALSE)</f>
        <v>1001</v>
      </c>
      <c r="AO96" s="460">
        <f>IF(C96&lt;&gt;"⑧兵庫",VLOOKUP(LEFT(F96),★新聞!$A$4:$B$12,2,FALSE),IF(LEFT(F96)&lt;&gt;"S",VLOOKUP(LEFT(F96),★新聞!$A$4:$B$12,2,FALSE),VLOOKUP("X",★新聞!$A$4:$B$12,2,FALSE)))</f>
        <v>5</v>
      </c>
      <c r="AP96" s="460" t="str">
        <f t="shared" ca="1" si="13"/>
        <v>0</v>
      </c>
      <c r="AQ96" s="460" t="str">
        <f>IF(申込書!$C$38="","",申込書!$C$38)</f>
        <v/>
      </c>
    </row>
    <row r="97" spans="1:43">
      <c r="A97" s="463">
        <f t="shared" si="14"/>
        <v>96</v>
      </c>
      <c r="B97" s="463" t="str">
        <f t="shared" si="15"/>
        <v>東部</v>
      </c>
      <c r="C97" s="464" t="s">
        <v>1101</v>
      </c>
      <c r="D97" s="464" t="s">
        <v>1022</v>
      </c>
      <c r="E97" s="464">
        <f>VLOOKUP(D97,★折込地区!$A$2:$D$10,4,FALSE)</f>
        <v>1</v>
      </c>
      <c r="F97" s="464" t="s">
        <v>476</v>
      </c>
      <c r="G97" s="464" t="str">
        <f>INDEX(★新聞!$E$4:$I$12, MATCH(LEFT(F97),★新聞!$A$4:$A$12,0), MATCH(LEFT(W97),★新聞!$E$3:$I$3,0))</f>
        <v>AJ</v>
      </c>
      <c r="H97" s="475" t="s">
        <v>1104</v>
      </c>
      <c r="I97" s="464" cm="1">
        <f t="array" ref="I97">IFERROR(INDEX(★原価率!$A$2:$E$50,MATCH($C97&amp;$H97,★原価率!$A$2:$A$50&amp;★原価率!$B$2:$B$50,0),3),0)</f>
        <v>84</v>
      </c>
      <c r="J97" s="464" cm="1">
        <f t="array" ref="J97">IFERROR(INDEX(★原価率!$A$2:$E$50,MATCH($C97&amp;$H97,★原価率!$A$2:$A$50&amp;★原価率!$B$2:$B$50,0),4),0)</f>
        <v>84</v>
      </c>
      <c r="K97" s="464" cm="1">
        <f t="array" ref="K97">IFERROR(INDEX(★原価率!$A$2:$E$50,MATCH($C97&amp;$H97,★原価率!$A$2:$A$50&amp;★原価率!$B$2:$B$50,0),5),0)</f>
        <v>100</v>
      </c>
      <c r="L97" s="528">
        <f>IFERROR(VLOOKUP(W97,★商品!$A$1:$H$1231,8,FALSE),0)</f>
        <v>2.8</v>
      </c>
      <c r="M97" s="203" t="str">
        <f ca="1">CONCATENATE(VLOOKUP(B97,★営業所!$A$2:$B$5,2,FALSE),TEXT(NOW(),"yyyy"))</f>
        <v>T2023</v>
      </c>
      <c r="N97" s="203">
        <v>1</v>
      </c>
      <c r="O97" s="203">
        <v>0</v>
      </c>
      <c r="P97" s="213">
        <f>申込書!$B$6</f>
        <v>0</v>
      </c>
      <c r="Q97" s="203">
        <f>申込書!$C$34</f>
        <v>1000040</v>
      </c>
      <c r="R97" s="203">
        <v>0</v>
      </c>
      <c r="U97" s="203">
        <f>VLOOKUP(B97,★営業所!$A$2:$C$5,3,FALSE)</f>
        <v>8</v>
      </c>
      <c r="V97" s="203">
        <f>申込書!$B$9</f>
        <v>0</v>
      </c>
      <c r="W97" s="203" t="str">
        <f>CONCATENATE(VLOOKUP(B97,★営業所!$A$2:$B$5,2,FALSE),VLOOKUP(申込書!$C$32,★サイズ表記!$D$4:$E$55,2,FALSE),VLOOKUP(D97,★折込地区!$A$2:$B$11,2,FALSE))</f>
        <v>T1001Tot</v>
      </c>
      <c r="X97" s="203" t="str">
        <f>CONCATENATE(申込書!$B$9," ",VLOOKUP(RIGHT(W97,3),★折込地区!$B$2:$C$10,2,FALSE),"")</f>
        <v xml:space="preserve"> 鳥取</v>
      </c>
      <c r="Z97" s="206">
        <f t="shared" ca="1" si="8"/>
        <v>0</v>
      </c>
      <c r="AB97" s="383">
        <f t="shared" si="9"/>
        <v>2.8</v>
      </c>
      <c r="AC97" s="203" t="str">
        <f t="shared" si="10"/>
        <v>P1001</v>
      </c>
      <c r="AD97" s="203" t="str">
        <f>VLOOKUP(AC97,★原価商品!$E$6:$F$349,2,FALSE)</f>
        <v>産経/B4（折り無し）</v>
      </c>
      <c r="AE97" s="203">
        <f t="shared" ca="1" si="11"/>
        <v>0</v>
      </c>
      <c r="AF97" s="383">
        <f ca="1">IFERROR(IF(VLOOKUP(申込書!$C$32,★サイズ表記!$F$4:$H$55,3,FALSE)="切り捨て",ROUNDDOWN(L97*IF(AK97="◎",I97,J97)/100,2),IF(VLOOKUP(申込書!$C$32,★サイズ表記!$F$4:$H$55,3,FALSE)="切り上げ",ROUNDUP(L97*IF(AK97="◎",I97,J97)/100,2),ROUND(L97*IF(AK97="◎",I97,J97)/100,2))),0)</f>
        <v>2.35</v>
      </c>
      <c r="AG97" s="203">
        <f t="shared" ca="1" si="12"/>
        <v>0</v>
      </c>
      <c r="AJ97" s="460" t="str">
        <f>IFERROR(VLOOKUP(申込書!$C$30,★業種!$D$2:$E$87,2,FALSE),"")</f>
        <v>1003</v>
      </c>
      <c r="AK97" s="460" t="str">
        <f ca="1">IF(申込書!$C$36="◎",IF(OR(D97="浜坂・温泉",D97="美方・村岡",D97="香住",D97="岡山",D97="大阪"),"",IF(LEFT(F97)="D","◎",IF(AG97=0,"",IFERROR(IF(VLOOKUP(AG97,★仕入先!$A$2:$C$211,3,FALSE)=0,"","◎"),"")))),"")</f>
        <v/>
      </c>
      <c r="AL97" s="460">
        <f>申込書!$H$14</f>
        <v>0</v>
      </c>
      <c r="AM97" s="460" t="str">
        <f>申込書!$C$32</f>
        <v>B4（折り無し）</v>
      </c>
      <c r="AN97" s="460" t="str">
        <f>VLOOKUP(AM97,★サイズ表記!$D$4:$E$55,2,FALSE)</f>
        <v>1001</v>
      </c>
      <c r="AO97" s="460">
        <f>IF(C97&lt;&gt;"⑧兵庫",VLOOKUP(LEFT(F97),★新聞!$A$4:$B$12,2,FALSE),IF(LEFT(F97)&lt;&gt;"S",VLOOKUP(LEFT(F97),★新聞!$A$4:$B$12,2,FALSE),VLOOKUP("X",★新聞!$A$4:$B$12,2,FALSE)))</f>
        <v>5</v>
      </c>
      <c r="AP97" s="460" t="str">
        <f t="shared" ca="1" si="13"/>
        <v>0</v>
      </c>
      <c r="AQ97" s="460" t="str">
        <f>IF(申込書!$C$38="","",申込書!$C$38)</f>
        <v/>
      </c>
    </row>
    <row r="98" spans="1:43">
      <c r="A98" s="463">
        <f t="shared" si="14"/>
        <v>97</v>
      </c>
      <c r="B98" s="463" t="str">
        <f t="shared" si="15"/>
        <v>東部</v>
      </c>
      <c r="C98" s="464" t="s">
        <v>1101</v>
      </c>
      <c r="D98" s="464" t="s">
        <v>1022</v>
      </c>
      <c r="E98" s="464">
        <f>VLOOKUP(D98,★折込地区!$A$2:$D$10,4,FALSE)</f>
        <v>1</v>
      </c>
      <c r="F98" s="464" t="s">
        <v>477</v>
      </c>
      <c r="G98" s="464" t="str">
        <f>INDEX(★新聞!$E$4:$I$12, MATCH(LEFT(F98),★新聞!$A$4:$A$12,0), MATCH(LEFT(W98),★新聞!$E$3:$I$3,0))</f>
        <v>AJ</v>
      </c>
      <c r="H98" s="475" t="s">
        <v>1104</v>
      </c>
      <c r="I98" s="464" cm="1">
        <f t="array" ref="I98">IFERROR(INDEX(★原価率!$A$2:$E$50,MATCH($C98&amp;$H98,★原価率!$A$2:$A$50&amp;★原価率!$B$2:$B$50,0),3),0)</f>
        <v>84</v>
      </c>
      <c r="J98" s="464" cm="1">
        <f t="array" ref="J98">IFERROR(INDEX(★原価率!$A$2:$E$50,MATCH($C98&amp;$H98,★原価率!$A$2:$A$50&amp;★原価率!$B$2:$B$50,0),4),0)</f>
        <v>84</v>
      </c>
      <c r="K98" s="464" cm="1">
        <f t="array" ref="K98">IFERROR(INDEX(★原価率!$A$2:$E$50,MATCH($C98&amp;$H98,★原価率!$A$2:$A$50&amp;★原価率!$B$2:$B$50,0),5),0)</f>
        <v>100</v>
      </c>
      <c r="L98" s="528">
        <f>IFERROR(VLOOKUP(W98,★商品!$A$1:$H$1231,8,FALSE),0)</f>
        <v>2.8</v>
      </c>
      <c r="M98" s="203" t="str">
        <f ca="1">CONCATENATE(VLOOKUP(B98,★営業所!$A$2:$B$5,2,FALSE),TEXT(NOW(),"yyyy"))</f>
        <v>T2023</v>
      </c>
      <c r="N98" s="203">
        <v>1</v>
      </c>
      <c r="O98" s="203">
        <v>0</v>
      </c>
      <c r="P98" s="213">
        <f>申込書!$B$6</f>
        <v>0</v>
      </c>
      <c r="Q98" s="203">
        <f>申込書!$C$34</f>
        <v>1000040</v>
      </c>
      <c r="R98" s="203">
        <v>0</v>
      </c>
      <c r="U98" s="203">
        <f>VLOOKUP(B98,★営業所!$A$2:$C$5,3,FALSE)</f>
        <v>8</v>
      </c>
      <c r="V98" s="203">
        <f>申込書!$B$9</f>
        <v>0</v>
      </c>
      <c r="W98" s="203" t="str">
        <f>CONCATENATE(VLOOKUP(B98,★営業所!$A$2:$B$5,2,FALSE),VLOOKUP(申込書!$C$32,★サイズ表記!$D$4:$E$55,2,FALSE),VLOOKUP(D98,★折込地区!$A$2:$B$11,2,FALSE))</f>
        <v>T1001Tot</v>
      </c>
      <c r="X98" s="203" t="str">
        <f>CONCATENATE(申込書!$B$9," ",VLOOKUP(RIGHT(W98,3),★折込地区!$B$2:$C$10,2,FALSE),"")</f>
        <v xml:space="preserve"> 鳥取</v>
      </c>
      <c r="Z98" s="206">
        <f t="shared" ca="1" si="8"/>
        <v>0</v>
      </c>
      <c r="AB98" s="383">
        <f t="shared" si="9"/>
        <v>2.8</v>
      </c>
      <c r="AC98" s="203" t="str">
        <f t="shared" si="10"/>
        <v>P1001</v>
      </c>
      <c r="AD98" s="203" t="str">
        <f>VLOOKUP(AC98,★原価商品!$E$6:$F$349,2,FALSE)</f>
        <v>産経/B4（折り無し）</v>
      </c>
      <c r="AE98" s="203">
        <f t="shared" ca="1" si="11"/>
        <v>0</v>
      </c>
      <c r="AF98" s="383">
        <f ca="1">IFERROR(IF(VLOOKUP(申込書!$C$32,★サイズ表記!$F$4:$H$55,3,FALSE)="切り捨て",ROUNDDOWN(L98*IF(AK98="◎",I98,J98)/100,2),IF(VLOOKUP(申込書!$C$32,★サイズ表記!$F$4:$H$55,3,FALSE)="切り上げ",ROUNDUP(L98*IF(AK98="◎",I98,J98)/100,2),ROUND(L98*IF(AK98="◎",I98,J98)/100,2))),0)</f>
        <v>2.35</v>
      </c>
      <c r="AG98" s="203">
        <f t="shared" ca="1" si="12"/>
        <v>10114</v>
      </c>
      <c r="AJ98" s="460" t="str">
        <f>IFERROR(VLOOKUP(申込書!$C$30,★業種!$D$2:$E$87,2,FALSE),"")</f>
        <v>1003</v>
      </c>
      <c r="AK98" s="460" t="str">
        <f ca="1">IF(申込書!$C$36="◎",IF(OR(D98="浜坂・温泉",D98="美方・村岡",D98="香住",D98="岡山",D98="大阪"),"",IF(LEFT(F98)="D","◎",IF(AG98=0,"",IFERROR(IF(VLOOKUP(AG98,★仕入先!$A$2:$C$211,3,FALSE)=0,"","◎"),"")))),"")</f>
        <v/>
      </c>
      <c r="AL98" s="460">
        <f>申込書!$H$14</f>
        <v>0</v>
      </c>
      <c r="AM98" s="460" t="str">
        <f>申込書!$C$32</f>
        <v>B4（折り無し）</v>
      </c>
      <c r="AN98" s="460" t="str">
        <f>VLOOKUP(AM98,★サイズ表記!$D$4:$E$55,2,FALSE)</f>
        <v>1001</v>
      </c>
      <c r="AO98" s="460">
        <f>IF(C98&lt;&gt;"⑧兵庫",VLOOKUP(LEFT(F98),★新聞!$A$4:$B$12,2,FALSE),IF(LEFT(F98)&lt;&gt;"S",VLOOKUP(LEFT(F98),★新聞!$A$4:$B$12,2,FALSE),VLOOKUP("X",★新聞!$A$4:$B$12,2,FALSE)))</f>
        <v>5</v>
      </c>
      <c r="AP98" s="460" t="str">
        <f t="shared" ca="1" si="13"/>
        <v>0</v>
      </c>
      <c r="AQ98" s="460" t="str">
        <f>IF(申込書!$C$38="","",申込書!$C$38)</f>
        <v/>
      </c>
    </row>
    <row r="99" spans="1:43">
      <c r="A99" s="463">
        <f t="shared" si="14"/>
        <v>98</v>
      </c>
      <c r="B99" s="463" t="str">
        <f t="shared" si="15"/>
        <v>東部</v>
      </c>
      <c r="C99" s="464" t="s">
        <v>1101</v>
      </c>
      <c r="D99" s="464" t="s">
        <v>1022</v>
      </c>
      <c r="E99" s="464">
        <f>VLOOKUP(D99,★折込地区!$A$2:$D$10,4,FALSE)</f>
        <v>1</v>
      </c>
      <c r="F99" s="464" t="s">
        <v>478</v>
      </c>
      <c r="G99" s="464" t="str">
        <f>INDEX(★新聞!$E$4:$I$12, MATCH(LEFT(F99),★新聞!$A$4:$A$12,0), MATCH(LEFT(W99),★新聞!$E$3:$I$3,0))</f>
        <v>AJ</v>
      </c>
      <c r="H99" s="475" t="s">
        <v>1104</v>
      </c>
      <c r="I99" s="464" cm="1">
        <f t="array" ref="I99">IFERROR(INDEX(★原価率!$A$2:$E$50,MATCH($C99&amp;$H99,★原価率!$A$2:$A$50&amp;★原価率!$B$2:$B$50,0),3),0)</f>
        <v>84</v>
      </c>
      <c r="J99" s="464" cm="1">
        <f t="array" ref="J99">IFERROR(INDEX(★原価率!$A$2:$E$50,MATCH($C99&amp;$H99,★原価率!$A$2:$A$50&amp;★原価率!$B$2:$B$50,0),4),0)</f>
        <v>84</v>
      </c>
      <c r="K99" s="464" cm="1">
        <f t="array" ref="K99">IFERROR(INDEX(★原価率!$A$2:$E$50,MATCH($C99&amp;$H99,★原価率!$A$2:$A$50&amp;★原価率!$B$2:$B$50,0),5),0)</f>
        <v>100</v>
      </c>
      <c r="L99" s="528">
        <f>IFERROR(VLOOKUP(W99,★商品!$A$1:$H$1231,8,FALSE),0)</f>
        <v>2.8</v>
      </c>
      <c r="M99" s="203" t="str">
        <f ca="1">CONCATENATE(VLOOKUP(B99,★営業所!$A$2:$B$5,2,FALSE),TEXT(NOW(),"yyyy"))</f>
        <v>T2023</v>
      </c>
      <c r="N99" s="203">
        <v>1</v>
      </c>
      <c r="O99" s="203">
        <v>0</v>
      </c>
      <c r="P99" s="213">
        <f>申込書!$B$6</f>
        <v>0</v>
      </c>
      <c r="Q99" s="203">
        <f>申込書!$C$34</f>
        <v>1000040</v>
      </c>
      <c r="R99" s="203">
        <v>0</v>
      </c>
      <c r="U99" s="203">
        <f>VLOOKUP(B99,★営業所!$A$2:$C$5,3,FALSE)</f>
        <v>8</v>
      </c>
      <c r="V99" s="203">
        <f>申込書!$B$9</f>
        <v>0</v>
      </c>
      <c r="W99" s="203" t="str">
        <f>CONCATENATE(VLOOKUP(B99,★営業所!$A$2:$B$5,2,FALSE),VLOOKUP(申込書!$C$32,★サイズ表記!$D$4:$E$55,2,FALSE),VLOOKUP(D99,★折込地区!$A$2:$B$11,2,FALSE))</f>
        <v>T1001Tot</v>
      </c>
      <c r="X99" s="203" t="str">
        <f>CONCATENATE(申込書!$B$9," ",VLOOKUP(RIGHT(W99,3),★折込地区!$B$2:$C$10,2,FALSE),"")</f>
        <v xml:space="preserve"> 鳥取</v>
      </c>
      <c r="Z99" s="206">
        <f t="shared" ca="1" si="8"/>
        <v>0</v>
      </c>
      <c r="AB99" s="383">
        <f t="shared" si="9"/>
        <v>2.8</v>
      </c>
      <c r="AC99" s="203" t="str">
        <f t="shared" si="10"/>
        <v>P1001</v>
      </c>
      <c r="AD99" s="203" t="str">
        <f>VLOOKUP(AC99,★原価商品!$E$6:$F$349,2,FALSE)</f>
        <v>産経/B4（折り無し）</v>
      </c>
      <c r="AE99" s="203">
        <f t="shared" ca="1" si="11"/>
        <v>0</v>
      </c>
      <c r="AF99" s="383">
        <f ca="1">IFERROR(IF(VLOOKUP(申込書!$C$32,★サイズ表記!$F$4:$H$55,3,FALSE)="切り捨て",ROUNDDOWN(L99*IF(AK99="◎",I99,J99)/100,2),IF(VLOOKUP(申込書!$C$32,★サイズ表記!$F$4:$H$55,3,FALSE)="切り上げ",ROUNDUP(L99*IF(AK99="◎",I99,J99)/100,2),ROUND(L99*IF(AK99="◎",I99,J99)/100,2))),0)</f>
        <v>2.35</v>
      </c>
      <c r="AG99" s="203">
        <f t="shared" ca="1" si="12"/>
        <v>0</v>
      </c>
      <c r="AJ99" s="460" t="str">
        <f>IFERROR(VLOOKUP(申込書!$C$30,★業種!$D$2:$E$87,2,FALSE),"")</f>
        <v>1003</v>
      </c>
      <c r="AK99" s="460" t="str">
        <f ca="1">IF(申込書!$C$36="◎",IF(OR(D99="浜坂・温泉",D99="美方・村岡",D99="香住",D99="岡山",D99="大阪"),"",IF(LEFT(F99)="D","◎",IF(AG99=0,"",IFERROR(IF(VLOOKUP(AG99,★仕入先!$A$2:$C$211,3,FALSE)=0,"","◎"),"")))),"")</f>
        <v/>
      </c>
      <c r="AL99" s="460">
        <f>申込書!$H$14</f>
        <v>0</v>
      </c>
      <c r="AM99" s="460" t="str">
        <f>申込書!$C$32</f>
        <v>B4（折り無し）</v>
      </c>
      <c r="AN99" s="460" t="str">
        <f>VLOOKUP(AM99,★サイズ表記!$D$4:$E$55,2,FALSE)</f>
        <v>1001</v>
      </c>
      <c r="AO99" s="460">
        <f>IF(C99&lt;&gt;"⑧兵庫",VLOOKUP(LEFT(F99),★新聞!$A$4:$B$12,2,FALSE),IF(LEFT(F99)&lt;&gt;"S",VLOOKUP(LEFT(F99),★新聞!$A$4:$B$12,2,FALSE),VLOOKUP("X",★新聞!$A$4:$B$12,2,FALSE)))</f>
        <v>5</v>
      </c>
      <c r="AP99" s="460" t="str">
        <f t="shared" ca="1" si="13"/>
        <v>0</v>
      </c>
      <c r="AQ99" s="460" t="str">
        <f>IF(申込書!$C$38="","",申込書!$C$38)</f>
        <v/>
      </c>
    </row>
    <row r="100" spans="1:43">
      <c r="A100" s="463">
        <f t="shared" si="14"/>
        <v>99</v>
      </c>
      <c r="B100" s="463" t="str">
        <f t="shared" si="15"/>
        <v>東部</v>
      </c>
      <c r="C100" s="464" t="s">
        <v>1101</v>
      </c>
      <c r="D100" s="464" t="s">
        <v>1022</v>
      </c>
      <c r="E100" s="464">
        <f>VLOOKUP(D100,★折込地区!$A$2:$D$10,4,FALSE)</f>
        <v>1</v>
      </c>
      <c r="F100" s="464" t="s">
        <v>479</v>
      </c>
      <c r="G100" s="464" t="str">
        <f>INDEX(★新聞!$E$4:$I$12, MATCH(LEFT(F100),★新聞!$A$4:$A$12,0), MATCH(LEFT(W100),★新聞!$E$3:$I$3,0))</f>
        <v>AJ</v>
      </c>
      <c r="H100" s="475" t="s">
        <v>1104</v>
      </c>
      <c r="I100" s="464" cm="1">
        <f t="array" ref="I100">IFERROR(INDEX(★原価率!$A$2:$E$50,MATCH($C100&amp;$H100,★原価率!$A$2:$A$50&amp;★原価率!$B$2:$B$50,0),3),0)</f>
        <v>84</v>
      </c>
      <c r="J100" s="464" cm="1">
        <f t="array" ref="J100">IFERROR(INDEX(★原価率!$A$2:$E$50,MATCH($C100&amp;$H100,★原価率!$A$2:$A$50&amp;★原価率!$B$2:$B$50,0),4),0)</f>
        <v>84</v>
      </c>
      <c r="K100" s="464" cm="1">
        <f t="array" ref="K100">IFERROR(INDEX(★原価率!$A$2:$E$50,MATCH($C100&amp;$H100,★原価率!$A$2:$A$50&amp;★原価率!$B$2:$B$50,0),5),0)</f>
        <v>100</v>
      </c>
      <c r="L100" s="528">
        <f>IFERROR(VLOOKUP(W100,★商品!$A$1:$H$1231,8,FALSE),0)</f>
        <v>2.8</v>
      </c>
      <c r="M100" s="203" t="str">
        <f ca="1">CONCATENATE(VLOOKUP(B100,★営業所!$A$2:$B$5,2,FALSE),TEXT(NOW(),"yyyy"))</f>
        <v>T2023</v>
      </c>
      <c r="N100" s="203">
        <v>1</v>
      </c>
      <c r="O100" s="203">
        <v>0</v>
      </c>
      <c r="P100" s="213">
        <f>申込書!$B$6</f>
        <v>0</v>
      </c>
      <c r="Q100" s="203">
        <f>申込書!$C$34</f>
        <v>1000040</v>
      </c>
      <c r="R100" s="203">
        <v>0</v>
      </c>
      <c r="U100" s="203">
        <f>VLOOKUP(B100,★営業所!$A$2:$C$5,3,FALSE)</f>
        <v>8</v>
      </c>
      <c r="V100" s="203">
        <f>申込書!$B$9</f>
        <v>0</v>
      </c>
      <c r="W100" s="203" t="str">
        <f>CONCATENATE(VLOOKUP(B100,★営業所!$A$2:$B$5,2,FALSE),VLOOKUP(申込書!$C$32,★サイズ表記!$D$4:$E$55,2,FALSE),VLOOKUP(D100,★折込地区!$A$2:$B$11,2,FALSE))</f>
        <v>T1001Tot</v>
      </c>
      <c r="X100" s="203" t="str">
        <f>CONCATENATE(申込書!$B$9," ",VLOOKUP(RIGHT(W100,3),★折込地区!$B$2:$C$10,2,FALSE),"")</f>
        <v xml:space="preserve"> 鳥取</v>
      </c>
      <c r="Z100" s="206">
        <f t="shared" ca="1" si="8"/>
        <v>0</v>
      </c>
      <c r="AB100" s="383">
        <f t="shared" si="9"/>
        <v>2.8</v>
      </c>
      <c r="AC100" s="203" t="str">
        <f t="shared" si="10"/>
        <v>P1001</v>
      </c>
      <c r="AD100" s="203" t="str">
        <f>VLOOKUP(AC100,★原価商品!$E$6:$F$349,2,FALSE)</f>
        <v>産経/B4（折り無し）</v>
      </c>
      <c r="AE100" s="203">
        <f t="shared" ca="1" si="11"/>
        <v>0</v>
      </c>
      <c r="AF100" s="383">
        <f ca="1">IFERROR(IF(VLOOKUP(申込書!$C$32,★サイズ表記!$F$4:$H$55,3,FALSE)="切り捨て",ROUNDDOWN(L100*IF(AK100="◎",I100,J100)/100,2),IF(VLOOKUP(申込書!$C$32,★サイズ表記!$F$4:$H$55,3,FALSE)="切り上げ",ROUNDUP(L100*IF(AK100="◎",I100,J100)/100,2),ROUND(L100*IF(AK100="◎",I100,J100)/100,2))),0)</f>
        <v>2.35</v>
      </c>
      <c r="AG100" s="203">
        <f t="shared" ca="1" si="12"/>
        <v>0</v>
      </c>
      <c r="AJ100" s="460" t="str">
        <f>IFERROR(VLOOKUP(申込書!$C$30,★業種!$D$2:$E$87,2,FALSE),"")</f>
        <v>1003</v>
      </c>
      <c r="AK100" s="460" t="str">
        <f ca="1">IF(申込書!$C$36="◎",IF(OR(D100="浜坂・温泉",D100="美方・村岡",D100="香住",D100="岡山",D100="大阪"),"",IF(LEFT(F100)="D","◎",IF(AG100=0,"",IFERROR(IF(VLOOKUP(AG100,★仕入先!$A$2:$C$211,3,FALSE)=0,"","◎"),"")))),"")</f>
        <v/>
      </c>
      <c r="AL100" s="460">
        <f>申込書!$H$14</f>
        <v>0</v>
      </c>
      <c r="AM100" s="460" t="str">
        <f>申込書!$C$32</f>
        <v>B4（折り無し）</v>
      </c>
      <c r="AN100" s="460" t="str">
        <f>VLOOKUP(AM100,★サイズ表記!$D$4:$E$55,2,FALSE)</f>
        <v>1001</v>
      </c>
      <c r="AO100" s="460">
        <f>IF(C100&lt;&gt;"⑧兵庫",VLOOKUP(LEFT(F100),★新聞!$A$4:$B$12,2,FALSE),IF(LEFT(F100)&lt;&gt;"S",VLOOKUP(LEFT(F100),★新聞!$A$4:$B$12,2,FALSE),VLOOKUP("X",★新聞!$A$4:$B$12,2,FALSE)))</f>
        <v>5</v>
      </c>
      <c r="AP100" s="460" t="str">
        <f t="shared" ca="1" si="13"/>
        <v>0</v>
      </c>
      <c r="AQ100" s="460" t="str">
        <f>IF(申込書!$C$38="","",申込書!$C$38)</f>
        <v/>
      </c>
    </row>
    <row r="101" spans="1:43">
      <c r="A101" s="463">
        <f t="shared" si="14"/>
        <v>100</v>
      </c>
      <c r="B101" s="463" t="str">
        <f t="shared" si="15"/>
        <v>東部</v>
      </c>
      <c r="C101" s="464" t="s">
        <v>1101</v>
      </c>
      <c r="D101" s="464" t="s">
        <v>1022</v>
      </c>
      <c r="E101" s="464">
        <f>VLOOKUP(D101,★折込地区!$A$2:$D$10,4,FALSE)</f>
        <v>1</v>
      </c>
      <c r="F101" s="464" t="s">
        <v>480</v>
      </c>
      <c r="G101" s="464" t="str">
        <f>INDEX(★新聞!$E$4:$I$12, MATCH(LEFT(F101),★新聞!$A$4:$A$12,0), MATCH(LEFT(W101),★新聞!$E$3:$I$3,0))</f>
        <v>AJ</v>
      </c>
      <c r="H101" s="475" t="s">
        <v>1104</v>
      </c>
      <c r="I101" s="464" cm="1">
        <f t="array" ref="I101">IFERROR(INDEX(★原価率!$A$2:$E$50,MATCH($C101&amp;$H101,★原価率!$A$2:$A$50&amp;★原価率!$B$2:$B$50,0),3),0)</f>
        <v>84</v>
      </c>
      <c r="J101" s="464" cm="1">
        <f t="array" ref="J101">IFERROR(INDEX(★原価率!$A$2:$E$50,MATCH($C101&amp;$H101,★原価率!$A$2:$A$50&amp;★原価率!$B$2:$B$50,0),4),0)</f>
        <v>84</v>
      </c>
      <c r="K101" s="464" cm="1">
        <f t="array" ref="K101">IFERROR(INDEX(★原価率!$A$2:$E$50,MATCH($C101&amp;$H101,★原価率!$A$2:$A$50&amp;★原価率!$B$2:$B$50,0),5),0)</f>
        <v>100</v>
      </c>
      <c r="L101" s="528">
        <f>IFERROR(VLOOKUP(W101,★商品!$A$1:$H$1231,8,FALSE),0)</f>
        <v>2.8</v>
      </c>
      <c r="M101" s="203" t="str">
        <f ca="1">CONCATENATE(VLOOKUP(B101,★営業所!$A$2:$B$5,2,FALSE),TEXT(NOW(),"yyyy"))</f>
        <v>T2023</v>
      </c>
      <c r="N101" s="203">
        <v>1</v>
      </c>
      <c r="O101" s="203">
        <v>0</v>
      </c>
      <c r="P101" s="213">
        <f>申込書!$B$6</f>
        <v>0</v>
      </c>
      <c r="Q101" s="203">
        <f>申込書!$C$34</f>
        <v>1000040</v>
      </c>
      <c r="R101" s="203">
        <v>0</v>
      </c>
      <c r="U101" s="203">
        <f>VLOOKUP(B101,★営業所!$A$2:$C$5,3,FALSE)</f>
        <v>8</v>
      </c>
      <c r="V101" s="203">
        <f>申込書!$B$9</f>
        <v>0</v>
      </c>
      <c r="W101" s="203" t="str">
        <f>CONCATENATE(VLOOKUP(B101,★営業所!$A$2:$B$5,2,FALSE),VLOOKUP(申込書!$C$32,★サイズ表記!$D$4:$E$55,2,FALSE),VLOOKUP(D101,★折込地区!$A$2:$B$11,2,FALSE))</f>
        <v>T1001Tot</v>
      </c>
      <c r="X101" s="203" t="str">
        <f>CONCATENATE(申込書!$B$9," ",VLOOKUP(RIGHT(W101,3),★折込地区!$B$2:$C$10,2,FALSE),"")</f>
        <v xml:space="preserve"> 鳥取</v>
      </c>
      <c r="Z101" s="206">
        <f t="shared" ca="1" si="8"/>
        <v>0</v>
      </c>
      <c r="AB101" s="383">
        <f t="shared" si="9"/>
        <v>2.8</v>
      </c>
      <c r="AC101" s="203" t="str">
        <f t="shared" si="10"/>
        <v>P1001</v>
      </c>
      <c r="AD101" s="203" t="str">
        <f>VLOOKUP(AC101,★原価商品!$E$6:$F$349,2,FALSE)</f>
        <v>産経/B4（折り無し）</v>
      </c>
      <c r="AE101" s="203">
        <f t="shared" ca="1" si="11"/>
        <v>0</v>
      </c>
      <c r="AF101" s="383">
        <f ca="1">IFERROR(IF(VLOOKUP(申込書!$C$32,★サイズ表記!$F$4:$H$55,3,FALSE)="切り捨て",ROUNDDOWN(L101*IF(AK101="◎",I101,J101)/100,2),IF(VLOOKUP(申込書!$C$32,★サイズ表記!$F$4:$H$55,3,FALSE)="切り上げ",ROUNDUP(L101*IF(AK101="◎",I101,J101)/100,2),ROUND(L101*IF(AK101="◎",I101,J101)/100,2))),0)</f>
        <v>2.35</v>
      </c>
      <c r="AG101" s="203">
        <f t="shared" ca="1" si="12"/>
        <v>0</v>
      </c>
      <c r="AJ101" s="460" t="str">
        <f>IFERROR(VLOOKUP(申込書!$C$30,★業種!$D$2:$E$87,2,FALSE),"")</f>
        <v>1003</v>
      </c>
      <c r="AK101" s="460" t="str">
        <f ca="1">IF(申込書!$C$36="◎",IF(OR(D101="浜坂・温泉",D101="美方・村岡",D101="香住",D101="岡山",D101="大阪"),"",IF(LEFT(F101)="D","◎",IF(AG101=0,"",IFERROR(IF(VLOOKUP(AG101,★仕入先!$A$2:$C$211,3,FALSE)=0,"","◎"),"")))),"")</f>
        <v/>
      </c>
      <c r="AL101" s="460">
        <f>申込書!$H$14</f>
        <v>0</v>
      </c>
      <c r="AM101" s="460" t="str">
        <f>申込書!$C$32</f>
        <v>B4（折り無し）</v>
      </c>
      <c r="AN101" s="460" t="str">
        <f>VLOOKUP(AM101,★サイズ表記!$D$4:$E$55,2,FALSE)</f>
        <v>1001</v>
      </c>
      <c r="AO101" s="460">
        <f>IF(C101&lt;&gt;"⑧兵庫",VLOOKUP(LEFT(F101),★新聞!$A$4:$B$12,2,FALSE),IF(LEFT(F101)&lt;&gt;"S",VLOOKUP(LEFT(F101),★新聞!$A$4:$B$12,2,FALSE),VLOOKUP("X",★新聞!$A$4:$B$12,2,FALSE)))</f>
        <v>5</v>
      </c>
      <c r="AP101" s="460" t="str">
        <f t="shared" ca="1" si="13"/>
        <v>0</v>
      </c>
      <c r="AQ101" s="460" t="str">
        <f>IF(申込書!$C$38="","",申込書!$C$38)</f>
        <v/>
      </c>
    </row>
    <row r="102" spans="1:43">
      <c r="A102" s="463">
        <f t="shared" si="14"/>
        <v>101</v>
      </c>
      <c r="B102" s="463" t="str">
        <f t="shared" si="15"/>
        <v>東部</v>
      </c>
      <c r="C102" s="464" t="s">
        <v>1101</v>
      </c>
      <c r="D102" s="464" t="s">
        <v>1022</v>
      </c>
      <c r="E102" s="464">
        <f>VLOOKUP(D102,★折込地区!$A$2:$D$10,4,FALSE)</f>
        <v>1</v>
      </c>
      <c r="F102" s="464" t="s">
        <v>481</v>
      </c>
      <c r="G102" s="464" t="str">
        <f>INDEX(★新聞!$E$4:$I$12, MATCH(LEFT(F102),★新聞!$A$4:$A$12,0), MATCH(LEFT(W102),★新聞!$E$3:$I$3,0))</f>
        <v>AJ</v>
      </c>
      <c r="H102" s="475" t="s">
        <v>1104</v>
      </c>
      <c r="I102" s="464" cm="1">
        <f t="array" ref="I102">IFERROR(INDEX(★原価率!$A$2:$E$50,MATCH($C102&amp;$H102,★原価率!$A$2:$A$50&amp;★原価率!$B$2:$B$50,0),3),0)</f>
        <v>84</v>
      </c>
      <c r="J102" s="464" cm="1">
        <f t="array" ref="J102">IFERROR(INDEX(★原価率!$A$2:$E$50,MATCH($C102&amp;$H102,★原価率!$A$2:$A$50&amp;★原価率!$B$2:$B$50,0),4),0)</f>
        <v>84</v>
      </c>
      <c r="K102" s="464" cm="1">
        <f t="array" ref="K102">IFERROR(INDEX(★原価率!$A$2:$E$50,MATCH($C102&amp;$H102,★原価率!$A$2:$A$50&amp;★原価率!$B$2:$B$50,0),5),0)</f>
        <v>100</v>
      </c>
      <c r="L102" s="528">
        <f>IFERROR(VLOOKUP(W102,★商品!$A$1:$H$1231,8,FALSE),0)</f>
        <v>2.8</v>
      </c>
      <c r="M102" s="203" t="str">
        <f ca="1">CONCATENATE(VLOOKUP(B102,★営業所!$A$2:$B$5,2,FALSE),TEXT(NOW(),"yyyy"))</f>
        <v>T2023</v>
      </c>
      <c r="N102" s="203">
        <v>1</v>
      </c>
      <c r="O102" s="203">
        <v>0</v>
      </c>
      <c r="P102" s="213">
        <f>申込書!$B$6</f>
        <v>0</v>
      </c>
      <c r="Q102" s="203">
        <f>申込書!$C$34</f>
        <v>1000040</v>
      </c>
      <c r="R102" s="203">
        <v>0</v>
      </c>
      <c r="U102" s="203">
        <f>VLOOKUP(B102,★営業所!$A$2:$C$5,3,FALSE)</f>
        <v>8</v>
      </c>
      <c r="V102" s="203">
        <f>申込書!$B$9</f>
        <v>0</v>
      </c>
      <c r="W102" s="203" t="str">
        <f>CONCATENATE(VLOOKUP(B102,★営業所!$A$2:$B$5,2,FALSE),VLOOKUP(申込書!$C$32,★サイズ表記!$D$4:$E$55,2,FALSE),VLOOKUP(D102,★折込地区!$A$2:$B$11,2,FALSE))</f>
        <v>T1001Tot</v>
      </c>
      <c r="X102" s="203" t="str">
        <f>CONCATENATE(申込書!$B$9," ",VLOOKUP(RIGHT(W102,3),★折込地区!$B$2:$C$10,2,FALSE),"")</f>
        <v xml:space="preserve"> 鳥取</v>
      </c>
      <c r="Z102" s="206">
        <f t="shared" ca="1" si="8"/>
        <v>0</v>
      </c>
      <c r="AB102" s="383">
        <f t="shared" si="9"/>
        <v>2.8</v>
      </c>
      <c r="AC102" s="203" t="str">
        <f t="shared" si="10"/>
        <v>P1001</v>
      </c>
      <c r="AD102" s="203" t="str">
        <f>VLOOKUP(AC102,★原価商品!$E$6:$F$349,2,FALSE)</f>
        <v>産経/B4（折り無し）</v>
      </c>
      <c r="AE102" s="203">
        <f t="shared" ca="1" si="11"/>
        <v>0</v>
      </c>
      <c r="AF102" s="383">
        <f ca="1">IFERROR(IF(VLOOKUP(申込書!$C$32,★サイズ表記!$F$4:$H$55,3,FALSE)="切り捨て",ROUNDDOWN(L102*IF(AK102="◎",I102,J102)/100,2),IF(VLOOKUP(申込書!$C$32,★サイズ表記!$F$4:$H$55,3,FALSE)="切り上げ",ROUNDUP(L102*IF(AK102="◎",I102,J102)/100,2),ROUND(L102*IF(AK102="◎",I102,J102)/100,2))),0)</f>
        <v>2.35</v>
      </c>
      <c r="AG102" s="203">
        <f t="shared" ca="1" si="12"/>
        <v>0</v>
      </c>
      <c r="AJ102" s="460" t="str">
        <f>IFERROR(VLOOKUP(申込書!$C$30,★業種!$D$2:$E$87,2,FALSE),"")</f>
        <v>1003</v>
      </c>
      <c r="AK102" s="460" t="str">
        <f ca="1">IF(申込書!$C$36="◎",IF(OR(D102="浜坂・温泉",D102="美方・村岡",D102="香住",D102="岡山",D102="大阪"),"",IF(LEFT(F102)="D","◎",IF(AG102=0,"",IFERROR(IF(VLOOKUP(AG102,★仕入先!$A$2:$C$211,3,FALSE)=0,"","◎"),"")))),"")</f>
        <v/>
      </c>
      <c r="AL102" s="460">
        <f>申込書!$H$14</f>
        <v>0</v>
      </c>
      <c r="AM102" s="460" t="str">
        <f>申込書!$C$32</f>
        <v>B4（折り無し）</v>
      </c>
      <c r="AN102" s="460" t="str">
        <f>VLOOKUP(AM102,★サイズ表記!$D$4:$E$55,2,FALSE)</f>
        <v>1001</v>
      </c>
      <c r="AO102" s="460">
        <f>IF(C102&lt;&gt;"⑧兵庫",VLOOKUP(LEFT(F102),★新聞!$A$4:$B$12,2,FALSE),IF(LEFT(F102)&lt;&gt;"S",VLOOKUP(LEFT(F102),★新聞!$A$4:$B$12,2,FALSE),VLOOKUP("X",★新聞!$A$4:$B$12,2,FALSE)))</f>
        <v>5</v>
      </c>
      <c r="AP102" s="460" t="str">
        <f t="shared" ca="1" si="13"/>
        <v>0</v>
      </c>
      <c r="AQ102" s="460" t="str">
        <f>IF(申込書!$C$38="","",申込書!$C$38)</f>
        <v/>
      </c>
    </row>
    <row r="103" spans="1:43">
      <c r="A103" s="463">
        <f t="shared" si="14"/>
        <v>102</v>
      </c>
      <c r="B103" s="463" t="str">
        <f t="shared" si="15"/>
        <v>東部</v>
      </c>
      <c r="C103" s="464" t="s">
        <v>1101</v>
      </c>
      <c r="D103" s="464" t="s">
        <v>1022</v>
      </c>
      <c r="E103" s="464">
        <f>VLOOKUP(D103,★折込地区!$A$2:$D$10,4,FALSE)</f>
        <v>1</v>
      </c>
      <c r="F103" s="464" t="s">
        <v>482</v>
      </c>
      <c r="G103" s="464" t="str">
        <f>INDEX(★新聞!$E$4:$I$12, MATCH(LEFT(F103),★新聞!$A$4:$A$12,0), MATCH(LEFT(W103),★新聞!$E$3:$I$3,0))</f>
        <v>AJ</v>
      </c>
      <c r="H103" s="475" t="s">
        <v>1104</v>
      </c>
      <c r="I103" s="464" cm="1">
        <f t="array" ref="I103">IFERROR(INDEX(★原価率!$A$2:$E$50,MATCH($C103&amp;$H103,★原価率!$A$2:$A$50&amp;★原価率!$B$2:$B$50,0),3),0)</f>
        <v>84</v>
      </c>
      <c r="J103" s="464" cm="1">
        <f t="array" ref="J103">IFERROR(INDEX(★原価率!$A$2:$E$50,MATCH($C103&amp;$H103,★原価率!$A$2:$A$50&amp;★原価率!$B$2:$B$50,0),4),0)</f>
        <v>84</v>
      </c>
      <c r="K103" s="464" cm="1">
        <f t="array" ref="K103">IFERROR(INDEX(★原価率!$A$2:$E$50,MATCH($C103&amp;$H103,★原価率!$A$2:$A$50&amp;★原価率!$B$2:$B$50,0),5),0)</f>
        <v>100</v>
      </c>
      <c r="L103" s="528">
        <f>IFERROR(VLOOKUP(W103,★商品!$A$1:$H$1231,8,FALSE),0)</f>
        <v>2.8</v>
      </c>
      <c r="M103" s="203" t="str">
        <f ca="1">CONCATENATE(VLOOKUP(B103,★営業所!$A$2:$B$5,2,FALSE),TEXT(NOW(),"yyyy"))</f>
        <v>T2023</v>
      </c>
      <c r="N103" s="203">
        <v>1</v>
      </c>
      <c r="O103" s="203">
        <v>0</v>
      </c>
      <c r="P103" s="213">
        <f>申込書!$B$6</f>
        <v>0</v>
      </c>
      <c r="Q103" s="203">
        <f>申込書!$C$34</f>
        <v>1000040</v>
      </c>
      <c r="R103" s="203">
        <v>0</v>
      </c>
      <c r="U103" s="203">
        <f>VLOOKUP(B103,★営業所!$A$2:$C$5,3,FALSE)</f>
        <v>8</v>
      </c>
      <c r="V103" s="203">
        <f>申込書!$B$9</f>
        <v>0</v>
      </c>
      <c r="W103" s="203" t="str">
        <f>CONCATENATE(VLOOKUP(B103,★営業所!$A$2:$B$5,2,FALSE),VLOOKUP(申込書!$C$32,★サイズ表記!$D$4:$E$55,2,FALSE),VLOOKUP(D103,★折込地区!$A$2:$B$11,2,FALSE))</f>
        <v>T1001Tot</v>
      </c>
      <c r="X103" s="203" t="str">
        <f>CONCATENATE(申込書!$B$9," ",VLOOKUP(RIGHT(W103,3),★折込地区!$B$2:$C$10,2,FALSE),"")</f>
        <v xml:space="preserve"> 鳥取</v>
      </c>
      <c r="Z103" s="206">
        <f t="shared" ca="1" si="8"/>
        <v>0</v>
      </c>
      <c r="AB103" s="383">
        <f t="shared" si="9"/>
        <v>2.8</v>
      </c>
      <c r="AC103" s="203" t="str">
        <f t="shared" si="10"/>
        <v>P1001</v>
      </c>
      <c r="AD103" s="203" t="str">
        <f>VLOOKUP(AC103,★原価商品!$E$6:$F$349,2,FALSE)</f>
        <v>産経/B4（折り無し）</v>
      </c>
      <c r="AE103" s="203">
        <f t="shared" ca="1" si="11"/>
        <v>0</v>
      </c>
      <c r="AF103" s="383">
        <f ca="1">IFERROR(IF(VLOOKUP(申込書!$C$32,★サイズ表記!$F$4:$H$55,3,FALSE)="切り捨て",ROUNDDOWN(L103*IF(AK103="◎",I103,J103)/100,2),IF(VLOOKUP(申込書!$C$32,★サイズ表記!$F$4:$H$55,3,FALSE)="切り上げ",ROUNDUP(L103*IF(AK103="◎",I103,J103)/100,2),ROUND(L103*IF(AK103="◎",I103,J103)/100,2))),0)</f>
        <v>2.35</v>
      </c>
      <c r="AG103" s="203">
        <f t="shared" ca="1" si="12"/>
        <v>0</v>
      </c>
      <c r="AJ103" s="460" t="str">
        <f>IFERROR(VLOOKUP(申込書!$C$30,★業種!$D$2:$E$87,2,FALSE),"")</f>
        <v>1003</v>
      </c>
      <c r="AK103" s="460" t="str">
        <f ca="1">IF(申込書!$C$36="◎",IF(OR(D103="浜坂・温泉",D103="美方・村岡",D103="香住",D103="岡山",D103="大阪"),"",IF(LEFT(F103)="D","◎",IF(AG103=0,"",IFERROR(IF(VLOOKUP(AG103,★仕入先!$A$2:$C$211,3,FALSE)=0,"","◎"),"")))),"")</f>
        <v/>
      </c>
      <c r="AL103" s="460">
        <f>申込書!$H$14</f>
        <v>0</v>
      </c>
      <c r="AM103" s="460" t="str">
        <f>申込書!$C$32</f>
        <v>B4（折り無し）</v>
      </c>
      <c r="AN103" s="460" t="str">
        <f>VLOOKUP(AM103,★サイズ表記!$D$4:$E$55,2,FALSE)</f>
        <v>1001</v>
      </c>
      <c r="AO103" s="460">
        <f>IF(C103&lt;&gt;"⑧兵庫",VLOOKUP(LEFT(F103),★新聞!$A$4:$B$12,2,FALSE),IF(LEFT(F103)&lt;&gt;"S",VLOOKUP(LEFT(F103),★新聞!$A$4:$B$12,2,FALSE),VLOOKUP("X",★新聞!$A$4:$B$12,2,FALSE)))</f>
        <v>5</v>
      </c>
      <c r="AP103" s="460" t="str">
        <f t="shared" ca="1" si="13"/>
        <v>0</v>
      </c>
      <c r="AQ103" s="460" t="str">
        <f>IF(申込書!$C$38="","",申込書!$C$38)</f>
        <v/>
      </c>
    </row>
    <row r="104" spans="1:43">
      <c r="A104" s="463">
        <f t="shared" si="14"/>
        <v>103</v>
      </c>
      <c r="B104" s="463" t="str">
        <f t="shared" si="15"/>
        <v>東部</v>
      </c>
      <c r="C104" s="464" t="s">
        <v>1101</v>
      </c>
      <c r="D104" s="464" t="s">
        <v>1022</v>
      </c>
      <c r="E104" s="464">
        <f>VLOOKUP(D104,★折込地区!$A$2:$D$10,4,FALSE)</f>
        <v>1</v>
      </c>
      <c r="F104" s="464" t="s">
        <v>483</v>
      </c>
      <c r="G104" s="464" t="str">
        <f>INDEX(★新聞!$E$4:$I$12, MATCH(LEFT(F104),★新聞!$A$4:$A$12,0), MATCH(LEFT(W104),★新聞!$E$3:$I$3,0))</f>
        <v>AJ</v>
      </c>
      <c r="H104" s="475" t="s">
        <v>1104</v>
      </c>
      <c r="I104" s="464" cm="1">
        <f t="array" ref="I104">IFERROR(INDEX(★原価率!$A$2:$E$50,MATCH($C104&amp;$H104,★原価率!$A$2:$A$50&amp;★原価率!$B$2:$B$50,0),3),0)</f>
        <v>84</v>
      </c>
      <c r="J104" s="464" cm="1">
        <f t="array" ref="J104">IFERROR(INDEX(★原価率!$A$2:$E$50,MATCH($C104&amp;$H104,★原価率!$A$2:$A$50&amp;★原価率!$B$2:$B$50,0),4),0)</f>
        <v>84</v>
      </c>
      <c r="K104" s="464" cm="1">
        <f t="array" ref="K104">IFERROR(INDEX(★原価率!$A$2:$E$50,MATCH($C104&amp;$H104,★原価率!$A$2:$A$50&amp;★原価率!$B$2:$B$50,0),5),0)</f>
        <v>100</v>
      </c>
      <c r="L104" s="528">
        <f>IFERROR(VLOOKUP(W104,★商品!$A$1:$H$1231,8,FALSE),0)</f>
        <v>2.8</v>
      </c>
      <c r="M104" s="203" t="str">
        <f ca="1">CONCATENATE(VLOOKUP(B104,★営業所!$A$2:$B$5,2,FALSE),TEXT(NOW(),"yyyy"))</f>
        <v>T2023</v>
      </c>
      <c r="N104" s="203">
        <v>1</v>
      </c>
      <c r="O104" s="203">
        <v>0</v>
      </c>
      <c r="P104" s="213">
        <f>申込書!$B$6</f>
        <v>0</v>
      </c>
      <c r="Q104" s="203">
        <f>申込書!$C$34</f>
        <v>1000040</v>
      </c>
      <c r="R104" s="203">
        <v>0</v>
      </c>
      <c r="U104" s="203">
        <f>VLOOKUP(B104,★営業所!$A$2:$C$5,3,FALSE)</f>
        <v>8</v>
      </c>
      <c r="V104" s="203">
        <f>申込書!$B$9</f>
        <v>0</v>
      </c>
      <c r="W104" s="203" t="str">
        <f>CONCATENATE(VLOOKUP(B104,★営業所!$A$2:$B$5,2,FALSE),VLOOKUP(申込書!$C$32,★サイズ表記!$D$4:$E$55,2,FALSE),VLOOKUP(D104,★折込地区!$A$2:$B$11,2,FALSE))</f>
        <v>T1001Tot</v>
      </c>
      <c r="X104" s="203" t="str">
        <f>CONCATENATE(申込書!$B$9," ",VLOOKUP(RIGHT(W104,3),★折込地区!$B$2:$C$10,2,FALSE),"")</f>
        <v xml:space="preserve"> 鳥取</v>
      </c>
      <c r="Z104" s="206">
        <f t="shared" ca="1" si="8"/>
        <v>0</v>
      </c>
      <c r="AB104" s="383">
        <f t="shared" si="9"/>
        <v>2.8</v>
      </c>
      <c r="AC104" s="203" t="str">
        <f t="shared" si="10"/>
        <v>P1001</v>
      </c>
      <c r="AD104" s="203" t="str">
        <f>VLOOKUP(AC104,★原価商品!$E$6:$F$349,2,FALSE)</f>
        <v>産経/B4（折り無し）</v>
      </c>
      <c r="AE104" s="203">
        <f t="shared" ca="1" si="11"/>
        <v>0</v>
      </c>
      <c r="AF104" s="383">
        <f ca="1">IFERROR(IF(VLOOKUP(申込書!$C$32,★サイズ表記!$F$4:$H$55,3,FALSE)="切り捨て",ROUNDDOWN(L104*IF(AK104="◎",I104,J104)/100,2),IF(VLOOKUP(申込書!$C$32,★サイズ表記!$F$4:$H$55,3,FALSE)="切り上げ",ROUNDUP(L104*IF(AK104="◎",I104,J104)/100,2),ROUND(L104*IF(AK104="◎",I104,J104)/100,2))),0)</f>
        <v>2.35</v>
      </c>
      <c r="AG104" s="203">
        <f t="shared" ca="1" si="12"/>
        <v>10113</v>
      </c>
      <c r="AJ104" s="460" t="str">
        <f>IFERROR(VLOOKUP(申込書!$C$30,★業種!$D$2:$E$87,2,FALSE),"")</f>
        <v>1003</v>
      </c>
      <c r="AK104" s="460" t="str">
        <f ca="1">IF(申込書!$C$36="◎",IF(OR(D104="浜坂・温泉",D104="美方・村岡",D104="香住",D104="岡山",D104="大阪"),"",IF(LEFT(F104)="D","◎",IF(AG104=0,"",IFERROR(IF(VLOOKUP(AG104,★仕入先!$A$2:$C$211,3,FALSE)=0,"","◎"),"")))),"")</f>
        <v/>
      </c>
      <c r="AL104" s="460">
        <f>申込書!$H$14</f>
        <v>0</v>
      </c>
      <c r="AM104" s="460" t="str">
        <f>申込書!$C$32</f>
        <v>B4（折り無し）</v>
      </c>
      <c r="AN104" s="460" t="str">
        <f>VLOOKUP(AM104,★サイズ表記!$D$4:$E$55,2,FALSE)</f>
        <v>1001</v>
      </c>
      <c r="AO104" s="460">
        <f>IF(C104&lt;&gt;"⑧兵庫",VLOOKUP(LEFT(F104),★新聞!$A$4:$B$12,2,FALSE),IF(LEFT(F104)&lt;&gt;"S",VLOOKUP(LEFT(F104),★新聞!$A$4:$B$12,2,FALSE),VLOOKUP("X",★新聞!$A$4:$B$12,2,FALSE)))</f>
        <v>5</v>
      </c>
      <c r="AP104" s="460" t="str">
        <f t="shared" ca="1" si="13"/>
        <v>0</v>
      </c>
      <c r="AQ104" s="460" t="str">
        <f>IF(申込書!$C$38="","",申込書!$C$38)</f>
        <v/>
      </c>
    </row>
    <row r="105" spans="1:43">
      <c r="A105" s="463">
        <f t="shared" si="14"/>
        <v>104</v>
      </c>
      <c r="B105" s="463" t="str">
        <f t="shared" si="15"/>
        <v>東部</v>
      </c>
      <c r="C105" s="464" t="s">
        <v>1101</v>
      </c>
      <c r="D105" s="464" t="s">
        <v>1022</v>
      </c>
      <c r="E105" s="464">
        <f>VLOOKUP(D105,★折込地区!$A$2:$D$10,4,FALSE)</f>
        <v>1</v>
      </c>
      <c r="F105" s="464" t="s">
        <v>484</v>
      </c>
      <c r="G105" s="464" t="str">
        <f>INDEX(★新聞!$E$4:$I$12, MATCH(LEFT(F105),★新聞!$A$4:$A$12,0), MATCH(LEFT(W105),★新聞!$E$3:$I$3,0))</f>
        <v>AJ</v>
      </c>
      <c r="H105" s="475" t="s">
        <v>1104</v>
      </c>
      <c r="I105" s="464" cm="1">
        <f t="array" ref="I105">IFERROR(INDEX(★原価率!$A$2:$E$50,MATCH($C105&amp;$H105,★原価率!$A$2:$A$50&amp;★原価率!$B$2:$B$50,0),3),0)</f>
        <v>84</v>
      </c>
      <c r="J105" s="464" cm="1">
        <f t="array" ref="J105">IFERROR(INDEX(★原価率!$A$2:$E$50,MATCH($C105&amp;$H105,★原価率!$A$2:$A$50&amp;★原価率!$B$2:$B$50,0),4),0)</f>
        <v>84</v>
      </c>
      <c r="K105" s="464" cm="1">
        <f t="array" ref="K105">IFERROR(INDEX(★原価率!$A$2:$E$50,MATCH($C105&amp;$H105,★原価率!$A$2:$A$50&amp;★原価率!$B$2:$B$50,0),5),0)</f>
        <v>100</v>
      </c>
      <c r="L105" s="528">
        <f>IFERROR(VLOOKUP(W105,★商品!$A$1:$H$1231,8,FALSE),0)</f>
        <v>2.8</v>
      </c>
      <c r="M105" s="203" t="str">
        <f ca="1">CONCATENATE(VLOOKUP(B105,★営業所!$A$2:$B$5,2,FALSE),TEXT(NOW(),"yyyy"))</f>
        <v>T2023</v>
      </c>
      <c r="N105" s="203">
        <v>1</v>
      </c>
      <c r="O105" s="203">
        <v>0</v>
      </c>
      <c r="P105" s="213">
        <f>申込書!$B$6</f>
        <v>0</v>
      </c>
      <c r="Q105" s="203">
        <f>申込書!$C$34</f>
        <v>1000040</v>
      </c>
      <c r="R105" s="203">
        <v>0</v>
      </c>
      <c r="U105" s="203">
        <f>VLOOKUP(B105,★営業所!$A$2:$C$5,3,FALSE)</f>
        <v>8</v>
      </c>
      <c r="V105" s="203">
        <f>申込書!$B$9</f>
        <v>0</v>
      </c>
      <c r="W105" s="203" t="str">
        <f>CONCATENATE(VLOOKUP(B105,★営業所!$A$2:$B$5,2,FALSE),VLOOKUP(申込書!$C$32,★サイズ表記!$D$4:$E$55,2,FALSE),VLOOKUP(D105,★折込地区!$A$2:$B$11,2,FALSE))</f>
        <v>T1001Tot</v>
      </c>
      <c r="X105" s="203" t="str">
        <f>CONCATENATE(申込書!$B$9," ",VLOOKUP(RIGHT(W105,3),★折込地区!$B$2:$C$10,2,FALSE),"")</f>
        <v xml:space="preserve"> 鳥取</v>
      </c>
      <c r="Z105" s="206">
        <f t="shared" ca="1" si="8"/>
        <v>0</v>
      </c>
      <c r="AB105" s="383">
        <f t="shared" si="9"/>
        <v>2.8</v>
      </c>
      <c r="AC105" s="203" t="str">
        <f t="shared" si="10"/>
        <v>P1001</v>
      </c>
      <c r="AD105" s="203" t="str">
        <f>VLOOKUP(AC105,★原価商品!$E$6:$F$349,2,FALSE)</f>
        <v>産経/B4（折り無し）</v>
      </c>
      <c r="AE105" s="203">
        <f t="shared" ca="1" si="11"/>
        <v>0</v>
      </c>
      <c r="AF105" s="383">
        <f ca="1">IFERROR(IF(VLOOKUP(申込書!$C$32,★サイズ表記!$F$4:$H$55,3,FALSE)="切り捨て",ROUNDDOWN(L105*IF(AK105="◎",I105,J105)/100,2),IF(VLOOKUP(申込書!$C$32,★サイズ表記!$F$4:$H$55,3,FALSE)="切り上げ",ROUNDUP(L105*IF(AK105="◎",I105,J105)/100,2),ROUND(L105*IF(AK105="◎",I105,J105)/100,2))),0)</f>
        <v>2.35</v>
      </c>
      <c r="AG105" s="203">
        <f t="shared" ca="1" si="12"/>
        <v>0</v>
      </c>
      <c r="AJ105" s="460" t="str">
        <f>IFERROR(VLOOKUP(申込書!$C$30,★業種!$D$2:$E$87,2,FALSE),"")</f>
        <v>1003</v>
      </c>
      <c r="AK105" s="460" t="str">
        <f ca="1">IF(申込書!$C$36="◎",IF(OR(D105="浜坂・温泉",D105="美方・村岡",D105="香住",D105="岡山",D105="大阪"),"",IF(LEFT(F105)="D","◎",IF(AG105=0,"",IFERROR(IF(VLOOKUP(AG105,★仕入先!$A$2:$C$211,3,FALSE)=0,"","◎"),"")))),"")</f>
        <v/>
      </c>
      <c r="AL105" s="460">
        <f>申込書!$H$14</f>
        <v>0</v>
      </c>
      <c r="AM105" s="460" t="str">
        <f>申込書!$C$32</f>
        <v>B4（折り無し）</v>
      </c>
      <c r="AN105" s="460" t="str">
        <f>VLOOKUP(AM105,★サイズ表記!$D$4:$E$55,2,FALSE)</f>
        <v>1001</v>
      </c>
      <c r="AO105" s="460">
        <f>IF(C105&lt;&gt;"⑧兵庫",VLOOKUP(LEFT(F105),★新聞!$A$4:$B$12,2,FALSE),IF(LEFT(F105)&lt;&gt;"S",VLOOKUP(LEFT(F105),★新聞!$A$4:$B$12,2,FALSE),VLOOKUP("X",★新聞!$A$4:$B$12,2,FALSE)))</f>
        <v>5</v>
      </c>
      <c r="AP105" s="460" t="str">
        <f t="shared" ca="1" si="13"/>
        <v>0</v>
      </c>
      <c r="AQ105" s="460" t="str">
        <f>IF(申込書!$C$38="","",申込書!$C$38)</f>
        <v/>
      </c>
    </row>
    <row r="106" spans="1:43">
      <c r="A106" s="463">
        <f t="shared" si="14"/>
        <v>105</v>
      </c>
      <c r="B106" s="463" t="str">
        <f t="shared" si="15"/>
        <v>東部</v>
      </c>
      <c r="C106" s="464" t="s">
        <v>1101</v>
      </c>
      <c r="D106" s="464" t="s">
        <v>1022</v>
      </c>
      <c r="E106" s="464">
        <f>VLOOKUP(D106,★折込地区!$A$2:$D$10,4,FALSE)</f>
        <v>1</v>
      </c>
      <c r="F106" s="464" t="s">
        <v>485</v>
      </c>
      <c r="G106" s="464" t="str">
        <f>INDEX(★新聞!$E$4:$I$12, MATCH(LEFT(F106),★新聞!$A$4:$A$12,0), MATCH(LEFT(W106),★新聞!$E$3:$I$3,0))</f>
        <v>AJ</v>
      </c>
      <c r="H106" s="475" t="s">
        <v>1104</v>
      </c>
      <c r="I106" s="464" cm="1">
        <f t="array" ref="I106">IFERROR(INDEX(★原価率!$A$2:$E$50,MATCH($C106&amp;$H106,★原価率!$A$2:$A$50&amp;★原価率!$B$2:$B$50,0),3),0)</f>
        <v>84</v>
      </c>
      <c r="J106" s="464" cm="1">
        <f t="array" ref="J106">IFERROR(INDEX(★原価率!$A$2:$E$50,MATCH($C106&amp;$H106,★原価率!$A$2:$A$50&amp;★原価率!$B$2:$B$50,0),4),0)</f>
        <v>84</v>
      </c>
      <c r="K106" s="464" cm="1">
        <f t="array" ref="K106">IFERROR(INDEX(★原価率!$A$2:$E$50,MATCH($C106&amp;$H106,★原価率!$A$2:$A$50&amp;★原価率!$B$2:$B$50,0),5),0)</f>
        <v>100</v>
      </c>
      <c r="L106" s="528">
        <f>IFERROR(VLOOKUP(W106,★商品!$A$1:$H$1231,8,FALSE),0)</f>
        <v>2.8</v>
      </c>
      <c r="M106" s="203" t="str">
        <f ca="1">CONCATENATE(VLOOKUP(B106,★営業所!$A$2:$B$5,2,FALSE),TEXT(NOW(),"yyyy"))</f>
        <v>T2023</v>
      </c>
      <c r="N106" s="203">
        <v>1</v>
      </c>
      <c r="O106" s="203">
        <v>0</v>
      </c>
      <c r="P106" s="213">
        <f>申込書!$B$6</f>
        <v>0</v>
      </c>
      <c r="Q106" s="203">
        <f>申込書!$C$34</f>
        <v>1000040</v>
      </c>
      <c r="R106" s="203">
        <v>0</v>
      </c>
      <c r="U106" s="203">
        <f>VLOOKUP(B106,★営業所!$A$2:$C$5,3,FALSE)</f>
        <v>8</v>
      </c>
      <c r="V106" s="203">
        <f>申込書!$B$9</f>
        <v>0</v>
      </c>
      <c r="W106" s="203" t="str">
        <f>CONCATENATE(VLOOKUP(B106,★営業所!$A$2:$B$5,2,FALSE),VLOOKUP(申込書!$C$32,★サイズ表記!$D$4:$E$55,2,FALSE),VLOOKUP(D106,★折込地区!$A$2:$B$11,2,FALSE))</f>
        <v>T1001Tot</v>
      </c>
      <c r="X106" s="203" t="str">
        <f>CONCATENATE(申込書!$B$9," ",VLOOKUP(RIGHT(W106,3),★折込地区!$B$2:$C$10,2,FALSE),"")</f>
        <v xml:space="preserve"> 鳥取</v>
      </c>
      <c r="Z106" s="206">
        <f t="shared" ca="1" si="8"/>
        <v>0</v>
      </c>
      <c r="AB106" s="383">
        <f t="shared" si="9"/>
        <v>2.8</v>
      </c>
      <c r="AC106" s="203" t="str">
        <f t="shared" si="10"/>
        <v>P1001</v>
      </c>
      <c r="AD106" s="203" t="str">
        <f>VLOOKUP(AC106,★原価商品!$E$6:$F$349,2,FALSE)</f>
        <v>産経/B4（折り無し）</v>
      </c>
      <c r="AE106" s="203">
        <f t="shared" ca="1" si="11"/>
        <v>0</v>
      </c>
      <c r="AF106" s="383">
        <f ca="1">IFERROR(IF(VLOOKUP(申込書!$C$32,★サイズ表記!$F$4:$H$55,3,FALSE)="切り捨て",ROUNDDOWN(L106*IF(AK106="◎",I106,J106)/100,2),IF(VLOOKUP(申込書!$C$32,★サイズ表記!$F$4:$H$55,3,FALSE)="切り上げ",ROUNDUP(L106*IF(AK106="◎",I106,J106)/100,2),ROUND(L106*IF(AK106="◎",I106,J106)/100,2))),0)</f>
        <v>2.35</v>
      </c>
      <c r="AG106" s="203">
        <f t="shared" ca="1" si="12"/>
        <v>0</v>
      </c>
      <c r="AJ106" s="460" t="str">
        <f>IFERROR(VLOOKUP(申込書!$C$30,★業種!$D$2:$E$87,2,FALSE),"")</f>
        <v>1003</v>
      </c>
      <c r="AK106" s="460" t="str">
        <f ca="1">IF(申込書!$C$36="◎",IF(OR(D106="浜坂・温泉",D106="美方・村岡",D106="香住",D106="岡山",D106="大阪"),"",IF(LEFT(F106)="D","◎",IF(AG106=0,"",IFERROR(IF(VLOOKUP(AG106,★仕入先!$A$2:$C$211,3,FALSE)=0,"","◎"),"")))),"")</f>
        <v/>
      </c>
      <c r="AL106" s="460">
        <f>申込書!$H$14</f>
        <v>0</v>
      </c>
      <c r="AM106" s="460" t="str">
        <f>申込書!$C$32</f>
        <v>B4（折り無し）</v>
      </c>
      <c r="AN106" s="460" t="str">
        <f>VLOOKUP(AM106,★サイズ表記!$D$4:$E$55,2,FALSE)</f>
        <v>1001</v>
      </c>
      <c r="AO106" s="460">
        <f>IF(C106&lt;&gt;"⑧兵庫",VLOOKUP(LEFT(F106),★新聞!$A$4:$B$12,2,FALSE),IF(LEFT(F106)&lt;&gt;"S",VLOOKUP(LEFT(F106),★新聞!$A$4:$B$12,2,FALSE),VLOOKUP("X",★新聞!$A$4:$B$12,2,FALSE)))</f>
        <v>5</v>
      </c>
      <c r="AP106" s="460" t="str">
        <f t="shared" ca="1" si="13"/>
        <v>0</v>
      </c>
      <c r="AQ106" s="460" t="str">
        <f>IF(申込書!$C$38="","",申込書!$C$38)</f>
        <v/>
      </c>
    </row>
    <row r="107" spans="1:43">
      <c r="A107" s="463">
        <f t="shared" si="14"/>
        <v>106</v>
      </c>
      <c r="B107" s="463" t="str">
        <f t="shared" si="15"/>
        <v>東部</v>
      </c>
      <c r="C107" s="464" t="s">
        <v>1101</v>
      </c>
      <c r="D107" s="464" t="s">
        <v>1022</v>
      </c>
      <c r="E107" s="464">
        <f>VLOOKUP(D107,★折込地区!$A$2:$D$10,4,FALSE)</f>
        <v>1</v>
      </c>
      <c r="F107" s="464" t="s">
        <v>486</v>
      </c>
      <c r="G107" s="464" t="str">
        <f>INDEX(★新聞!$E$4:$I$12, MATCH(LEFT(F107),★新聞!$A$4:$A$12,0), MATCH(LEFT(W107),★新聞!$E$3:$I$3,0))</f>
        <v>AJ</v>
      </c>
      <c r="H107" s="475" t="s">
        <v>1104</v>
      </c>
      <c r="I107" s="464" cm="1">
        <f t="array" ref="I107">IFERROR(INDEX(★原価率!$A$2:$E$50,MATCH($C107&amp;$H107,★原価率!$A$2:$A$50&amp;★原価率!$B$2:$B$50,0),3),0)</f>
        <v>84</v>
      </c>
      <c r="J107" s="464" cm="1">
        <f t="array" ref="J107">IFERROR(INDEX(★原価率!$A$2:$E$50,MATCH($C107&amp;$H107,★原価率!$A$2:$A$50&amp;★原価率!$B$2:$B$50,0),4),0)</f>
        <v>84</v>
      </c>
      <c r="K107" s="464" cm="1">
        <f t="array" ref="K107">IFERROR(INDEX(★原価率!$A$2:$E$50,MATCH($C107&amp;$H107,★原価率!$A$2:$A$50&amp;★原価率!$B$2:$B$50,0),5),0)</f>
        <v>100</v>
      </c>
      <c r="L107" s="528">
        <f>IFERROR(VLOOKUP(W107,★商品!$A$1:$H$1231,8,FALSE),0)</f>
        <v>2.8</v>
      </c>
      <c r="M107" s="203" t="str">
        <f ca="1">CONCATENATE(VLOOKUP(B107,★営業所!$A$2:$B$5,2,FALSE),TEXT(NOW(),"yyyy"))</f>
        <v>T2023</v>
      </c>
      <c r="N107" s="203">
        <v>1</v>
      </c>
      <c r="O107" s="203">
        <v>0</v>
      </c>
      <c r="P107" s="213">
        <f>申込書!$B$6</f>
        <v>0</v>
      </c>
      <c r="Q107" s="203">
        <f>申込書!$C$34</f>
        <v>1000040</v>
      </c>
      <c r="R107" s="203">
        <v>0</v>
      </c>
      <c r="U107" s="203">
        <f>VLOOKUP(B107,★営業所!$A$2:$C$5,3,FALSE)</f>
        <v>8</v>
      </c>
      <c r="V107" s="203">
        <f>申込書!$B$9</f>
        <v>0</v>
      </c>
      <c r="W107" s="203" t="str">
        <f>CONCATENATE(VLOOKUP(B107,★営業所!$A$2:$B$5,2,FALSE),VLOOKUP(申込書!$C$32,★サイズ表記!$D$4:$E$55,2,FALSE),VLOOKUP(D107,★折込地区!$A$2:$B$11,2,FALSE))</f>
        <v>T1001Tot</v>
      </c>
      <c r="X107" s="203" t="str">
        <f>CONCATENATE(申込書!$B$9," ",VLOOKUP(RIGHT(W107,3),★折込地区!$B$2:$C$10,2,FALSE),"")</f>
        <v xml:space="preserve"> 鳥取</v>
      </c>
      <c r="Z107" s="206">
        <f t="shared" ca="1" si="8"/>
        <v>0</v>
      </c>
      <c r="AB107" s="383">
        <f t="shared" si="9"/>
        <v>2.8</v>
      </c>
      <c r="AC107" s="203" t="str">
        <f t="shared" si="10"/>
        <v>P1001</v>
      </c>
      <c r="AD107" s="203" t="str">
        <f>VLOOKUP(AC107,★原価商品!$E$6:$F$349,2,FALSE)</f>
        <v>産経/B4（折り無し）</v>
      </c>
      <c r="AE107" s="203">
        <f t="shared" ca="1" si="11"/>
        <v>0</v>
      </c>
      <c r="AF107" s="383">
        <f ca="1">IFERROR(IF(VLOOKUP(申込書!$C$32,★サイズ表記!$F$4:$H$55,3,FALSE)="切り捨て",ROUNDDOWN(L107*IF(AK107="◎",I107,J107)/100,2),IF(VLOOKUP(申込書!$C$32,★サイズ表記!$F$4:$H$55,3,FALSE)="切り上げ",ROUNDUP(L107*IF(AK107="◎",I107,J107)/100,2),ROUND(L107*IF(AK107="◎",I107,J107)/100,2))),0)</f>
        <v>2.35</v>
      </c>
      <c r="AG107" s="203">
        <f t="shared" ca="1" si="12"/>
        <v>0</v>
      </c>
      <c r="AJ107" s="460" t="str">
        <f>IFERROR(VLOOKUP(申込書!$C$30,★業種!$D$2:$E$87,2,FALSE),"")</f>
        <v>1003</v>
      </c>
      <c r="AK107" s="460" t="str">
        <f ca="1">IF(申込書!$C$36="◎",IF(OR(D107="浜坂・温泉",D107="美方・村岡",D107="香住",D107="岡山",D107="大阪"),"",IF(LEFT(F107)="D","◎",IF(AG107=0,"",IFERROR(IF(VLOOKUP(AG107,★仕入先!$A$2:$C$211,3,FALSE)=0,"","◎"),"")))),"")</f>
        <v/>
      </c>
      <c r="AL107" s="460">
        <f>申込書!$H$14</f>
        <v>0</v>
      </c>
      <c r="AM107" s="460" t="str">
        <f>申込書!$C$32</f>
        <v>B4（折り無し）</v>
      </c>
      <c r="AN107" s="460" t="str">
        <f>VLOOKUP(AM107,★サイズ表記!$D$4:$E$55,2,FALSE)</f>
        <v>1001</v>
      </c>
      <c r="AO107" s="460">
        <f>IF(C107&lt;&gt;"⑧兵庫",VLOOKUP(LEFT(F107),★新聞!$A$4:$B$12,2,FALSE),IF(LEFT(F107)&lt;&gt;"S",VLOOKUP(LEFT(F107),★新聞!$A$4:$B$12,2,FALSE),VLOOKUP("X",★新聞!$A$4:$B$12,2,FALSE)))</f>
        <v>5</v>
      </c>
      <c r="AP107" s="460" t="str">
        <f t="shared" ca="1" si="13"/>
        <v>0</v>
      </c>
      <c r="AQ107" s="460" t="str">
        <f>IF(申込書!$C$38="","",申込書!$C$38)</f>
        <v/>
      </c>
    </row>
    <row r="108" spans="1:43">
      <c r="A108" s="463">
        <f t="shared" si="14"/>
        <v>107</v>
      </c>
      <c r="B108" s="463" t="str">
        <f t="shared" si="15"/>
        <v>東部</v>
      </c>
      <c r="C108" s="464" t="s">
        <v>1101</v>
      </c>
      <c r="D108" s="464" t="s">
        <v>1022</v>
      </c>
      <c r="E108" s="464">
        <f>VLOOKUP(D108,★折込地区!$A$2:$D$10,4,FALSE)</f>
        <v>1</v>
      </c>
      <c r="F108" s="464" t="s">
        <v>487</v>
      </c>
      <c r="G108" s="464" t="str">
        <f>INDEX(★新聞!$E$4:$I$12, MATCH(LEFT(F108),★新聞!$A$4:$A$12,0), MATCH(LEFT(W108),★新聞!$E$3:$I$3,0))</f>
        <v>AJ</v>
      </c>
      <c r="H108" s="555" t="s">
        <v>1102</v>
      </c>
      <c r="I108" s="464" cm="1">
        <f t="array" ref="I108">IFERROR(INDEX(★原価率!$A$2:$E$50,MATCH($C108&amp;$H108,★原価率!$A$2:$A$50&amp;★原価率!$B$2:$B$50,0),3),0)</f>
        <v>74</v>
      </c>
      <c r="J108" s="464" cm="1">
        <f t="array" ref="J108">IFERROR(INDEX(★原価率!$A$2:$E$50,MATCH($C108&amp;$H108,★原価率!$A$2:$A$50&amp;★原価率!$B$2:$B$50,0),4),0)</f>
        <v>84</v>
      </c>
      <c r="K108" s="464" cm="1">
        <f t="array" ref="K108">IFERROR(INDEX(★原価率!$A$2:$E$50,MATCH($C108&amp;$H108,★原価率!$A$2:$A$50&amp;★原価率!$B$2:$B$50,0),5),0)</f>
        <v>100</v>
      </c>
      <c r="L108" s="528">
        <f>IFERROR(VLOOKUP(W108,★商品!$A$1:$H$1231,8,FALSE),0)</f>
        <v>2.8</v>
      </c>
      <c r="M108" s="203" t="str">
        <f ca="1">CONCATENATE(VLOOKUP(B108,★営業所!$A$2:$B$5,2,FALSE),TEXT(NOW(),"yyyy"))</f>
        <v>T2023</v>
      </c>
      <c r="N108" s="203">
        <v>1</v>
      </c>
      <c r="O108" s="203">
        <v>0</v>
      </c>
      <c r="P108" s="213">
        <f>申込書!$B$6</f>
        <v>0</v>
      </c>
      <c r="Q108" s="203">
        <f>申込書!$C$34</f>
        <v>1000040</v>
      </c>
      <c r="R108" s="203">
        <v>0</v>
      </c>
      <c r="U108" s="203">
        <f>VLOOKUP(B108,★営業所!$A$2:$C$5,3,FALSE)</f>
        <v>8</v>
      </c>
      <c r="V108" s="203">
        <f>申込書!$B$9</f>
        <v>0</v>
      </c>
      <c r="W108" s="203" t="str">
        <f>CONCATENATE(VLOOKUP(B108,★営業所!$A$2:$B$5,2,FALSE),VLOOKUP(申込書!$C$32,★サイズ表記!$D$4:$E$55,2,FALSE),VLOOKUP(D108,★折込地区!$A$2:$B$11,2,FALSE))</f>
        <v>T1001Tot</v>
      </c>
      <c r="X108" s="203" t="str">
        <f>CONCATENATE(申込書!$B$9," ",VLOOKUP(RIGHT(W108,3),★折込地区!$B$2:$C$10,2,FALSE),"")</f>
        <v xml:space="preserve"> 鳥取</v>
      </c>
      <c r="Z108" s="206">
        <f t="shared" ca="1" si="8"/>
        <v>0</v>
      </c>
      <c r="AB108" s="383">
        <f t="shared" si="9"/>
        <v>2.8</v>
      </c>
      <c r="AC108" s="203" t="str">
        <f t="shared" si="10"/>
        <v>P1001</v>
      </c>
      <c r="AD108" s="203" t="str">
        <f>VLOOKUP(AC108,★原価商品!$E$6:$F$349,2,FALSE)</f>
        <v>産経/B4（折り無し）</v>
      </c>
      <c r="AE108" s="203">
        <f t="shared" ca="1" si="11"/>
        <v>0</v>
      </c>
      <c r="AF108" s="383">
        <f ca="1">IFERROR(IF(VLOOKUP(申込書!$C$32,★サイズ表記!$F$4:$H$55,3,FALSE)="切り捨て",ROUNDDOWN(L108*IF(AK108="◎",I108,J108)/100,2),IF(VLOOKUP(申込書!$C$32,★サイズ表記!$F$4:$H$55,3,FALSE)="切り上げ",ROUNDUP(L108*IF(AK108="◎",I108,J108)/100,2),ROUND(L108*IF(AK108="◎",I108,J108)/100,2))),0)</f>
        <v>2.0699999999999998</v>
      </c>
      <c r="AG108" s="203">
        <f t="shared" ca="1" si="12"/>
        <v>10029</v>
      </c>
      <c r="AJ108" s="460" t="str">
        <f>IFERROR(VLOOKUP(申込書!$C$30,★業種!$D$2:$E$87,2,FALSE),"")</f>
        <v>1003</v>
      </c>
      <c r="AK108" s="460" t="str">
        <f ca="1">IF(申込書!$C$36="◎",IF(OR(D108="浜坂・温泉",D108="美方・村岡",D108="香住",D108="岡山",D108="大阪"),"",IF(LEFT(F108)="D","◎",IF(AG108=0,"",IFERROR(IF(VLOOKUP(AG108,★仕入先!$A$2:$C$211,3,FALSE)=0,"","◎"),"")))),"")</f>
        <v>◎</v>
      </c>
      <c r="AL108" s="460">
        <f>申込書!$H$14</f>
        <v>0</v>
      </c>
      <c r="AM108" s="460" t="str">
        <f>申込書!$C$32</f>
        <v>B4（折り無し）</v>
      </c>
      <c r="AN108" s="460" t="str">
        <f>VLOOKUP(AM108,★サイズ表記!$D$4:$E$55,2,FALSE)</f>
        <v>1001</v>
      </c>
      <c r="AO108" s="460">
        <f>IF(C108&lt;&gt;"⑧兵庫",VLOOKUP(LEFT(F108),★新聞!$A$4:$B$12,2,FALSE),IF(LEFT(F108)&lt;&gt;"S",VLOOKUP(LEFT(F108),★新聞!$A$4:$B$12,2,FALSE),VLOOKUP("X",★新聞!$A$4:$B$12,2,FALSE)))</f>
        <v>5</v>
      </c>
      <c r="AP108" s="460" t="str">
        <f t="shared" ca="1" si="13"/>
        <v>0</v>
      </c>
      <c r="AQ108" s="460" t="str">
        <f>IF(申込書!$C$38="","",申込書!$C$38)</f>
        <v/>
      </c>
    </row>
    <row r="109" spans="1:43">
      <c r="A109" s="463">
        <f t="shared" si="14"/>
        <v>108</v>
      </c>
      <c r="B109" s="463" t="str">
        <f t="shared" si="15"/>
        <v>東部</v>
      </c>
      <c r="C109" s="464" t="s">
        <v>1101</v>
      </c>
      <c r="D109" s="464" t="s">
        <v>1022</v>
      </c>
      <c r="E109" s="464">
        <f>VLOOKUP(D109,★折込地区!$A$2:$D$10,4,FALSE)</f>
        <v>1</v>
      </c>
      <c r="F109" s="464" t="s">
        <v>488</v>
      </c>
      <c r="G109" s="464" t="str">
        <f>INDEX(★新聞!$E$4:$I$12, MATCH(LEFT(F109),★新聞!$A$4:$A$12,0), MATCH(LEFT(W109),★新聞!$E$3:$I$3,0))</f>
        <v>AJ</v>
      </c>
      <c r="H109" s="555" t="s">
        <v>1102</v>
      </c>
      <c r="I109" s="464" cm="1">
        <f t="array" ref="I109">IFERROR(INDEX(★原価率!$A$2:$E$50,MATCH($C109&amp;$H109,★原価率!$A$2:$A$50&amp;★原価率!$B$2:$B$50,0),3),0)</f>
        <v>74</v>
      </c>
      <c r="J109" s="464" cm="1">
        <f t="array" ref="J109">IFERROR(INDEX(★原価率!$A$2:$E$50,MATCH($C109&amp;$H109,★原価率!$A$2:$A$50&amp;★原価率!$B$2:$B$50,0),4),0)</f>
        <v>84</v>
      </c>
      <c r="K109" s="464" cm="1">
        <f t="array" ref="K109">IFERROR(INDEX(★原価率!$A$2:$E$50,MATCH($C109&amp;$H109,★原価率!$A$2:$A$50&amp;★原価率!$B$2:$B$50,0),5),0)</f>
        <v>100</v>
      </c>
      <c r="L109" s="528">
        <f>IFERROR(VLOOKUP(W109,★商品!$A$1:$H$1231,8,FALSE),0)</f>
        <v>2.8</v>
      </c>
      <c r="M109" s="203" t="str">
        <f ca="1">CONCATENATE(VLOOKUP(B109,★営業所!$A$2:$B$5,2,FALSE),TEXT(NOW(),"yyyy"))</f>
        <v>T2023</v>
      </c>
      <c r="N109" s="203">
        <v>1</v>
      </c>
      <c r="O109" s="203">
        <v>0</v>
      </c>
      <c r="P109" s="213">
        <f>申込書!$B$6</f>
        <v>0</v>
      </c>
      <c r="Q109" s="203">
        <f>申込書!$C$34</f>
        <v>1000040</v>
      </c>
      <c r="R109" s="203">
        <v>0</v>
      </c>
      <c r="U109" s="203">
        <f>VLOOKUP(B109,★営業所!$A$2:$C$5,3,FALSE)</f>
        <v>8</v>
      </c>
      <c r="V109" s="203">
        <f>申込書!$B$9</f>
        <v>0</v>
      </c>
      <c r="W109" s="203" t="str">
        <f>CONCATENATE(VLOOKUP(B109,★営業所!$A$2:$B$5,2,FALSE),VLOOKUP(申込書!$C$32,★サイズ表記!$D$4:$E$55,2,FALSE),VLOOKUP(D109,★折込地区!$A$2:$B$11,2,FALSE))</f>
        <v>T1001Tot</v>
      </c>
      <c r="X109" s="203" t="str">
        <f>CONCATENATE(申込書!$B$9," ",VLOOKUP(RIGHT(W109,3),★折込地区!$B$2:$C$10,2,FALSE),"")</f>
        <v xml:space="preserve"> 鳥取</v>
      </c>
      <c r="Z109" s="206">
        <f t="shared" ca="1" si="8"/>
        <v>0</v>
      </c>
      <c r="AB109" s="383">
        <f t="shared" si="9"/>
        <v>2.8</v>
      </c>
      <c r="AC109" s="203" t="str">
        <f t="shared" si="10"/>
        <v>P1001</v>
      </c>
      <c r="AD109" s="203" t="str">
        <f>VLOOKUP(AC109,★原価商品!$E$6:$F$349,2,FALSE)</f>
        <v>産経/B4（折り無し）</v>
      </c>
      <c r="AE109" s="203">
        <f t="shared" ca="1" si="11"/>
        <v>0</v>
      </c>
      <c r="AF109" s="383">
        <f ca="1">IFERROR(IF(VLOOKUP(申込書!$C$32,★サイズ表記!$F$4:$H$55,3,FALSE)="切り捨て",ROUNDDOWN(L109*IF(AK109="◎",I109,J109)/100,2),IF(VLOOKUP(申込書!$C$32,★サイズ表記!$F$4:$H$55,3,FALSE)="切り上げ",ROUNDUP(L109*IF(AK109="◎",I109,J109)/100,2),ROUND(L109*IF(AK109="◎",I109,J109)/100,2))),0)</f>
        <v>2.0699999999999998</v>
      </c>
      <c r="AG109" s="203">
        <f t="shared" ca="1" si="12"/>
        <v>10033</v>
      </c>
      <c r="AJ109" s="460" t="str">
        <f>IFERROR(VLOOKUP(申込書!$C$30,★業種!$D$2:$E$87,2,FALSE),"")</f>
        <v>1003</v>
      </c>
      <c r="AK109" s="460" t="str">
        <f ca="1">IF(申込書!$C$36="◎",IF(OR(D109="浜坂・温泉",D109="美方・村岡",D109="香住",D109="岡山",D109="大阪"),"",IF(LEFT(F109)="D","◎",IF(AG109=0,"",IFERROR(IF(VLOOKUP(AG109,★仕入先!$A$2:$C$211,3,FALSE)=0,"","◎"),"")))),"")</f>
        <v>◎</v>
      </c>
      <c r="AL109" s="460">
        <f>申込書!$H$14</f>
        <v>0</v>
      </c>
      <c r="AM109" s="460" t="str">
        <f>申込書!$C$32</f>
        <v>B4（折り無し）</v>
      </c>
      <c r="AN109" s="460" t="str">
        <f>VLOOKUP(AM109,★サイズ表記!$D$4:$E$55,2,FALSE)</f>
        <v>1001</v>
      </c>
      <c r="AO109" s="460">
        <f>IF(C109&lt;&gt;"⑧兵庫",VLOOKUP(LEFT(F109),★新聞!$A$4:$B$12,2,FALSE),IF(LEFT(F109)&lt;&gt;"S",VLOOKUP(LEFT(F109),★新聞!$A$4:$B$12,2,FALSE),VLOOKUP("X",★新聞!$A$4:$B$12,2,FALSE)))</f>
        <v>5</v>
      </c>
      <c r="AP109" s="460" t="str">
        <f t="shared" ca="1" si="13"/>
        <v>0</v>
      </c>
      <c r="AQ109" s="460" t="str">
        <f>IF(申込書!$C$38="","",申込書!$C$38)</f>
        <v/>
      </c>
    </row>
    <row r="110" spans="1:43">
      <c r="A110" s="463">
        <f t="shared" si="14"/>
        <v>109</v>
      </c>
      <c r="B110" s="463" t="str">
        <f t="shared" si="15"/>
        <v>東部</v>
      </c>
      <c r="C110" s="464" t="s">
        <v>1101</v>
      </c>
      <c r="D110" s="464" t="s">
        <v>1022</v>
      </c>
      <c r="E110" s="464">
        <f>VLOOKUP(D110,★折込地区!$A$2:$D$10,4,FALSE)</f>
        <v>1</v>
      </c>
      <c r="F110" s="464" t="s">
        <v>489</v>
      </c>
      <c r="G110" s="464" t="str">
        <f>INDEX(★新聞!$E$4:$I$12, MATCH(LEFT(F110),★新聞!$A$4:$A$12,0), MATCH(LEFT(W110),★新聞!$E$3:$I$3,0))</f>
        <v>AJ</v>
      </c>
      <c r="H110" s="555" t="s">
        <v>1102</v>
      </c>
      <c r="I110" s="464" cm="1">
        <f t="array" ref="I110">IFERROR(INDEX(★原価率!$A$2:$E$50,MATCH($C110&amp;$H110,★原価率!$A$2:$A$50&amp;★原価率!$B$2:$B$50,0),3),0)</f>
        <v>74</v>
      </c>
      <c r="J110" s="464" cm="1">
        <f t="array" ref="J110">IFERROR(INDEX(★原価率!$A$2:$E$50,MATCH($C110&amp;$H110,★原価率!$A$2:$A$50&amp;★原価率!$B$2:$B$50,0),4),0)</f>
        <v>84</v>
      </c>
      <c r="K110" s="464" cm="1">
        <f t="array" ref="K110">IFERROR(INDEX(★原価率!$A$2:$E$50,MATCH($C110&amp;$H110,★原価率!$A$2:$A$50&amp;★原価率!$B$2:$B$50,0),5),0)</f>
        <v>100</v>
      </c>
      <c r="L110" s="528">
        <f>IFERROR(VLOOKUP(W110,★商品!$A$1:$H$1231,8,FALSE),0)</f>
        <v>2.8</v>
      </c>
      <c r="M110" s="203" t="str">
        <f ca="1">CONCATENATE(VLOOKUP(B110,★営業所!$A$2:$B$5,2,FALSE),TEXT(NOW(),"yyyy"))</f>
        <v>T2023</v>
      </c>
      <c r="N110" s="203">
        <v>1</v>
      </c>
      <c r="O110" s="203">
        <v>0</v>
      </c>
      <c r="P110" s="213">
        <f>申込書!$B$6</f>
        <v>0</v>
      </c>
      <c r="Q110" s="203">
        <f>申込書!$C$34</f>
        <v>1000040</v>
      </c>
      <c r="R110" s="203">
        <v>0</v>
      </c>
      <c r="U110" s="203">
        <f>VLOOKUP(B110,★営業所!$A$2:$C$5,3,FALSE)</f>
        <v>8</v>
      </c>
      <c r="V110" s="203">
        <f>申込書!$B$9</f>
        <v>0</v>
      </c>
      <c r="W110" s="203" t="str">
        <f>CONCATENATE(VLOOKUP(B110,★営業所!$A$2:$B$5,2,FALSE),VLOOKUP(申込書!$C$32,★サイズ表記!$D$4:$E$55,2,FALSE),VLOOKUP(D110,★折込地区!$A$2:$B$11,2,FALSE))</f>
        <v>T1001Tot</v>
      </c>
      <c r="X110" s="203" t="str">
        <f>CONCATENATE(申込書!$B$9," ",VLOOKUP(RIGHT(W110,3),★折込地区!$B$2:$C$10,2,FALSE),"")</f>
        <v xml:space="preserve"> 鳥取</v>
      </c>
      <c r="Z110" s="206">
        <f t="shared" ca="1" si="8"/>
        <v>0</v>
      </c>
      <c r="AB110" s="383">
        <f t="shared" si="9"/>
        <v>2.8</v>
      </c>
      <c r="AC110" s="203" t="str">
        <f t="shared" si="10"/>
        <v>P1001</v>
      </c>
      <c r="AD110" s="203" t="str">
        <f>VLOOKUP(AC110,★原価商品!$E$6:$F$349,2,FALSE)</f>
        <v>産経/B4（折り無し）</v>
      </c>
      <c r="AE110" s="203">
        <f t="shared" ca="1" si="11"/>
        <v>0</v>
      </c>
      <c r="AF110" s="383">
        <f ca="1">IFERROR(IF(VLOOKUP(申込書!$C$32,★サイズ表記!$F$4:$H$55,3,FALSE)="切り捨て",ROUNDDOWN(L110*IF(AK110="◎",I110,J110)/100,2),IF(VLOOKUP(申込書!$C$32,★サイズ表記!$F$4:$H$55,3,FALSE)="切り上げ",ROUNDUP(L110*IF(AK110="◎",I110,J110)/100,2),ROUND(L110*IF(AK110="◎",I110,J110)/100,2))),0)</f>
        <v>2.0699999999999998</v>
      </c>
      <c r="AG110" s="203">
        <f t="shared" ca="1" si="12"/>
        <v>10036</v>
      </c>
      <c r="AJ110" s="460" t="str">
        <f>IFERROR(VLOOKUP(申込書!$C$30,★業種!$D$2:$E$87,2,FALSE),"")</f>
        <v>1003</v>
      </c>
      <c r="AK110" s="460" t="str">
        <f ca="1">IF(申込書!$C$36="◎",IF(OR(D110="浜坂・温泉",D110="美方・村岡",D110="香住",D110="岡山",D110="大阪"),"",IF(LEFT(F110)="D","◎",IF(AG110=0,"",IFERROR(IF(VLOOKUP(AG110,★仕入先!$A$2:$C$211,3,FALSE)=0,"","◎"),"")))),"")</f>
        <v>◎</v>
      </c>
      <c r="AL110" s="460">
        <f>申込書!$H$14</f>
        <v>0</v>
      </c>
      <c r="AM110" s="460" t="str">
        <f>申込書!$C$32</f>
        <v>B4（折り無し）</v>
      </c>
      <c r="AN110" s="460" t="str">
        <f>VLOOKUP(AM110,★サイズ表記!$D$4:$E$55,2,FALSE)</f>
        <v>1001</v>
      </c>
      <c r="AO110" s="460">
        <f>IF(C110&lt;&gt;"⑧兵庫",VLOOKUP(LEFT(F110),★新聞!$A$4:$B$12,2,FALSE),IF(LEFT(F110)&lt;&gt;"S",VLOOKUP(LEFT(F110),★新聞!$A$4:$B$12,2,FALSE),VLOOKUP("X",★新聞!$A$4:$B$12,2,FALSE)))</f>
        <v>5</v>
      </c>
      <c r="AP110" s="460" t="str">
        <f t="shared" ca="1" si="13"/>
        <v>0</v>
      </c>
      <c r="AQ110" s="460" t="str">
        <f>IF(申込書!$C$38="","",申込書!$C$38)</f>
        <v/>
      </c>
    </row>
    <row r="111" spans="1:43">
      <c r="A111" s="463">
        <f t="shared" si="14"/>
        <v>110</v>
      </c>
      <c r="B111" s="463" t="str">
        <f t="shared" si="15"/>
        <v>東部</v>
      </c>
      <c r="C111" s="464" t="s">
        <v>1101</v>
      </c>
      <c r="D111" s="464" t="s">
        <v>1022</v>
      </c>
      <c r="E111" s="464">
        <f>VLOOKUP(D111,★折込地区!$A$2:$D$10,4,FALSE)</f>
        <v>1</v>
      </c>
      <c r="F111" s="464" t="s">
        <v>490</v>
      </c>
      <c r="G111" s="464" t="str">
        <f>INDEX(★新聞!$E$4:$I$12, MATCH(LEFT(F111),★新聞!$A$4:$A$12,0), MATCH(LEFT(W111),★新聞!$E$3:$I$3,0))</f>
        <v>AJ</v>
      </c>
      <c r="H111" s="475" t="s">
        <v>1104</v>
      </c>
      <c r="I111" s="464" cm="1">
        <f t="array" ref="I111">IFERROR(INDEX(★原価率!$A$2:$E$50,MATCH($C111&amp;$H111,★原価率!$A$2:$A$50&amp;★原価率!$B$2:$B$50,0),3),0)</f>
        <v>84</v>
      </c>
      <c r="J111" s="464" cm="1">
        <f t="array" ref="J111">IFERROR(INDEX(★原価率!$A$2:$E$50,MATCH($C111&amp;$H111,★原価率!$A$2:$A$50&amp;★原価率!$B$2:$B$50,0),4),0)</f>
        <v>84</v>
      </c>
      <c r="K111" s="464" cm="1">
        <f t="array" ref="K111">IFERROR(INDEX(★原価率!$A$2:$E$50,MATCH($C111&amp;$H111,★原価率!$A$2:$A$50&amp;★原価率!$B$2:$B$50,0),5),0)</f>
        <v>100</v>
      </c>
      <c r="L111" s="528">
        <f>IFERROR(VLOOKUP(W111,★商品!$A$1:$H$1231,8,FALSE),0)</f>
        <v>2.8</v>
      </c>
      <c r="M111" s="203" t="str">
        <f ca="1">CONCATENATE(VLOOKUP(B111,★営業所!$A$2:$B$5,2,FALSE),TEXT(NOW(),"yyyy"))</f>
        <v>T2023</v>
      </c>
      <c r="N111" s="203">
        <v>1</v>
      </c>
      <c r="O111" s="203">
        <v>0</v>
      </c>
      <c r="P111" s="213">
        <f>申込書!$B$6</f>
        <v>0</v>
      </c>
      <c r="Q111" s="203">
        <f>申込書!$C$34</f>
        <v>1000040</v>
      </c>
      <c r="R111" s="203">
        <v>0</v>
      </c>
      <c r="U111" s="203">
        <f>VLOOKUP(B111,★営業所!$A$2:$C$5,3,FALSE)</f>
        <v>8</v>
      </c>
      <c r="V111" s="203">
        <f>申込書!$B$9</f>
        <v>0</v>
      </c>
      <c r="W111" s="203" t="str">
        <f>CONCATENATE(VLOOKUP(B111,★営業所!$A$2:$B$5,2,FALSE),VLOOKUP(申込書!$C$32,★サイズ表記!$D$4:$E$55,2,FALSE),VLOOKUP(D111,★折込地区!$A$2:$B$11,2,FALSE))</f>
        <v>T1001Tot</v>
      </c>
      <c r="X111" s="203" t="str">
        <f>CONCATENATE(申込書!$B$9," ",VLOOKUP(RIGHT(W111,3),★折込地区!$B$2:$C$10,2,FALSE),"")</f>
        <v xml:space="preserve"> 鳥取</v>
      </c>
      <c r="Z111" s="206">
        <f t="shared" ca="1" si="8"/>
        <v>0</v>
      </c>
      <c r="AB111" s="383">
        <f t="shared" si="9"/>
        <v>2.8</v>
      </c>
      <c r="AC111" s="203" t="str">
        <f t="shared" si="10"/>
        <v>P1001</v>
      </c>
      <c r="AD111" s="203" t="str">
        <f>VLOOKUP(AC111,★原価商品!$E$6:$F$349,2,FALSE)</f>
        <v>産経/B4（折り無し）</v>
      </c>
      <c r="AE111" s="203">
        <f t="shared" ca="1" si="11"/>
        <v>0</v>
      </c>
      <c r="AF111" s="383">
        <f ca="1">IFERROR(IF(VLOOKUP(申込書!$C$32,★サイズ表記!$F$4:$H$55,3,FALSE)="切り捨て",ROUNDDOWN(L111*IF(AK111="◎",I111,J111)/100,2),IF(VLOOKUP(申込書!$C$32,★サイズ表記!$F$4:$H$55,3,FALSE)="切り上げ",ROUNDUP(L111*IF(AK111="◎",I111,J111)/100,2),ROUND(L111*IF(AK111="◎",I111,J111)/100,2))),0)</f>
        <v>2.35</v>
      </c>
      <c r="AG111" s="203">
        <f t="shared" ca="1" si="12"/>
        <v>0</v>
      </c>
      <c r="AJ111" s="460" t="str">
        <f>IFERROR(VLOOKUP(申込書!$C$30,★業種!$D$2:$E$87,2,FALSE),"")</f>
        <v>1003</v>
      </c>
      <c r="AK111" s="460" t="str">
        <f ca="1">IF(申込書!$C$36="◎",IF(OR(D111="浜坂・温泉",D111="美方・村岡",D111="香住",D111="岡山",D111="大阪"),"",IF(LEFT(F111)="D","◎",IF(AG111=0,"",IFERROR(IF(VLOOKUP(AG111,★仕入先!$A$2:$C$211,3,FALSE)=0,"","◎"),"")))),"")</f>
        <v/>
      </c>
      <c r="AL111" s="460">
        <f>申込書!$H$14</f>
        <v>0</v>
      </c>
      <c r="AM111" s="460" t="str">
        <f>申込書!$C$32</f>
        <v>B4（折り無し）</v>
      </c>
      <c r="AN111" s="460" t="str">
        <f>VLOOKUP(AM111,★サイズ表記!$D$4:$E$55,2,FALSE)</f>
        <v>1001</v>
      </c>
      <c r="AO111" s="460">
        <f>IF(C111&lt;&gt;"⑧兵庫",VLOOKUP(LEFT(F111),★新聞!$A$4:$B$12,2,FALSE),IF(LEFT(F111)&lt;&gt;"S",VLOOKUP(LEFT(F111),★新聞!$A$4:$B$12,2,FALSE),VLOOKUP("X",★新聞!$A$4:$B$12,2,FALSE)))</f>
        <v>5</v>
      </c>
      <c r="AP111" s="460" t="str">
        <f t="shared" ca="1" si="13"/>
        <v>0</v>
      </c>
      <c r="AQ111" s="460" t="str">
        <f>IF(申込書!$C$38="","",申込書!$C$38)</f>
        <v/>
      </c>
    </row>
    <row r="112" spans="1:43">
      <c r="A112" s="463">
        <f t="shared" si="14"/>
        <v>111</v>
      </c>
      <c r="B112" s="463" t="str">
        <f t="shared" si="15"/>
        <v>東部</v>
      </c>
      <c r="C112" s="464" t="s">
        <v>1101</v>
      </c>
      <c r="D112" s="464" t="s">
        <v>1022</v>
      </c>
      <c r="E112" s="464">
        <f>VLOOKUP(D112,★折込地区!$A$2:$D$10,4,FALSE)</f>
        <v>1</v>
      </c>
      <c r="F112" s="464" t="s">
        <v>491</v>
      </c>
      <c r="G112" s="464" t="str">
        <f>INDEX(★新聞!$E$4:$I$12, MATCH(LEFT(F112),★新聞!$A$4:$A$12,0), MATCH(LEFT(W112),★新聞!$E$3:$I$3,0))</f>
        <v>AM</v>
      </c>
      <c r="H112" s="475" t="s">
        <v>1103</v>
      </c>
      <c r="I112" s="464" cm="1">
        <f t="array" ref="I112">IFERROR(INDEX(★原価率!$A$2:$E$50,MATCH($C112&amp;$H112,★原価率!$A$2:$A$50&amp;★原価率!$B$2:$B$50,0),3),0)</f>
        <v>84</v>
      </c>
      <c r="J112" s="464" cm="1">
        <f t="array" ref="J112">IFERROR(INDEX(★原価率!$A$2:$E$50,MATCH($C112&amp;$H112,★原価率!$A$2:$A$50&amp;★原価率!$B$2:$B$50,0),4),0)</f>
        <v>84</v>
      </c>
      <c r="K112" s="464" cm="1">
        <f t="array" ref="K112">IFERROR(INDEX(★原価率!$A$2:$E$50,MATCH($C112&amp;$H112,★原価率!$A$2:$A$50&amp;★原価率!$B$2:$B$50,0),5),0)</f>
        <v>100</v>
      </c>
      <c r="L112" s="528">
        <f>IFERROR(VLOOKUP(W112,★商品!$A$1:$H$1231,8,FALSE),0)</f>
        <v>2.8</v>
      </c>
      <c r="M112" s="203" t="str">
        <f ca="1">CONCATENATE(VLOOKUP(B112,★営業所!$A$2:$B$5,2,FALSE),TEXT(NOW(),"yyyy"))</f>
        <v>T2023</v>
      </c>
      <c r="N112" s="203">
        <v>1</v>
      </c>
      <c r="O112" s="203">
        <v>0</v>
      </c>
      <c r="P112" s="213">
        <f>申込書!$B$6</f>
        <v>0</v>
      </c>
      <c r="Q112" s="203">
        <f>申込書!$C$34</f>
        <v>1000040</v>
      </c>
      <c r="R112" s="203">
        <v>0</v>
      </c>
      <c r="U112" s="203">
        <f>VLOOKUP(B112,★営業所!$A$2:$C$5,3,FALSE)</f>
        <v>8</v>
      </c>
      <c r="V112" s="203">
        <f>申込書!$B$9</f>
        <v>0</v>
      </c>
      <c r="W112" s="203" t="str">
        <f>CONCATENATE(VLOOKUP(B112,★営業所!$A$2:$B$5,2,FALSE),VLOOKUP(申込書!$C$32,★サイズ表記!$D$4:$E$55,2,FALSE),VLOOKUP(D112,★折込地区!$A$2:$B$11,2,FALSE))</f>
        <v>T1001Tot</v>
      </c>
      <c r="X112" s="203" t="str">
        <f>CONCATENATE(申込書!$B$9," ",VLOOKUP(RIGHT(W112,3),★折込地区!$B$2:$C$10,2,FALSE),"")</f>
        <v xml:space="preserve"> 鳥取</v>
      </c>
      <c r="Z112" s="206">
        <f t="shared" ca="1" si="8"/>
        <v>0</v>
      </c>
      <c r="AB112" s="383">
        <f t="shared" si="9"/>
        <v>2.8</v>
      </c>
      <c r="AC112" s="203" t="str">
        <f t="shared" si="10"/>
        <v>S1001</v>
      </c>
      <c r="AD112" s="203" t="str">
        <f>VLOOKUP(AC112,★原価商品!$E$6:$F$349,2,FALSE)</f>
        <v>山陰中央/B4（折り無し）</v>
      </c>
      <c r="AE112" s="203">
        <f t="shared" ca="1" si="11"/>
        <v>0</v>
      </c>
      <c r="AF112" s="383">
        <f ca="1">IFERROR(IF(VLOOKUP(申込書!$C$32,★サイズ表記!$F$4:$H$55,3,FALSE)="切り捨て",ROUNDDOWN(L112*IF(AK112="◎",I112,J112)/100,2),IF(VLOOKUP(申込書!$C$32,★サイズ表記!$F$4:$H$55,3,FALSE)="切り上げ",ROUNDUP(L112*IF(AK112="◎",I112,J112)/100,2),ROUND(L112*IF(AK112="◎",I112,J112)/100,2))),0)</f>
        <v>2.35</v>
      </c>
      <c r="AG112" s="203">
        <f t="shared" ca="1" si="12"/>
        <v>10141</v>
      </c>
      <c r="AJ112" s="460" t="str">
        <f>IFERROR(VLOOKUP(申込書!$C$30,★業種!$D$2:$E$87,2,FALSE),"")</f>
        <v>1003</v>
      </c>
      <c r="AK112" s="460" t="str">
        <f ca="1">IF(申込書!$C$36="◎",IF(OR(D112="浜坂・温泉",D112="美方・村岡",D112="香住",D112="岡山",D112="大阪"),"",IF(LEFT(F112)="D","◎",IF(AG112=0,"",IFERROR(IF(VLOOKUP(AG112,★仕入先!$A$2:$C$211,3,FALSE)=0,"","◎"),"")))),"")</f>
        <v/>
      </c>
      <c r="AL112" s="460">
        <f>申込書!$H$14</f>
        <v>0</v>
      </c>
      <c r="AM112" s="460" t="str">
        <f>申込書!$C$32</f>
        <v>B4（折り無し）</v>
      </c>
      <c r="AN112" s="460" t="str">
        <f>VLOOKUP(AM112,★サイズ表記!$D$4:$E$55,2,FALSE)</f>
        <v>1001</v>
      </c>
      <c r="AO112" s="460">
        <f>IF(C112&lt;&gt;"⑧兵庫",VLOOKUP(LEFT(F112),★新聞!$A$4:$B$12,2,FALSE),IF(LEFT(F112)&lt;&gt;"S",VLOOKUP(LEFT(F112),★新聞!$A$4:$B$12,2,FALSE),VLOOKUP("X",★新聞!$A$4:$B$12,2,FALSE)))</f>
        <v>6</v>
      </c>
      <c r="AP112" s="460" t="str">
        <f t="shared" ca="1" si="13"/>
        <v>0</v>
      </c>
      <c r="AQ112" s="460" t="str">
        <f>IF(申込書!$C$38="","",申込書!$C$38)</f>
        <v/>
      </c>
    </row>
    <row r="113" spans="1:43">
      <c r="A113" s="463">
        <f t="shared" si="14"/>
        <v>112</v>
      </c>
      <c r="B113" s="463" t="str">
        <f t="shared" si="15"/>
        <v>東部</v>
      </c>
      <c r="C113" s="464" t="s">
        <v>1101</v>
      </c>
      <c r="D113" s="464" t="s">
        <v>1022</v>
      </c>
      <c r="E113" s="464">
        <f>VLOOKUP(D113,★折込地区!$A$2:$D$10,4,FALSE)</f>
        <v>1</v>
      </c>
      <c r="F113" s="464" t="s">
        <v>492</v>
      </c>
      <c r="G113" s="464" t="str">
        <f>INDEX(★新聞!$E$4:$I$12, MATCH(LEFT(F113),★新聞!$A$4:$A$12,0), MATCH(LEFT(W113),★新聞!$E$3:$I$3,0))</f>
        <v>AM</v>
      </c>
      <c r="H113" s="475" t="s">
        <v>1103</v>
      </c>
      <c r="I113" s="464" cm="1">
        <f t="array" ref="I113">IFERROR(INDEX(★原価率!$A$2:$E$50,MATCH($C113&amp;$H113,★原価率!$A$2:$A$50&amp;★原価率!$B$2:$B$50,0),3),0)</f>
        <v>84</v>
      </c>
      <c r="J113" s="464" cm="1">
        <f t="array" ref="J113">IFERROR(INDEX(★原価率!$A$2:$E$50,MATCH($C113&amp;$H113,★原価率!$A$2:$A$50&amp;★原価率!$B$2:$B$50,0),4),0)</f>
        <v>84</v>
      </c>
      <c r="K113" s="464" cm="1">
        <f t="array" ref="K113">IFERROR(INDEX(★原価率!$A$2:$E$50,MATCH($C113&amp;$H113,★原価率!$A$2:$A$50&amp;★原価率!$B$2:$B$50,0),5),0)</f>
        <v>100</v>
      </c>
      <c r="L113" s="528">
        <f>IFERROR(VLOOKUP(W113,★商品!$A$1:$H$1231,8,FALSE),0)</f>
        <v>2.8</v>
      </c>
      <c r="M113" s="203" t="str">
        <f ca="1">CONCATENATE(VLOOKUP(B113,★営業所!$A$2:$B$5,2,FALSE),TEXT(NOW(),"yyyy"))</f>
        <v>T2023</v>
      </c>
      <c r="N113" s="203">
        <v>1</v>
      </c>
      <c r="O113" s="203">
        <v>0</v>
      </c>
      <c r="P113" s="213">
        <f>申込書!$B$6</f>
        <v>0</v>
      </c>
      <c r="Q113" s="203">
        <f>申込書!$C$34</f>
        <v>1000040</v>
      </c>
      <c r="R113" s="203">
        <v>0</v>
      </c>
      <c r="U113" s="203">
        <f>VLOOKUP(B113,★営業所!$A$2:$C$5,3,FALSE)</f>
        <v>8</v>
      </c>
      <c r="V113" s="203">
        <f>申込書!$B$9</f>
        <v>0</v>
      </c>
      <c r="W113" s="203" t="str">
        <f>CONCATENATE(VLOOKUP(B113,★営業所!$A$2:$B$5,2,FALSE),VLOOKUP(申込書!$C$32,★サイズ表記!$D$4:$E$55,2,FALSE),VLOOKUP(D113,★折込地区!$A$2:$B$11,2,FALSE))</f>
        <v>T1001Tot</v>
      </c>
      <c r="X113" s="203" t="str">
        <f>CONCATENATE(申込書!$B$9," ",VLOOKUP(RIGHT(W113,3),★折込地区!$B$2:$C$10,2,FALSE),"")</f>
        <v xml:space="preserve"> 鳥取</v>
      </c>
      <c r="Z113" s="206">
        <f t="shared" ca="1" si="8"/>
        <v>0</v>
      </c>
      <c r="AB113" s="383">
        <f t="shared" si="9"/>
        <v>2.8</v>
      </c>
      <c r="AC113" s="203" t="str">
        <f t="shared" si="10"/>
        <v>S1001</v>
      </c>
      <c r="AD113" s="203" t="str">
        <f>VLOOKUP(AC113,★原価商品!$E$6:$F$349,2,FALSE)</f>
        <v>山陰中央/B4（折り無し）</v>
      </c>
      <c r="AE113" s="203">
        <f t="shared" ca="1" si="11"/>
        <v>0</v>
      </c>
      <c r="AF113" s="383">
        <f ca="1">IFERROR(IF(VLOOKUP(申込書!$C$32,★サイズ表記!$F$4:$H$55,3,FALSE)="切り捨て",ROUNDDOWN(L113*IF(AK113="◎",I113,J113)/100,2),IF(VLOOKUP(申込書!$C$32,★サイズ表記!$F$4:$H$55,3,FALSE)="切り上げ",ROUNDUP(L113*IF(AK113="◎",I113,J113)/100,2),ROUND(L113*IF(AK113="◎",I113,J113)/100,2))),0)</f>
        <v>2.35</v>
      </c>
      <c r="AG113" s="203">
        <f t="shared" ca="1" si="12"/>
        <v>0</v>
      </c>
      <c r="AJ113" s="460" t="str">
        <f>IFERROR(VLOOKUP(申込書!$C$30,★業種!$D$2:$E$87,2,FALSE),"")</f>
        <v>1003</v>
      </c>
      <c r="AK113" s="460" t="str">
        <f ca="1">IF(申込書!$C$36="◎",IF(OR(D113="浜坂・温泉",D113="美方・村岡",D113="香住",D113="岡山",D113="大阪"),"",IF(LEFT(F113)="D","◎",IF(AG113=0,"",IFERROR(IF(VLOOKUP(AG113,★仕入先!$A$2:$C$211,3,FALSE)=0,"","◎"),"")))),"")</f>
        <v/>
      </c>
      <c r="AL113" s="460">
        <f>申込書!$H$14</f>
        <v>0</v>
      </c>
      <c r="AM113" s="460" t="str">
        <f>申込書!$C$32</f>
        <v>B4（折り無し）</v>
      </c>
      <c r="AN113" s="460" t="str">
        <f>VLOOKUP(AM113,★サイズ表記!$D$4:$E$55,2,FALSE)</f>
        <v>1001</v>
      </c>
      <c r="AO113" s="460">
        <f>IF(C113&lt;&gt;"⑧兵庫",VLOOKUP(LEFT(F113),★新聞!$A$4:$B$12,2,FALSE),IF(LEFT(F113)&lt;&gt;"S",VLOOKUP(LEFT(F113),★新聞!$A$4:$B$12,2,FALSE),VLOOKUP("X",★新聞!$A$4:$B$12,2,FALSE)))</f>
        <v>6</v>
      </c>
      <c r="AP113" s="460" t="str">
        <f t="shared" ca="1" si="13"/>
        <v>0</v>
      </c>
      <c r="AQ113" s="460" t="str">
        <f>IF(申込書!$C$38="","",申込書!$C$38)</f>
        <v/>
      </c>
    </row>
    <row r="114" spans="1:43">
      <c r="A114" s="463">
        <f t="shared" si="14"/>
        <v>113</v>
      </c>
      <c r="B114" s="463" t="str">
        <f t="shared" si="15"/>
        <v>東部</v>
      </c>
      <c r="C114" s="464" t="s">
        <v>1101</v>
      </c>
      <c r="D114" s="464" t="s">
        <v>1022</v>
      </c>
      <c r="E114" s="464">
        <f>VLOOKUP(D114,★折込地区!$A$2:$D$10,4,FALSE)</f>
        <v>1</v>
      </c>
      <c r="F114" s="464" t="s">
        <v>493</v>
      </c>
      <c r="G114" s="464" t="str">
        <f>INDEX(★新聞!$E$4:$I$12, MATCH(LEFT(F114),★新聞!$A$4:$A$12,0), MATCH(LEFT(W114),★新聞!$E$3:$I$3,0))</f>
        <v>AM</v>
      </c>
      <c r="H114" s="475" t="s">
        <v>1103</v>
      </c>
      <c r="I114" s="464" cm="1">
        <f t="array" ref="I114">IFERROR(INDEX(★原価率!$A$2:$E$50,MATCH($C114&amp;$H114,★原価率!$A$2:$A$50&amp;★原価率!$B$2:$B$50,0),3),0)</f>
        <v>84</v>
      </c>
      <c r="J114" s="464" cm="1">
        <f t="array" ref="J114">IFERROR(INDEX(★原価率!$A$2:$E$50,MATCH($C114&amp;$H114,★原価率!$A$2:$A$50&amp;★原価率!$B$2:$B$50,0),4),0)</f>
        <v>84</v>
      </c>
      <c r="K114" s="464" cm="1">
        <f t="array" ref="K114">IFERROR(INDEX(★原価率!$A$2:$E$50,MATCH($C114&amp;$H114,★原価率!$A$2:$A$50&amp;★原価率!$B$2:$B$50,0),5),0)</f>
        <v>100</v>
      </c>
      <c r="L114" s="528">
        <f>IFERROR(VLOOKUP(W114,★商品!$A$1:$H$1231,8,FALSE),0)</f>
        <v>2.8</v>
      </c>
      <c r="M114" s="203" t="str">
        <f ca="1">CONCATENATE(VLOOKUP(B114,★営業所!$A$2:$B$5,2,FALSE),TEXT(NOW(),"yyyy"))</f>
        <v>T2023</v>
      </c>
      <c r="N114" s="203">
        <v>1</v>
      </c>
      <c r="O114" s="203">
        <v>0</v>
      </c>
      <c r="P114" s="213">
        <f>申込書!$B$6</f>
        <v>0</v>
      </c>
      <c r="Q114" s="203">
        <f>申込書!$C$34</f>
        <v>1000040</v>
      </c>
      <c r="R114" s="203">
        <v>0</v>
      </c>
      <c r="U114" s="203">
        <f>VLOOKUP(B114,★営業所!$A$2:$C$5,3,FALSE)</f>
        <v>8</v>
      </c>
      <c r="V114" s="203">
        <f>申込書!$B$9</f>
        <v>0</v>
      </c>
      <c r="W114" s="203" t="str">
        <f>CONCATENATE(VLOOKUP(B114,★営業所!$A$2:$B$5,2,FALSE),VLOOKUP(申込書!$C$32,★サイズ表記!$D$4:$E$55,2,FALSE),VLOOKUP(D114,★折込地区!$A$2:$B$11,2,FALSE))</f>
        <v>T1001Tot</v>
      </c>
      <c r="X114" s="203" t="str">
        <f>CONCATENATE(申込書!$B$9," ",VLOOKUP(RIGHT(W114,3),★折込地区!$B$2:$C$10,2,FALSE),"")</f>
        <v xml:space="preserve"> 鳥取</v>
      </c>
      <c r="Z114" s="206">
        <f t="shared" ca="1" si="8"/>
        <v>0</v>
      </c>
      <c r="AB114" s="383">
        <f t="shared" si="9"/>
        <v>2.8</v>
      </c>
      <c r="AC114" s="203" t="str">
        <f t="shared" si="10"/>
        <v>S1001</v>
      </c>
      <c r="AD114" s="203" t="str">
        <f>VLOOKUP(AC114,★原価商品!$E$6:$F$349,2,FALSE)</f>
        <v>山陰中央/B4（折り無し）</v>
      </c>
      <c r="AE114" s="203">
        <f t="shared" ca="1" si="11"/>
        <v>0</v>
      </c>
      <c r="AF114" s="383">
        <f ca="1">IFERROR(IF(VLOOKUP(申込書!$C$32,★サイズ表記!$F$4:$H$55,3,FALSE)="切り捨て",ROUNDDOWN(L114*IF(AK114="◎",I114,J114)/100,2),IF(VLOOKUP(申込書!$C$32,★サイズ表記!$F$4:$H$55,3,FALSE)="切り上げ",ROUNDUP(L114*IF(AK114="◎",I114,J114)/100,2),ROUND(L114*IF(AK114="◎",I114,J114)/100,2))),0)</f>
        <v>2.35</v>
      </c>
      <c r="AG114" s="203">
        <f t="shared" ca="1" si="12"/>
        <v>0</v>
      </c>
      <c r="AJ114" s="460" t="str">
        <f>IFERROR(VLOOKUP(申込書!$C$30,★業種!$D$2:$E$87,2,FALSE),"")</f>
        <v>1003</v>
      </c>
      <c r="AK114" s="460" t="str">
        <f ca="1">IF(申込書!$C$36="◎",IF(OR(D114="浜坂・温泉",D114="美方・村岡",D114="香住",D114="岡山",D114="大阪"),"",IF(LEFT(F114)="D","◎",IF(AG114=0,"",IFERROR(IF(VLOOKUP(AG114,★仕入先!$A$2:$C$211,3,FALSE)=0,"","◎"),"")))),"")</f>
        <v/>
      </c>
      <c r="AL114" s="460">
        <f>申込書!$H$14</f>
        <v>0</v>
      </c>
      <c r="AM114" s="460" t="str">
        <f>申込書!$C$32</f>
        <v>B4（折り無し）</v>
      </c>
      <c r="AN114" s="460" t="str">
        <f>VLOOKUP(AM114,★サイズ表記!$D$4:$E$55,2,FALSE)</f>
        <v>1001</v>
      </c>
      <c r="AO114" s="460">
        <f>IF(C114&lt;&gt;"⑧兵庫",VLOOKUP(LEFT(F114),★新聞!$A$4:$B$12,2,FALSE),IF(LEFT(F114)&lt;&gt;"S",VLOOKUP(LEFT(F114),★新聞!$A$4:$B$12,2,FALSE),VLOOKUP("X",★新聞!$A$4:$B$12,2,FALSE)))</f>
        <v>6</v>
      </c>
      <c r="AP114" s="460" t="str">
        <f t="shared" ca="1" si="13"/>
        <v>0</v>
      </c>
      <c r="AQ114" s="460" t="str">
        <f>IF(申込書!$C$38="","",申込書!$C$38)</f>
        <v/>
      </c>
    </row>
    <row r="115" spans="1:43">
      <c r="A115" s="463">
        <f t="shared" si="14"/>
        <v>114</v>
      </c>
      <c r="B115" s="463" t="str">
        <f t="shared" si="15"/>
        <v>東部</v>
      </c>
      <c r="C115" s="464" t="s">
        <v>1101</v>
      </c>
      <c r="D115" s="464" t="s">
        <v>1022</v>
      </c>
      <c r="E115" s="464">
        <f>VLOOKUP(D115,★折込地区!$A$2:$D$10,4,FALSE)</f>
        <v>1</v>
      </c>
      <c r="F115" s="464" t="s">
        <v>494</v>
      </c>
      <c r="G115" s="464" t="str">
        <f>INDEX(★新聞!$E$4:$I$12, MATCH(LEFT(F115),★新聞!$A$4:$A$12,0), MATCH(LEFT(W115),★新聞!$E$3:$I$3,0))</f>
        <v>AM</v>
      </c>
      <c r="H115" s="475" t="s">
        <v>1103</v>
      </c>
      <c r="I115" s="464" cm="1">
        <f t="array" ref="I115">IFERROR(INDEX(★原価率!$A$2:$E$50,MATCH($C115&amp;$H115,★原価率!$A$2:$A$50&amp;★原価率!$B$2:$B$50,0),3),0)</f>
        <v>84</v>
      </c>
      <c r="J115" s="464" cm="1">
        <f t="array" ref="J115">IFERROR(INDEX(★原価率!$A$2:$E$50,MATCH($C115&amp;$H115,★原価率!$A$2:$A$50&amp;★原価率!$B$2:$B$50,0),4),0)</f>
        <v>84</v>
      </c>
      <c r="K115" s="464" cm="1">
        <f t="array" ref="K115">IFERROR(INDEX(★原価率!$A$2:$E$50,MATCH($C115&amp;$H115,★原価率!$A$2:$A$50&amp;★原価率!$B$2:$B$50,0),5),0)</f>
        <v>100</v>
      </c>
      <c r="L115" s="528">
        <f>IFERROR(VLOOKUP(W115,★商品!$A$1:$H$1231,8,FALSE),0)</f>
        <v>2.8</v>
      </c>
      <c r="M115" s="203" t="str">
        <f ca="1">CONCATENATE(VLOOKUP(B115,★営業所!$A$2:$B$5,2,FALSE),TEXT(NOW(),"yyyy"))</f>
        <v>T2023</v>
      </c>
      <c r="N115" s="203">
        <v>1</v>
      </c>
      <c r="O115" s="203">
        <v>0</v>
      </c>
      <c r="P115" s="213">
        <f>申込書!$B$6</f>
        <v>0</v>
      </c>
      <c r="Q115" s="203">
        <f>申込書!$C$34</f>
        <v>1000040</v>
      </c>
      <c r="R115" s="203">
        <v>0</v>
      </c>
      <c r="U115" s="203">
        <f>VLOOKUP(B115,★営業所!$A$2:$C$5,3,FALSE)</f>
        <v>8</v>
      </c>
      <c r="V115" s="203">
        <f>申込書!$B$9</f>
        <v>0</v>
      </c>
      <c r="W115" s="203" t="str">
        <f>CONCATENATE(VLOOKUP(B115,★営業所!$A$2:$B$5,2,FALSE),VLOOKUP(申込書!$C$32,★サイズ表記!$D$4:$E$55,2,FALSE),VLOOKUP(D115,★折込地区!$A$2:$B$11,2,FALSE))</f>
        <v>T1001Tot</v>
      </c>
      <c r="X115" s="203" t="str">
        <f>CONCATENATE(申込書!$B$9," ",VLOOKUP(RIGHT(W115,3),★折込地区!$B$2:$C$10,2,FALSE),"")</f>
        <v xml:space="preserve"> 鳥取</v>
      </c>
      <c r="Z115" s="206">
        <f t="shared" ca="1" si="8"/>
        <v>0</v>
      </c>
      <c r="AB115" s="383">
        <f t="shared" si="9"/>
        <v>2.8</v>
      </c>
      <c r="AC115" s="203" t="str">
        <f t="shared" si="10"/>
        <v>S1001</v>
      </c>
      <c r="AD115" s="203" t="str">
        <f>VLOOKUP(AC115,★原価商品!$E$6:$F$349,2,FALSE)</f>
        <v>山陰中央/B4（折り無し）</v>
      </c>
      <c r="AE115" s="203">
        <f t="shared" ca="1" si="11"/>
        <v>0</v>
      </c>
      <c r="AF115" s="383">
        <f ca="1">IFERROR(IF(VLOOKUP(申込書!$C$32,★サイズ表記!$F$4:$H$55,3,FALSE)="切り捨て",ROUNDDOWN(L115*IF(AK115="◎",I115,J115)/100,2),IF(VLOOKUP(申込書!$C$32,★サイズ表記!$F$4:$H$55,3,FALSE)="切り上げ",ROUNDUP(L115*IF(AK115="◎",I115,J115)/100,2),ROUND(L115*IF(AK115="◎",I115,J115)/100,2))),0)</f>
        <v>2.35</v>
      </c>
      <c r="AG115" s="203">
        <f t="shared" ca="1" si="12"/>
        <v>0</v>
      </c>
      <c r="AJ115" s="460" t="str">
        <f>IFERROR(VLOOKUP(申込書!$C$30,★業種!$D$2:$E$87,2,FALSE),"")</f>
        <v>1003</v>
      </c>
      <c r="AK115" s="460" t="str">
        <f ca="1">IF(申込書!$C$36="◎",IF(OR(D115="浜坂・温泉",D115="美方・村岡",D115="香住",D115="岡山",D115="大阪"),"",IF(LEFT(F115)="D","◎",IF(AG115=0,"",IFERROR(IF(VLOOKUP(AG115,★仕入先!$A$2:$C$211,3,FALSE)=0,"","◎"),"")))),"")</f>
        <v/>
      </c>
      <c r="AL115" s="460">
        <f>申込書!$H$14</f>
        <v>0</v>
      </c>
      <c r="AM115" s="460" t="str">
        <f>申込書!$C$32</f>
        <v>B4（折り無し）</v>
      </c>
      <c r="AN115" s="460" t="str">
        <f>VLOOKUP(AM115,★サイズ表記!$D$4:$E$55,2,FALSE)</f>
        <v>1001</v>
      </c>
      <c r="AO115" s="460">
        <f>IF(C115&lt;&gt;"⑧兵庫",VLOOKUP(LEFT(F115),★新聞!$A$4:$B$12,2,FALSE),IF(LEFT(F115)&lt;&gt;"S",VLOOKUP(LEFT(F115),★新聞!$A$4:$B$12,2,FALSE),VLOOKUP("X",★新聞!$A$4:$B$12,2,FALSE)))</f>
        <v>6</v>
      </c>
      <c r="AP115" s="460" t="str">
        <f t="shared" ca="1" si="13"/>
        <v>0</v>
      </c>
      <c r="AQ115" s="460" t="str">
        <f>IF(申込書!$C$38="","",申込書!$C$38)</f>
        <v/>
      </c>
    </row>
    <row r="116" spans="1:43">
      <c r="A116" s="463">
        <f t="shared" si="14"/>
        <v>115</v>
      </c>
      <c r="B116" s="463" t="str">
        <f t="shared" si="15"/>
        <v>東部</v>
      </c>
      <c r="C116" s="464" t="s">
        <v>1101</v>
      </c>
      <c r="D116" s="464" t="s">
        <v>1022</v>
      </c>
      <c r="E116" s="464">
        <f>VLOOKUP(D116,★折込地区!$A$2:$D$10,4,FALSE)</f>
        <v>1</v>
      </c>
      <c r="F116" s="464" t="s">
        <v>495</v>
      </c>
      <c r="G116" s="464" t="str">
        <f>INDEX(★新聞!$E$4:$I$12, MATCH(LEFT(F116),★新聞!$A$4:$A$12,0), MATCH(LEFT(W116),★新聞!$E$3:$I$3,0))</f>
        <v>AM</v>
      </c>
      <c r="H116" s="475" t="s">
        <v>1103</v>
      </c>
      <c r="I116" s="464" cm="1">
        <f t="array" ref="I116">IFERROR(INDEX(★原価率!$A$2:$E$50,MATCH($C116&amp;$H116,★原価率!$A$2:$A$50&amp;★原価率!$B$2:$B$50,0),3),0)</f>
        <v>84</v>
      </c>
      <c r="J116" s="464" cm="1">
        <f t="array" ref="J116">IFERROR(INDEX(★原価率!$A$2:$E$50,MATCH($C116&amp;$H116,★原価率!$A$2:$A$50&amp;★原価率!$B$2:$B$50,0),4),0)</f>
        <v>84</v>
      </c>
      <c r="K116" s="464" cm="1">
        <f t="array" ref="K116">IFERROR(INDEX(★原価率!$A$2:$E$50,MATCH($C116&amp;$H116,★原価率!$A$2:$A$50&amp;★原価率!$B$2:$B$50,0),5),0)</f>
        <v>100</v>
      </c>
      <c r="L116" s="528">
        <f>IFERROR(VLOOKUP(W116,★商品!$A$1:$H$1231,8,FALSE),0)</f>
        <v>2.8</v>
      </c>
      <c r="M116" s="203" t="str">
        <f ca="1">CONCATENATE(VLOOKUP(B116,★営業所!$A$2:$B$5,2,FALSE),TEXT(NOW(),"yyyy"))</f>
        <v>T2023</v>
      </c>
      <c r="N116" s="203">
        <v>1</v>
      </c>
      <c r="O116" s="203">
        <v>0</v>
      </c>
      <c r="P116" s="213">
        <f>申込書!$B$6</f>
        <v>0</v>
      </c>
      <c r="Q116" s="203">
        <f>申込書!$C$34</f>
        <v>1000040</v>
      </c>
      <c r="R116" s="203">
        <v>0</v>
      </c>
      <c r="U116" s="203">
        <f>VLOOKUP(B116,★営業所!$A$2:$C$5,3,FALSE)</f>
        <v>8</v>
      </c>
      <c r="V116" s="203">
        <f>申込書!$B$9</f>
        <v>0</v>
      </c>
      <c r="W116" s="203" t="str">
        <f>CONCATENATE(VLOOKUP(B116,★営業所!$A$2:$B$5,2,FALSE),VLOOKUP(申込書!$C$32,★サイズ表記!$D$4:$E$55,2,FALSE),VLOOKUP(D116,★折込地区!$A$2:$B$11,2,FALSE))</f>
        <v>T1001Tot</v>
      </c>
      <c r="X116" s="203" t="str">
        <f>CONCATENATE(申込書!$B$9," ",VLOOKUP(RIGHT(W116,3),★折込地区!$B$2:$C$10,2,FALSE),"")</f>
        <v xml:space="preserve"> 鳥取</v>
      </c>
      <c r="Z116" s="206">
        <f t="shared" ca="1" si="8"/>
        <v>0</v>
      </c>
      <c r="AB116" s="383">
        <f t="shared" si="9"/>
        <v>2.8</v>
      </c>
      <c r="AC116" s="203" t="str">
        <f t="shared" si="10"/>
        <v>S1001</v>
      </c>
      <c r="AD116" s="203" t="str">
        <f>VLOOKUP(AC116,★原価商品!$E$6:$F$349,2,FALSE)</f>
        <v>山陰中央/B4（折り無し）</v>
      </c>
      <c r="AE116" s="203">
        <f t="shared" ca="1" si="11"/>
        <v>0</v>
      </c>
      <c r="AF116" s="383">
        <f ca="1">IFERROR(IF(VLOOKUP(申込書!$C$32,★サイズ表記!$F$4:$H$55,3,FALSE)="切り捨て",ROUNDDOWN(L116*IF(AK116="◎",I116,J116)/100,2),IF(VLOOKUP(申込書!$C$32,★サイズ表記!$F$4:$H$55,3,FALSE)="切り上げ",ROUNDUP(L116*IF(AK116="◎",I116,J116)/100,2),ROUND(L116*IF(AK116="◎",I116,J116)/100,2))),0)</f>
        <v>2.35</v>
      </c>
      <c r="AG116" s="203">
        <f t="shared" ca="1" si="12"/>
        <v>0</v>
      </c>
      <c r="AJ116" s="460" t="str">
        <f>IFERROR(VLOOKUP(申込書!$C$30,★業種!$D$2:$E$87,2,FALSE),"")</f>
        <v>1003</v>
      </c>
      <c r="AK116" s="460" t="str">
        <f ca="1">IF(申込書!$C$36="◎",IF(OR(D116="浜坂・温泉",D116="美方・村岡",D116="香住",D116="岡山",D116="大阪"),"",IF(LEFT(F116)="D","◎",IF(AG116=0,"",IFERROR(IF(VLOOKUP(AG116,★仕入先!$A$2:$C$211,3,FALSE)=0,"","◎"),"")))),"")</f>
        <v/>
      </c>
      <c r="AL116" s="460">
        <f>申込書!$H$14</f>
        <v>0</v>
      </c>
      <c r="AM116" s="460" t="str">
        <f>申込書!$C$32</f>
        <v>B4（折り無し）</v>
      </c>
      <c r="AN116" s="460" t="str">
        <f>VLOOKUP(AM116,★サイズ表記!$D$4:$E$55,2,FALSE)</f>
        <v>1001</v>
      </c>
      <c r="AO116" s="460">
        <f>IF(C116&lt;&gt;"⑧兵庫",VLOOKUP(LEFT(F116),★新聞!$A$4:$B$12,2,FALSE),IF(LEFT(F116)&lt;&gt;"S",VLOOKUP(LEFT(F116),★新聞!$A$4:$B$12,2,FALSE),VLOOKUP("X",★新聞!$A$4:$B$12,2,FALSE)))</f>
        <v>6</v>
      </c>
      <c r="AP116" s="460" t="str">
        <f t="shared" ca="1" si="13"/>
        <v>0</v>
      </c>
      <c r="AQ116" s="460" t="str">
        <f>IF(申込書!$C$38="","",申込書!$C$38)</f>
        <v/>
      </c>
    </row>
    <row r="117" spans="1:43">
      <c r="A117" s="463">
        <f t="shared" si="14"/>
        <v>116</v>
      </c>
      <c r="B117" s="463" t="str">
        <f t="shared" si="15"/>
        <v>東部</v>
      </c>
      <c r="C117" s="464" t="s">
        <v>1101</v>
      </c>
      <c r="D117" s="464" t="s">
        <v>1022</v>
      </c>
      <c r="E117" s="464">
        <f>VLOOKUP(D117,★折込地区!$A$2:$D$10,4,FALSE)</f>
        <v>1</v>
      </c>
      <c r="F117" s="464" t="s">
        <v>496</v>
      </c>
      <c r="G117" s="464" t="str">
        <f>INDEX(★新聞!$E$4:$I$12, MATCH(LEFT(F117),★新聞!$A$4:$A$12,0), MATCH(LEFT(W117),★新聞!$E$3:$I$3,0))</f>
        <v>AM</v>
      </c>
      <c r="H117" s="475" t="s">
        <v>1103</v>
      </c>
      <c r="I117" s="464" cm="1">
        <f t="array" ref="I117">IFERROR(INDEX(★原価率!$A$2:$E$50,MATCH($C117&amp;$H117,★原価率!$A$2:$A$50&amp;★原価率!$B$2:$B$50,0),3),0)</f>
        <v>84</v>
      </c>
      <c r="J117" s="464" cm="1">
        <f t="array" ref="J117">IFERROR(INDEX(★原価率!$A$2:$E$50,MATCH($C117&amp;$H117,★原価率!$A$2:$A$50&amp;★原価率!$B$2:$B$50,0),4),0)</f>
        <v>84</v>
      </c>
      <c r="K117" s="464" cm="1">
        <f t="array" ref="K117">IFERROR(INDEX(★原価率!$A$2:$E$50,MATCH($C117&amp;$H117,★原価率!$A$2:$A$50&amp;★原価率!$B$2:$B$50,0),5),0)</f>
        <v>100</v>
      </c>
      <c r="L117" s="528">
        <f>IFERROR(VLOOKUP(W117,★商品!$A$1:$H$1231,8,FALSE),0)</f>
        <v>2.8</v>
      </c>
      <c r="M117" s="203" t="str">
        <f ca="1">CONCATENATE(VLOOKUP(B117,★営業所!$A$2:$B$5,2,FALSE),TEXT(NOW(),"yyyy"))</f>
        <v>T2023</v>
      </c>
      <c r="N117" s="203">
        <v>1</v>
      </c>
      <c r="O117" s="203">
        <v>0</v>
      </c>
      <c r="P117" s="213">
        <f>申込書!$B$6</f>
        <v>0</v>
      </c>
      <c r="Q117" s="203">
        <f>申込書!$C$34</f>
        <v>1000040</v>
      </c>
      <c r="R117" s="203">
        <v>0</v>
      </c>
      <c r="U117" s="203">
        <f>VLOOKUP(B117,★営業所!$A$2:$C$5,3,FALSE)</f>
        <v>8</v>
      </c>
      <c r="V117" s="203">
        <f>申込書!$B$9</f>
        <v>0</v>
      </c>
      <c r="W117" s="203" t="str">
        <f>CONCATENATE(VLOOKUP(B117,★営業所!$A$2:$B$5,2,FALSE),VLOOKUP(申込書!$C$32,★サイズ表記!$D$4:$E$55,2,FALSE),VLOOKUP(D117,★折込地区!$A$2:$B$11,2,FALSE))</f>
        <v>T1001Tot</v>
      </c>
      <c r="X117" s="203" t="str">
        <f>CONCATENATE(申込書!$B$9," ",VLOOKUP(RIGHT(W117,3),★折込地区!$B$2:$C$10,2,FALSE),"")</f>
        <v xml:space="preserve"> 鳥取</v>
      </c>
      <c r="Z117" s="206">
        <f t="shared" ca="1" si="8"/>
        <v>0</v>
      </c>
      <c r="AB117" s="383">
        <f t="shared" si="9"/>
        <v>2.8</v>
      </c>
      <c r="AC117" s="203" t="str">
        <f t="shared" si="10"/>
        <v>S1001</v>
      </c>
      <c r="AD117" s="203" t="str">
        <f>VLOOKUP(AC117,★原価商品!$E$6:$F$349,2,FALSE)</f>
        <v>山陰中央/B4（折り無し）</v>
      </c>
      <c r="AE117" s="203">
        <f t="shared" ca="1" si="11"/>
        <v>0</v>
      </c>
      <c r="AF117" s="383">
        <f ca="1">IFERROR(IF(VLOOKUP(申込書!$C$32,★サイズ表記!$F$4:$H$55,3,FALSE)="切り捨て",ROUNDDOWN(L117*IF(AK117="◎",I117,J117)/100,2),IF(VLOOKUP(申込書!$C$32,★サイズ表記!$F$4:$H$55,3,FALSE)="切り上げ",ROUNDUP(L117*IF(AK117="◎",I117,J117)/100,2),ROUND(L117*IF(AK117="◎",I117,J117)/100,2))),0)</f>
        <v>2.35</v>
      </c>
      <c r="AG117" s="203">
        <f t="shared" ca="1" si="12"/>
        <v>0</v>
      </c>
      <c r="AJ117" s="460" t="str">
        <f>IFERROR(VLOOKUP(申込書!$C$30,★業種!$D$2:$E$87,2,FALSE),"")</f>
        <v>1003</v>
      </c>
      <c r="AK117" s="460" t="str">
        <f ca="1">IF(申込書!$C$36="◎",IF(OR(D117="浜坂・温泉",D117="美方・村岡",D117="香住",D117="岡山",D117="大阪"),"",IF(LEFT(F117)="D","◎",IF(AG117=0,"",IFERROR(IF(VLOOKUP(AG117,★仕入先!$A$2:$C$211,3,FALSE)=0,"","◎"),"")))),"")</f>
        <v/>
      </c>
      <c r="AL117" s="460">
        <f>申込書!$H$14</f>
        <v>0</v>
      </c>
      <c r="AM117" s="460" t="str">
        <f>申込書!$C$32</f>
        <v>B4（折り無し）</v>
      </c>
      <c r="AN117" s="460" t="str">
        <f>VLOOKUP(AM117,★サイズ表記!$D$4:$E$55,2,FALSE)</f>
        <v>1001</v>
      </c>
      <c r="AO117" s="460">
        <f>IF(C117&lt;&gt;"⑧兵庫",VLOOKUP(LEFT(F117),★新聞!$A$4:$B$12,2,FALSE),IF(LEFT(F117)&lt;&gt;"S",VLOOKUP(LEFT(F117),★新聞!$A$4:$B$12,2,FALSE),VLOOKUP("X",★新聞!$A$4:$B$12,2,FALSE)))</f>
        <v>6</v>
      </c>
      <c r="AP117" s="460" t="str">
        <f t="shared" ca="1" si="13"/>
        <v>0</v>
      </c>
      <c r="AQ117" s="460" t="str">
        <f>IF(申込書!$C$38="","",申込書!$C$38)</f>
        <v/>
      </c>
    </row>
    <row r="118" spans="1:43">
      <c r="A118" s="463">
        <f t="shared" si="14"/>
        <v>117</v>
      </c>
      <c r="B118" s="463" t="str">
        <f t="shared" si="15"/>
        <v>東部</v>
      </c>
      <c r="C118" s="464" t="s">
        <v>1101</v>
      </c>
      <c r="D118" s="464" t="s">
        <v>1022</v>
      </c>
      <c r="E118" s="464">
        <f>VLOOKUP(D118,★折込地区!$A$2:$D$10,4,FALSE)</f>
        <v>1</v>
      </c>
      <c r="F118" s="464" t="s">
        <v>497</v>
      </c>
      <c r="G118" s="464" t="str">
        <f>INDEX(★新聞!$E$4:$I$12, MATCH(LEFT(F118),★新聞!$A$4:$A$12,0), MATCH(LEFT(W118),★新聞!$E$3:$I$3,0))</f>
        <v>AM</v>
      </c>
      <c r="H118" s="475" t="s">
        <v>1103</v>
      </c>
      <c r="I118" s="464" cm="1">
        <f t="array" ref="I118">IFERROR(INDEX(★原価率!$A$2:$E$50,MATCH($C118&amp;$H118,★原価率!$A$2:$A$50&amp;★原価率!$B$2:$B$50,0),3),0)</f>
        <v>84</v>
      </c>
      <c r="J118" s="464" cm="1">
        <f t="array" ref="J118">IFERROR(INDEX(★原価率!$A$2:$E$50,MATCH($C118&amp;$H118,★原価率!$A$2:$A$50&amp;★原価率!$B$2:$B$50,0),4),0)</f>
        <v>84</v>
      </c>
      <c r="K118" s="464" cm="1">
        <f t="array" ref="K118">IFERROR(INDEX(★原価率!$A$2:$E$50,MATCH($C118&amp;$H118,★原価率!$A$2:$A$50&amp;★原価率!$B$2:$B$50,0),5),0)</f>
        <v>100</v>
      </c>
      <c r="L118" s="528">
        <f>IFERROR(VLOOKUP(W118,★商品!$A$1:$H$1231,8,FALSE),0)</f>
        <v>2.8</v>
      </c>
      <c r="M118" s="203" t="str">
        <f ca="1">CONCATENATE(VLOOKUP(B118,★営業所!$A$2:$B$5,2,FALSE),TEXT(NOW(),"yyyy"))</f>
        <v>T2023</v>
      </c>
      <c r="N118" s="203">
        <v>1</v>
      </c>
      <c r="O118" s="203">
        <v>0</v>
      </c>
      <c r="P118" s="213">
        <f>申込書!$B$6</f>
        <v>0</v>
      </c>
      <c r="Q118" s="203">
        <f>申込書!$C$34</f>
        <v>1000040</v>
      </c>
      <c r="R118" s="203">
        <v>0</v>
      </c>
      <c r="U118" s="203">
        <f>VLOOKUP(B118,★営業所!$A$2:$C$5,3,FALSE)</f>
        <v>8</v>
      </c>
      <c r="V118" s="203">
        <f>申込書!$B$9</f>
        <v>0</v>
      </c>
      <c r="W118" s="203" t="str">
        <f>CONCATENATE(VLOOKUP(B118,★営業所!$A$2:$B$5,2,FALSE),VLOOKUP(申込書!$C$32,★サイズ表記!$D$4:$E$55,2,FALSE),VLOOKUP(D118,★折込地区!$A$2:$B$11,2,FALSE))</f>
        <v>T1001Tot</v>
      </c>
      <c r="X118" s="203" t="str">
        <f>CONCATENATE(申込書!$B$9," ",VLOOKUP(RIGHT(W118,3),★折込地区!$B$2:$C$10,2,FALSE),"")</f>
        <v xml:space="preserve"> 鳥取</v>
      </c>
      <c r="Z118" s="206">
        <f t="shared" ca="1" si="8"/>
        <v>0</v>
      </c>
      <c r="AB118" s="383">
        <f t="shared" si="9"/>
        <v>2.8</v>
      </c>
      <c r="AC118" s="203" t="str">
        <f t="shared" si="10"/>
        <v>S1001</v>
      </c>
      <c r="AD118" s="203" t="str">
        <f>VLOOKUP(AC118,★原価商品!$E$6:$F$349,2,FALSE)</f>
        <v>山陰中央/B4（折り無し）</v>
      </c>
      <c r="AE118" s="203">
        <f t="shared" ca="1" si="11"/>
        <v>0</v>
      </c>
      <c r="AF118" s="383">
        <f ca="1">IFERROR(IF(VLOOKUP(申込書!$C$32,★サイズ表記!$F$4:$H$55,3,FALSE)="切り捨て",ROUNDDOWN(L118*IF(AK118="◎",I118,J118)/100,2),IF(VLOOKUP(申込書!$C$32,★サイズ表記!$F$4:$H$55,3,FALSE)="切り上げ",ROUNDUP(L118*IF(AK118="◎",I118,J118)/100,2),ROUND(L118*IF(AK118="◎",I118,J118)/100,2))),0)</f>
        <v>2.35</v>
      </c>
      <c r="AG118" s="203">
        <f t="shared" ca="1" si="12"/>
        <v>0</v>
      </c>
      <c r="AJ118" s="460" t="str">
        <f>IFERROR(VLOOKUP(申込書!$C$30,★業種!$D$2:$E$87,2,FALSE),"")</f>
        <v>1003</v>
      </c>
      <c r="AK118" s="460" t="str">
        <f ca="1">IF(申込書!$C$36="◎",IF(OR(D118="浜坂・温泉",D118="美方・村岡",D118="香住",D118="岡山",D118="大阪"),"",IF(LEFT(F118)="D","◎",IF(AG118=0,"",IFERROR(IF(VLOOKUP(AG118,★仕入先!$A$2:$C$211,3,FALSE)=0,"","◎"),"")))),"")</f>
        <v/>
      </c>
      <c r="AL118" s="460">
        <f>申込書!$H$14</f>
        <v>0</v>
      </c>
      <c r="AM118" s="460" t="str">
        <f>申込書!$C$32</f>
        <v>B4（折り無し）</v>
      </c>
      <c r="AN118" s="460" t="str">
        <f>VLOOKUP(AM118,★サイズ表記!$D$4:$E$55,2,FALSE)</f>
        <v>1001</v>
      </c>
      <c r="AO118" s="460">
        <f>IF(C118&lt;&gt;"⑧兵庫",VLOOKUP(LEFT(F118),★新聞!$A$4:$B$12,2,FALSE),IF(LEFT(F118)&lt;&gt;"S",VLOOKUP(LEFT(F118),★新聞!$A$4:$B$12,2,FALSE),VLOOKUP("X",★新聞!$A$4:$B$12,2,FALSE)))</f>
        <v>6</v>
      </c>
      <c r="AP118" s="460" t="str">
        <f t="shared" ca="1" si="13"/>
        <v>0</v>
      </c>
      <c r="AQ118" s="460" t="str">
        <f>IF(申込書!$C$38="","",申込書!$C$38)</f>
        <v/>
      </c>
    </row>
    <row r="119" spans="1:43">
      <c r="A119" s="463">
        <f t="shared" si="14"/>
        <v>118</v>
      </c>
      <c r="B119" s="463" t="str">
        <f t="shared" si="15"/>
        <v>東部</v>
      </c>
      <c r="C119" s="464" t="s">
        <v>1101</v>
      </c>
      <c r="D119" s="464" t="s">
        <v>1022</v>
      </c>
      <c r="E119" s="464">
        <f>VLOOKUP(D119,★折込地区!$A$2:$D$10,4,FALSE)</f>
        <v>1</v>
      </c>
      <c r="F119" s="464" t="s">
        <v>498</v>
      </c>
      <c r="G119" s="464" t="str">
        <f>INDEX(★新聞!$E$4:$I$12, MATCH(LEFT(F119),★新聞!$A$4:$A$12,0), MATCH(LEFT(W119),★新聞!$E$3:$I$3,0))</f>
        <v>AM</v>
      </c>
      <c r="H119" s="475" t="s">
        <v>1103</v>
      </c>
      <c r="I119" s="464" cm="1">
        <f t="array" ref="I119">IFERROR(INDEX(★原価率!$A$2:$E$50,MATCH($C119&amp;$H119,★原価率!$A$2:$A$50&amp;★原価率!$B$2:$B$50,0),3),0)</f>
        <v>84</v>
      </c>
      <c r="J119" s="464" cm="1">
        <f t="array" ref="J119">IFERROR(INDEX(★原価率!$A$2:$E$50,MATCH($C119&amp;$H119,★原価率!$A$2:$A$50&amp;★原価率!$B$2:$B$50,0),4),0)</f>
        <v>84</v>
      </c>
      <c r="K119" s="464" cm="1">
        <f t="array" ref="K119">IFERROR(INDEX(★原価率!$A$2:$E$50,MATCH($C119&amp;$H119,★原価率!$A$2:$A$50&amp;★原価率!$B$2:$B$50,0),5),0)</f>
        <v>100</v>
      </c>
      <c r="L119" s="528">
        <f>IFERROR(VLOOKUP(W119,★商品!$A$1:$H$1231,8,FALSE),0)</f>
        <v>2.8</v>
      </c>
      <c r="M119" s="203" t="str">
        <f ca="1">CONCATENATE(VLOOKUP(B119,★営業所!$A$2:$B$5,2,FALSE),TEXT(NOW(),"yyyy"))</f>
        <v>T2023</v>
      </c>
      <c r="N119" s="203">
        <v>1</v>
      </c>
      <c r="O119" s="203">
        <v>0</v>
      </c>
      <c r="P119" s="213">
        <f>申込書!$B$6</f>
        <v>0</v>
      </c>
      <c r="Q119" s="203">
        <f>申込書!$C$34</f>
        <v>1000040</v>
      </c>
      <c r="R119" s="203">
        <v>0</v>
      </c>
      <c r="U119" s="203">
        <f>VLOOKUP(B119,★営業所!$A$2:$C$5,3,FALSE)</f>
        <v>8</v>
      </c>
      <c r="V119" s="203">
        <f>申込書!$B$9</f>
        <v>0</v>
      </c>
      <c r="W119" s="203" t="str">
        <f>CONCATENATE(VLOOKUP(B119,★営業所!$A$2:$B$5,2,FALSE),VLOOKUP(申込書!$C$32,★サイズ表記!$D$4:$E$55,2,FALSE),VLOOKUP(D119,★折込地区!$A$2:$B$11,2,FALSE))</f>
        <v>T1001Tot</v>
      </c>
      <c r="X119" s="203" t="str">
        <f>CONCATENATE(申込書!$B$9," ",VLOOKUP(RIGHT(W119,3),★折込地区!$B$2:$C$10,2,FALSE),"")</f>
        <v xml:space="preserve"> 鳥取</v>
      </c>
      <c r="Z119" s="206">
        <f t="shared" ca="1" si="8"/>
        <v>0</v>
      </c>
      <c r="AB119" s="383">
        <f t="shared" si="9"/>
        <v>2.8</v>
      </c>
      <c r="AC119" s="203" t="str">
        <f t="shared" si="10"/>
        <v>S1001</v>
      </c>
      <c r="AD119" s="203" t="str">
        <f>VLOOKUP(AC119,★原価商品!$E$6:$F$349,2,FALSE)</f>
        <v>山陰中央/B4（折り無し）</v>
      </c>
      <c r="AE119" s="203">
        <f t="shared" ca="1" si="11"/>
        <v>0</v>
      </c>
      <c r="AF119" s="383">
        <f ca="1">IFERROR(IF(VLOOKUP(申込書!$C$32,★サイズ表記!$F$4:$H$55,3,FALSE)="切り捨て",ROUNDDOWN(L119*IF(AK119="◎",I119,J119)/100,2),IF(VLOOKUP(申込書!$C$32,★サイズ表記!$F$4:$H$55,3,FALSE)="切り上げ",ROUNDUP(L119*IF(AK119="◎",I119,J119)/100,2),ROUND(L119*IF(AK119="◎",I119,J119)/100,2))),0)</f>
        <v>2.35</v>
      </c>
      <c r="AG119" s="203">
        <f t="shared" ca="1" si="12"/>
        <v>10143</v>
      </c>
      <c r="AJ119" s="460" t="str">
        <f>IFERROR(VLOOKUP(申込書!$C$30,★業種!$D$2:$E$87,2,FALSE),"")</f>
        <v>1003</v>
      </c>
      <c r="AK119" s="460" t="str">
        <f ca="1">IF(申込書!$C$36="◎",IF(OR(D119="浜坂・温泉",D119="美方・村岡",D119="香住",D119="岡山",D119="大阪"),"",IF(LEFT(F119)="D","◎",IF(AG119=0,"",IFERROR(IF(VLOOKUP(AG119,★仕入先!$A$2:$C$211,3,FALSE)=0,"","◎"),"")))),"")</f>
        <v/>
      </c>
      <c r="AL119" s="460">
        <f>申込書!$H$14</f>
        <v>0</v>
      </c>
      <c r="AM119" s="460" t="str">
        <f>申込書!$C$32</f>
        <v>B4（折り無し）</v>
      </c>
      <c r="AN119" s="460" t="str">
        <f>VLOOKUP(AM119,★サイズ表記!$D$4:$E$55,2,FALSE)</f>
        <v>1001</v>
      </c>
      <c r="AO119" s="460">
        <f>IF(C119&lt;&gt;"⑧兵庫",VLOOKUP(LEFT(F119),★新聞!$A$4:$B$12,2,FALSE),IF(LEFT(F119)&lt;&gt;"S",VLOOKUP(LEFT(F119),★新聞!$A$4:$B$12,2,FALSE),VLOOKUP("X",★新聞!$A$4:$B$12,2,FALSE)))</f>
        <v>6</v>
      </c>
      <c r="AP119" s="460" t="str">
        <f t="shared" ca="1" si="13"/>
        <v>0</v>
      </c>
      <c r="AQ119" s="460" t="str">
        <f>IF(申込書!$C$38="","",申込書!$C$38)</f>
        <v/>
      </c>
    </row>
    <row r="120" spans="1:43">
      <c r="A120" s="463">
        <f t="shared" si="14"/>
        <v>119</v>
      </c>
      <c r="B120" s="463" t="str">
        <f t="shared" si="15"/>
        <v>東部</v>
      </c>
      <c r="C120" s="464" t="s">
        <v>1101</v>
      </c>
      <c r="D120" s="464" t="s">
        <v>1022</v>
      </c>
      <c r="E120" s="464">
        <f>VLOOKUP(D120,★折込地区!$A$2:$D$10,4,FALSE)</f>
        <v>1</v>
      </c>
      <c r="F120" s="464" t="s">
        <v>499</v>
      </c>
      <c r="G120" s="464" t="str">
        <f>INDEX(★新聞!$E$4:$I$12, MATCH(LEFT(F120),★新聞!$A$4:$A$12,0), MATCH(LEFT(W120),★新聞!$E$3:$I$3,0))</f>
        <v>AM</v>
      </c>
      <c r="H120" s="475" t="s">
        <v>1103</v>
      </c>
      <c r="I120" s="464" cm="1">
        <f t="array" ref="I120">IFERROR(INDEX(★原価率!$A$2:$E$50,MATCH($C120&amp;$H120,★原価率!$A$2:$A$50&amp;★原価率!$B$2:$B$50,0),3),0)</f>
        <v>84</v>
      </c>
      <c r="J120" s="464" cm="1">
        <f t="array" ref="J120">IFERROR(INDEX(★原価率!$A$2:$E$50,MATCH($C120&amp;$H120,★原価率!$A$2:$A$50&amp;★原価率!$B$2:$B$50,0),4),0)</f>
        <v>84</v>
      </c>
      <c r="K120" s="464" cm="1">
        <f t="array" ref="K120">IFERROR(INDEX(★原価率!$A$2:$E$50,MATCH($C120&amp;$H120,★原価率!$A$2:$A$50&amp;★原価率!$B$2:$B$50,0),5),0)</f>
        <v>100</v>
      </c>
      <c r="L120" s="528">
        <f>IFERROR(VLOOKUP(W120,★商品!$A$1:$H$1231,8,FALSE),0)</f>
        <v>2.8</v>
      </c>
      <c r="M120" s="203" t="str">
        <f ca="1">CONCATENATE(VLOOKUP(B120,★営業所!$A$2:$B$5,2,FALSE),TEXT(NOW(),"yyyy"))</f>
        <v>T2023</v>
      </c>
      <c r="N120" s="203">
        <v>1</v>
      </c>
      <c r="O120" s="203">
        <v>0</v>
      </c>
      <c r="P120" s="213">
        <f>申込書!$B$6</f>
        <v>0</v>
      </c>
      <c r="Q120" s="203">
        <f>申込書!$C$34</f>
        <v>1000040</v>
      </c>
      <c r="R120" s="203">
        <v>0</v>
      </c>
      <c r="U120" s="203">
        <f>VLOOKUP(B120,★営業所!$A$2:$C$5,3,FALSE)</f>
        <v>8</v>
      </c>
      <c r="V120" s="203">
        <f>申込書!$B$9</f>
        <v>0</v>
      </c>
      <c r="W120" s="203" t="str">
        <f>CONCATENATE(VLOOKUP(B120,★営業所!$A$2:$B$5,2,FALSE),VLOOKUP(申込書!$C$32,★サイズ表記!$D$4:$E$55,2,FALSE),VLOOKUP(D120,★折込地区!$A$2:$B$11,2,FALSE))</f>
        <v>T1001Tot</v>
      </c>
      <c r="X120" s="203" t="str">
        <f>CONCATENATE(申込書!$B$9," ",VLOOKUP(RIGHT(W120,3),★折込地区!$B$2:$C$10,2,FALSE),"")</f>
        <v xml:space="preserve"> 鳥取</v>
      </c>
      <c r="Z120" s="206">
        <f t="shared" ca="1" si="8"/>
        <v>0</v>
      </c>
      <c r="AB120" s="383">
        <f t="shared" si="9"/>
        <v>2.8</v>
      </c>
      <c r="AC120" s="203" t="str">
        <f t="shared" si="10"/>
        <v>S1001</v>
      </c>
      <c r="AD120" s="203" t="str">
        <f>VLOOKUP(AC120,★原価商品!$E$6:$F$349,2,FALSE)</f>
        <v>山陰中央/B4（折り無し）</v>
      </c>
      <c r="AE120" s="203">
        <f t="shared" ca="1" si="11"/>
        <v>0</v>
      </c>
      <c r="AF120" s="383">
        <f ca="1">IFERROR(IF(VLOOKUP(申込書!$C$32,★サイズ表記!$F$4:$H$55,3,FALSE)="切り捨て",ROUNDDOWN(L120*IF(AK120="◎",I120,J120)/100,2),IF(VLOOKUP(申込書!$C$32,★サイズ表記!$F$4:$H$55,3,FALSE)="切り上げ",ROUNDUP(L120*IF(AK120="◎",I120,J120)/100,2),ROUND(L120*IF(AK120="◎",I120,J120)/100,2))),0)</f>
        <v>2.35</v>
      </c>
      <c r="AG120" s="203">
        <f t="shared" ca="1" si="12"/>
        <v>0</v>
      </c>
      <c r="AJ120" s="460" t="str">
        <f>IFERROR(VLOOKUP(申込書!$C$30,★業種!$D$2:$E$87,2,FALSE),"")</f>
        <v>1003</v>
      </c>
      <c r="AK120" s="460" t="str">
        <f ca="1">IF(申込書!$C$36="◎",IF(OR(D120="浜坂・温泉",D120="美方・村岡",D120="香住",D120="岡山",D120="大阪"),"",IF(LEFT(F120)="D","◎",IF(AG120=0,"",IFERROR(IF(VLOOKUP(AG120,★仕入先!$A$2:$C$211,3,FALSE)=0,"","◎"),"")))),"")</f>
        <v/>
      </c>
      <c r="AL120" s="460">
        <f>申込書!$H$14</f>
        <v>0</v>
      </c>
      <c r="AM120" s="460" t="str">
        <f>申込書!$C$32</f>
        <v>B4（折り無し）</v>
      </c>
      <c r="AN120" s="460" t="str">
        <f>VLOOKUP(AM120,★サイズ表記!$D$4:$E$55,2,FALSE)</f>
        <v>1001</v>
      </c>
      <c r="AO120" s="460">
        <f>IF(C120&lt;&gt;"⑧兵庫",VLOOKUP(LEFT(F120),★新聞!$A$4:$B$12,2,FALSE),IF(LEFT(F120)&lt;&gt;"S",VLOOKUP(LEFT(F120),★新聞!$A$4:$B$12,2,FALSE),VLOOKUP("X",★新聞!$A$4:$B$12,2,FALSE)))</f>
        <v>6</v>
      </c>
      <c r="AP120" s="460" t="str">
        <f t="shared" ca="1" si="13"/>
        <v>0</v>
      </c>
      <c r="AQ120" s="460" t="str">
        <f>IF(申込書!$C$38="","",申込書!$C$38)</f>
        <v/>
      </c>
    </row>
    <row r="121" spans="1:43">
      <c r="A121" s="463">
        <f t="shared" si="14"/>
        <v>120</v>
      </c>
      <c r="B121" s="463" t="str">
        <f t="shared" si="15"/>
        <v>東部</v>
      </c>
      <c r="C121" s="464" t="s">
        <v>1101</v>
      </c>
      <c r="D121" s="464" t="s">
        <v>1022</v>
      </c>
      <c r="E121" s="464">
        <f>VLOOKUP(D121,★折込地区!$A$2:$D$10,4,FALSE)</f>
        <v>1</v>
      </c>
      <c r="F121" s="464" t="s">
        <v>500</v>
      </c>
      <c r="G121" s="464" t="str">
        <f>INDEX(★新聞!$E$4:$I$12, MATCH(LEFT(F121),★新聞!$A$4:$A$12,0), MATCH(LEFT(W121),★新聞!$E$3:$I$3,0))</f>
        <v>AM</v>
      </c>
      <c r="H121" s="475" t="s">
        <v>1103</v>
      </c>
      <c r="I121" s="464" cm="1">
        <f t="array" ref="I121">IFERROR(INDEX(★原価率!$A$2:$E$50,MATCH($C121&amp;$H121,★原価率!$A$2:$A$50&amp;★原価率!$B$2:$B$50,0),3),0)</f>
        <v>84</v>
      </c>
      <c r="J121" s="464" cm="1">
        <f t="array" ref="J121">IFERROR(INDEX(★原価率!$A$2:$E$50,MATCH($C121&amp;$H121,★原価率!$A$2:$A$50&amp;★原価率!$B$2:$B$50,0),4),0)</f>
        <v>84</v>
      </c>
      <c r="K121" s="464" cm="1">
        <f t="array" ref="K121">IFERROR(INDEX(★原価率!$A$2:$E$50,MATCH($C121&amp;$H121,★原価率!$A$2:$A$50&amp;★原価率!$B$2:$B$50,0),5),0)</f>
        <v>100</v>
      </c>
      <c r="L121" s="528">
        <f>IFERROR(VLOOKUP(W121,★商品!$A$1:$H$1231,8,FALSE),0)</f>
        <v>2.8</v>
      </c>
      <c r="M121" s="203" t="str">
        <f ca="1">CONCATENATE(VLOOKUP(B121,★営業所!$A$2:$B$5,2,FALSE),TEXT(NOW(),"yyyy"))</f>
        <v>T2023</v>
      </c>
      <c r="N121" s="203">
        <v>1</v>
      </c>
      <c r="O121" s="203">
        <v>0</v>
      </c>
      <c r="P121" s="213">
        <f>申込書!$B$6</f>
        <v>0</v>
      </c>
      <c r="Q121" s="203">
        <f>申込書!$C$34</f>
        <v>1000040</v>
      </c>
      <c r="R121" s="203">
        <v>0</v>
      </c>
      <c r="U121" s="203">
        <f>VLOOKUP(B121,★営業所!$A$2:$C$5,3,FALSE)</f>
        <v>8</v>
      </c>
      <c r="V121" s="203">
        <f>申込書!$B$9</f>
        <v>0</v>
      </c>
      <c r="W121" s="203" t="str">
        <f>CONCATENATE(VLOOKUP(B121,★営業所!$A$2:$B$5,2,FALSE),VLOOKUP(申込書!$C$32,★サイズ表記!$D$4:$E$55,2,FALSE),VLOOKUP(D121,★折込地区!$A$2:$B$11,2,FALSE))</f>
        <v>T1001Tot</v>
      </c>
      <c r="X121" s="203" t="str">
        <f>CONCATENATE(申込書!$B$9," ",VLOOKUP(RIGHT(W121,3),★折込地区!$B$2:$C$10,2,FALSE),"")</f>
        <v xml:space="preserve"> 鳥取</v>
      </c>
      <c r="Z121" s="206">
        <f t="shared" ca="1" si="8"/>
        <v>0</v>
      </c>
      <c r="AB121" s="383">
        <f t="shared" si="9"/>
        <v>2.8</v>
      </c>
      <c r="AC121" s="203" t="str">
        <f t="shared" si="10"/>
        <v>S1001</v>
      </c>
      <c r="AD121" s="203" t="str">
        <f>VLOOKUP(AC121,★原価商品!$E$6:$F$349,2,FALSE)</f>
        <v>山陰中央/B4（折り無し）</v>
      </c>
      <c r="AE121" s="203">
        <f t="shared" ca="1" si="11"/>
        <v>0</v>
      </c>
      <c r="AF121" s="383">
        <f ca="1">IFERROR(IF(VLOOKUP(申込書!$C$32,★サイズ表記!$F$4:$H$55,3,FALSE)="切り捨て",ROUNDDOWN(L121*IF(AK121="◎",I121,J121)/100,2),IF(VLOOKUP(申込書!$C$32,★サイズ表記!$F$4:$H$55,3,FALSE)="切り上げ",ROUNDUP(L121*IF(AK121="◎",I121,J121)/100,2),ROUND(L121*IF(AK121="◎",I121,J121)/100,2))),0)</f>
        <v>2.35</v>
      </c>
      <c r="AG121" s="203">
        <f t="shared" ca="1" si="12"/>
        <v>0</v>
      </c>
      <c r="AJ121" s="460" t="str">
        <f>IFERROR(VLOOKUP(申込書!$C$30,★業種!$D$2:$E$87,2,FALSE),"")</f>
        <v>1003</v>
      </c>
      <c r="AK121" s="460" t="str">
        <f ca="1">IF(申込書!$C$36="◎",IF(OR(D121="浜坂・温泉",D121="美方・村岡",D121="香住",D121="岡山",D121="大阪"),"",IF(LEFT(F121)="D","◎",IF(AG121=0,"",IFERROR(IF(VLOOKUP(AG121,★仕入先!$A$2:$C$211,3,FALSE)=0,"","◎"),"")))),"")</f>
        <v/>
      </c>
      <c r="AL121" s="460">
        <f>申込書!$H$14</f>
        <v>0</v>
      </c>
      <c r="AM121" s="460" t="str">
        <f>申込書!$C$32</f>
        <v>B4（折り無し）</v>
      </c>
      <c r="AN121" s="460" t="str">
        <f>VLOOKUP(AM121,★サイズ表記!$D$4:$E$55,2,FALSE)</f>
        <v>1001</v>
      </c>
      <c r="AO121" s="460">
        <f>IF(C121&lt;&gt;"⑧兵庫",VLOOKUP(LEFT(F121),★新聞!$A$4:$B$12,2,FALSE),IF(LEFT(F121)&lt;&gt;"S",VLOOKUP(LEFT(F121),★新聞!$A$4:$B$12,2,FALSE),VLOOKUP("X",★新聞!$A$4:$B$12,2,FALSE)))</f>
        <v>6</v>
      </c>
      <c r="AP121" s="460" t="str">
        <f t="shared" ca="1" si="13"/>
        <v>0</v>
      </c>
      <c r="AQ121" s="460" t="str">
        <f>IF(申込書!$C$38="","",申込書!$C$38)</f>
        <v/>
      </c>
    </row>
    <row r="122" spans="1:43">
      <c r="A122" s="463">
        <f t="shared" si="14"/>
        <v>121</v>
      </c>
      <c r="B122" s="463" t="str">
        <f t="shared" si="15"/>
        <v>東部</v>
      </c>
      <c r="C122" s="464" t="s">
        <v>1101</v>
      </c>
      <c r="D122" s="464" t="s">
        <v>1022</v>
      </c>
      <c r="E122" s="464">
        <f>VLOOKUP(D122,★折込地区!$A$2:$D$10,4,FALSE)</f>
        <v>1</v>
      </c>
      <c r="F122" s="464" t="s">
        <v>501</v>
      </c>
      <c r="G122" s="464" t="str">
        <f>INDEX(★新聞!$E$4:$I$12, MATCH(LEFT(F122),★新聞!$A$4:$A$12,0), MATCH(LEFT(W122),★新聞!$E$3:$I$3,0))</f>
        <v>AM</v>
      </c>
      <c r="H122" s="475" t="s">
        <v>1103</v>
      </c>
      <c r="I122" s="464" cm="1">
        <f t="array" ref="I122">IFERROR(INDEX(★原価率!$A$2:$E$50,MATCH($C122&amp;$H122,★原価率!$A$2:$A$50&amp;★原価率!$B$2:$B$50,0),3),0)</f>
        <v>84</v>
      </c>
      <c r="J122" s="464" cm="1">
        <f t="array" ref="J122">IFERROR(INDEX(★原価率!$A$2:$E$50,MATCH($C122&amp;$H122,★原価率!$A$2:$A$50&amp;★原価率!$B$2:$B$50,0),4),0)</f>
        <v>84</v>
      </c>
      <c r="K122" s="464" cm="1">
        <f t="array" ref="K122">IFERROR(INDEX(★原価率!$A$2:$E$50,MATCH($C122&amp;$H122,★原価率!$A$2:$A$50&amp;★原価率!$B$2:$B$50,0),5),0)</f>
        <v>100</v>
      </c>
      <c r="L122" s="528">
        <f>IFERROR(VLOOKUP(W122,★商品!$A$1:$H$1231,8,FALSE),0)</f>
        <v>2.8</v>
      </c>
      <c r="M122" s="203" t="str">
        <f ca="1">CONCATENATE(VLOOKUP(B122,★営業所!$A$2:$B$5,2,FALSE),TEXT(NOW(),"yyyy"))</f>
        <v>T2023</v>
      </c>
      <c r="N122" s="203">
        <v>1</v>
      </c>
      <c r="O122" s="203">
        <v>0</v>
      </c>
      <c r="P122" s="213">
        <f>申込書!$B$6</f>
        <v>0</v>
      </c>
      <c r="Q122" s="203">
        <f>申込書!$C$34</f>
        <v>1000040</v>
      </c>
      <c r="R122" s="203">
        <v>0</v>
      </c>
      <c r="U122" s="203">
        <f>VLOOKUP(B122,★営業所!$A$2:$C$5,3,FALSE)</f>
        <v>8</v>
      </c>
      <c r="V122" s="203">
        <f>申込書!$B$9</f>
        <v>0</v>
      </c>
      <c r="W122" s="203" t="str">
        <f>CONCATENATE(VLOOKUP(B122,★営業所!$A$2:$B$5,2,FALSE),VLOOKUP(申込書!$C$32,★サイズ表記!$D$4:$E$55,2,FALSE),VLOOKUP(D122,★折込地区!$A$2:$B$11,2,FALSE))</f>
        <v>T1001Tot</v>
      </c>
      <c r="X122" s="203" t="str">
        <f>CONCATENATE(申込書!$B$9," ",VLOOKUP(RIGHT(W122,3),★折込地区!$B$2:$C$10,2,FALSE),"")</f>
        <v xml:space="preserve"> 鳥取</v>
      </c>
      <c r="Z122" s="206">
        <f t="shared" ca="1" si="8"/>
        <v>0</v>
      </c>
      <c r="AB122" s="383">
        <f t="shared" si="9"/>
        <v>2.8</v>
      </c>
      <c r="AC122" s="203" t="str">
        <f t="shared" si="10"/>
        <v>S1001</v>
      </c>
      <c r="AD122" s="203" t="str">
        <f>VLOOKUP(AC122,★原価商品!$E$6:$F$349,2,FALSE)</f>
        <v>山陰中央/B4（折り無し）</v>
      </c>
      <c r="AE122" s="203">
        <f t="shared" ca="1" si="11"/>
        <v>0</v>
      </c>
      <c r="AF122" s="383">
        <f ca="1">IFERROR(IF(VLOOKUP(申込書!$C$32,★サイズ表記!$F$4:$H$55,3,FALSE)="切り捨て",ROUNDDOWN(L122*IF(AK122="◎",I122,J122)/100,2),IF(VLOOKUP(申込書!$C$32,★サイズ表記!$F$4:$H$55,3,FALSE)="切り上げ",ROUNDUP(L122*IF(AK122="◎",I122,J122)/100,2),ROUND(L122*IF(AK122="◎",I122,J122)/100,2))),0)</f>
        <v>2.35</v>
      </c>
      <c r="AG122" s="203">
        <f t="shared" ca="1" si="12"/>
        <v>0</v>
      </c>
      <c r="AJ122" s="460" t="str">
        <f>IFERROR(VLOOKUP(申込書!$C$30,★業種!$D$2:$E$87,2,FALSE),"")</f>
        <v>1003</v>
      </c>
      <c r="AK122" s="460" t="str">
        <f ca="1">IF(申込書!$C$36="◎",IF(OR(D122="浜坂・温泉",D122="美方・村岡",D122="香住",D122="岡山",D122="大阪"),"",IF(LEFT(F122)="D","◎",IF(AG122=0,"",IFERROR(IF(VLOOKUP(AG122,★仕入先!$A$2:$C$211,3,FALSE)=0,"","◎"),"")))),"")</f>
        <v/>
      </c>
      <c r="AL122" s="460">
        <f>申込書!$H$14</f>
        <v>0</v>
      </c>
      <c r="AM122" s="460" t="str">
        <f>申込書!$C$32</f>
        <v>B4（折り無し）</v>
      </c>
      <c r="AN122" s="460" t="str">
        <f>VLOOKUP(AM122,★サイズ表記!$D$4:$E$55,2,FALSE)</f>
        <v>1001</v>
      </c>
      <c r="AO122" s="460">
        <f>IF(C122&lt;&gt;"⑧兵庫",VLOOKUP(LEFT(F122),★新聞!$A$4:$B$12,2,FALSE),IF(LEFT(F122)&lt;&gt;"S",VLOOKUP(LEFT(F122),★新聞!$A$4:$B$12,2,FALSE),VLOOKUP("X",★新聞!$A$4:$B$12,2,FALSE)))</f>
        <v>6</v>
      </c>
      <c r="AP122" s="460" t="str">
        <f t="shared" ca="1" si="13"/>
        <v>0</v>
      </c>
      <c r="AQ122" s="460" t="str">
        <f>IF(申込書!$C$38="","",申込書!$C$38)</f>
        <v/>
      </c>
    </row>
    <row r="123" spans="1:43">
      <c r="A123" s="463">
        <f t="shared" si="14"/>
        <v>122</v>
      </c>
      <c r="B123" s="463" t="str">
        <f t="shared" si="15"/>
        <v>東部</v>
      </c>
      <c r="C123" s="464" t="s">
        <v>1101</v>
      </c>
      <c r="D123" s="464" t="s">
        <v>1022</v>
      </c>
      <c r="E123" s="464">
        <f>VLOOKUP(D123,★折込地区!$A$2:$D$10,4,FALSE)</f>
        <v>1</v>
      </c>
      <c r="F123" s="464" t="s">
        <v>502</v>
      </c>
      <c r="G123" s="464" t="str">
        <f>INDEX(★新聞!$E$4:$I$12, MATCH(LEFT(F123),★新聞!$A$4:$A$12,0), MATCH(LEFT(W123),★新聞!$E$3:$I$3,0))</f>
        <v>AM</v>
      </c>
      <c r="H123" s="475" t="s">
        <v>1103</v>
      </c>
      <c r="I123" s="464" cm="1">
        <f t="array" ref="I123">IFERROR(INDEX(★原価率!$A$2:$E$50,MATCH($C123&amp;$H123,★原価率!$A$2:$A$50&amp;★原価率!$B$2:$B$50,0),3),0)</f>
        <v>84</v>
      </c>
      <c r="J123" s="464" cm="1">
        <f t="array" ref="J123">IFERROR(INDEX(★原価率!$A$2:$E$50,MATCH($C123&amp;$H123,★原価率!$A$2:$A$50&amp;★原価率!$B$2:$B$50,0),4),0)</f>
        <v>84</v>
      </c>
      <c r="K123" s="464" cm="1">
        <f t="array" ref="K123">IFERROR(INDEX(★原価率!$A$2:$E$50,MATCH($C123&amp;$H123,★原価率!$A$2:$A$50&amp;★原価率!$B$2:$B$50,0),5),0)</f>
        <v>100</v>
      </c>
      <c r="L123" s="528">
        <f>IFERROR(VLOOKUP(W123,★商品!$A$1:$H$1231,8,FALSE),0)</f>
        <v>2.8</v>
      </c>
      <c r="M123" s="203" t="str">
        <f ca="1">CONCATENATE(VLOOKUP(B123,★営業所!$A$2:$B$5,2,FALSE),TEXT(NOW(),"yyyy"))</f>
        <v>T2023</v>
      </c>
      <c r="N123" s="203">
        <v>1</v>
      </c>
      <c r="O123" s="203">
        <v>0</v>
      </c>
      <c r="P123" s="213">
        <f>申込書!$B$6</f>
        <v>0</v>
      </c>
      <c r="Q123" s="203">
        <f>申込書!$C$34</f>
        <v>1000040</v>
      </c>
      <c r="R123" s="203">
        <v>0</v>
      </c>
      <c r="U123" s="203">
        <f>VLOOKUP(B123,★営業所!$A$2:$C$5,3,FALSE)</f>
        <v>8</v>
      </c>
      <c r="V123" s="203">
        <f>申込書!$B$9</f>
        <v>0</v>
      </c>
      <c r="W123" s="203" t="str">
        <f>CONCATENATE(VLOOKUP(B123,★営業所!$A$2:$B$5,2,FALSE),VLOOKUP(申込書!$C$32,★サイズ表記!$D$4:$E$55,2,FALSE),VLOOKUP(D123,★折込地区!$A$2:$B$11,2,FALSE))</f>
        <v>T1001Tot</v>
      </c>
      <c r="X123" s="203" t="str">
        <f>CONCATENATE(申込書!$B$9," ",VLOOKUP(RIGHT(W123,3),★折込地区!$B$2:$C$10,2,FALSE),"")</f>
        <v xml:space="preserve"> 鳥取</v>
      </c>
      <c r="Z123" s="206">
        <f t="shared" ca="1" si="8"/>
        <v>0</v>
      </c>
      <c r="AB123" s="383">
        <f t="shared" si="9"/>
        <v>2.8</v>
      </c>
      <c r="AC123" s="203" t="str">
        <f t="shared" si="10"/>
        <v>S1001</v>
      </c>
      <c r="AD123" s="203" t="str">
        <f>VLOOKUP(AC123,★原価商品!$E$6:$F$349,2,FALSE)</f>
        <v>山陰中央/B4（折り無し）</v>
      </c>
      <c r="AE123" s="203">
        <f t="shared" ca="1" si="11"/>
        <v>0</v>
      </c>
      <c r="AF123" s="383">
        <f ca="1">IFERROR(IF(VLOOKUP(申込書!$C$32,★サイズ表記!$F$4:$H$55,3,FALSE)="切り捨て",ROUNDDOWN(L123*IF(AK123="◎",I123,J123)/100,2),IF(VLOOKUP(申込書!$C$32,★サイズ表記!$F$4:$H$55,3,FALSE)="切り上げ",ROUNDUP(L123*IF(AK123="◎",I123,J123)/100,2),ROUND(L123*IF(AK123="◎",I123,J123)/100,2))),0)</f>
        <v>2.35</v>
      </c>
      <c r="AG123" s="203">
        <f t="shared" ca="1" si="12"/>
        <v>0</v>
      </c>
      <c r="AJ123" s="460" t="str">
        <f>IFERROR(VLOOKUP(申込書!$C$30,★業種!$D$2:$E$87,2,FALSE),"")</f>
        <v>1003</v>
      </c>
      <c r="AK123" s="460" t="str">
        <f ca="1">IF(申込書!$C$36="◎",IF(OR(D123="浜坂・温泉",D123="美方・村岡",D123="香住",D123="岡山",D123="大阪"),"",IF(LEFT(F123)="D","◎",IF(AG123=0,"",IFERROR(IF(VLOOKUP(AG123,★仕入先!$A$2:$C$211,3,FALSE)=0,"","◎"),"")))),"")</f>
        <v/>
      </c>
      <c r="AL123" s="460">
        <f>申込書!$H$14</f>
        <v>0</v>
      </c>
      <c r="AM123" s="460" t="str">
        <f>申込書!$C$32</f>
        <v>B4（折り無し）</v>
      </c>
      <c r="AN123" s="460" t="str">
        <f>VLOOKUP(AM123,★サイズ表記!$D$4:$E$55,2,FALSE)</f>
        <v>1001</v>
      </c>
      <c r="AO123" s="460">
        <f>IF(C123&lt;&gt;"⑧兵庫",VLOOKUP(LEFT(F123),★新聞!$A$4:$B$12,2,FALSE),IF(LEFT(F123)&lt;&gt;"S",VLOOKUP(LEFT(F123),★新聞!$A$4:$B$12,2,FALSE),VLOOKUP("X",★新聞!$A$4:$B$12,2,FALSE)))</f>
        <v>6</v>
      </c>
      <c r="AP123" s="460" t="str">
        <f t="shared" ca="1" si="13"/>
        <v>0</v>
      </c>
      <c r="AQ123" s="460" t="str">
        <f>IF(申込書!$C$38="","",申込書!$C$38)</f>
        <v/>
      </c>
    </row>
    <row r="124" spans="1:43">
      <c r="A124" s="463">
        <f t="shared" si="14"/>
        <v>123</v>
      </c>
      <c r="B124" s="463" t="str">
        <f t="shared" si="15"/>
        <v>東部</v>
      </c>
      <c r="C124" s="464" t="s">
        <v>1101</v>
      </c>
      <c r="D124" s="464" t="s">
        <v>1022</v>
      </c>
      <c r="E124" s="464">
        <f>VLOOKUP(D124,★折込地区!$A$2:$D$10,4,FALSE)</f>
        <v>1</v>
      </c>
      <c r="F124" s="464" t="s">
        <v>503</v>
      </c>
      <c r="G124" s="464" t="str">
        <f>INDEX(★新聞!$E$4:$I$12, MATCH(LEFT(F124),★新聞!$A$4:$A$12,0), MATCH(LEFT(W124),★新聞!$E$3:$I$3,0))</f>
        <v>AM</v>
      </c>
      <c r="H124" s="475" t="s">
        <v>1103</v>
      </c>
      <c r="I124" s="464" cm="1">
        <f t="array" ref="I124">IFERROR(INDEX(★原価率!$A$2:$E$50,MATCH($C124&amp;$H124,★原価率!$A$2:$A$50&amp;★原価率!$B$2:$B$50,0),3),0)</f>
        <v>84</v>
      </c>
      <c r="J124" s="464" cm="1">
        <f t="array" ref="J124">IFERROR(INDEX(★原価率!$A$2:$E$50,MATCH($C124&amp;$H124,★原価率!$A$2:$A$50&amp;★原価率!$B$2:$B$50,0),4),0)</f>
        <v>84</v>
      </c>
      <c r="K124" s="464" cm="1">
        <f t="array" ref="K124">IFERROR(INDEX(★原価率!$A$2:$E$50,MATCH($C124&amp;$H124,★原価率!$A$2:$A$50&amp;★原価率!$B$2:$B$50,0),5),0)</f>
        <v>100</v>
      </c>
      <c r="L124" s="528">
        <f>IFERROR(VLOOKUP(W124,★商品!$A$1:$H$1231,8,FALSE),0)</f>
        <v>2.8</v>
      </c>
      <c r="M124" s="203" t="str">
        <f ca="1">CONCATENATE(VLOOKUP(B124,★営業所!$A$2:$B$5,2,FALSE),TEXT(NOW(),"yyyy"))</f>
        <v>T2023</v>
      </c>
      <c r="N124" s="203">
        <v>1</v>
      </c>
      <c r="O124" s="203">
        <v>0</v>
      </c>
      <c r="P124" s="213">
        <f>申込書!$B$6</f>
        <v>0</v>
      </c>
      <c r="Q124" s="203">
        <f>申込書!$C$34</f>
        <v>1000040</v>
      </c>
      <c r="R124" s="203">
        <v>0</v>
      </c>
      <c r="U124" s="203">
        <f>VLOOKUP(B124,★営業所!$A$2:$C$5,3,FALSE)</f>
        <v>8</v>
      </c>
      <c r="V124" s="203">
        <f>申込書!$B$9</f>
        <v>0</v>
      </c>
      <c r="W124" s="203" t="str">
        <f>CONCATENATE(VLOOKUP(B124,★営業所!$A$2:$B$5,2,FALSE),VLOOKUP(申込書!$C$32,★サイズ表記!$D$4:$E$55,2,FALSE),VLOOKUP(D124,★折込地区!$A$2:$B$11,2,FALSE))</f>
        <v>T1001Tot</v>
      </c>
      <c r="X124" s="203" t="str">
        <f>CONCATENATE(申込書!$B$9," ",VLOOKUP(RIGHT(W124,3),★折込地区!$B$2:$C$10,2,FALSE),"")</f>
        <v xml:space="preserve"> 鳥取</v>
      </c>
      <c r="Z124" s="206">
        <f t="shared" ca="1" si="8"/>
        <v>0</v>
      </c>
      <c r="AB124" s="383">
        <f t="shared" si="9"/>
        <v>2.8</v>
      </c>
      <c r="AC124" s="203" t="str">
        <f t="shared" si="10"/>
        <v>S1001</v>
      </c>
      <c r="AD124" s="203" t="str">
        <f>VLOOKUP(AC124,★原価商品!$E$6:$F$349,2,FALSE)</f>
        <v>山陰中央/B4（折り無し）</v>
      </c>
      <c r="AE124" s="203">
        <f t="shared" ca="1" si="11"/>
        <v>0</v>
      </c>
      <c r="AF124" s="383">
        <f ca="1">IFERROR(IF(VLOOKUP(申込書!$C$32,★サイズ表記!$F$4:$H$55,3,FALSE)="切り捨て",ROUNDDOWN(L124*IF(AK124="◎",I124,J124)/100,2),IF(VLOOKUP(申込書!$C$32,★サイズ表記!$F$4:$H$55,3,FALSE)="切り上げ",ROUNDUP(L124*IF(AK124="◎",I124,J124)/100,2),ROUND(L124*IF(AK124="◎",I124,J124)/100,2))),0)</f>
        <v>2.35</v>
      </c>
      <c r="AG124" s="203">
        <f t="shared" ca="1" si="12"/>
        <v>0</v>
      </c>
      <c r="AJ124" s="460" t="str">
        <f>IFERROR(VLOOKUP(申込書!$C$30,★業種!$D$2:$E$87,2,FALSE),"")</f>
        <v>1003</v>
      </c>
      <c r="AK124" s="460" t="str">
        <f ca="1">IF(申込書!$C$36="◎",IF(OR(D124="浜坂・温泉",D124="美方・村岡",D124="香住",D124="岡山",D124="大阪"),"",IF(LEFT(F124)="D","◎",IF(AG124=0,"",IFERROR(IF(VLOOKUP(AG124,★仕入先!$A$2:$C$211,3,FALSE)=0,"","◎"),"")))),"")</f>
        <v/>
      </c>
      <c r="AL124" s="460">
        <f>申込書!$H$14</f>
        <v>0</v>
      </c>
      <c r="AM124" s="460" t="str">
        <f>申込書!$C$32</f>
        <v>B4（折り無し）</v>
      </c>
      <c r="AN124" s="460" t="str">
        <f>VLOOKUP(AM124,★サイズ表記!$D$4:$E$55,2,FALSE)</f>
        <v>1001</v>
      </c>
      <c r="AO124" s="460">
        <f>IF(C124&lt;&gt;"⑧兵庫",VLOOKUP(LEFT(F124),★新聞!$A$4:$B$12,2,FALSE),IF(LEFT(F124)&lt;&gt;"S",VLOOKUP(LEFT(F124),★新聞!$A$4:$B$12,2,FALSE),VLOOKUP("X",★新聞!$A$4:$B$12,2,FALSE)))</f>
        <v>6</v>
      </c>
      <c r="AP124" s="460" t="str">
        <f t="shared" ca="1" si="13"/>
        <v>0</v>
      </c>
      <c r="AQ124" s="460" t="str">
        <f>IF(申込書!$C$38="","",申込書!$C$38)</f>
        <v/>
      </c>
    </row>
    <row r="125" spans="1:43">
      <c r="A125" s="463">
        <f t="shared" si="14"/>
        <v>124</v>
      </c>
      <c r="B125" s="463" t="str">
        <f t="shared" si="15"/>
        <v>東部</v>
      </c>
      <c r="C125" s="464" t="s">
        <v>1101</v>
      </c>
      <c r="D125" s="464" t="s">
        <v>1022</v>
      </c>
      <c r="E125" s="464">
        <f>VLOOKUP(D125,★折込地区!$A$2:$D$10,4,FALSE)</f>
        <v>1</v>
      </c>
      <c r="F125" s="464" t="s">
        <v>504</v>
      </c>
      <c r="G125" s="464" t="str">
        <f>INDEX(★新聞!$E$4:$I$12, MATCH(LEFT(F125),★新聞!$A$4:$A$12,0), MATCH(LEFT(W125),★新聞!$E$3:$I$3,0))</f>
        <v>AM</v>
      </c>
      <c r="H125" s="475" t="s">
        <v>1103</v>
      </c>
      <c r="I125" s="464" cm="1">
        <f t="array" ref="I125">IFERROR(INDEX(★原価率!$A$2:$E$50,MATCH($C125&amp;$H125,★原価率!$A$2:$A$50&amp;★原価率!$B$2:$B$50,0),3),0)</f>
        <v>84</v>
      </c>
      <c r="J125" s="464" cm="1">
        <f t="array" ref="J125">IFERROR(INDEX(★原価率!$A$2:$E$50,MATCH($C125&amp;$H125,★原価率!$A$2:$A$50&amp;★原価率!$B$2:$B$50,0),4),0)</f>
        <v>84</v>
      </c>
      <c r="K125" s="464" cm="1">
        <f t="array" ref="K125">IFERROR(INDEX(★原価率!$A$2:$E$50,MATCH($C125&amp;$H125,★原価率!$A$2:$A$50&amp;★原価率!$B$2:$B$50,0),5),0)</f>
        <v>100</v>
      </c>
      <c r="L125" s="528">
        <f>IFERROR(VLOOKUP(W125,★商品!$A$1:$H$1231,8,FALSE),0)</f>
        <v>2.8</v>
      </c>
      <c r="M125" s="203" t="str">
        <f ca="1">CONCATENATE(VLOOKUP(B125,★営業所!$A$2:$B$5,2,FALSE),TEXT(NOW(),"yyyy"))</f>
        <v>T2023</v>
      </c>
      <c r="N125" s="203">
        <v>1</v>
      </c>
      <c r="O125" s="203">
        <v>0</v>
      </c>
      <c r="P125" s="213">
        <f>申込書!$B$6</f>
        <v>0</v>
      </c>
      <c r="Q125" s="203">
        <f>申込書!$C$34</f>
        <v>1000040</v>
      </c>
      <c r="R125" s="203">
        <v>0</v>
      </c>
      <c r="U125" s="203">
        <f>VLOOKUP(B125,★営業所!$A$2:$C$5,3,FALSE)</f>
        <v>8</v>
      </c>
      <c r="V125" s="203">
        <f>申込書!$B$9</f>
        <v>0</v>
      </c>
      <c r="W125" s="203" t="str">
        <f>CONCATENATE(VLOOKUP(B125,★営業所!$A$2:$B$5,2,FALSE),VLOOKUP(申込書!$C$32,★サイズ表記!$D$4:$E$55,2,FALSE),VLOOKUP(D125,★折込地区!$A$2:$B$11,2,FALSE))</f>
        <v>T1001Tot</v>
      </c>
      <c r="X125" s="203" t="str">
        <f>CONCATENATE(申込書!$B$9," ",VLOOKUP(RIGHT(W125,3),★折込地区!$B$2:$C$10,2,FALSE),"")</f>
        <v xml:space="preserve"> 鳥取</v>
      </c>
      <c r="Z125" s="206">
        <f t="shared" ca="1" si="8"/>
        <v>0</v>
      </c>
      <c r="AB125" s="383">
        <f t="shared" si="9"/>
        <v>2.8</v>
      </c>
      <c r="AC125" s="203" t="str">
        <f t="shared" si="10"/>
        <v>S1001</v>
      </c>
      <c r="AD125" s="203" t="str">
        <f>VLOOKUP(AC125,★原価商品!$E$6:$F$349,2,FALSE)</f>
        <v>山陰中央/B4（折り無し）</v>
      </c>
      <c r="AE125" s="203">
        <f t="shared" ca="1" si="11"/>
        <v>0</v>
      </c>
      <c r="AF125" s="383">
        <f ca="1">IFERROR(IF(VLOOKUP(申込書!$C$32,★サイズ表記!$F$4:$H$55,3,FALSE)="切り捨て",ROUNDDOWN(L125*IF(AK125="◎",I125,J125)/100,2),IF(VLOOKUP(申込書!$C$32,★サイズ表記!$F$4:$H$55,3,FALSE)="切り上げ",ROUNDUP(L125*IF(AK125="◎",I125,J125)/100,2),ROUND(L125*IF(AK125="◎",I125,J125)/100,2))),0)</f>
        <v>2.35</v>
      </c>
      <c r="AG125" s="203">
        <f t="shared" ca="1" si="12"/>
        <v>0</v>
      </c>
      <c r="AJ125" s="460" t="str">
        <f>IFERROR(VLOOKUP(申込書!$C$30,★業種!$D$2:$E$87,2,FALSE),"")</f>
        <v>1003</v>
      </c>
      <c r="AK125" s="460" t="str">
        <f ca="1">IF(申込書!$C$36="◎",IF(OR(D125="浜坂・温泉",D125="美方・村岡",D125="香住",D125="岡山",D125="大阪"),"",IF(LEFT(F125)="D","◎",IF(AG125=0,"",IFERROR(IF(VLOOKUP(AG125,★仕入先!$A$2:$C$211,3,FALSE)=0,"","◎"),"")))),"")</f>
        <v/>
      </c>
      <c r="AL125" s="460">
        <f>申込書!$H$14</f>
        <v>0</v>
      </c>
      <c r="AM125" s="460" t="str">
        <f>申込書!$C$32</f>
        <v>B4（折り無し）</v>
      </c>
      <c r="AN125" s="460" t="str">
        <f>VLOOKUP(AM125,★サイズ表記!$D$4:$E$55,2,FALSE)</f>
        <v>1001</v>
      </c>
      <c r="AO125" s="460">
        <f>IF(C125&lt;&gt;"⑧兵庫",VLOOKUP(LEFT(F125),★新聞!$A$4:$B$12,2,FALSE),IF(LEFT(F125)&lt;&gt;"S",VLOOKUP(LEFT(F125),★新聞!$A$4:$B$12,2,FALSE),VLOOKUP("X",★新聞!$A$4:$B$12,2,FALSE)))</f>
        <v>6</v>
      </c>
      <c r="AP125" s="460" t="str">
        <f t="shared" ca="1" si="13"/>
        <v>0</v>
      </c>
      <c r="AQ125" s="460" t="str">
        <f>IF(申込書!$C$38="","",申込書!$C$38)</f>
        <v/>
      </c>
    </row>
    <row r="126" spans="1:43">
      <c r="A126" s="463">
        <f t="shared" si="14"/>
        <v>125</v>
      </c>
      <c r="B126" s="463" t="str">
        <f t="shared" si="15"/>
        <v>東部</v>
      </c>
      <c r="C126" s="464" t="s">
        <v>1101</v>
      </c>
      <c r="D126" s="464" t="s">
        <v>1022</v>
      </c>
      <c r="E126" s="464">
        <f>VLOOKUP(D126,★折込地区!$A$2:$D$10,4,FALSE)</f>
        <v>1</v>
      </c>
      <c r="F126" s="464" t="s">
        <v>505</v>
      </c>
      <c r="G126" s="464" t="str">
        <f>INDEX(★新聞!$E$4:$I$12, MATCH(LEFT(F126),★新聞!$A$4:$A$12,0), MATCH(LEFT(W126),★新聞!$E$3:$I$3,0))</f>
        <v>AM</v>
      </c>
      <c r="H126" s="475" t="s">
        <v>1103</v>
      </c>
      <c r="I126" s="464" cm="1">
        <f t="array" ref="I126">IFERROR(INDEX(★原価率!$A$2:$E$50,MATCH($C126&amp;$H126,★原価率!$A$2:$A$50&amp;★原価率!$B$2:$B$50,0),3),0)</f>
        <v>84</v>
      </c>
      <c r="J126" s="464" cm="1">
        <f t="array" ref="J126">IFERROR(INDEX(★原価率!$A$2:$E$50,MATCH($C126&amp;$H126,★原価率!$A$2:$A$50&amp;★原価率!$B$2:$B$50,0),4),0)</f>
        <v>84</v>
      </c>
      <c r="K126" s="464" cm="1">
        <f t="array" ref="K126">IFERROR(INDEX(★原価率!$A$2:$E$50,MATCH($C126&amp;$H126,★原価率!$A$2:$A$50&amp;★原価率!$B$2:$B$50,0),5),0)</f>
        <v>100</v>
      </c>
      <c r="L126" s="528">
        <f>IFERROR(VLOOKUP(W126,★商品!$A$1:$H$1231,8,FALSE),0)</f>
        <v>2.8</v>
      </c>
      <c r="M126" s="203" t="str">
        <f ca="1">CONCATENATE(VLOOKUP(B126,★営業所!$A$2:$B$5,2,FALSE),TEXT(NOW(),"yyyy"))</f>
        <v>T2023</v>
      </c>
      <c r="N126" s="203">
        <v>1</v>
      </c>
      <c r="O126" s="203">
        <v>0</v>
      </c>
      <c r="P126" s="213">
        <f>申込書!$B$6</f>
        <v>0</v>
      </c>
      <c r="Q126" s="203">
        <f>申込書!$C$34</f>
        <v>1000040</v>
      </c>
      <c r="R126" s="203">
        <v>0</v>
      </c>
      <c r="U126" s="203">
        <f>VLOOKUP(B126,★営業所!$A$2:$C$5,3,FALSE)</f>
        <v>8</v>
      </c>
      <c r="V126" s="203">
        <f>申込書!$B$9</f>
        <v>0</v>
      </c>
      <c r="W126" s="203" t="str">
        <f>CONCATENATE(VLOOKUP(B126,★営業所!$A$2:$B$5,2,FALSE),VLOOKUP(申込書!$C$32,★サイズ表記!$D$4:$E$55,2,FALSE),VLOOKUP(D126,★折込地区!$A$2:$B$11,2,FALSE))</f>
        <v>T1001Tot</v>
      </c>
      <c r="X126" s="203" t="str">
        <f>CONCATENATE(申込書!$B$9," ",VLOOKUP(RIGHT(W126,3),★折込地区!$B$2:$C$10,2,FALSE),"")</f>
        <v xml:space="preserve"> 鳥取</v>
      </c>
      <c r="Z126" s="206">
        <f t="shared" ca="1" si="8"/>
        <v>0</v>
      </c>
      <c r="AB126" s="383">
        <f t="shared" si="9"/>
        <v>2.8</v>
      </c>
      <c r="AC126" s="203" t="str">
        <f t="shared" si="10"/>
        <v>S1001</v>
      </c>
      <c r="AD126" s="203" t="str">
        <f>VLOOKUP(AC126,★原価商品!$E$6:$F$349,2,FALSE)</f>
        <v>山陰中央/B4（折り無し）</v>
      </c>
      <c r="AE126" s="203">
        <f t="shared" ca="1" si="11"/>
        <v>0</v>
      </c>
      <c r="AF126" s="383">
        <f ca="1">IFERROR(IF(VLOOKUP(申込書!$C$32,★サイズ表記!$F$4:$H$55,3,FALSE)="切り捨て",ROUNDDOWN(L126*IF(AK126="◎",I126,J126)/100,2),IF(VLOOKUP(申込書!$C$32,★サイズ表記!$F$4:$H$55,3,FALSE)="切り上げ",ROUNDUP(L126*IF(AK126="◎",I126,J126)/100,2),ROUND(L126*IF(AK126="◎",I126,J126)/100,2))),0)</f>
        <v>2.35</v>
      </c>
      <c r="AG126" s="203">
        <f t="shared" ca="1" si="12"/>
        <v>10142</v>
      </c>
      <c r="AJ126" s="460" t="str">
        <f>IFERROR(VLOOKUP(申込書!$C$30,★業種!$D$2:$E$87,2,FALSE),"")</f>
        <v>1003</v>
      </c>
      <c r="AK126" s="460" t="str">
        <f ca="1">IF(申込書!$C$36="◎",IF(OR(D126="浜坂・温泉",D126="美方・村岡",D126="香住",D126="岡山",D126="大阪"),"",IF(LEFT(F126)="D","◎",IF(AG126=0,"",IFERROR(IF(VLOOKUP(AG126,★仕入先!$A$2:$C$211,3,FALSE)=0,"","◎"),"")))),"")</f>
        <v/>
      </c>
      <c r="AL126" s="460">
        <f>申込書!$H$14</f>
        <v>0</v>
      </c>
      <c r="AM126" s="460" t="str">
        <f>申込書!$C$32</f>
        <v>B4（折り無し）</v>
      </c>
      <c r="AN126" s="460" t="str">
        <f>VLOOKUP(AM126,★サイズ表記!$D$4:$E$55,2,FALSE)</f>
        <v>1001</v>
      </c>
      <c r="AO126" s="460">
        <f>IF(C126&lt;&gt;"⑧兵庫",VLOOKUP(LEFT(F126),★新聞!$A$4:$B$12,2,FALSE),IF(LEFT(F126)&lt;&gt;"S",VLOOKUP(LEFT(F126),★新聞!$A$4:$B$12,2,FALSE),VLOOKUP("X",★新聞!$A$4:$B$12,2,FALSE)))</f>
        <v>6</v>
      </c>
      <c r="AP126" s="460" t="str">
        <f t="shared" ca="1" si="13"/>
        <v>0</v>
      </c>
      <c r="AQ126" s="460" t="str">
        <f>IF(申込書!$C$38="","",申込書!$C$38)</f>
        <v/>
      </c>
    </row>
    <row r="127" spans="1:43">
      <c r="A127" s="463">
        <f t="shared" si="14"/>
        <v>126</v>
      </c>
      <c r="B127" s="463" t="str">
        <f t="shared" si="15"/>
        <v>東部</v>
      </c>
      <c r="C127" s="464" t="s">
        <v>1101</v>
      </c>
      <c r="D127" s="464" t="s">
        <v>1022</v>
      </c>
      <c r="E127" s="464">
        <f>VLOOKUP(D127,★折込地区!$A$2:$D$10,4,FALSE)</f>
        <v>1</v>
      </c>
      <c r="F127" s="464" t="s">
        <v>506</v>
      </c>
      <c r="G127" s="464" t="str">
        <f>INDEX(★新聞!$E$4:$I$12, MATCH(LEFT(F127),★新聞!$A$4:$A$12,0), MATCH(LEFT(W127),★新聞!$E$3:$I$3,0))</f>
        <v>AM</v>
      </c>
      <c r="H127" s="475" t="s">
        <v>1103</v>
      </c>
      <c r="I127" s="464" cm="1">
        <f t="array" ref="I127">IFERROR(INDEX(★原価率!$A$2:$E$50,MATCH($C127&amp;$H127,★原価率!$A$2:$A$50&amp;★原価率!$B$2:$B$50,0),3),0)</f>
        <v>84</v>
      </c>
      <c r="J127" s="464" cm="1">
        <f t="array" ref="J127">IFERROR(INDEX(★原価率!$A$2:$E$50,MATCH($C127&amp;$H127,★原価率!$A$2:$A$50&amp;★原価率!$B$2:$B$50,0),4),0)</f>
        <v>84</v>
      </c>
      <c r="K127" s="464" cm="1">
        <f t="array" ref="K127">IFERROR(INDEX(★原価率!$A$2:$E$50,MATCH($C127&amp;$H127,★原価率!$A$2:$A$50&amp;★原価率!$B$2:$B$50,0),5),0)</f>
        <v>100</v>
      </c>
      <c r="L127" s="528">
        <f>IFERROR(VLOOKUP(W127,★商品!$A$1:$H$1231,8,FALSE),0)</f>
        <v>2.8</v>
      </c>
      <c r="M127" s="203" t="str">
        <f ca="1">CONCATENATE(VLOOKUP(B127,★営業所!$A$2:$B$5,2,FALSE),TEXT(NOW(),"yyyy"))</f>
        <v>T2023</v>
      </c>
      <c r="N127" s="203">
        <v>1</v>
      </c>
      <c r="O127" s="203">
        <v>0</v>
      </c>
      <c r="P127" s="213">
        <f>申込書!$B$6</f>
        <v>0</v>
      </c>
      <c r="Q127" s="203">
        <f>申込書!$C$34</f>
        <v>1000040</v>
      </c>
      <c r="R127" s="203">
        <v>0</v>
      </c>
      <c r="U127" s="203">
        <f>VLOOKUP(B127,★営業所!$A$2:$C$5,3,FALSE)</f>
        <v>8</v>
      </c>
      <c r="V127" s="203">
        <f>申込書!$B$9</f>
        <v>0</v>
      </c>
      <c r="W127" s="203" t="str">
        <f>CONCATENATE(VLOOKUP(B127,★営業所!$A$2:$B$5,2,FALSE),VLOOKUP(申込書!$C$32,★サイズ表記!$D$4:$E$55,2,FALSE),VLOOKUP(D127,★折込地区!$A$2:$B$11,2,FALSE))</f>
        <v>T1001Tot</v>
      </c>
      <c r="X127" s="203" t="str">
        <f>CONCATENATE(申込書!$B$9," ",VLOOKUP(RIGHT(W127,3),★折込地区!$B$2:$C$10,2,FALSE),"")</f>
        <v xml:space="preserve"> 鳥取</v>
      </c>
      <c r="Z127" s="206">
        <f t="shared" ca="1" si="8"/>
        <v>0</v>
      </c>
      <c r="AB127" s="383">
        <f t="shared" si="9"/>
        <v>2.8</v>
      </c>
      <c r="AC127" s="203" t="str">
        <f t="shared" si="10"/>
        <v>S1001</v>
      </c>
      <c r="AD127" s="203" t="str">
        <f>VLOOKUP(AC127,★原価商品!$E$6:$F$349,2,FALSE)</f>
        <v>山陰中央/B4（折り無し）</v>
      </c>
      <c r="AE127" s="203">
        <f t="shared" ca="1" si="11"/>
        <v>0</v>
      </c>
      <c r="AF127" s="383">
        <f ca="1">IFERROR(IF(VLOOKUP(申込書!$C$32,★サイズ表記!$F$4:$H$55,3,FALSE)="切り捨て",ROUNDDOWN(L127*IF(AK127="◎",I127,J127)/100,2),IF(VLOOKUP(申込書!$C$32,★サイズ表記!$F$4:$H$55,3,FALSE)="切り上げ",ROUNDUP(L127*IF(AK127="◎",I127,J127)/100,2),ROUND(L127*IF(AK127="◎",I127,J127)/100,2))),0)</f>
        <v>2.35</v>
      </c>
      <c r="AG127" s="203">
        <f t="shared" ca="1" si="12"/>
        <v>0</v>
      </c>
      <c r="AJ127" s="460" t="str">
        <f>IFERROR(VLOOKUP(申込書!$C$30,★業種!$D$2:$E$87,2,FALSE),"")</f>
        <v>1003</v>
      </c>
      <c r="AK127" s="460" t="str">
        <f ca="1">IF(申込書!$C$36="◎",IF(OR(D127="浜坂・温泉",D127="美方・村岡",D127="香住",D127="岡山",D127="大阪"),"",IF(LEFT(F127)="D","◎",IF(AG127=0,"",IFERROR(IF(VLOOKUP(AG127,★仕入先!$A$2:$C$211,3,FALSE)=0,"","◎"),"")))),"")</f>
        <v/>
      </c>
      <c r="AL127" s="460">
        <f>申込書!$H$14</f>
        <v>0</v>
      </c>
      <c r="AM127" s="460" t="str">
        <f>申込書!$C$32</f>
        <v>B4（折り無し）</v>
      </c>
      <c r="AN127" s="460" t="str">
        <f>VLOOKUP(AM127,★サイズ表記!$D$4:$E$55,2,FALSE)</f>
        <v>1001</v>
      </c>
      <c r="AO127" s="460">
        <f>IF(C127&lt;&gt;"⑧兵庫",VLOOKUP(LEFT(F127),★新聞!$A$4:$B$12,2,FALSE),IF(LEFT(F127)&lt;&gt;"S",VLOOKUP(LEFT(F127),★新聞!$A$4:$B$12,2,FALSE),VLOOKUP("X",★新聞!$A$4:$B$12,2,FALSE)))</f>
        <v>6</v>
      </c>
      <c r="AP127" s="460" t="str">
        <f t="shared" ca="1" si="13"/>
        <v>0</v>
      </c>
      <c r="AQ127" s="460" t="str">
        <f>IF(申込書!$C$38="","",申込書!$C$38)</f>
        <v/>
      </c>
    </row>
    <row r="128" spans="1:43">
      <c r="A128" s="463">
        <f t="shared" si="14"/>
        <v>127</v>
      </c>
      <c r="B128" s="463" t="str">
        <f t="shared" si="15"/>
        <v>東部</v>
      </c>
      <c r="C128" s="464" t="s">
        <v>1101</v>
      </c>
      <c r="D128" s="464" t="s">
        <v>1022</v>
      </c>
      <c r="E128" s="464">
        <f>VLOOKUP(D128,★折込地区!$A$2:$D$10,4,FALSE)</f>
        <v>1</v>
      </c>
      <c r="F128" s="464" t="s">
        <v>507</v>
      </c>
      <c r="G128" s="464" t="str">
        <f>INDEX(★新聞!$E$4:$I$12, MATCH(LEFT(F128),★新聞!$A$4:$A$12,0), MATCH(LEFT(W128),★新聞!$E$3:$I$3,0))</f>
        <v>AM</v>
      </c>
      <c r="H128" s="475" t="s">
        <v>1103</v>
      </c>
      <c r="I128" s="464" cm="1">
        <f t="array" ref="I128">IFERROR(INDEX(★原価率!$A$2:$E$50,MATCH($C128&amp;$H128,★原価率!$A$2:$A$50&amp;★原価率!$B$2:$B$50,0),3),0)</f>
        <v>84</v>
      </c>
      <c r="J128" s="464" cm="1">
        <f t="array" ref="J128">IFERROR(INDEX(★原価率!$A$2:$E$50,MATCH($C128&amp;$H128,★原価率!$A$2:$A$50&amp;★原価率!$B$2:$B$50,0),4),0)</f>
        <v>84</v>
      </c>
      <c r="K128" s="464" cm="1">
        <f t="array" ref="K128">IFERROR(INDEX(★原価率!$A$2:$E$50,MATCH($C128&amp;$H128,★原価率!$A$2:$A$50&amp;★原価率!$B$2:$B$50,0),5),0)</f>
        <v>100</v>
      </c>
      <c r="L128" s="528">
        <f>IFERROR(VLOOKUP(W128,★商品!$A$1:$H$1231,8,FALSE),0)</f>
        <v>2.8</v>
      </c>
      <c r="M128" s="203" t="str">
        <f ca="1">CONCATENATE(VLOOKUP(B128,★営業所!$A$2:$B$5,2,FALSE),TEXT(NOW(),"yyyy"))</f>
        <v>T2023</v>
      </c>
      <c r="N128" s="203">
        <v>1</v>
      </c>
      <c r="O128" s="203">
        <v>0</v>
      </c>
      <c r="P128" s="213">
        <f>申込書!$B$6</f>
        <v>0</v>
      </c>
      <c r="Q128" s="203">
        <f>申込書!$C$34</f>
        <v>1000040</v>
      </c>
      <c r="R128" s="203">
        <v>0</v>
      </c>
      <c r="U128" s="203">
        <f>VLOOKUP(B128,★営業所!$A$2:$C$5,3,FALSE)</f>
        <v>8</v>
      </c>
      <c r="V128" s="203">
        <f>申込書!$B$9</f>
        <v>0</v>
      </c>
      <c r="W128" s="203" t="str">
        <f>CONCATENATE(VLOOKUP(B128,★営業所!$A$2:$B$5,2,FALSE),VLOOKUP(申込書!$C$32,★サイズ表記!$D$4:$E$55,2,FALSE),VLOOKUP(D128,★折込地区!$A$2:$B$11,2,FALSE))</f>
        <v>T1001Tot</v>
      </c>
      <c r="X128" s="203" t="str">
        <f>CONCATENATE(申込書!$B$9," ",VLOOKUP(RIGHT(W128,3),★折込地区!$B$2:$C$10,2,FALSE),"")</f>
        <v xml:space="preserve"> 鳥取</v>
      </c>
      <c r="Z128" s="206">
        <f t="shared" ca="1" si="8"/>
        <v>0</v>
      </c>
      <c r="AB128" s="383">
        <f t="shared" si="9"/>
        <v>2.8</v>
      </c>
      <c r="AC128" s="203" t="str">
        <f t="shared" si="10"/>
        <v>S1001</v>
      </c>
      <c r="AD128" s="203" t="str">
        <f>VLOOKUP(AC128,★原価商品!$E$6:$F$349,2,FALSE)</f>
        <v>山陰中央/B4（折り無し）</v>
      </c>
      <c r="AE128" s="203">
        <f t="shared" ca="1" si="11"/>
        <v>0</v>
      </c>
      <c r="AF128" s="383">
        <f ca="1">IFERROR(IF(VLOOKUP(申込書!$C$32,★サイズ表記!$F$4:$H$55,3,FALSE)="切り捨て",ROUNDDOWN(L128*IF(AK128="◎",I128,J128)/100,2),IF(VLOOKUP(申込書!$C$32,★サイズ表記!$F$4:$H$55,3,FALSE)="切り上げ",ROUNDUP(L128*IF(AK128="◎",I128,J128)/100,2),ROUND(L128*IF(AK128="◎",I128,J128)/100,2))),0)</f>
        <v>2.35</v>
      </c>
      <c r="AG128" s="203">
        <f t="shared" ca="1" si="12"/>
        <v>0</v>
      </c>
      <c r="AJ128" s="460" t="str">
        <f>IFERROR(VLOOKUP(申込書!$C$30,★業種!$D$2:$E$87,2,FALSE),"")</f>
        <v>1003</v>
      </c>
      <c r="AK128" s="460" t="str">
        <f ca="1">IF(申込書!$C$36="◎",IF(OR(D128="浜坂・温泉",D128="美方・村岡",D128="香住",D128="岡山",D128="大阪"),"",IF(LEFT(F128)="D","◎",IF(AG128=0,"",IFERROR(IF(VLOOKUP(AG128,★仕入先!$A$2:$C$211,3,FALSE)=0,"","◎"),"")))),"")</f>
        <v/>
      </c>
      <c r="AL128" s="460">
        <f>申込書!$H$14</f>
        <v>0</v>
      </c>
      <c r="AM128" s="460" t="str">
        <f>申込書!$C$32</f>
        <v>B4（折り無し）</v>
      </c>
      <c r="AN128" s="460" t="str">
        <f>VLOOKUP(AM128,★サイズ表記!$D$4:$E$55,2,FALSE)</f>
        <v>1001</v>
      </c>
      <c r="AO128" s="460">
        <f>IF(C128&lt;&gt;"⑧兵庫",VLOOKUP(LEFT(F128),★新聞!$A$4:$B$12,2,FALSE),IF(LEFT(F128)&lt;&gt;"S",VLOOKUP(LEFT(F128),★新聞!$A$4:$B$12,2,FALSE),VLOOKUP("X",★新聞!$A$4:$B$12,2,FALSE)))</f>
        <v>6</v>
      </c>
      <c r="AP128" s="460" t="str">
        <f t="shared" ca="1" si="13"/>
        <v>0</v>
      </c>
      <c r="AQ128" s="460" t="str">
        <f>IF(申込書!$C$38="","",申込書!$C$38)</f>
        <v/>
      </c>
    </row>
    <row r="129" spans="1:43">
      <c r="A129" s="463">
        <f t="shared" si="14"/>
        <v>128</v>
      </c>
      <c r="B129" s="463" t="str">
        <f t="shared" si="15"/>
        <v>東部</v>
      </c>
      <c r="C129" s="464" t="s">
        <v>1101</v>
      </c>
      <c r="D129" s="464" t="s">
        <v>1022</v>
      </c>
      <c r="E129" s="464">
        <f>VLOOKUP(D129,★折込地区!$A$2:$D$10,4,FALSE)</f>
        <v>1</v>
      </c>
      <c r="F129" s="464" t="s">
        <v>508</v>
      </c>
      <c r="G129" s="464" t="str">
        <f>INDEX(★新聞!$E$4:$I$12, MATCH(LEFT(F129),★新聞!$A$4:$A$12,0), MATCH(LEFT(W129),★新聞!$E$3:$I$3,0))</f>
        <v>AM</v>
      </c>
      <c r="H129" s="475" t="s">
        <v>1103</v>
      </c>
      <c r="I129" s="464" cm="1">
        <f t="array" ref="I129">IFERROR(INDEX(★原価率!$A$2:$E$50,MATCH($C129&amp;$H129,★原価率!$A$2:$A$50&amp;★原価率!$B$2:$B$50,0),3),0)</f>
        <v>84</v>
      </c>
      <c r="J129" s="464" cm="1">
        <f t="array" ref="J129">IFERROR(INDEX(★原価率!$A$2:$E$50,MATCH($C129&amp;$H129,★原価率!$A$2:$A$50&amp;★原価率!$B$2:$B$50,0),4),0)</f>
        <v>84</v>
      </c>
      <c r="K129" s="464" cm="1">
        <f t="array" ref="K129">IFERROR(INDEX(★原価率!$A$2:$E$50,MATCH($C129&amp;$H129,★原価率!$A$2:$A$50&amp;★原価率!$B$2:$B$50,0),5),0)</f>
        <v>100</v>
      </c>
      <c r="L129" s="528">
        <f>IFERROR(VLOOKUP(W129,★商品!$A$1:$H$1231,8,FALSE),0)</f>
        <v>2.8</v>
      </c>
      <c r="M129" s="203" t="str">
        <f ca="1">CONCATENATE(VLOOKUP(B129,★営業所!$A$2:$B$5,2,FALSE),TEXT(NOW(),"yyyy"))</f>
        <v>T2023</v>
      </c>
      <c r="N129" s="203">
        <v>1</v>
      </c>
      <c r="O129" s="203">
        <v>0</v>
      </c>
      <c r="P129" s="213">
        <f>申込書!$B$6</f>
        <v>0</v>
      </c>
      <c r="Q129" s="203">
        <f>申込書!$C$34</f>
        <v>1000040</v>
      </c>
      <c r="R129" s="203">
        <v>0</v>
      </c>
      <c r="U129" s="203">
        <f>VLOOKUP(B129,★営業所!$A$2:$C$5,3,FALSE)</f>
        <v>8</v>
      </c>
      <c r="V129" s="203">
        <f>申込書!$B$9</f>
        <v>0</v>
      </c>
      <c r="W129" s="203" t="str">
        <f>CONCATENATE(VLOOKUP(B129,★営業所!$A$2:$B$5,2,FALSE),VLOOKUP(申込書!$C$32,★サイズ表記!$D$4:$E$55,2,FALSE),VLOOKUP(D129,★折込地区!$A$2:$B$11,2,FALSE))</f>
        <v>T1001Tot</v>
      </c>
      <c r="X129" s="203" t="str">
        <f>CONCATENATE(申込書!$B$9," ",VLOOKUP(RIGHT(W129,3),★折込地区!$B$2:$C$10,2,FALSE),"")</f>
        <v xml:space="preserve"> 鳥取</v>
      </c>
      <c r="Z129" s="206">
        <f t="shared" ca="1" si="8"/>
        <v>0</v>
      </c>
      <c r="AB129" s="383">
        <f t="shared" si="9"/>
        <v>2.8</v>
      </c>
      <c r="AC129" s="203" t="str">
        <f t="shared" si="10"/>
        <v>S1001</v>
      </c>
      <c r="AD129" s="203" t="str">
        <f>VLOOKUP(AC129,★原価商品!$E$6:$F$349,2,FALSE)</f>
        <v>山陰中央/B4（折り無し）</v>
      </c>
      <c r="AE129" s="203">
        <f t="shared" ca="1" si="11"/>
        <v>0</v>
      </c>
      <c r="AF129" s="383">
        <f ca="1">IFERROR(IF(VLOOKUP(申込書!$C$32,★サイズ表記!$F$4:$H$55,3,FALSE)="切り捨て",ROUNDDOWN(L129*IF(AK129="◎",I129,J129)/100,2),IF(VLOOKUP(申込書!$C$32,★サイズ表記!$F$4:$H$55,3,FALSE)="切り上げ",ROUNDUP(L129*IF(AK129="◎",I129,J129)/100,2),ROUND(L129*IF(AK129="◎",I129,J129)/100,2))),0)</f>
        <v>2.35</v>
      </c>
      <c r="AG129" s="203">
        <f t="shared" ca="1" si="12"/>
        <v>0</v>
      </c>
      <c r="AJ129" s="460" t="str">
        <f>IFERROR(VLOOKUP(申込書!$C$30,★業種!$D$2:$E$87,2,FALSE),"")</f>
        <v>1003</v>
      </c>
      <c r="AK129" s="460" t="str">
        <f ca="1">IF(申込書!$C$36="◎",IF(OR(D129="浜坂・温泉",D129="美方・村岡",D129="香住",D129="岡山",D129="大阪"),"",IF(LEFT(F129)="D","◎",IF(AG129=0,"",IFERROR(IF(VLOOKUP(AG129,★仕入先!$A$2:$C$211,3,FALSE)=0,"","◎"),"")))),"")</f>
        <v/>
      </c>
      <c r="AL129" s="460">
        <f>申込書!$H$14</f>
        <v>0</v>
      </c>
      <c r="AM129" s="460" t="str">
        <f>申込書!$C$32</f>
        <v>B4（折り無し）</v>
      </c>
      <c r="AN129" s="460" t="str">
        <f>VLOOKUP(AM129,★サイズ表記!$D$4:$E$55,2,FALSE)</f>
        <v>1001</v>
      </c>
      <c r="AO129" s="460">
        <f>IF(C129&lt;&gt;"⑧兵庫",VLOOKUP(LEFT(F129),★新聞!$A$4:$B$12,2,FALSE),IF(LEFT(F129)&lt;&gt;"S",VLOOKUP(LEFT(F129),★新聞!$A$4:$B$12,2,FALSE),VLOOKUP("X",★新聞!$A$4:$B$12,2,FALSE)))</f>
        <v>6</v>
      </c>
      <c r="AP129" s="460" t="str">
        <f t="shared" ca="1" si="13"/>
        <v>0</v>
      </c>
      <c r="AQ129" s="460" t="str">
        <f>IF(申込書!$C$38="","",申込書!$C$38)</f>
        <v/>
      </c>
    </row>
    <row r="130" spans="1:43">
      <c r="A130" s="463">
        <f t="shared" si="14"/>
        <v>129</v>
      </c>
      <c r="B130" s="463" t="str">
        <f t="shared" si="15"/>
        <v>東部</v>
      </c>
      <c r="C130" s="464" t="s">
        <v>1101</v>
      </c>
      <c r="D130" s="464" t="s">
        <v>1022</v>
      </c>
      <c r="E130" s="464">
        <f>VLOOKUP(D130,★折込地区!$A$2:$D$10,4,FALSE)</f>
        <v>1</v>
      </c>
      <c r="F130" s="464" t="s">
        <v>509</v>
      </c>
      <c r="G130" s="464" t="str">
        <f>INDEX(★新聞!$E$4:$I$12, MATCH(LEFT(F130),★新聞!$A$4:$A$12,0), MATCH(LEFT(W130),★新聞!$E$3:$I$3,0))</f>
        <v>AM</v>
      </c>
      <c r="H130" s="475" t="s">
        <v>1103</v>
      </c>
      <c r="I130" s="464" cm="1">
        <f t="array" ref="I130">IFERROR(INDEX(★原価率!$A$2:$E$50,MATCH($C130&amp;$H130,★原価率!$A$2:$A$50&amp;★原価率!$B$2:$B$50,0),3),0)</f>
        <v>84</v>
      </c>
      <c r="J130" s="464" cm="1">
        <f t="array" ref="J130">IFERROR(INDEX(★原価率!$A$2:$E$50,MATCH($C130&amp;$H130,★原価率!$A$2:$A$50&amp;★原価率!$B$2:$B$50,0),4),0)</f>
        <v>84</v>
      </c>
      <c r="K130" s="464" cm="1">
        <f t="array" ref="K130">IFERROR(INDEX(★原価率!$A$2:$E$50,MATCH($C130&amp;$H130,★原価率!$A$2:$A$50&amp;★原価率!$B$2:$B$50,0),5),0)</f>
        <v>100</v>
      </c>
      <c r="L130" s="528">
        <f>IFERROR(VLOOKUP(W130,★商品!$A$1:$H$1231,8,FALSE),0)</f>
        <v>2.8</v>
      </c>
      <c r="M130" s="203" t="str">
        <f ca="1">CONCATENATE(VLOOKUP(B130,★営業所!$A$2:$B$5,2,FALSE),TEXT(NOW(),"yyyy"))</f>
        <v>T2023</v>
      </c>
      <c r="N130" s="203">
        <v>1</v>
      </c>
      <c r="O130" s="203">
        <v>0</v>
      </c>
      <c r="P130" s="213">
        <f>申込書!$B$6</f>
        <v>0</v>
      </c>
      <c r="Q130" s="203">
        <f>申込書!$C$34</f>
        <v>1000040</v>
      </c>
      <c r="R130" s="203">
        <v>0</v>
      </c>
      <c r="U130" s="203">
        <f>VLOOKUP(B130,★営業所!$A$2:$C$5,3,FALSE)</f>
        <v>8</v>
      </c>
      <c r="V130" s="203">
        <f>申込書!$B$9</f>
        <v>0</v>
      </c>
      <c r="W130" s="203" t="str">
        <f>CONCATENATE(VLOOKUP(B130,★営業所!$A$2:$B$5,2,FALSE),VLOOKUP(申込書!$C$32,★サイズ表記!$D$4:$E$55,2,FALSE),VLOOKUP(D130,★折込地区!$A$2:$B$11,2,FALSE))</f>
        <v>T1001Tot</v>
      </c>
      <c r="X130" s="203" t="str">
        <f>CONCATENATE(申込書!$B$9," ",VLOOKUP(RIGHT(W130,3),★折込地区!$B$2:$C$10,2,FALSE),"")</f>
        <v xml:space="preserve"> 鳥取</v>
      </c>
      <c r="Z130" s="206">
        <f t="shared" ref="Z130:Z193" ca="1" si="16">SUMIFS($AE$2:$AE$977,$W$2:$W$977,W130,$AG$2:$AG$977,"&lt;&gt;0")</f>
        <v>0</v>
      </c>
      <c r="AB130" s="383">
        <f t="shared" ref="AB130:AB193" si="17">IFERROR(L130*K130/100,0)</f>
        <v>2.8</v>
      </c>
      <c r="AC130" s="203" t="str">
        <f t="shared" ref="AC130:AC193" si="18">CONCATENATE(LEFT(F130),AN130)</f>
        <v>S1001</v>
      </c>
      <c r="AD130" s="203" t="str">
        <f>VLOOKUP(AC130,★原価商品!$E$6:$F$349,2,FALSE)</f>
        <v>山陰中央/B4（折り無し）</v>
      </c>
      <c r="AE130" s="203">
        <f t="shared" ref="AE130:AE193" ca="1" si="19">INDIRECT(C130 &amp; "!" &amp; F130)</f>
        <v>0</v>
      </c>
      <c r="AF130" s="383">
        <f ca="1">IFERROR(IF(VLOOKUP(申込書!$C$32,★サイズ表記!$F$4:$H$55,3,FALSE)="切り捨て",ROUNDDOWN(L130*IF(AK130="◎",I130,J130)/100,2),IF(VLOOKUP(申込書!$C$32,★サイズ表記!$F$4:$H$55,3,FALSE)="切り上げ",ROUNDUP(L130*IF(AK130="◎",I130,J130)/100,2),ROUND(L130*IF(AK130="◎",I130,J130)/100,2))),0)</f>
        <v>2.35</v>
      </c>
      <c r="AG130" s="203">
        <f t="shared" ref="AG130:AG193" ca="1" si="20">IFERROR(INDIRECT(C130 &amp; "!" &amp; G130 &amp; MID(F130,2,1000)),0)</f>
        <v>0</v>
      </c>
      <c r="AJ130" s="460" t="str">
        <f>IFERROR(VLOOKUP(申込書!$C$30,★業種!$D$2:$E$87,2,FALSE),"")</f>
        <v>1003</v>
      </c>
      <c r="AK130" s="460" t="str">
        <f ca="1">IF(申込書!$C$36="◎",IF(OR(D130="浜坂・温泉",D130="美方・村岡",D130="香住",D130="岡山",D130="大阪"),"",IF(LEFT(F130)="D","◎",IF(AG130=0,"",IFERROR(IF(VLOOKUP(AG130,★仕入先!$A$2:$C$211,3,FALSE)=0,"","◎"),"")))),"")</f>
        <v/>
      </c>
      <c r="AL130" s="460">
        <f>申込書!$H$14</f>
        <v>0</v>
      </c>
      <c r="AM130" s="460" t="str">
        <f>申込書!$C$32</f>
        <v>B4（折り無し）</v>
      </c>
      <c r="AN130" s="460" t="str">
        <f>VLOOKUP(AM130,★サイズ表記!$D$4:$E$55,2,FALSE)</f>
        <v>1001</v>
      </c>
      <c r="AO130" s="460">
        <f>IF(C130&lt;&gt;"⑧兵庫",VLOOKUP(LEFT(F130),★新聞!$A$4:$B$12,2,FALSE),IF(LEFT(F130)&lt;&gt;"S",VLOOKUP(LEFT(F130),★新聞!$A$4:$B$12,2,FALSE),VLOOKUP("X",★新聞!$A$4:$B$12,2,FALSE)))</f>
        <v>6</v>
      </c>
      <c r="AP130" s="460" t="str">
        <f t="shared" ref="AP130:AP193" ca="1" si="21">FIXED(SUM($AE$2:$AE$977),0,FALSE)</f>
        <v>0</v>
      </c>
      <c r="AQ130" s="460" t="str">
        <f>IF(申込書!$C$38="","",申込書!$C$38)</f>
        <v/>
      </c>
    </row>
    <row r="131" spans="1:43">
      <c r="A131" s="463">
        <f t="shared" si="14"/>
        <v>130</v>
      </c>
      <c r="B131" s="463" t="str">
        <f t="shared" si="15"/>
        <v>東部</v>
      </c>
      <c r="C131" s="464" t="s">
        <v>1101</v>
      </c>
      <c r="D131" s="464" t="s">
        <v>1022</v>
      </c>
      <c r="E131" s="464">
        <f>VLOOKUP(D131,★折込地区!$A$2:$D$10,4,FALSE)</f>
        <v>1</v>
      </c>
      <c r="F131" s="464" t="s">
        <v>510</v>
      </c>
      <c r="G131" s="464" t="str">
        <f>INDEX(★新聞!$E$4:$I$12, MATCH(LEFT(F131),★新聞!$A$4:$A$12,0), MATCH(LEFT(W131),★新聞!$E$3:$I$3,0))</f>
        <v>AM</v>
      </c>
      <c r="H131" s="475" t="s">
        <v>1103</v>
      </c>
      <c r="I131" s="464" cm="1">
        <f t="array" ref="I131">IFERROR(INDEX(★原価率!$A$2:$E$50,MATCH($C131&amp;$H131,★原価率!$A$2:$A$50&amp;★原価率!$B$2:$B$50,0),3),0)</f>
        <v>84</v>
      </c>
      <c r="J131" s="464" cm="1">
        <f t="array" ref="J131">IFERROR(INDEX(★原価率!$A$2:$E$50,MATCH($C131&amp;$H131,★原価率!$A$2:$A$50&amp;★原価率!$B$2:$B$50,0),4),0)</f>
        <v>84</v>
      </c>
      <c r="K131" s="464" cm="1">
        <f t="array" ref="K131">IFERROR(INDEX(★原価率!$A$2:$E$50,MATCH($C131&amp;$H131,★原価率!$A$2:$A$50&amp;★原価率!$B$2:$B$50,0),5),0)</f>
        <v>100</v>
      </c>
      <c r="L131" s="528">
        <f>IFERROR(VLOOKUP(W131,★商品!$A$1:$H$1231,8,FALSE),0)</f>
        <v>2.8</v>
      </c>
      <c r="M131" s="203" t="str">
        <f ca="1">CONCATENATE(VLOOKUP(B131,★営業所!$A$2:$B$5,2,FALSE),TEXT(NOW(),"yyyy"))</f>
        <v>T2023</v>
      </c>
      <c r="N131" s="203">
        <v>1</v>
      </c>
      <c r="O131" s="203">
        <v>0</v>
      </c>
      <c r="P131" s="213">
        <f>申込書!$B$6</f>
        <v>0</v>
      </c>
      <c r="Q131" s="203">
        <f>申込書!$C$34</f>
        <v>1000040</v>
      </c>
      <c r="R131" s="203">
        <v>0</v>
      </c>
      <c r="U131" s="203">
        <f>VLOOKUP(B131,★営業所!$A$2:$C$5,3,FALSE)</f>
        <v>8</v>
      </c>
      <c r="V131" s="203">
        <f>申込書!$B$9</f>
        <v>0</v>
      </c>
      <c r="W131" s="203" t="str">
        <f>CONCATENATE(VLOOKUP(B131,★営業所!$A$2:$B$5,2,FALSE),VLOOKUP(申込書!$C$32,★サイズ表記!$D$4:$E$55,2,FALSE),VLOOKUP(D131,★折込地区!$A$2:$B$11,2,FALSE))</f>
        <v>T1001Tot</v>
      </c>
      <c r="X131" s="203" t="str">
        <f>CONCATENATE(申込書!$B$9," ",VLOOKUP(RIGHT(W131,3),★折込地区!$B$2:$C$10,2,FALSE),"")</f>
        <v xml:space="preserve"> 鳥取</v>
      </c>
      <c r="Z131" s="206">
        <f t="shared" ca="1" si="16"/>
        <v>0</v>
      </c>
      <c r="AB131" s="383">
        <f t="shared" si="17"/>
        <v>2.8</v>
      </c>
      <c r="AC131" s="203" t="str">
        <f t="shared" si="18"/>
        <v>S1001</v>
      </c>
      <c r="AD131" s="203" t="str">
        <f>VLOOKUP(AC131,★原価商品!$E$6:$F$349,2,FALSE)</f>
        <v>山陰中央/B4（折り無し）</v>
      </c>
      <c r="AE131" s="203">
        <f t="shared" ca="1" si="19"/>
        <v>0</v>
      </c>
      <c r="AF131" s="383">
        <f ca="1">IFERROR(IF(VLOOKUP(申込書!$C$32,★サイズ表記!$F$4:$H$55,3,FALSE)="切り捨て",ROUNDDOWN(L131*IF(AK131="◎",I131,J131)/100,2),IF(VLOOKUP(申込書!$C$32,★サイズ表記!$F$4:$H$55,3,FALSE)="切り上げ",ROUNDUP(L131*IF(AK131="◎",I131,J131)/100,2),ROUND(L131*IF(AK131="◎",I131,J131)/100,2))),0)</f>
        <v>2.35</v>
      </c>
      <c r="AG131" s="203">
        <f t="shared" ca="1" si="20"/>
        <v>0</v>
      </c>
      <c r="AJ131" s="460" t="str">
        <f>IFERROR(VLOOKUP(申込書!$C$30,★業種!$D$2:$E$87,2,FALSE),"")</f>
        <v>1003</v>
      </c>
      <c r="AK131" s="460" t="str">
        <f ca="1">IF(申込書!$C$36="◎",IF(OR(D131="浜坂・温泉",D131="美方・村岡",D131="香住",D131="岡山",D131="大阪"),"",IF(LEFT(F131)="D","◎",IF(AG131=0,"",IFERROR(IF(VLOOKUP(AG131,★仕入先!$A$2:$C$211,3,FALSE)=0,"","◎"),"")))),"")</f>
        <v/>
      </c>
      <c r="AL131" s="460">
        <f>申込書!$H$14</f>
        <v>0</v>
      </c>
      <c r="AM131" s="460" t="str">
        <f>申込書!$C$32</f>
        <v>B4（折り無し）</v>
      </c>
      <c r="AN131" s="460" t="str">
        <f>VLOOKUP(AM131,★サイズ表記!$D$4:$E$55,2,FALSE)</f>
        <v>1001</v>
      </c>
      <c r="AO131" s="460">
        <f>IF(C131&lt;&gt;"⑧兵庫",VLOOKUP(LEFT(F131),★新聞!$A$4:$B$12,2,FALSE),IF(LEFT(F131)&lt;&gt;"S",VLOOKUP(LEFT(F131),★新聞!$A$4:$B$12,2,FALSE),VLOOKUP("X",★新聞!$A$4:$B$12,2,FALSE)))</f>
        <v>6</v>
      </c>
      <c r="AP131" s="460" t="str">
        <f t="shared" ca="1" si="21"/>
        <v>0</v>
      </c>
      <c r="AQ131" s="460" t="str">
        <f>IF(申込書!$C$38="","",申込書!$C$38)</f>
        <v/>
      </c>
    </row>
    <row r="132" spans="1:43">
      <c r="A132" s="463">
        <f t="shared" ref="A132:A195" si="22">A131+1</f>
        <v>131</v>
      </c>
      <c r="B132" s="463" t="str">
        <f t="shared" ref="B132:B195" si="23">$B$2</f>
        <v>東部</v>
      </c>
      <c r="C132" s="464" t="s">
        <v>1101</v>
      </c>
      <c r="D132" s="464" t="s">
        <v>1022</v>
      </c>
      <c r="E132" s="464">
        <f>VLOOKUP(D132,★折込地区!$A$2:$D$10,4,FALSE)</f>
        <v>1</v>
      </c>
      <c r="F132" s="464" t="s">
        <v>511</v>
      </c>
      <c r="G132" s="464" t="str">
        <f>INDEX(★新聞!$E$4:$I$12, MATCH(LEFT(F132),★新聞!$A$4:$A$12,0), MATCH(LEFT(W132),★新聞!$E$3:$I$3,0))</f>
        <v>AM</v>
      </c>
      <c r="H132" s="475" t="s">
        <v>1103</v>
      </c>
      <c r="I132" s="464" cm="1">
        <f t="array" ref="I132">IFERROR(INDEX(★原価率!$A$2:$E$50,MATCH($C132&amp;$H132,★原価率!$A$2:$A$50&amp;★原価率!$B$2:$B$50,0),3),0)</f>
        <v>84</v>
      </c>
      <c r="J132" s="464" cm="1">
        <f t="array" ref="J132">IFERROR(INDEX(★原価率!$A$2:$E$50,MATCH($C132&amp;$H132,★原価率!$A$2:$A$50&amp;★原価率!$B$2:$B$50,0),4),0)</f>
        <v>84</v>
      </c>
      <c r="K132" s="464" cm="1">
        <f t="array" ref="K132">IFERROR(INDEX(★原価率!$A$2:$E$50,MATCH($C132&amp;$H132,★原価率!$A$2:$A$50&amp;★原価率!$B$2:$B$50,0),5),0)</f>
        <v>100</v>
      </c>
      <c r="L132" s="528">
        <f>IFERROR(VLOOKUP(W132,★商品!$A$1:$H$1231,8,FALSE),0)</f>
        <v>2.8</v>
      </c>
      <c r="M132" s="203" t="str">
        <f ca="1">CONCATENATE(VLOOKUP(B132,★営業所!$A$2:$B$5,2,FALSE),TEXT(NOW(),"yyyy"))</f>
        <v>T2023</v>
      </c>
      <c r="N132" s="203">
        <v>1</v>
      </c>
      <c r="O132" s="203">
        <v>0</v>
      </c>
      <c r="P132" s="213">
        <f>申込書!$B$6</f>
        <v>0</v>
      </c>
      <c r="Q132" s="203">
        <f>申込書!$C$34</f>
        <v>1000040</v>
      </c>
      <c r="R132" s="203">
        <v>0</v>
      </c>
      <c r="U132" s="203">
        <f>VLOOKUP(B132,★営業所!$A$2:$C$5,3,FALSE)</f>
        <v>8</v>
      </c>
      <c r="V132" s="203">
        <f>申込書!$B$9</f>
        <v>0</v>
      </c>
      <c r="W132" s="203" t="str">
        <f>CONCATENATE(VLOOKUP(B132,★営業所!$A$2:$B$5,2,FALSE),VLOOKUP(申込書!$C$32,★サイズ表記!$D$4:$E$55,2,FALSE),VLOOKUP(D132,★折込地区!$A$2:$B$11,2,FALSE))</f>
        <v>T1001Tot</v>
      </c>
      <c r="X132" s="203" t="str">
        <f>CONCATENATE(申込書!$B$9," ",VLOOKUP(RIGHT(W132,3),★折込地区!$B$2:$C$10,2,FALSE),"")</f>
        <v xml:space="preserve"> 鳥取</v>
      </c>
      <c r="Z132" s="206">
        <f t="shared" ca="1" si="16"/>
        <v>0</v>
      </c>
      <c r="AB132" s="383">
        <f t="shared" si="17"/>
        <v>2.8</v>
      </c>
      <c r="AC132" s="203" t="str">
        <f t="shared" si="18"/>
        <v>S1001</v>
      </c>
      <c r="AD132" s="203" t="str">
        <f>VLOOKUP(AC132,★原価商品!$E$6:$F$349,2,FALSE)</f>
        <v>山陰中央/B4（折り無し）</v>
      </c>
      <c r="AE132" s="203">
        <f t="shared" ca="1" si="19"/>
        <v>0</v>
      </c>
      <c r="AF132" s="383">
        <f ca="1">IFERROR(IF(VLOOKUP(申込書!$C$32,★サイズ表記!$F$4:$H$55,3,FALSE)="切り捨て",ROUNDDOWN(L132*IF(AK132="◎",I132,J132)/100,2),IF(VLOOKUP(申込書!$C$32,★サイズ表記!$F$4:$H$55,3,FALSE)="切り上げ",ROUNDUP(L132*IF(AK132="◎",I132,J132)/100,2),ROUND(L132*IF(AK132="◎",I132,J132)/100,2))),0)</f>
        <v>2.35</v>
      </c>
      <c r="AG132" s="203">
        <f t="shared" ca="1" si="20"/>
        <v>0</v>
      </c>
      <c r="AJ132" s="460" t="str">
        <f>IFERROR(VLOOKUP(申込書!$C$30,★業種!$D$2:$E$87,2,FALSE),"")</f>
        <v>1003</v>
      </c>
      <c r="AK132" s="460" t="str">
        <f ca="1">IF(申込書!$C$36="◎",IF(OR(D132="浜坂・温泉",D132="美方・村岡",D132="香住",D132="岡山",D132="大阪"),"",IF(LEFT(F132)="D","◎",IF(AG132=0,"",IFERROR(IF(VLOOKUP(AG132,★仕入先!$A$2:$C$211,3,FALSE)=0,"","◎"),"")))),"")</f>
        <v/>
      </c>
      <c r="AL132" s="460">
        <f>申込書!$H$14</f>
        <v>0</v>
      </c>
      <c r="AM132" s="460" t="str">
        <f>申込書!$C$32</f>
        <v>B4（折り無し）</v>
      </c>
      <c r="AN132" s="460" t="str">
        <f>VLOOKUP(AM132,★サイズ表記!$D$4:$E$55,2,FALSE)</f>
        <v>1001</v>
      </c>
      <c r="AO132" s="460">
        <f>IF(C132&lt;&gt;"⑧兵庫",VLOOKUP(LEFT(F132),★新聞!$A$4:$B$12,2,FALSE),IF(LEFT(F132)&lt;&gt;"S",VLOOKUP(LEFT(F132),★新聞!$A$4:$B$12,2,FALSE),VLOOKUP("X",★新聞!$A$4:$B$12,2,FALSE)))</f>
        <v>6</v>
      </c>
      <c r="AP132" s="460" t="str">
        <f t="shared" ca="1" si="21"/>
        <v>0</v>
      </c>
      <c r="AQ132" s="460" t="str">
        <f>IF(申込書!$C$38="","",申込書!$C$38)</f>
        <v/>
      </c>
    </row>
    <row r="133" spans="1:43">
      <c r="A133" s="463">
        <f t="shared" si="22"/>
        <v>132</v>
      </c>
      <c r="B133" s="463" t="str">
        <f t="shared" si="23"/>
        <v>東部</v>
      </c>
      <c r="C133" s="464" t="s">
        <v>1101</v>
      </c>
      <c r="D133" s="464" t="s">
        <v>1022</v>
      </c>
      <c r="E133" s="464">
        <f>VLOOKUP(D133,★折込地区!$A$2:$D$10,4,FALSE)</f>
        <v>1</v>
      </c>
      <c r="F133" s="464" t="s">
        <v>512</v>
      </c>
      <c r="G133" s="464" t="str">
        <f>INDEX(★新聞!$E$4:$I$12, MATCH(LEFT(F133),★新聞!$A$4:$A$12,0), MATCH(LEFT(W133),★新聞!$E$3:$I$3,0))</f>
        <v>AM</v>
      </c>
      <c r="H133" s="475" t="s">
        <v>1103</v>
      </c>
      <c r="I133" s="464" cm="1">
        <f t="array" ref="I133">IFERROR(INDEX(★原価率!$A$2:$E$50,MATCH($C133&amp;$H133,★原価率!$A$2:$A$50&amp;★原価率!$B$2:$B$50,0),3),0)</f>
        <v>84</v>
      </c>
      <c r="J133" s="464" cm="1">
        <f t="array" ref="J133">IFERROR(INDEX(★原価率!$A$2:$E$50,MATCH($C133&amp;$H133,★原価率!$A$2:$A$50&amp;★原価率!$B$2:$B$50,0),4),0)</f>
        <v>84</v>
      </c>
      <c r="K133" s="464" cm="1">
        <f t="array" ref="K133">IFERROR(INDEX(★原価率!$A$2:$E$50,MATCH($C133&amp;$H133,★原価率!$A$2:$A$50&amp;★原価率!$B$2:$B$50,0),5),0)</f>
        <v>100</v>
      </c>
      <c r="L133" s="528">
        <f>IFERROR(VLOOKUP(W133,★商品!$A$1:$H$1231,8,FALSE),0)</f>
        <v>2.8</v>
      </c>
      <c r="M133" s="203" t="str">
        <f ca="1">CONCATENATE(VLOOKUP(B133,★営業所!$A$2:$B$5,2,FALSE),TEXT(NOW(),"yyyy"))</f>
        <v>T2023</v>
      </c>
      <c r="N133" s="203">
        <v>1</v>
      </c>
      <c r="O133" s="203">
        <v>0</v>
      </c>
      <c r="P133" s="213">
        <f>申込書!$B$6</f>
        <v>0</v>
      </c>
      <c r="Q133" s="203">
        <f>申込書!$C$34</f>
        <v>1000040</v>
      </c>
      <c r="R133" s="203">
        <v>0</v>
      </c>
      <c r="U133" s="203">
        <f>VLOOKUP(B133,★営業所!$A$2:$C$5,3,FALSE)</f>
        <v>8</v>
      </c>
      <c r="V133" s="203">
        <f>申込書!$B$9</f>
        <v>0</v>
      </c>
      <c r="W133" s="203" t="str">
        <f>CONCATENATE(VLOOKUP(B133,★営業所!$A$2:$B$5,2,FALSE),VLOOKUP(申込書!$C$32,★サイズ表記!$D$4:$E$55,2,FALSE),VLOOKUP(D133,★折込地区!$A$2:$B$11,2,FALSE))</f>
        <v>T1001Tot</v>
      </c>
      <c r="X133" s="203" t="str">
        <f>CONCATENATE(申込書!$B$9," ",VLOOKUP(RIGHT(W133,3),★折込地区!$B$2:$C$10,2,FALSE),"")</f>
        <v xml:space="preserve"> 鳥取</v>
      </c>
      <c r="Z133" s="206">
        <f t="shared" ca="1" si="16"/>
        <v>0</v>
      </c>
      <c r="AB133" s="383">
        <f t="shared" si="17"/>
        <v>2.8</v>
      </c>
      <c r="AC133" s="203" t="str">
        <f t="shared" si="18"/>
        <v>S1001</v>
      </c>
      <c r="AD133" s="203" t="str">
        <f>VLOOKUP(AC133,★原価商品!$E$6:$F$349,2,FALSE)</f>
        <v>山陰中央/B4（折り無し）</v>
      </c>
      <c r="AE133" s="203">
        <f t="shared" ca="1" si="19"/>
        <v>0</v>
      </c>
      <c r="AF133" s="383">
        <f ca="1">IFERROR(IF(VLOOKUP(申込書!$C$32,★サイズ表記!$F$4:$H$55,3,FALSE)="切り捨て",ROUNDDOWN(L133*IF(AK133="◎",I133,J133)/100,2),IF(VLOOKUP(申込書!$C$32,★サイズ表記!$F$4:$H$55,3,FALSE)="切り上げ",ROUNDUP(L133*IF(AK133="◎",I133,J133)/100,2),ROUND(L133*IF(AK133="◎",I133,J133)/100,2))),0)</f>
        <v>2.35</v>
      </c>
      <c r="AG133" s="203">
        <f t="shared" ca="1" si="20"/>
        <v>0</v>
      </c>
      <c r="AJ133" s="460" t="str">
        <f>IFERROR(VLOOKUP(申込書!$C$30,★業種!$D$2:$E$87,2,FALSE),"")</f>
        <v>1003</v>
      </c>
      <c r="AK133" s="460" t="str">
        <f ca="1">IF(申込書!$C$36="◎",IF(OR(D133="浜坂・温泉",D133="美方・村岡",D133="香住",D133="岡山",D133="大阪"),"",IF(LEFT(F133)="D","◎",IF(AG133=0,"",IFERROR(IF(VLOOKUP(AG133,★仕入先!$A$2:$C$211,3,FALSE)=0,"","◎"),"")))),"")</f>
        <v/>
      </c>
      <c r="AL133" s="460">
        <f>申込書!$H$14</f>
        <v>0</v>
      </c>
      <c r="AM133" s="460" t="str">
        <f>申込書!$C$32</f>
        <v>B4（折り無し）</v>
      </c>
      <c r="AN133" s="460" t="str">
        <f>VLOOKUP(AM133,★サイズ表記!$D$4:$E$55,2,FALSE)</f>
        <v>1001</v>
      </c>
      <c r="AO133" s="460">
        <f>IF(C133&lt;&gt;"⑧兵庫",VLOOKUP(LEFT(F133),★新聞!$A$4:$B$12,2,FALSE),IF(LEFT(F133)&lt;&gt;"S",VLOOKUP(LEFT(F133),★新聞!$A$4:$B$12,2,FALSE),VLOOKUP("X",★新聞!$A$4:$B$12,2,FALSE)))</f>
        <v>6</v>
      </c>
      <c r="AP133" s="460" t="str">
        <f t="shared" ca="1" si="21"/>
        <v>0</v>
      </c>
      <c r="AQ133" s="460" t="str">
        <f>IF(申込書!$C$38="","",申込書!$C$38)</f>
        <v/>
      </c>
    </row>
    <row r="134" spans="1:43">
      <c r="A134" s="463">
        <f t="shared" si="22"/>
        <v>133</v>
      </c>
      <c r="B134" s="463" t="str">
        <f t="shared" si="23"/>
        <v>東部</v>
      </c>
      <c r="C134" s="464" t="s">
        <v>1101</v>
      </c>
      <c r="D134" s="464" t="s">
        <v>1022</v>
      </c>
      <c r="E134" s="464">
        <f>VLOOKUP(D134,★折込地区!$A$2:$D$10,4,FALSE)</f>
        <v>1</v>
      </c>
      <c r="F134" s="464" t="s">
        <v>513</v>
      </c>
      <c r="G134" s="464" t="str">
        <f>INDEX(★新聞!$E$4:$I$12, MATCH(LEFT(F134),★新聞!$A$4:$A$12,0), MATCH(LEFT(W134),★新聞!$E$3:$I$3,0))</f>
        <v>AP</v>
      </c>
      <c r="H134" s="475" t="s">
        <v>1104</v>
      </c>
      <c r="I134" s="464" cm="1">
        <f t="array" ref="I134">IFERROR(INDEX(★原価率!$A$2:$E$50,MATCH($C134&amp;$H134,★原価率!$A$2:$A$50&amp;★原価率!$B$2:$B$50,0),3),0)</f>
        <v>84</v>
      </c>
      <c r="J134" s="464" cm="1">
        <f t="array" ref="J134">IFERROR(INDEX(★原価率!$A$2:$E$50,MATCH($C134&amp;$H134,★原価率!$A$2:$A$50&amp;★原価率!$B$2:$B$50,0),4),0)</f>
        <v>84</v>
      </c>
      <c r="K134" s="464" cm="1">
        <f t="array" ref="K134">IFERROR(INDEX(★原価率!$A$2:$E$50,MATCH($C134&amp;$H134,★原価率!$A$2:$A$50&amp;★原価率!$B$2:$B$50,0),5),0)</f>
        <v>100</v>
      </c>
      <c r="L134" s="528">
        <f>IFERROR(VLOOKUP(W134,★商品!$A$1:$H$1231,8,FALSE),0)</f>
        <v>2.8</v>
      </c>
      <c r="M134" s="203" t="str">
        <f ca="1">CONCATENATE(VLOOKUP(B134,★営業所!$A$2:$B$5,2,FALSE),TEXT(NOW(),"yyyy"))</f>
        <v>T2023</v>
      </c>
      <c r="N134" s="203">
        <v>1</v>
      </c>
      <c r="O134" s="203">
        <v>0</v>
      </c>
      <c r="P134" s="213">
        <f>申込書!$B$6</f>
        <v>0</v>
      </c>
      <c r="Q134" s="203">
        <f>申込書!$C$34</f>
        <v>1000040</v>
      </c>
      <c r="R134" s="203">
        <v>0</v>
      </c>
      <c r="U134" s="203">
        <f>VLOOKUP(B134,★営業所!$A$2:$C$5,3,FALSE)</f>
        <v>8</v>
      </c>
      <c r="V134" s="203">
        <f>申込書!$B$9</f>
        <v>0</v>
      </c>
      <c r="W134" s="203" t="str">
        <f>CONCATENATE(VLOOKUP(B134,★営業所!$A$2:$B$5,2,FALSE),VLOOKUP(申込書!$C$32,★サイズ表記!$D$4:$E$55,2,FALSE),VLOOKUP(D134,★折込地区!$A$2:$B$11,2,FALSE))</f>
        <v>T1001Tot</v>
      </c>
      <c r="X134" s="203" t="str">
        <f>CONCATENATE(申込書!$B$9," ",VLOOKUP(RIGHT(W134,3),★折込地区!$B$2:$C$10,2,FALSE),"")</f>
        <v xml:space="preserve"> 鳥取</v>
      </c>
      <c r="Z134" s="206">
        <f t="shared" ca="1" si="16"/>
        <v>0</v>
      </c>
      <c r="AB134" s="383">
        <f t="shared" si="17"/>
        <v>2.8</v>
      </c>
      <c r="AC134" s="203" t="str">
        <f t="shared" si="18"/>
        <v>V1001</v>
      </c>
      <c r="AD134" s="203" t="str">
        <f>VLOOKUP(AC134,★原価商品!$E$6:$F$349,2,FALSE)</f>
        <v>日経/B4（折り無し）</v>
      </c>
      <c r="AE134" s="203">
        <f t="shared" ca="1" si="19"/>
        <v>0</v>
      </c>
      <c r="AF134" s="383">
        <f ca="1">IFERROR(IF(VLOOKUP(申込書!$C$32,★サイズ表記!$F$4:$H$55,3,FALSE)="切り捨て",ROUNDDOWN(L134*IF(AK134="◎",I134,J134)/100,2),IF(VLOOKUP(申込書!$C$32,★サイズ表記!$F$4:$H$55,3,FALSE)="切り上げ",ROUNDUP(L134*IF(AK134="◎",I134,J134)/100,2),ROUND(L134*IF(AK134="◎",I134,J134)/100,2))),0)</f>
        <v>2.35</v>
      </c>
      <c r="AG134" s="203">
        <f t="shared" ca="1" si="20"/>
        <v>10101</v>
      </c>
      <c r="AJ134" s="460" t="str">
        <f>IFERROR(VLOOKUP(申込書!$C$30,★業種!$D$2:$E$87,2,FALSE),"")</f>
        <v>1003</v>
      </c>
      <c r="AK134" s="460" t="str">
        <f ca="1">IF(申込書!$C$36="◎",IF(OR(D134="浜坂・温泉",D134="美方・村岡",D134="香住",D134="岡山",D134="大阪"),"",IF(LEFT(F134)="D","◎",IF(AG134=0,"",IFERROR(IF(VLOOKUP(AG134,★仕入先!$A$2:$C$211,3,FALSE)=0,"","◎"),"")))),"")</f>
        <v/>
      </c>
      <c r="AL134" s="460">
        <f>申込書!$H$14</f>
        <v>0</v>
      </c>
      <c r="AM134" s="460" t="str">
        <f>申込書!$C$32</f>
        <v>B4（折り無し）</v>
      </c>
      <c r="AN134" s="460" t="str">
        <f>VLOOKUP(AM134,★サイズ表記!$D$4:$E$55,2,FALSE)</f>
        <v>1001</v>
      </c>
      <c r="AO134" s="460">
        <f>IF(C134&lt;&gt;"⑧兵庫",VLOOKUP(LEFT(F134),★新聞!$A$4:$B$12,2,FALSE),IF(LEFT(F134)&lt;&gt;"S",VLOOKUP(LEFT(F134),★新聞!$A$4:$B$12,2,FALSE),VLOOKUP("X",★新聞!$A$4:$B$12,2,FALSE)))</f>
        <v>7</v>
      </c>
      <c r="AP134" s="460" t="str">
        <f t="shared" ca="1" si="21"/>
        <v>0</v>
      </c>
      <c r="AQ134" s="460" t="str">
        <f>IF(申込書!$C$38="","",申込書!$C$38)</f>
        <v/>
      </c>
    </row>
    <row r="135" spans="1:43">
      <c r="A135" s="463">
        <f t="shared" si="22"/>
        <v>134</v>
      </c>
      <c r="B135" s="463" t="str">
        <f t="shared" si="23"/>
        <v>東部</v>
      </c>
      <c r="C135" s="464" t="s">
        <v>1101</v>
      </c>
      <c r="D135" s="464" t="s">
        <v>1022</v>
      </c>
      <c r="E135" s="464">
        <f>VLOOKUP(D135,★折込地区!$A$2:$D$10,4,FALSE)</f>
        <v>1</v>
      </c>
      <c r="F135" s="464" t="s">
        <v>514</v>
      </c>
      <c r="G135" s="464" t="str">
        <f>INDEX(★新聞!$E$4:$I$12, MATCH(LEFT(F135),★新聞!$A$4:$A$12,0), MATCH(LEFT(W135),★新聞!$E$3:$I$3,0))</f>
        <v>AP</v>
      </c>
      <c r="H135" s="475" t="s">
        <v>1104</v>
      </c>
      <c r="I135" s="464" cm="1">
        <f t="array" ref="I135">IFERROR(INDEX(★原価率!$A$2:$E$50,MATCH($C135&amp;$H135,★原価率!$A$2:$A$50&amp;★原価率!$B$2:$B$50,0),3),0)</f>
        <v>84</v>
      </c>
      <c r="J135" s="464" cm="1">
        <f t="array" ref="J135">IFERROR(INDEX(★原価率!$A$2:$E$50,MATCH($C135&amp;$H135,★原価率!$A$2:$A$50&amp;★原価率!$B$2:$B$50,0),4),0)</f>
        <v>84</v>
      </c>
      <c r="K135" s="464" cm="1">
        <f t="array" ref="K135">IFERROR(INDEX(★原価率!$A$2:$E$50,MATCH($C135&amp;$H135,★原価率!$A$2:$A$50&amp;★原価率!$B$2:$B$50,0),5),0)</f>
        <v>100</v>
      </c>
      <c r="L135" s="528">
        <f>IFERROR(VLOOKUP(W135,★商品!$A$1:$H$1231,8,FALSE),0)</f>
        <v>2.8</v>
      </c>
      <c r="M135" s="203" t="str">
        <f ca="1">CONCATENATE(VLOOKUP(B135,★営業所!$A$2:$B$5,2,FALSE),TEXT(NOW(),"yyyy"))</f>
        <v>T2023</v>
      </c>
      <c r="N135" s="203">
        <v>1</v>
      </c>
      <c r="O135" s="203">
        <v>0</v>
      </c>
      <c r="P135" s="213">
        <f>申込書!$B$6</f>
        <v>0</v>
      </c>
      <c r="Q135" s="203">
        <f>申込書!$C$34</f>
        <v>1000040</v>
      </c>
      <c r="R135" s="203">
        <v>0</v>
      </c>
      <c r="U135" s="203">
        <f>VLOOKUP(B135,★営業所!$A$2:$C$5,3,FALSE)</f>
        <v>8</v>
      </c>
      <c r="V135" s="203">
        <f>申込書!$B$9</f>
        <v>0</v>
      </c>
      <c r="W135" s="203" t="str">
        <f>CONCATENATE(VLOOKUP(B135,★営業所!$A$2:$B$5,2,FALSE),VLOOKUP(申込書!$C$32,★サイズ表記!$D$4:$E$55,2,FALSE),VLOOKUP(D135,★折込地区!$A$2:$B$11,2,FALSE))</f>
        <v>T1001Tot</v>
      </c>
      <c r="X135" s="203" t="str">
        <f>CONCATENATE(申込書!$B$9," ",VLOOKUP(RIGHT(W135,3),★折込地区!$B$2:$C$10,2,FALSE),"")</f>
        <v xml:space="preserve"> 鳥取</v>
      </c>
      <c r="Z135" s="206">
        <f t="shared" ca="1" si="16"/>
        <v>0</v>
      </c>
      <c r="AB135" s="383">
        <f t="shared" si="17"/>
        <v>2.8</v>
      </c>
      <c r="AC135" s="203" t="str">
        <f t="shared" si="18"/>
        <v>V1001</v>
      </c>
      <c r="AD135" s="203" t="str">
        <f>VLOOKUP(AC135,★原価商品!$E$6:$F$349,2,FALSE)</f>
        <v>日経/B4（折り無し）</v>
      </c>
      <c r="AE135" s="203">
        <f t="shared" ca="1" si="19"/>
        <v>0</v>
      </c>
      <c r="AF135" s="383">
        <f ca="1">IFERROR(IF(VLOOKUP(申込書!$C$32,★サイズ表記!$F$4:$H$55,3,FALSE)="切り捨て",ROUNDDOWN(L135*IF(AK135="◎",I135,J135)/100,2),IF(VLOOKUP(申込書!$C$32,★サイズ表記!$F$4:$H$55,3,FALSE)="切り上げ",ROUNDUP(L135*IF(AK135="◎",I135,J135)/100,2),ROUND(L135*IF(AK135="◎",I135,J135)/100,2))),0)</f>
        <v>2.35</v>
      </c>
      <c r="AG135" s="203">
        <f t="shared" ca="1" si="20"/>
        <v>10111</v>
      </c>
      <c r="AJ135" s="460" t="str">
        <f>IFERROR(VLOOKUP(申込書!$C$30,★業種!$D$2:$E$87,2,FALSE),"")</f>
        <v>1003</v>
      </c>
      <c r="AK135" s="460" t="str">
        <f ca="1">IF(申込書!$C$36="◎",IF(OR(D135="浜坂・温泉",D135="美方・村岡",D135="香住",D135="岡山",D135="大阪"),"",IF(LEFT(F135)="D","◎",IF(AG135=0,"",IFERROR(IF(VLOOKUP(AG135,★仕入先!$A$2:$C$211,3,FALSE)=0,"","◎"),"")))),"")</f>
        <v/>
      </c>
      <c r="AL135" s="460">
        <f>申込書!$H$14</f>
        <v>0</v>
      </c>
      <c r="AM135" s="460" t="str">
        <f>申込書!$C$32</f>
        <v>B4（折り無し）</v>
      </c>
      <c r="AN135" s="460" t="str">
        <f>VLOOKUP(AM135,★サイズ表記!$D$4:$E$55,2,FALSE)</f>
        <v>1001</v>
      </c>
      <c r="AO135" s="460">
        <f>IF(C135&lt;&gt;"⑧兵庫",VLOOKUP(LEFT(F135),★新聞!$A$4:$B$12,2,FALSE),IF(LEFT(F135)&lt;&gt;"S",VLOOKUP(LEFT(F135),★新聞!$A$4:$B$12,2,FALSE),VLOOKUP("X",★新聞!$A$4:$B$12,2,FALSE)))</f>
        <v>7</v>
      </c>
      <c r="AP135" s="460" t="str">
        <f t="shared" ca="1" si="21"/>
        <v>0</v>
      </c>
      <c r="AQ135" s="460" t="str">
        <f>IF(申込書!$C$38="","",申込書!$C$38)</f>
        <v/>
      </c>
    </row>
    <row r="136" spans="1:43">
      <c r="A136" s="463">
        <f t="shared" si="22"/>
        <v>135</v>
      </c>
      <c r="B136" s="463" t="str">
        <f t="shared" si="23"/>
        <v>東部</v>
      </c>
      <c r="C136" s="464" t="s">
        <v>1101</v>
      </c>
      <c r="D136" s="464" t="s">
        <v>1022</v>
      </c>
      <c r="E136" s="464">
        <f>VLOOKUP(D136,★折込地区!$A$2:$D$10,4,FALSE)</f>
        <v>1</v>
      </c>
      <c r="F136" s="464" t="s">
        <v>515</v>
      </c>
      <c r="G136" s="464" t="str">
        <f>INDEX(★新聞!$E$4:$I$12, MATCH(LEFT(F136),★新聞!$A$4:$A$12,0), MATCH(LEFT(W136),★新聞!$E$3:$I$3,0))</f>
        <v>AP</v>
      </c>
      <c r="H136" s="475" t="s">
        <v>1104</v>
      </c>
      <c r="I136" s="464" cm="1">
        <f t="array" ref="I136">IFERROR(INDEX(★原価率!$A$2:$E$50,MATCH($C136&amp;$H136,★原価率!$A$2:$A$50&amp;★原価率!$B$2:$B$50,0),3),0)</f>
        <v>84</v>
      </c>
      <c r="J136" s="464" cm="1">
        <f t="array" ref="J136">IFERROR(INDEX(★原価率!$A$2:$E$50,MATCH($C136&amp;$H136,★原価率!$A$2:$A$50&amp;★原価率!$B$2:$B$50,0),4),0)</f>
        <v>84</v>
      </c>
      <c r="K136" s="464" cm="1">
        <f t="array" ref="K136">IFERROR(INDEX(★原価率!$A$2:$E$50,MATCH($C136&amp;$H136,★原価率!$A$2:$A$50&amp;★原価率!$B$2:$B$50,0),5),0)</f>
        <v>100</v>
      </c>
      <c r="L136" s="528">
        <f>IFERROR(VLOOKUP(W136,★商品!$A$1:$H$1231,8,FALSE),0)</f>
        <v>2.8</v>
      </c>
      <c r="M136" s="203" t="str">
        <f ca="1">CONCATENATE(VLOOKUP(B136,★営業所!$A$2:$B$5,2,FALSE),TEXT(NOW(),"yyyy"))</f>
        <v>T2023</v>
      </c>
      <c r="N136" s="203">
        <v>1</v>
      </c>
      <c r="O136" s="203">
        <v>0</v>
      </c>
      <c r="P136" s="213">
        <f>申込書!$B$6</f>
        <v>0</v>
      </c>
      <c r="Q136" s="203">
        <f>申込書!$C$34</f>
        <v>1000040</v>
      </c>
      <c r="R136" s="203">
        <v>0</v>
      </c>
      <c r="U136" s="203">
        <f>VLOOKUP(B136,★営業所!$A$2:$C$5,3,FALSE)</f>
        <v>8</v>
      </c>
      <c r="V136" s="203">
        <f>申込書!$B$9</f>
        <v>0</v>
      </c>
      <c r="W136" s="203" t="str">
        <f>CONCATENATE(VLOOKUP(B136,★営業所!$A$2:$B$5,2,FALSE),VLOOKUP(申込書!$C$32,★サイズ表記!$D$4:$E$55,2,FALSE),VLOOKUP(D136,★折込地区!$A$2:$B$11,2,FALSE))</f>
        <v>T1001Tot</v>
      </c>
      <c r="X136" s="203" t="str">
        <f>CONCATENATE(申込書!$B$9," ",VLOOKUP(RIGHT(W136,3),★折込地区!$B$2:$C$10,2,FALSE),"")</f>
        <v xml:space="preserve"> 鳥取</v>
      </c>
      <c r="Z136" s="206">
        <f t="shared" ca="1" si="16"/>
        <v>0</v>
      </c>
      <c r="AB136" s="383">
        <f t="shared" si="17"/>
        <v>2.8</v>
      </c>
      <c r="AC136" s="203" t="str">
        <f t="shared" si="18"/>
        <v>V1001</v>
      </c>
      <c r="AD136" s="203" t="str">
        <f>VLOOKUP(AC136,★原価商品!$E$6:$F$349,2,FALSE)</f>
        <v>日経/B4（折り無し）</v>
      </c>
      <c r="AE136" s="203">
        <f t="shared" ca="1" si="19"/>
        <v>0</v>
      </c>
      <c r="AF136" s="383">
        <f ca="1">IFERROR(IF(VLOOKUP(申込書!$C$32,★サイズ表記!$F$4:$H$55,3,FALSE)="切り捨て",ROUNDDOWN(L136*IF(AK136="◎",I136,J136)/100,2),IF(VLOOKUP(申込書!$C$32,★サイズ表記!$F$4:$H$55,3,FALSE)="切り上げ",ROUNDUP(L136*IF(AK136="◎",I136,J136)/100,2),ROUND(L136*IF(AK136="◎",I136,J136)/100,2))),0)</f>
        <v>2.35</v>
      </c>
      <c r="AG136" s="203">
        <f t="shared" ca="1" si="20"/>
        <v>10113</v>
      </c>
      <c r="AJ136" s="460" t="str">
        <f>IFERROR(VLOOKUP(申込書!$C$30,★業種!$D$2:$E$87,2,FALSE),"")</f>
        <v>1003</v>
      </c>
      <c r="AK136" s="460" t="str">
        <f ca="1">IF(申込書!$C$36="◎",IF(OR(D136="浜坂・温泉",D136="美方・村岡",D136="香住",D136="岡山",D136="大阪"),"",IF(LEFT(F136)="D","◎",IF(AG136=0,"",IFERROR(IF(VLOOKUP(AG136,★仕入先!$A$2:$C$211,3,FALSE)=0,"","◎"),"")))),"")</f>
        <v/>
      </c>
      <c r="AL136" s="460">
        <f>申込書!$H$14</f>
        <v>0</v>
      </c>
      <c r="AM136" s="460" t="str">
        <f>申込書!$C$32</f>
        <v>B4（折り無し）</v>
      </c>
      <c r="AN136" s="460" t="str">
        <f>VLOOKUP(AM136,★サイズ表記!$D$4:$E$55,2,FALSE)</f>
        <v>1001</v>
      </c>
      <c r="AO136" s="460">
        <f>IF(C136&lt;&gt;"⑧兵庫",VLOOKUP(LEFT(F136),★新聞!$A$4:$B$12,2,FALSE),IF(LEFT(F136)&lt;&gt;"S",VLOOKUP(LEFT(F136),★新聞!$A$4:$B$12,2,FALSE),VLOOKUP("X",★新聞!$A$4:$B$12,2,FALSE)))</f>
        <v>7</v>
      </c>
      <c r="AP136" s="460" t="str">
        <f t="shared" ca="1" si="21"/>
        <v>0</v>
      </c>
      <c r="AQ136" s="460" t="str">
        <f>IF(申込書!$C$38="","",申込書!$C$38)</f>
        <v/>
      </c>
    </row>
    <row r="137" spans="1:43">
      <c r="A137" s="463">
        <f t="shared" si="22"/>
        <v>136</v>
      </c>
      <c r="B137" s="463" t="str">
        <f t="shared" si="23"/>
        <v>東部</v>
      </c>
      <c r="C137" s="464" t="s">
        <v>1101</v>
      </c>
      <c r="D137" s="464" t="s">
        <v>1022</v>
      </c>
      <c r="E137" s="464">
        <f>VLOOKUP(D137,★折込地区!$A$2:$D$10,4,FALSE)</f>
        <v>1</v>
      </c>
      <c r="F137" s="464" t="s">
        <v>516</v>
      </c>
      <c r="G137" s="464" t="str">
        <f>INDEX(★新聞!$E$4:$I$12, MATCH(LEFT(F137),★新聞!$A$4:$A$12,0), MATCH(LEFT(W137),★新聞!$E$3:$I$3,0))</f>
        <v>AP</v>
      </c>
      <c r="H137" s="475" t="s">
        <v>1104</v>
      </c>
      <c r="I137" s="464" cm="1">
        <f t="array" ref="I137">IFERROR(INDEX(★原価率!$A$2:$E$50,MATCH($C137&amp;$H137,★原価率!$A$2:$A$50&amp;★原価率!$B$2:$B$50,0),3),0)</f>
        <v>84</v>
      </c>
      <c r="J137" s="464" cm="1">
        <f t="array" ref="J137">IFERROR(INDEX(★原価率!$A$2:$E$50,MATCH($C137&amp;$H137,★原価率!$A$2:$A$50&amp;★原価率!$B$2:$B$50,0),4),0)</f>
        <v>84</v>
      </c>
      <c r="K137" s="464" cm="1">
        <f t="array" ref="K137">IFERROR(INDEX(★原価率!$A$2:$E$50,MATCH($C137&amp;$H137,★原価率!$A$2:$A$50&amp;★原価率!$B$2:$B$50,0),5),0)</f>
        <v>100</v>
      </c>
      <c r="L137" s="528">
        <f>IFERROR(VLOOKUP(W137,★商品!$A$1:$H$1231,8,FALSE),0)</f>
        <v>2.8</v>
      </c>
      <c r="M137" s="203" t="str">
        <f ca="1">CONCATENATE(VLOOKUP(B137,★営業所!$A$2:$B$5,2,FALSE),TEXT(NOW(),"yyyy"))</f>
        <v>T2023</v>
      </c>
      <c r="N137" s="203">
        <v>1</v>
      </c>
      <c r="O137" s="203">
        <v>0</v>
      </c>
      <c r="P137" s="213">
        <f>申込書!$B$6</f>
        <v>0</v>
      </c>
      <c r="Q137" s="203">
        <f>申込書!$C$34</f>
        <v>1000040</v>
      </c>
      <c r="R137" s="203">
        <v>0</v>
      </c>
      <c r="U137" s="203">
        <f>VLOOKUP(B137,★営業所!$A$2:$C$5,3,FALSE)</f>
        <v>8</v>
      </c>
      <c r="V137" s="203">
        <f>申込書!$B$9</f>
        <v>0</v>
      </c>
      <c r="W137" s="203" t="str">
        <f>CONCATENATE(VLOOKUP(B137,★営業所!$A$2:$B$5,2,FALSE),VLOOKUP(申込書!$C$32,★サイズ表記!$D$4:$E$55,2,FALSE),VLOOKUP(D137,★折込地区!$A$2:$B$11,2,FALSE))</f>
        <v>T1001Tot</v>
      </c>
      <c r="X137" s="203" t="str">
        <f>CONCATENATE(申込書!$B$9," ",VLOOKUP(RIGHT(W137,3),★折込地区!$B$2:$C$10,2,FALSE),"")</f>
        <v xml:space="preserve"> 鳥取</v>
      </c>
      <c r="Z137" s="206">
        <f t="shared" ca="1" si="16"/>
        <v>0</v>
      </c>
      <c r="AB137" s="383">
        <f t="shared" si="17"/>
        <v>2.8</v>
      </c>
      <c r="AC137" s="203" t="str">
        <f t="shared" si="18"/>
        <v>V1001</v>
      </c>
      <c r="AD137" s="203" t="str">
        <f>VLOOKUP(AC137,★原価商品!$E$6:$F$349,2,FALSE)</f>
        <v>日経/B4（折り無し）</v>
      </c>
      <c r="AE137" s="203">
        <f t="shared" ca="1" si="19"/>
        <v>0</v>
      </c>
      <c r="AF137" s="383">
        <f ca="1">IFERROR(IF(VLOOKUP(申込書!$C$32,★サイズ表記!$F$4:$H$55,3,FALSE)="切り捨て",ROUNDDOWN(L137*IF(AK137="◎",I137,J137)/100,2),IF(VLOOKUP(申込書!$C$32,★サイズ表記!$F$4:$H$55,3,FALSE)="切り上げ",ROUNDUP(L137*IF(AK137="◎",I137,J137)/100,2),ROUND(L137*IF(AK137="◎",I137,J137)/100,2))),0)</f>
        <v>2.35</v>
      </c>
      <c r="AG137" s="203">
        <f t="shared" ca="1" si="20"/>
        <v>10114</v>
      </c>
      <c r="AJ137" s="460" t="str">
        <f>IFERROR(VLOOKUP(申込書!$C$30,★業種!$D$2:$E$87,2,FALSE),"")</f>
        <v>1003</v>
      </c>
      <c r="AK137" s="460" t="str">
        <f ca="1">IF(申込書!$C$36="◎",IF(OR(D137="浜坂・温泉",D137="美方・村岡",D137="香住",D137="岡山",D137="大阪"),"",IF(LEFT(F137)="D","◎",IF(AG137=0,"",IFERROR(IF(VLOOKUP(AG137,★仕入先!$A$2:$C$211,3,FALSE)=0,"","◎"),"")))),"")</f>
        <v/>
      </c>
      <c r="AL137" s="460">
        <f>申込書!$H$14</f>
        <v>0</v>
      </c>
      <c r="AM137" s="460" t="str">
        <f>申込書!$C$32</f>
        <v>B4（折り無し）</v>
      </c>
      <c r="AN137" s="460" t="str">
        <f>VLOOKUP(AM137,★サイズ表記!$D$4:$E$55,2,FALSE)</f>
        <v>1001</v>
      </c>
      <c r="AO137" s="460">
        <f>IF(C137&lt;&gt;"⑧兵庫",VLOOKUP(LEFT(F137),★新聞!$A$4:$B$12,2,FALSE),IF(LEFT(F137)&lt;&gt;"S",VLOOKUP(LEFT(F137),★新聞!$A$4:$B$12,2,FALSE),VLOOKUP("X",★新聞!$A$4:$B$12,2,FALSE)))</f>
        <v>7</v>
      </c>
      <c r="AP137" s="460" t="str">
        <f t="shared" ca="1" si="21"/>
        <v>0</v>
      </c>
      <c r="AQ137" s="460" t="str">
        <f>IF(申込書!$C$38="","",申込書!$C$38)</f>
        <v/>
      </c>
    </row>
    <row r="138" spans="1:43">
      <c r="A138" s="463">
        <f t="shared" si="22"/>
        <v>137</v>
      </c>
      <c r="B138" s="463" t="str">
        <f t="shared" si="23"/>
        <v>東部</v>
      </c>
      <c r="C138" s="464" t="s">
        <v>1101</v>
      </c>
      <c r="D138" s="464" t="s">
        <v>1022</v>
      </c>
      <c r="E138" s="464">
        <f>VLOOKUP(D138,★折込地区!$A$2:$D$10,4,FALSE)</f>
        <v>1</v>
      </c>
      <c r="F138" s="464" t="s">
        <v>517</v>
      </c>
      <c r="G138" s="464" t="str">
        <f>INDEX(★新聞!$E$4:$I$12, MATCH(LEFT(F138),★新聞!$A$4:$A$12,0), MATCH(LEFT(W138),★新聞!$E$3:$I$3,0))</f>
        <v>AP</v>
      </c>
      <c r="H138" s="555" t="s">
        <v>1105</v>
      </c>
      <c r="I138" s="464" cm="1">
        <f t="array" ref="I138">IFERROR(INDEX(★原価率!$A$2:$E$50,MATCH($C138&amp;$H138,★原価率!$A$2:$A$50&amp;★原価率!$B$2:$B$50,0),3),0)</f>
        <v>66</v>
      </c>
      <c r="J138" s="464" cm="1">
        <f t="array" ref="J138">IFERROR(INDEX(★原価率!$A$2:$E$50,MATCH($C138&amp;$H138,★原価率!$A$2:$A$50&amp;★原価率!$B$2:$B$50,0),4),0)</f>
        <v>76</v>
      </c>
      <c r="K138" s="464" cm="1">
        <f t="array" ref="K138">IFERROR(INDEX(★原価率!$A$2:$E$50,MATCH($C138&amp;$H138,★原価率!$A$2:$A$50&amp;★原価率!$B$2:$B$50,0),5),0)</f>
        <v>100</v>
      </c>
      <c r="L138" s="528">
        <f>IFERROR(VLOOKUP(W138,★商品!$A$1:$H$1231,8,FALSE),0)</f>
        <v>2.8</v>
      </c>
      <c r="M138" s="203" t="str">
        <f ca="1">CONCATENATE(VLOOKUP(B138,★営業所!$A$2:$B$5,2,FALSE),TEXT(NOW(),"yyyy"))</f>
        <v>T2023</v>
      </c>
      <c r="N138" s="203">
        <v>1</v>
      </c>
      <c r="O138" s="203">
        <v>0</v>
      </c>
      <c r="P138" s="213">
        <f>申込書!$B$6</f>
        <v>0</v>
      </c>
      <c r="Q138" s="203">
        <f>申込書!$C$34</f>
        <v>1000040</v>
      </c>
      <c r="R138" s="203">
        <v>0</v>
      </c>
      <c r="U138" s="203">
        <f>VLOOKUP(B138,★営業所!$A$2:$C$5,3,FALSE)</f>
        <v>8</v>
      </c>
      <c r="V138" s="203">
        <f>申込書!$B$9</f>
        <v>0</v>
      </c>
      <c r="W138" s="203" t="str">
        <f>CONCATENATE(VLOOKUP(B138,★営業所!$A$2:$B$5,2,FALSE),VLOOKUP(申込書!$C$32,★サイズ表記!$D$4:$E$55,2,FALSE),VLOOKUP(D138,★折込地区!$A$2:$B$11,2,FALSE))</f>
        <v>T1001Tot</v>
      </c>
      <c r="X138" s="203" t="str">
        <f>CONCATENATE(申込書!$B$9," ",VLOOKUP(RIGHT(W138,3),★折込地区!$B$2:$C$10,2,FALSE),"")</f>
        <v xml:space="preserve"> 鳥取</v>
      </c>
      <c r="Z138" s="206">
        <f t="shared" ca="1" si="16"/>
        <v>0</v>
      </c>
      <c r="AB138" s="383">
        <f t="shared" si="17"/>
        <v>2.8</v>
      </c>
      <c r="AC138" s="203" t="str">
        <f t="shared" si="18"/>
        <v>V1001</v>
      </c>
      <c r="AD138" s="203" t="str">
        <f>VLOOKUP(AC138,★原価商品!$E$6:$F$349,2,FALSE)</f>
        <v>日経/B4（折り無し）</v>
      </c>
      <c r="AE138" s="203">
        <f t="shared" ca="1" si="19"/>
        <v>0</v>
      </c>
      <c r="AF138" s="383">
        <f ca="1">IFERROR(IF(VLOOKUP(申込書!$C$32,★サイズ表記!$F$4:$H$55,3,FALSE)="切り捨て",ROUNDDOWN(L138*IF(AK138="◎",I138,J138)/100,2),IF(VLOOKUP(申込書!$C$32,★サイズ表記!$F$4:$H$55,3,FALSE)="切り上げ",ROUNDUP(L138*IF(AK138="◎",I138,J138)/100,2),ROUND(L138*IF(AK138="◎",I138,J138)/100,2))),0)</f>
        <v>1.84</v>
      </c>
      <c r="AG138" s="203">
        <f t="shared" ca="1" si="20"/>
        <v>10201</v>
      </c>
      <c r="AJ138" s="460" t="str">
        <f>IFERROR(VLOOKUP(申込書!$C$30,★業種!$D$2:$E$87,2,FALSE),"")</f>
        <v>1003</v>
      </c>
      <c r="AK138" s="460" t="str">
        <f ca="1">IF(申込書!$C$36="◎",IF(OR(D138="浜坂・温泉",D138="美方・村岡",D138="香住",D138="岡山",D138="大阪"),"",IF(LEFT(F138)="D","◎",IF(AG138=0,"",IFERROR(IF(VLOOKUP(AG138,★仕入先!$A$2:$C$211,3,FALSE)=0,"","◎"),"")))),"")</f>
        <v>◎</v>
      </c>
      <c r="AL138" s="460">
        <f>申込書!$H$14</f>
        <v>0</v>
      </c>
      <c r="AM138" s="460" t="str">
        <f>申込書!$C$32</f>
        <v>B4（折り無し）</v>
      </c>
      <c r="AN138" s="460" t="str">
        <f>VLOOKUP(AM138,★サイズ表記!$D$4:$E$55,2,FALSE)</f>
        <v>1001</v>
      </c>
      <c r="AO138" s="460">
        <f>IF(C138&lt;&gt;"⑧兵庫",VLOOKUP(LEFT(F138),★新聞!$A$4:$B$12,2,FALSE),IF(LEFT(F138)&lt;&gt;"S",VLOOKUP(LEFT(F138),★新聞!$A$4:$B$12,2,FALSE),VLOOKUP("X",★新聞!$A$4:$B$12,2,FALSE)))</f>
        <v>7</v>
      </c>
      <c r="AP138" s="460" t="str">
        <f t="shared" ca="1" si="21"/>
        <v>0</v>
      </c>
      <c r="AQ138" s="460" t="str">
        <f>IF(申込書!$C$38="","",申込書!$C$38)</f>
        <v/>
      </c>
    </row>
    <row r="139" spans="1:43">
      <c r="A139" s="463">
        <f t="shared" si="22"/>
        <v>138</v>
      </c>
      <c r="B139" s="463" t="str">
        <f t="shared" si="23"/>
        <v>東部</v>
      </c>
      <c r="C139" s="464" t="s">
        <v>1101</v>
      </c>
      <c r="D139" s="464" t="s">
        <v>1022</v>
      </c>
      <c r="E139" s="464">
        <f>VLOOKUP(D139,★折込地区!$A$2:$D$10,4,FALSE)</f>
        <v>1</v>
      </c>
      <c r="F139" s="464" t="s">
        <v>518</v>
      </c>
      <c r="G139" s="464" t="str">
        <f>INDEX(★新聞!$E$4:$I$12, MATCH(LEFT(F139),★新聞!$A$4:$A$12,0), MATCH(LEFT(W139),★新聞!$E$3:$I$3,0))</f>
        <v>AP</v>
      </c>
      <c r="H139" s="475" t="s">
        <v>1104</v>
      </c>
      <c r="I139" s="464" cm="1">
        <f t="array" ref="I139">IFERROR(INDEX(★原価率!$A$2:$E$50,MATCH($C139&amp;$H139,★原価率!$A$2:$A$50&amp;★原価率!$B$2:$B$50,0),3),0)</f>
        <v>84</v>
      </c>
      <c r="J139" s="464" cm="1">
        <f t="array" ref="J139">IFERROR(INDEX(★原価率!$A$2:$E$50,MATCH($C139&amp;$H139,★原価率!$A$2:$A$50&amp;★原価率!$B$2:$B$50,0),4),0)</f>
        <v>84</v>
      </c>
      <c r="K139" s="464" cm="1">
        <f t="array" ref="K139">IFERROR(INDEX(★原価率!$A$2:$E$50,MATCH($C139&amp;$H139,★原価率!$A$2:$A$50&amp;★原価率!$B$2:$B$50,0),5),0)</f>
        <v>100</v>
      </c>
      <c r="L139" s="528">
        <f>IFERROR(VLOOKUP(W139,★商品!$A$1:$H$1231,8,FALSE),0)</f>
        <v>2.8</v>
      </c>
      <c r="M139" s="203" t="str">
        <f ca="1">CONCATENATE(VLOOKUP(B139,★営業所!$A$2:$B$5,2,FALSE),TEXT(NOW(),"yyyy"))</f>
        <v>T2023</v>
      </c>
      <c r="N139" s="203">
        <v>1</v>
      </c>
      <c r="O139" s="203">
        <v>0</v>
      </c>
      <c r="P139" s="213">
        <f>申込書!$B$6</f>
        <v>0</v>
      </c>
      <c r="Q139" s="203">
        <f>申込書!$C$34</f>
        <v>1000040</v>
      </c>
      <c r="R139" s="203">
        <v>0</v>
      </c>
      <c r="U139" s="203">
        <f>VLOOKUP(B139,★営業所!$A$2:$C$5,3,FALSE)</f>
        <v>8</v>
      </c>
      <c r="V139" s="203">
        <f>申込書!$B$9</f>
        <v>0</v>
      </c>
      <c r="W139" s="203" t="str">
        <f>CONCATENATE(VLOOKUP(B139,★営業所!$A$2:$B$5,2,FALSE),VLOOKUP(申込書!$C$32,★サイズ表記!$D$4:$E$55,2,FALSE),VLOOKUP(D139,★折込地区!$A$2:$B$11,2,FALSE))</f>
        <v>T1001Tot</v>
      </c>
      <c r="X139" s="203" t="str">
        <f>CONCATENATE(申込書!$B$9," ",VLOOKUP(RIGHT(W139,3),★折込地区!$B$2:$C$10,2,FALSE),"")</f>
        <v xml:space="preserve"> 鳥取</v>
      </c>
      <c r="Z139" s="206">
        <f t="shared" ca="1" si="16"/>
        <v>0</v>
      </c>
      <c r="AB139" s="383">
        <f t="shared" si="17"/>
        <v>2.8</v>
      </c>
      <c r="AC139" s="203" t="str">
        <f t="shared" si="18"/>
        <v>V1001</v>
      </c>
      <c r="AD139" s="203" t="str">
        <f>VLOOKUP(AC139,★原価商品!$E$6:$F$349,2,FALSE)</f>
        <v>日経/B4（折り無し）</v>
      </c>
      <c r="AE139" s="203">
        <f t="shared" ca="1" si="19"/>
        <v>0</v>
      </c>
      <c r="AF139" s="383">
        <f ca="1">IFERROR(IF(VLOOKUP(申込書!$C$32,★サイズ表記!$F$4:$H$55,3,FALSE)="切り捨て",ROUNDDOWN(L139*IF(AK139="◎",I139,J139)/100,2),IF(VLOOKUP(申込書!$C$32,★サイズ表記!$F$4:$H$55,3,FALSE)="切り上げ",ROUNDUP(L139*IF(AK139="◎",I139,J139)/100,2),ROUND(L139*IF(AK139="◎",I139,J139)/100,2))),0)</f>
        <v>2.35</v>
      </c>
      <c r="AG139" s="203">
        <f t="shared" ca="1" si="20"/>
        <v>0</v>
      </c>
      <c r="AJ139" s="460" t="str">
        <f>IFERROR(VLOOKUP(申込書!$C$30,★業種!$D$2:$E$87,2,FALSE),"")</f>
        <v>1003</v>
      </c>
      <c r="AK139" s="460" t="str">
        <f ca="1">IF(申込書!$C$36="◎",IF(OR(D139="浜坂・温泉",D139="美方・村岡",D139="香住",D139="岡山",D139="大阪"),"",IF(LEFT(F139)="D","◎",IF(AG139=0,"",IFERROR(IF(VLOOKUP(AG139,★仕入先!$A$2:$C$211,3,FALSE)=0,"","◎"),"")))),"")</f>
        <v/>
      </c>
      <c r="AL139" s="460">
        <f>申込書!$H$14</f>
        <v>0</v>
      </c>
      <c r="AM139" s="460" t="str">
        <f>申込書!$C$32</f>
        <v>B4（折り無し）</v>
      </c>
      <c r="AN139" s="460" t="str">
        <f>VLOOKUP(AM139,★サイズ表記!$D$4:$E$55,2,FALSE)</f>
        <v>1001</v>
      </c>
      <c r="AO139" s="460">
        <f>IF(C139&lt;&gt;"⑧兵庫",VLOOKUP(LEFT(F139),★新聞!$A$4:$B$12,2,FALSE),IF(LEFT(F139)&lt;&gt;"S",VLOOKUP(LEFT(F139),★新聞!$A$4:$B$12,2,FALSE),VLOOKUP("X",★新聞!$A$4:$B$12,2,FALSE)))</f>
        <v>7</v>
      </c>
      <c r="AP139" s="460" t="str">
        <f t="shared" ca="1" si="21"/>
        <v>0</v>
      </c>
      <c r="AQ139" s="460" t="str">
        <f>IF(申込書!$C$38="","",申込書!$C$38)</f>
        <v/>
      </c>
    </row>
    <row r="140" spans="1:43">
      <c r="A140" s="463">
        <f t="shared" si="22"/>
        <v>139</v>
      </c>
      <c r="B140" s="463" t="str">
        <f t="shared" si="23"/>
        <v>東部</v>
      </c>
      <c r="C140" s="464" t="s">
        <v>1101</v>
      </c>
      <c r="D140" s="464" t="s">
        <v>1022</v>
      </c>
      <c r="E140" s="464">
        <f>VLOOKUP(D140,★折込地区!$A$2:$D$10,4,FALSE)</f>
        <v>1</v>
      </c>
      <c r="F140" s="464" t="s">
        <v>519</v>
      </c>
      <c r="G140" s="464" t="str">
        <f>INDEX(★新聞!$E$4:$I$12, MATCH(LEFT(F140),★新聞!$A$4:$A$12,0), MATCH(LEFT(W140),★新聞!$E$3:$I$3,0))</f>
        <v>AP</v>
      </c>
      <c r="H140" s="475" t="s">
        <v>1104</v>
      </c>
      <c r="I140" s="464" cm="1">
        <f t="array" ref="I140">IFERROR(INDEX(★原価率!$A$2:$E$50,MATCH($C140&amp;$H140,★原価率!$A$2:$A$50&amp;★原価率!$B$2:$B$50,0),3),0)</f>
        <v>84</v>
      </c>
      <c r="J140" s="464" cm="1">
        <f t="array" ref="J140">IFERROR(INDEX(★原価率!$A$2:$E$50,MATCH($C140&amp;$H140,★原価率!$A$2:$A$50&amp;★原価率!$B$2:$B$50,0),4),0)</f>
        <v>84</v>
      </c>
      <c r="K140" s="464" cm="1">
        <f t="array" ref="K140">IFERROR(INDEX(★原価率!$A$2:$E$50,MATCH($C140&amp;$H140,★原価率!$A$2:$A$50&amp;★原価率!$B$2:$B$50,0),5),0)</f>
        <v>100</v>
      </c>
      <c r="L140" s="528">
        <f>IFERROR(VLOOKUP(W140,★商品!$A$1:$H$1231,8,FALSE),0)</f>
        <v>2.8</v>
      </c>
      <c r="M140" s="203" t="str">
        <f ca="1">CONCATENATE(VLOOKUP(B140,★営業所!$A$2:$B$5,2,FALSE),TEXT(NOW(),"yyyy"))</f>
        <v>T2023</v>
      </c>
      <c r="N140" s="203">
        <v>1</v>
      </c>
      <c r="O140" s="203">
        <v>0</v>
      </c>
      <c r="P140" s="213">
        <f>申込書!$B$6</f>
        <v>0</v>
      </c>
      <c r="Q140" s="203">
        <f>申込書!$C$34</f>
        <v>1000040</v>
      </c>
      <c r="R140" s="203">
        <v>0</v>
      </c>
      <c r="U140" s="203">
        <f>VLOOKUP(B140,★営業所!$A$2:$C$5,3,FALSE)</f>
        <v>8</v>
      </c>
      <c r="V140" s="203">
        <f>申込書!$B$9</f>
        <v>0</v>
      </c>
      <c r="W140" s="203" t="str">
        <f>CONCATENATE(VLOOKUP(B140,★営業所!$A$2:$B$5,2,FALSE),VLOOKUP(申込書!$C$32,★サイズ表記!$D$4:$E$55,2,FALSE),VLOOKUP(D140,★折込地区!$A$2:$B$11,2,FALSE))</f>
        <v>T1001Tot</v>
      </c>
      <c r="X140" s="203" t="str">
        <f>CONCATENATE(申込書!$B$9," ",VLOOKUP(RIGHT(W140,3),★折込地区!$B$2:$C$10,2,FALSE),"")</f>
        <v xml:space="preserve"> 鳥取</v>
      </c>
      <c r="Z140" s="206">
        <f t="shared" ca="1" si="16"/>
        <v>0</v>
      </c>
      <c r="AB140" s="383">
        <f t="shared" si="17"/>
        <v>2.8</v>
      </c>
      <c r="AC140" s="203" t="str">
        <f t="shared" si="18"/>
        <v>V1001</v>
      </c>
      <c r="AD140" s="203" t="str">
        <f>VLOOKUP(AC140,★原価商品!$E$6:$F$349,2,FALSE)</f>
        <v>日経/B4（折り無し）</v>
      </c>
      <c r="AE140" s="203">
        <f t="shared" ca="1" si="19"/>
        <v>0</v>
      </c>
      <c r="AF140" s="383">
        <f ca="1">IFERROR(IF(VLOOKUP(申込書!$C$32,★サイズ表記!$F$4:$H$55,3,FALSE)="切り捨て",ROUNDDOWN(L140*IF(AK140="◎",I140,J140)/100,2),IF(VLOOKUP(申込書!$C$32,★サイズ表記!$F$4:$H$55,3,FALSE)="切り上げ",ROUNDUP(L140*IF(AK140="◎",I140,J140)/100,2),ROUND(L140*IF(AK140="◎",I140,J140)/100,2))),0)</f>
        <v>2.35</v>
      </c>
      <c r="AG140" s="203">
        <f t="shared" ca="1" si="20"/>
        <v>0</v>
      </c>
      <c r="AJ140" s="460" t="str">
        <f>IFERROR(VLOOKUP(申込書!$C$30,★業種!$D$2:$E$87,2,FALSE),"")</f>
        <v>1003</v>
      </c>
      <c r="AK140" s="460" t="str">
        <f ca="1">IF(申込書!$C$36="◎",IF(OR(D140="浜坂・温泉",D140="美方・村岡",D140="香住",D140="岡山",D140="大阪"),"",IF(LEFT(F140)="D","◎",IF(AG140=0,"",IFERROR(IF(VLOOKUP(AG140,★仕入先!$A$2:$C$211,3,FALSE)=0,"","◎"),"")))),"")</f>
        <v/>
      </c>
      <c r="AL140" s="460">
        <f>申込書!$H$14</f>
        <v>0</v>
      </c>
      <c r="AM140" s="460" t="str">
        <f>申込書!$C$32</f>
        <v>B4（折り無し）</v>
      </c>
      <c r="AN140" s="460" t="str">
        <f>VLOOKUP(AM140,★サイズ表記!$D$4:$E$55,2,FALSE)</f>
        <v>1001</v>
      </c>
      <c r="AO140" s="460">
        <f>IF(C140&lt;&gt;"⑧兵庫",VLOOKUP(LEFT(F140),★新聞!$A$4:$B$12,2,FALSE),IF(LEFT(F140)&lt;&gt;"S",VLOOKUP(LEFT(F140),★新聞!$A$4:$B$12,2,FALSE),VLOOKUP("X",★新聞!$A$4:$B$12,2,FALSE)))</f>
        <v>7</v>
      </c>
      <c r="AP140" s="460" t="str">
        <f t="shared" ca="1" si="21"/>
        <v>0</v>
      </c>
      <c r="AQ140" s="460" t="str">
        <f>IF(申込書!$C$38="","",申込書!$C$38)</f>
        <v/>
      </c>
    </row>
    <row r="141" spans="1:43">
      <c r="A141" s="463">
        <f t="shared" si="22"/>
        <v>140</v>
      </c>
      <c r="B141" s="463" t="str">
        <f t="shared" si="23"/>
        <v>東部</v>
      </c>
      <c r="C141" s="464" t="s">
        <v>1101</v>
      </c>
      <c r="D141" s="464" t="s">
        <v>1022</v>
      </c>
      <c r="E141" s="464">
        <f>VLOOKUP(D141,★折込地区!$A$2:$D$10,4,FALSE)</f>
        <v>1</v>
      </c>
      <c r="F141" s="464" t="s">
        <v>520</v>
      </c>
      <c r="G141" s="464" t="str">
        <f>INDEX(★新聞!$E$4:$I$12, MATCH(LEFT(F141),★新聞!$A$4:$A$12,0), MATCH(LEFT(W141),★新聞!$E$3:$I$3,0))</f>
        <v>AP</v>
      </c>
      <c r="H141" s="475" t="s">
        <v>1104</v>
      </c>
      <c r="I141" s="464" cm="1">
        <f t="array" ref="I141">IFERROR(INDEX(★原価率!$A$2:$E$50,MATCH($C141&amp;$H141,★原価率!$A$2:$A$50&amp;★原価率!$B$2:$B$50,0),3),0)</f>
        <v>84</v>
      </c>
      <c r="J141" s="464" cm="1">
        <f t="array" ref="J141">IFERROR(INDEX(★原価率!$A$2:$E$50,MATCH($C141&amp;$H141,★原価率!$A$2:$A$50&amp;★原価率!$B$2:$B$50,0),4),0)</f>
        <v>84</v>
      </c>
      <c r="K141" s="464" cm="1">
        <f t="array" ref="K141">IFERROR(INDEX(★原価率!$A$2:$E$50,MATCH($C141&amp;$H141,★原価率!$A$2:$A$50&amp;★原価率!$B$2:$B$50,0),5),0)</f>
        <v>100</v>
      </c>
      <c r="L141" s="528">
        <f>IFERROR(VLOOKUP(W141,★商品!$A$1:$H$1231,8,FALSE),0)</f>
        <v>2.8</v>
      </c>
      <c r="M141" s="203" t="str">
        <f ca="1">CONCATENATE(VLOOKUP(B141,★営業所!$A$2:$B$5,2,FALSE),TEXT(NOW(),"yyyy"))</f>
        <v>T2023</v>
      </c>
      <c r="N141" s="203">
        <v>1</v>
      </c>
      <c r="O141" s="203">
        <v>0</v>
      </c>
      <c r="P141" s="213">
        <f>申込書!$B$6</f>
        <v>0</v>
      </c>
      <c r="Q141" s="203">
        <f>申込書!$C$34</f>
        <v>1000040</v>
      </c>
      <c r="R141" s="203">
        <v>0</v>
      </c>
      <c r="U141" s="203">
        <f>VLOOKUP(B141,★営業所!$A$2:$C$5,3,FALSE)</f>
        <v>8</v>
      </c>
      <c r="V141" s="203">
        <f>申込書!$B$9</f>
        <v>0</v>
      </c>
      <c r="W141" s="203" t="str">
        <f>CONCATENATE(VLOOKUP(B141,★営業所!$A$2:$B$5,2,FALSE),VLOOKUP(申込書!$C$32,★サイズ表記!$D$4:$E$55,2,FALSE),VLOOKUP(D141,★折込地区!$A$2:$B$11,2,FALSE))</f>
        <v>T1001Tot</v>
      </c>
      <c r="X141" s="203" t="str">
        <f>CONCATENATE(申込書!$B$9," ",VLOOKUP(RIGHT(W141,3),★折込地区!$B$2:$C$10,2,FALSE),"")</f>
        <v xml:space="preserve"> 鳥取</v>
      </c>
      <c r="Z141" s="206">
        <f t="shared" ca="1" si="16"/>
        <v>0</v>
      </c>
      <c r="AB141" s="383">
        <f t="shared" si="17"/>
        <v>2.8</v>
      </c>
      <c r="AC141" s="203" t="str">
        <f t="shared" si="18"/>
        <v>V1001</v>
      </c>
      <c r="AD141" s="203" t="str">
        <f>VLOOKUP(AC141,★原価商品!$E$6:$F$349,2,FALSE)</f>
        <v>日経/B4（折り無し）</v>
      </c>
      <c r="AE141" s="203">
        <f t="shared" ca="1" si="19"/>
        <v>0</v>
      </c>
      <c r="AF141" s="383">
        <f ca="1">IFERROR(IF(VLOOKUP(申込書!$C$32,★サイズ表記!$F$4:$H$55,3,FALSE)="切り捨て",ROUNDDOWN(L141*IF(AK141="◎",I141,J141)/100,2),IF(VLOOKUP(申込書!$C$32,★サイズ表記!$F$4:$H$55,3,FALSE)="切り上げ",ROUNDUP(L141*IF(AK141="◎",I141,J141)/100,2),ROUND(L141*IF(AK141="◎",I141,J141)/100,2))),0)</f>
        <v>2.35</v>
      </c>
      <c r="AG141" s="203">
        <f t="shared" ca="1" si="20"/>
        <v>0</v>
      </c>
      <c r="AJ141" s="460" t="str">
        <f>IFERROR(VLOOKUP(申込書!$C$30,★業種!$D$2:$E$87,2,FALSE),"")</f>
        <v>1003</v>
      </c>
      <c r="AK141" s="460" t="str">
        <f ca="1">IF(申込書!$C$36="◎",IF(OR(D141="浜坂・温泉",D141="美方・村岡",D141="香住",D141="岡山",D141="大阪"),"",IF(LEFT(F141)="D","◎",IF(AG141=0,"",IFERROR(IF(VLOOKUP(AG141,★仕入先!$A$2:$C$211,3,FALSE)=0,"","◎"),"")))),"")</f>
        <v/>
      </c>
      <c r="AL141" s="460">
        <f>申込書!$H$14</f>
        <v>0</v>
      </c>
      <c r="AM141" s="460" t="str">
        <f>申込書!$C$32</f>
        <v>B4（折り無し）</v>
      </c>
      <c r="AN141" s="460" t="str">
        <f>VLOOKUP(AM141,★サイズ表記!$D$4:$E$55,2,FALSE)</f>
        <v>1001</v>
      </c>
      <c r="AO141" s="460">
        <f>IF(C141&lt;&gt;"⑧兵庫",VLOOKUP(LEFT(F141),★新聞!$A$4:$B$12,2,FALSE),IF(LEFT(F141)&lt;&gt;"S",VLOOKUP(LEFT(F141),★新聞!$A$4:$B$12,2,FALSE),VLOOKUP("X",★新聞!$A$4:$B$12,2,FALSE)))</f>
        <v>7</v>
      </c>
      <c r="AP141" s="460" t="str">
        <f t="shared" ca="1" si="21"/>
        <v>0</v>
      </c>
      <c r="AQ141" s="460" t="str">
        <f>IF(申込書!$C$38="","",申込書!$C$38)</f>
        <v/>
      </c>
    </row>
    <row r="142" spans="1:43">
      <c r="A142" s="463">
        <f t="shared" si="22"/>
        <v>141</v>
      </c>
      <c r="B142" s="463" t="str">
        <f t="shared" si="23"/>
        <v>東部</v>
      </c>
      <c r="C142" s="464" t="s">
        <v>1101</v>
      </c>
      <c r="D142" s="464" t="s">
        <v>1022</v>
      </c>
      <c r="E142" s="464">
        <f>VLOOKUP(D142,★折込地区!$A$2:$D$10,4,FALSE)</f>
        <v>1</v>
      </c>
      <c r="F142" s="464" t="s">
        <v>521</v>
      </c>
      <c r="G142" s="464" t="str">
        <f>INDEX(★新聞!$E$4:$I$12, MATCH(LEFT(F142),★新聞!$A$4:$A$12,0), MATCH(LEFT(W142),★新聞!$E$3:$I$3,0))</f>
        <v>AP</v>
      </c>
      <c r="H142" s="475" t="s">
        <v>1104</v>
      </c>
      <c r="I142" s="464" cm="1">
        <f t="array" ref="I142">IFERROR(INDEX(★原価率!$A$2:$E$50,MATCH($C142&amp;$H142,★原価率!$A$2:$A$50&amp;★原価率!$B$2:$B$50,0),3),0)</f>
        <v>84</v>
      </c>
      <c r="J142" s="464" cm="1">
        <f t="array" ref="J142">IFERROR(INDEX(★原価率!$A$2:$E$50,MATCH($C142&amp;$H142,★原価率!$A$2:$A$50&amp;★原価率!$B$2:$B$50,0),4),0)</f>
        <v>84</v>
      </c>
      <c r="K142" s="464" cm="1">
        <f t="array" ref="K142">IFERROR(INDEX(★原価率!$A$2:$E$50,MATCH($C142&amp;$H142,★原価率!$A$2:$A$50&amp;★原価率!$B$2:$B$50,0),5),0)</f>
        <v>100</v>
      </c>
      <c r="L142" s="528">
        <f>IFERROR(VLOOKUP(W142,★商品!$A$1:$H$1231,8,FALSE),0)</f>
        <v>2.8</v>
      </c>
      <c r="M142" s="203" t="str">
        <f ca="1">CONCATENATE(VLOOKUP(B142,★営業所!$A$2:$B$5,2,FALSE),TEXT(NOW(),"yyyy"))</f>
        <v>T2023</v>
      </c>
      <c r="N142" s="203">
        <v>1</v>
      </c>
      <c r="O142" s="203">
        <v>0</v>
      </c>
      <c r="P142" s="213">
        <f>申込書!$B$6</f>
        <v>0</v>
      </c>
      <c r="Q142" s="203">
        <f>申込書!$C$34</f>
        <v>1000040</v>
      </c>
      <c r="R142" s="203">
        <v>0</v>
      </c>
      <c r="U142" s="203">
        <f>VLOOKUP(B142,★営業所!$A$2:$C$5,3,FALSE)</f>
        <v>8</v>
      </c>
      <c r="V142" s="203">
        <f>申込書!$B$9</f>
        <v>0</v>
      </c>
      <c r="W142" s="203" t="str">
        <f>CONCATENATE(VLOOKUP(B142,★営業所!$A$2:$B$5,2,FALSE),VLOOKUP(申込書!$C$32,★サイズ表記!$D$4:$E$55,2,FALSE),VLOOKUP(D142,★折込地区!$A$2:$B$11,2,FALSE))</f>
        <v>T1001Tot</v>
      </c>
      <c r="X142" s="203" t="str">
        <f>CONCATENATE(申込書!$B$9," ",VLOOKUP(RIGHT(W142,3),★折込地区!$B$2:$C$10,2,FALSE),"")</f>
        <v xml:space="preserve"> 鳥取</v>
      </c>
      <c r="Z142" s="206">
        <f t="shared" ca="1" si="16"/>
        <v>0</v>
      </c>
      <c r="AB142" s="383">
        <f t="shared" si="17"/>
        <v>2.8</v>
      </c>
      <c r="AC142" s="203" t="str">
        <f t="shared" si="18"/>
        <v>V1001</v>
      </c>
      <c r="AD142" s="203" t="str">
        <f>VLOOKUP(AC142,★原価商品!$E$6:$F$349,2,FALSE)</f>
        <v>日経/B4（折り無し）</v>
      </c>
      <c r="AE142" s="203">
        <f t="shared" ca="1" si="19"/>
        <v>0</v>
      </c>
      <c r="AF142" s="383">
        <f ca="1">IFERROR(IF(VLOOKUP(申込書!$C$32,★サイズ表記!$F$4:$H$55,3,FALSE)="切り捨て",ROUNDDOWN(L142*IF(AK142="◎",I142,J142)/100,2),IF(VLOOKUP(申込書!$C$32,★サイズ表記!$F$4:$H$55,3,FALSE)="切り上げ",ROUNDUP(L142*IF(AK142="◎",I142,J142)/100,2),ROUND(L142*IF(AK142="◎",I142,J142)/100,2))),0)</f>
        <v>2.35</v>
      </c>
      <c r="AG142" s="203">
        <f t="shared" ca="1" si="20"/>
        <v>0</v>
      </c>
      <c r="AJ142" s="460" t="str">
        <f>IFERROR(VLOOKUP(申込書!$C$30,★業種!$D$2:$E$87,2,FALSE),"")</f>
        <v>1003</v>
      </c>
      <c r="AK142" s="460" t="str">
        <f ca="1">IF(申込書!$C$36="◎",IF(OR(D142="浜坂・温泉",D142="美方・村岡",D142="香住",D142="岡山",D142="大阪"),"",IF(LEFT(F142)="D","◎",IF(AG142=0,"",IFERROR(IF(VLOOKUP(AG142,★仕入先!$A$2:$C$211,3,FALSE)=0,"","◎"),"")))),"")</f>
        <v/>
      </c>
      <c r="AL142" s="460">
        <f>申込書!$H$14</f>
        <v>0</v>
      </c>
      <c r="AM142" s="460" t="str">
        <f>申込書!$C$32</f>
        <v>B4（折り無し）</v>
      </c>
      <c r="AN142" s="460" t="str">
        <f>VLOOKUP(AM142,★サイズ表記!$D$4:$E$55,2,FALSE)</f>
        <v>1001</v>
      </c>
      <c r="AO142" s="460">
        <f>IF(C142&lt;&gt;"⑧兵庫",VLOOKUP(LEFT(F142),★新聞!$A$4:$B$12,2,FALSE),IF(LEFT(F142)&lt;&gt;"S",VLOOKUP(LEFT(F142),★新聞!$A$4:$B$12,2,FALSE),VLOOKUP("X",★新聞!$A$4:$B$12,2,FALSE)))</f>
        <v>7</v>
      </c>
      <c r="AP142" s="460" t="str">
        <f t="shared" ca="1" si="21"/>
        <v>0</v>
      </c>
      <c r="AQ142" s="460" t="str">
        <f>IF(申込書!$C$38="","",申込書!$C$38)</f>
        <v/>
      </c>
    </row>
    <row r="143" spans="1:43">
      <c r="A143" s="463">
        <f t="shared" si="22"/>
        <v>142</v>
      </c>
      <c r="B143" s="463" t="str">
        <f t="shared" si="23"/>
        <v>東部</v>
      </c>
      <c r="C143" s="464" t="s">
        <v>1101</v>
      </c>
      <c r="D143" s="464" t="s">
        <v>1022</v>
      </c>
      <c r="E143" s="464">
        <f>VLOOKUP(D143,★折込地区!$A$2:$D$10,4,FALSE)</f>
        <v>1</v>
      </c>
      <c r="F143" s="464" t="s">
        <v>522</v>
      </c>
      <c r="G143" s="464" t="str">
        <f>INDEX(★新聞!$E$4:$I$12, MATCH(LEFT(F143),★新聞!$A$4:$A$12,0), MATCH(LEFT(W143),★新聞!$E$3:$I$3,0))</f>
        <v>AP</v>
      </c>
      <c r="H143" s="475" t="s">
        <v>1104</v>
      </c>
      <c r="I143" s="464" cm="1">
        <f t="array" ref="I143">IFERROR(INDEX(★原価率!$A$2:$E$50,MATCH($C143&amp;$H143,★原価率!$A$2:$A$50&amp;★原価率!$B$2:$B$50,0),3),0)</f>
        <v>84</v>
      </c>
      <c r="J143" s="464" cm="1">
        <f t="array" ref="J143">IFERROR(INDEX(★原価率!$A$2:$E$50,MATCH($C143&amp;$H143,★原価率!$A$2:$A$50&amp;★原価率!$B$2:$B$50,0),4),0)</f>
        <v>84</v>
      </c>
      <c r="K143" s="464" cm="1">
        <f t="array" ref="K143">IFERROR(INDEX(★原価率!$A$2:$E$50,MATCH($C143&amp;$H143,★原価率!$A$2:$A$50&amp;★原価率!$B$2:$B$50,0),5),0)</f>
        <v>100</v>
      </c>
      <c r="L143" s="528">
        <f>IFERROR(VLOOKUP(W143,★商品!$A$1:$H$1231,8,FALSE),0)</f>
        <v>2.8</v>
      </c>
      <c r="M143" s="203" t="str">
        <f ca="1">CONCATENATE(VLOOKUP(B143,★営業所!$A$2:$B$5,2,FALSE),TEXT(NOW(),"yyyy"))</f>
        <v>T2023</v>
      </c>
      <c r="N143" s="203">
        <v>1</v>
      </c>
      <c r="O143" s="203">
        <v>0</v>
      </c>
      <c r="P143" s="213">
        <f>申込書!$B$6</f>
        <v>0</v>
      </c>
      <c r="Q143" s="203">
        <f>申込書!$C$34</f>
        <v>1000040</v>
      </c>
      <c r="R143" s="203">
        <v>0</v>
      </c>
      <c r="U143" s="203">
        <f>VLOOKUP(B143,★営業所!$A$2:$C$5,3,FALSE)</f>
        <v>8</v>
      </c>
      <c r="V143" s="203">
        <f>申込書!$B$9</f>
        <v>0</v>
      </c>
      <c r="W143" s="203" t="str">
        <f>CONCATENATE(VLOOKUP(B143,★営業所!$A$2:$B$5,2,FALSE),VLOOKUP(申込書!$C$32,★サイズ表記!$D$4:$E$55,2,FALSE),VLOOKUP(D143,★折込地区!$A$2:$B$11,2,FALSE))</f>
        <v>T1001Tot</v>
      </c>
      <c r="X143" s="203" t="str">
        <f>CONCATENATE(申込書!$B$9," ",VLOOKUP(RIGHT(W143,3),★折込地区!$B$2:$C$10,2,FALSE),"")</f>
        <v xml:space="preserve"> 鳥取</v>
      </c>
      <c r="Z143" s="206">
        <f t="shared" ca="1" si="16"/>
        <v>0</v>
      </c>
      <c r="AB143" s="383">
        <f t="shared" si="17"/>
        <v>2.8</v>
      </c>
      <c r="AC143" s="203" t="str">
        <f t="shared" si="18"/>
        <v>V1001</v>
      </c>
      <c r="AD143" s="203" t="str">
        <f>VLOOKUP(AC143,★原価商品!$E$6:$F$349,2,FALSE)</f>
        <v>日経/B4（折り無し）</v>
      </c>
      <c r="AE143" s="203">
        <f t="shared" ca="1" si="19"/>
        <v>0</v>
      </c>
      <c r="AF143" s="383">
        <f ca="1">IFERROR(IF(VLOOKUP(申込書!$C$32,★サイズ表記!$F$4:$H$55,3,FALSE)="切り捨て",ROUNDDOWN(L143*IF(AK143="◎",I143,J143)/100,2),IF(VLOOKUP(申込書!$C$32,★サイズ表記!$F$4:$H$55,3,FALSE)="切り上げ",ROUNDUP(L143*IF(AK143="◎",I143,J143)/100,2),ROUND(L143*IF(AK143="◎",I143,J143)/100,2))),0)</f>
        <v>2.35</v>
      </c>
      <c r="AG143" s="203">
        <f t="shared" ca="1" si="20"/>
        <v>0</v>
      </c>
      <c r="AJ143" s="460" t="str">
        <f>IFERROR(VLOOKUP(申込書!$C$30,★業種!$D$2:$E$87,2,FALSE),"")</f>
        <v>1003</v>
      </c>
      <c r="AK143" s="460" t="str">
        <f ca="1">IF(申込書!$C$36="◎",IF(OR(D143="浜坂・温泉",D143="美方・村岡",D143="香住",D143="岡山",D143="大阪"),"",IF(LEFT(F143)="D","◎",IF(AG143=0,"",IFERROR(IF(VLOOKUP(AG143,★仕入先!$A$2:$C$211,3,FALSE)=0,"","◎"),"")))),"")</f>
        <v/>
      </c>
      <c r="AL143" s="460">
        <f>申込書!$H$14</f>
        <v>0</v>
      </c>
      <c r="AM143" s="460" t="str">
        <f>申込書!$C$32</f>
        <v>B4（折り無し）</v>
      </c>
      <c r="AN143" s="460" t="str">
        <f>VLOOKUP(AM143,★サイズ表記!$D$4:$E$55,2,FALSE)</f>
        <v>1001</v>
      </c>
      <c r="AO143" s="460">
        <f>IF(C143&lt;&gt;"⑧兵庫",VLOOKUP(LEFT(F143),★新聞!$A$4:$B$12,2,FALSE),IF(LEFT(F143)&lt;&gt;"S",VLOOKUP(LEFT(F143),★新聞!$A$4:$B$12,2,FALSE),VLOOKUP("X",★新聞!$A$4:$B$12,2,FALSE)))</f>
        <v>7</v>
      </c>
      <c r="AP143" s="460" t="str">
        <f t="shared" ca="1" si="21"/>
        <v>0</v>
      </c>
      <c r="AQ143" s="460" t="str">
        <f>IF(申込書!$C$38="","",申込書!$C$38)</f>
        <v/>
      </c>
    </row>
    <row r="144" spans="1:43">
      <c r="A144" s="463">
        <f t="shared" si="22"/>
        <v>143</v>
      </c>
      <c r="B144" s="463" t="str">
        <f t="shared" si="23"/>
        <v>東部</v>
      </c>
      <c r="C144" s="464" t="s">
        <v>1101</v>
      </c>
      <c r="D144" s="464" t="s">
        <v>1022</v>
      </c>
      <c r="E144" s="464">
        <f>VLOOKUP(D144,★折込地区!$A$2:$D$10,4,FALSE)</f>
        <v>1</v>
      </c>
      <c r="F144" s="464" t="s">
        <v>523</v>
      </c>
      <c r="G144" s="464" t="str">
        <f>INDEX(★新聞!$E$4:$I$12, MATCH(LEFT(F144),★新聞!$A$4:$A$12,0), MATCH(LEFT(W144),★新聞!$E$3:$I$3,0))</f>
        <v>AP</v>
      </c>
      <c r="H144" s="475" t="s">
        <v>1104</v>
      </c>
      <c r="I144" s="464" cm="1">
        <f t="array" ref="I144">IFERROR(INDEX(★原価率!$A$2:$E$50,MATCH($C144&amp;$H144,★原価率!$A$2:$A$50&amp;★原価率!$B$2:$B$50,0),3),0)</f>
        <v>84</v>
      </c>
      <c r="J144" s="464" cm="1">
        <f t="array" ref="J144">IFERROR(INDEX(★原価率!$A$2:$E$50,MATCH($C144&amp;$H144,★原価率!$A$2:$A$50&amp;★原価率!$B$2:$B$50,0),4),0)</f>
        <v>84</v>
      </c>
      <c r="K144" s="464" cm="1">
        <f t="array" ref="K144">IFERROR(INDEX(★原価率!$A$2:$E$50,MATCH($C144&amp;$H144,★原価率!$A$2:$A$50&amp;★原価率!$B$2:$B$50,0),5),0)</f>
        <v>100</v>
      </c>
      <c r="L144" s="528">
        <f>IFERROR(VLOOKUP(W144,★商品!$A$1:$H$1231,8,FALSE),0)</f>
        <v>2.8</v>
      </c>
      <c r="M144" s="203" t="str">
        <f ca="1">CONCATENATE(VLOOKUP(B144,★営業所!$A$2:$B$5,2,FALSE),TEXT(NOW(),"yyyy"))</f>
        <v>T2023</v>
      </c>
      <c r="N144" s="203">
        <v>1</v>
      </c>
      <c r="O144" s="203">
        <v>0</v>
      </c>
      <c r="P144" s="213">
        <f>申込書!$B$6</f>
        <v>0</v>
      </c>
      <c r="Q144" s="203">
        <f>申込書!$C$34</f>
        <v>1000040</v>
      </c>
      <c r="R144" s="203">
        <v>0</v>
      </c>
      <c r="U144" s="203">
        <f>VLOOKUP(B144,★営業所!$A$2:$C$5,3,FALSE)</f>
        <v>8</v>
      </c>
      <c r="V144" s="203">
        <f>申込書!$B$9</f>
        <v>0</v>
      </c>
      <c r="W144" s="203" t="str">
        <f>CONCATENATE(VLOOKUP(B144,★営業所!$A$2:$B$5,2,FALSE),VLOOKUP(申込書!$C$32,★サイズ表記!$D$4:$E$55,2,FALSE),VLOOKUP(D144,★折込地区!$A$2:$B$11,2,FALSE))</f>
        <v>T1001Tot</v>
      </c>
      <c r="X144" s="203" t="str">
        <f>CONCATENATE(申込書!$B$9," ",VLOOKUP(RIGHT(W144,3),★折込地区!$B$2:$C$10,2,FALSE),"")</f>
        <v xml:space="preserve"> 鳥取</v>
      </c>
      <c r="Z144" s="206">
        <f t="shared" ca="1" si="16"/>
        <v>0</v>
      </c>
      <c r="AB144" s="383">
        <f t="shared" si="17"/>
        <v>2.8</v>
      </c>
      <c r="AC144" s="203" t="str">
        <f t="shared" si="18"/>
        <v>V1001</v>
      </c>
      <c r="AD144" s="203" t="str">
        <f>VLOOKUP(AC144,★原価商品!$E$6:$F$349,2,FALSE)</f>
        <v>日経/B4（折り無し）</v>
      </c>
      <c r="AE144" s="203">
        <f t="shared" ca="1" si="19"/>
        <v>0</v>
      </c>
      <c r="AF144" s="383">
        <f ca="1">IFERROR(IF(VLOOKUP(申込書!$C$32,★サイズ表記!$F$4:$H$55,3,FALSE)="切り捨て",ROUNDDOWN(L144*IF(AK144="◎",I144,J144)/100,2),IF(VLOOKUP(申込書!$C$32,★サイズ表記!$F$4:$H$55,3,FALSE)="切り上げ",ROUNDUP(L144*IF(AK144="◎",I144,J144)/100,2),ROUND(L144*IF(AK144="◎",I144,J144)/100,2))),0)</f>
        <v>2.35</v>
      </c>
      <c r="AG144" s="203">
        <f t="shared" ca="1" si="20"/>
        <v>0</v>
      </c>
      <c r="AJ144" s="460" t="str">
        <f>IFERROR(VLOOKUP(申込書!$C$30,★業種!$D$2:$E$87,2,FALSE),"")</f>
        <v>1003</v>
      </c>
      <c r="AK144" s="460" t="str">
        <f ca="1">IF(申込書!$C$36="◎",IF(OR(D144="浜坂・温泉",D144="美方・村岡",D144="香住",D144="岡山",D144="大阪"),"",IF(LEFT(F144)="D","◎",IF(AG144=0,"",IFERROR(IF(VLOOKUP(AG144,★仕入先!$A$2:$C$211,3,FALSE)=0,"","◎"),"")))),"")</f>
        <v/>
      </c>
      <c r="AL144" s="460">
        <f>申込書!$H$14</f>
        <v>0</v>
      </c>
      <c r="AM144" s="460" t="str">
        <f>申込書!$C$32</f>
        <v>B4（折り無し）</v>
      </c>
      <c r="AN144" s="460" t="str">
        <f>VLOOKUP(AM144,★サイズ表記!$D$4:$E$55,2,FALSE)</f>
        <v>1001</v>
      </c>
      <c r="AO144" s="460">
        <f>IF(C144&lt;&gt;"⑧兵庫",VLOOKUP(LEFT(F144),★新聞!$A$4:$B$12,2,FALSE),IF(LEFT(F144)&lt;&gt;"S",VLOOKUP(LEFT(F144),★新聞!$A$4:$B$12,2,FALSE),VLOOKUP("X",★新聞!$A$4:$B$12,2,FALSE)))</f>
        <v>7</v>
      </c>
      <c r="AP144" s="460" t="str">
        <f t="shared" ca="1" si="21"/>
        <v>0</v>
      </c>
      <c r="AQ144" s="460" t="str">
        <f>IF(申込書!$C$38="","",申込書!$C$38)</f>
        <v/>
      </c>
    </row>
    <row r="145" spans="1:43">
      <c r="A145" s="463">
        <f t="shared" si="22"/>
        <v>144</v>
      </c>
      <c r="B145" s="463" t="str">
        <f t="shared" si="23"/>
        <v>東部</v>
      </c>
      <c r="C145" s="464" t="s">
        <v>1101</v>
      </c>
      <c r="D145" s="464" t="s">
        <v>1022</v>
      </c>
      <c r="E145" s="464">
        <f>VLOOKUP(D145,★折込地区!$A$2:$D$10,4,FALSE)</f>
        <v>1</v>
      </c>
      <c r="F145" s="464" t="s">
        <v>524</v>
      </c>
      <c r="G145" s="464" t="str">
        <f>INDEX(★新聞!$E$4:$I$12, MATCH(LEFT(F145),★新聞!$A$4:$A$12,0), MATCH(LEFT(W145),★新聞!$E$3:$I$3,0))</f>
        <v>AP</v>
      </c>
      <c r="H145" s="475" t="s">
        <v>1104</v>
      </c>
      <c r="I145" s="464" cm="1">
        <f t="array" ref="I145">IFERROR(INDEX(★原価率!$A$2:$E$50,MATCH($C145&amp;$H145,★原価率!$A$2:$A$50&amp;★原価率!$B$2:$B$50,0),3),0)</f>
        <v>84</v>
      </c>
      <c r="J145" s="464" cm="1">
        <f t="array" ref="J145">IFERROR(INDEX(★原価率!$A$2:$E$50,MATCH($C145&amp;$H145,★原価率!$A$2:$A$50&amp;★原価率!$B$2:$B$50,0),4),0)</f>
        <v>84</v>
      </c>
      <c r="K145" s="464" cm="1">
        <f t="array" ref="K145">IFERROR(INDEX(★原価率!$A$2:$E$50,MATCH($C145&amp;$H145,★原価率!$A$2:$A$50&amp;★原価率!$B$2:$B$50,0),5),0)</f>
        <v>100</v>
      </c>
      <c r="L145" s="528">
        <f>IFERROR(VLOOKUP(W145,★商品!$A$1:$H$1231,8,FALSE),0)</f>
        <v>2.8</v>
      </c>
      <c r="M145" s="203" t="str">
        <f ca="1">CONCATENATE(VLOOKUP(B145,★営業所!$A$2:$B$5,2,FALSE),TEXT(NOW(),"yyyy"))</f>
        <v>T2023</v>
      </c>
      <c r="N145" s="203">
        <v>1</v>
      </c>
      <c r="O145" s="203">
        <v>0</v>
      </c>
      <c r="P145" s="213">
        <f>申込書!$B$6</f>
        <v>0</v>
      </c>
      <c r="Q145" s="203">
        <f>申込書!$C$34</f>
        <v>1000040</v>
      </c>
      <c r="R145" s="203">
        <v>0</v>
      </c>
      <c r="U145" s="203">
        <f>VLOOKUP(B145,★営業所!$A$2:$C$5,3,FALSE)</f>
        <v>8</v>
      </c>
      <c r="V145" s="203">
        <f>申込書!$B$9</f>
        <v>0</v>
      </c>
      <c r="W145" s="203" t="str">
        <f>CONCATENATE(VLOOKUP(B145,★営業所!$A$2:$B$5,2,FALSE),VLOOKUP(申込書!$C$32,★サイズ表記!$D$4:$E$55,2,FALSE),VLOOKUP(D145,★折込地区!$A$2:$B$11,2,FALSE))</f>
        <v>T1001Tot</v>
      </c>
      <c r="X145" s="203" t="str">
        <f>CONCATENATE(申込書!$B$9," ",VLOOKUP(RIGHT(W145,3),★折込地区!$B$2:$C$10,2,FALSE),"")</f>
        <v xml:space="preserve"> 鳥取</v>
      </c>
      <c r="Z145" s="206">
        <f t="shared" ca="1" si="16"/>
        <v>0</v>
      </c>
      <c r="AB145" s="383">
        <f t="shared" si="17"/>
        <v>2.8</v>
      </c>
      <c r="AC145" s="203" t="str">
        <f t="shared" si="18"/>
        <v>V1001</v>
      </c>
      <c r="AD145" s="203" t="str">
        <f>VLOOKUP(AC145,★原価商品!$E$6:$F$349,2,FALSE)</f>
        <v>日経/B4（折り無し）</v>
      </c>
      <c r="AE145" s="203">
        <f t="shared" ca="1" si="19"/>
        <v>0</v>
      </c>
      <c r="AF145" s="383">
        <f ca="1">IFERROR(IF(VLOOKUP(申込書!$C$32,★サイズ表記!$F$4:$H$55,3,FALSE)="切り捨て",ROUNDDOWN(L145*IF(AK145="◎",I145,J145)/100,2),IF(VLOOKUP(申込書!$C$32,★サイズ表記!$F$4:$H$55,3,FALSE)="切り上げ",ROUNDUP(L145*IF(AK145="◎",I145,J145)/100,2),ROUND(L145*IF(AK145="◎",I145,J145)/100,2))),0)</f>
        <v>2.35</v>
      </c>
      <c r="AG145" s="203">
        <f t="shared" ca="1" si="20"/>
        <v>0</v>
      </c>
      <c r="AJ145" s="460" t="str">
        <f>IFERROR(VLOOKUP(申込書!$C$30,★業種!$D$2:$E$87,2,FALSE),"")</f>
        <v>1003</v>
      </c>
      <c r="AK145" s="460" t="str">
        <f ca="1">IF(申込書!$C$36="◎",IF(OR(D145="浜坂・温泉",D145="美方・村岡",D145="香住",D145="岡山",D145="大阪"),"",IF(LEFT(F145)="D","◎",IF(AG145=0,"",IFERROR(IF(VLOOKUP(AG145,★仕入先!$A$2:$C$211,3,FALSE)=0,"","◎"),"")))),"")</f>
        <v/>
      </c>
      <c r="AL145" s="460">
        <f>申込書!$H$14</f>
        <v>0</v>
      </c>
      <c r="AM145" s="460" t="str">
        <f>申込書!$C$32</f>
        <v>B4（折り無し）</v>
      </c>
      <c r="AN145" s="460" t="str">
        <f>VLOOKUP(AM145,★サイズ表記!$D$4:$E$55,2,FALSE)</f>
        <v>1001</v>
      </c>
      <c r="AO145" s="460">
        <f>IF(C145&lt;&gt;"⑧兵庫",VLOOKUP(LEFT(F145),★新聞!$A$4:$B$12,2,FALSE),IF(LEFT(F145)&lt;&gt;"S",VLOOKUP(LEFT(F145),★新聞!$A$4:$B$12,2,FALSE),VLOOKUP("X",★新聞!$A$4:$B$12,2,FALSE)))</f>
        <v>7</v>
      </c>
      <c r="AP145" s="460" t="str">
        <f t="shared" ca="1" si="21"/>
        <v>0</v>
      </c>
      <c r="AQ145" s="460" t="str">
        <f>IF(申込書!$C$38="","",申込書!$C$38)</f>
        <v/>
      </c>
    </row>
    <row r="146" spans="1:43">
      <c r="A146" s="463">
        <f t="shared" si="22"/>
        <v>145</v>
      </c>
      <c r="B146" s="463" t="str">
        <f t="shared" si="23"/>
        <v>東部</v>
      </c>
      <c r="C146" s="464" t="s">
        <v>1101</v>
      </c>
      <c r="D146" s="464" t="s">
        <v>1022</v>
      </c>
      <c r="E146" s="464">
        <f>VLOOKUP(D146,★折込地区!$A$2:$D$10,4,FALSE)</f>
        <v>1</v>
      </c>
      <c r="F146" s="464" t="s">
        <v>525</v>
      </c>
      <c r="G146" s="464" t="str">
        <f>INDEX(★新聞!$E$4:$I$12, MATCH(LEFT(F146),★新聞!$A$4:$A$12,0), MATCH(LEFT(W146),★新聞!$E$3:$I$3,0))</f>
        <v>AP</v>
      </c>
      <c r="H146" s="475" t="s">
        <v>1104</v>
      </c>
      <c r="I146" s="464" cm="1">
        <f t="array" ref="I146">IFERROR(INDEX(★原価率!$A$2:$E$50,MATCH($C146&amp;$H146,★原価率!$A$2:$A$50&amp;★原価率!$B$2:$B$50,0),3),0)</f>
        <v>84</v>
      </c>
      <c r="J146" s="464" cm="1">
        <f t="array" ref="J146">IFERROR(INDEX(★原価率!$A$2:$E$50,MATCH($C146&amp;$H146,★原価率!$A$2:$A$50&amp;★原価率!$B$2:$B$50,0),4),0)</f>
        <v>84</v>
      </c>
      <c r="K146" s="464" cm="1">
        <f t="array" ref="K146">IFERROR(INDEX(★原価率!$A$2:$E$50,MATCH($C146&amp;$H146,★原価率!$A$2:$A$50&amp;★原価率!$B$2:$B$50,0),5),0)</f>
        <v>100</v>
      </c>
      <c r="L146" s="528">
        <f>IFERROR(VLOOKUP(W146,★商品!$A$1:$H$1231,8,FALSE),0)</f>
        <v>2.8</v>
      </c>
      <c r="M146" s="203" t="str">
        <f ca="1">CONCATENATE(VLOOKUP(B146,★営業所!$A$2:$B$5,2,FALSE),TEXT(NOW(),"yyyy"))</f>
        <v>T2023</v>
      </c>
      <c r="N146" s="203">
        <v>1</v>
      </c>
      <c r="O146" s="203">
        <v>0</v>
      </c>
      <c r="P146" s="213">
        <f>申込書!$B$6</f>
        <v>0</v>
      </c>
      <c r="Q146" s="203">
        <f>申込書!$C$34</f>
        <v>1000040</v>
      </c>
      <c r="R146" s="203">
        <v>0</v>
      </c>
      <c r="U146" s="203">
        <f>VLOOKUP(B146,★営業所!$A$2:$C$5,3,FALSE)</f>
        <v>8</v>
      </c>
      <c r="V146" s="203">
        <f>申込書!$B$9</f>
        <v>0</v>
      </c>
      <c r="W146" s="203" t="str">
        <f>CONCATENATE(VLOOKUP(B146,★営業所!$A$2:$B$5,2,FALSE),VLOOKUP(申込書!$C$32,★サイズ表記!$D$4:$E$55,2,FALSE),VLOOKUP(D146,★折込地区!$A$2:$B$11,2,FALSE))</f>
        <v>T1001Tot</v>
      </c>
      <c r="X146" s="203" t="str">
        <f>CONCATENATE(申込書!$B$9," ",VLOOKUP(RIGHT(W146,3),★折込地区!$B$2:$C$10,2,FALSE),"")</f>
        <v xml:space="preserve"> 鳥取</v>
      </c>
      <c r="Z146" s="206">
        <f t="shared" ca="1" si="16"/>
        <v>0</v>
      </c>
      <c r="AB146" s="383">
        <f t="shared" si="17"/>
        <v>2.8</v>
      </c>
      <c r="AC146" s="203" t="str">
        <f t="shared" si="18"/>
        <v>V1001</v>
      </c>
      <c r="AD146" s="203" t="str">
        <f>VLOOKUP(AC146,★原価商品!$E$6:$F$349,2,FALSE)</f>
        <v>日経/B4（折り無し）</v>
      </c>
      <c r="AE146" s="203">
        <f t="shared" ca="1" si="19"/>
        <v>0</v>
      </c>
      <c r="AF146" s="383">
        <f ca="1">IFERROR(IF(VLOOKUP(申込書!$C$32,★サイズ表記!$F$4:$H$55,3,FALSE)="切り捨て",ROUNDDOWN(L146*IF(AK146="◎",I146,J146)/100,2),IF(VLOOKUP(申込書!$C$32,★サイズ表記!$F$4:$H$55,3,FALSE)="切り上げ",ROUNDUP(L146*IF(AK146="◎",I146,J146)/100,2),ROUND(L146*IF(AK146="◎",I146,J146)/100,2))),0)</f>
        <v>2.35</v>
      </c>
      <c r="AG146" s="203">
        <f t="shared" ca="1" si="20"/>
        <v>0</v>
      </c>
      <c r="AJ146" s="460" t="str">
        <f>IFERROR(VLOOKUP(申込書!$C$30,★業種!$D$2:$E$87,2,FALSE),"")</f>
        <v>1003</v>
      </c>
      <c r="AK146" s="460" t="str">
        <f ca="1">IF(申込書!$C$36="◎",IF(OR(D146="浜坂・温泉",D146="美方・村岡",D146="香住",D146="岡山",D146="大阪"),"",IF(LEFT(F146)="D","◎",IF(AG146=0,"",IFERROR(IF(VLOOKUP(AG146,★仕入先!$A$2:$C$211,3,FALSE)=0,"","◎"),"")))),"")</f>
        <v/>
      </c>
      <c r="AL146" s="460">
        <f>申込書!$H$14</f>
        <v>0</v>
      </c>
      <c r="AM146" s="460" t="str">
        <f>申込書!$C$32</f>
        <v>B4（折り無し）</v>
      </c>
      <c r="AN146" s="460" t="str">
        <f>VLOOKUP(AM146,★サイズ表記!$D$4:$E$55,2,FALSE)</f>
        <v>1001</v>
      </c>
      <c r="AO146" s="460">
        <f>IF(C146&lt;&gt;"⑧兵庫",VLOOKUP(LEFT(F146),★新聞!$A$4:$B$12,2,FALSE),IF(LEFT(F146)&lt;&gt;"S",VLOOKUP(LEFT(F146),★新聞!$A$4:$B$12,2,FALSE),VLOOKUP("X",★新聞!$A$4:$B$12,2,FALSE)))</f>
        <v>7</v>
      </c>
      <c r="AP146" s="460" t="str">
        <f t="shared" ca="1" si="21"/>
        <v>0</v>
      </c>
      <c r="AQ146" s="460" t="str">
        <f>IF(申込書!$C$38="","",申込書!$C$38)</f>
        <v/>
      </c>
    </row>
    <row r="147" spans="1:43">
      <c r="A147" s="463">
        <f t="shared" si="22"/>
        <v>146</v>
      </c>
      <c r="B147" s="463" t="str">
        <f t="shared" si="23"/>
        <v>東部</v>
      </c>
      <c r="C147" s="464" t="s">
        <v>1101</v>
      </c>
      <c r="D147" s="464" t="s">
        <v>1022</v>
      </c>
      <c r="E147" s="464">
        <f>VLOOKUP(D147,★折込地区!$A$2:$D$10,4,FALSE)</f>
        <v>1</v>
      </c>
      <c r="F147" s="464" t="s">
        <v>526</v>
      </c>
      <c r="G147" s="464" t="str">
        <f>INDEX(★新聞!$E$4:$I$12, MATCH(LEFT(F147),★新聞!$A$4:$A$12,0), MATCH(LEFT(W147),★新聞!$E$3:$I$3,0))</f>
        <v>AP</v>
      </c>
      <c r="H147" s="475" t="s">
        <v>1104</v>
      </c>
      <c r="I147" s="464" cm="1">
        <f t="array" ref="I147">IFERROR(INDEX(★原価率!$A$2:$E$50,MATCH($C147&amp;$H147,★原価率!$A$2:$A$50&amp;★原価率!$B$2:$B$50,0),3),0)</f>
        <v>84</v>
      </c>
      <c r="J147" s="464" cm="1">
        <f t="array" ref="J147">IFERROR(INDEX(★原価率!$A$2:$E$50,MATCH($C147&amp;$H147,★原価率!$A$2:$A$50&amp;★原価率!$B$2:$B$50,0),4),0)</f>
        <v>84</v>
      </c>
      <c r="K147" s="464" cm="1">
        <f t="array" ref="K147">IFERROR(INDEX(★原価率!$A$2:$E$50,MATCH($C147&amp;$H147,★原価率!$A$2:$A$50&amp;★原価率!$B$2:$B$50,0),5),0)</f>
        <v>100</v>
      </c>
      <c r="L147" s="528">
        <f>IFERROR(VLOOKUP(W147,★商品!$A$1:$H$1231,8,FALSE),0)</f>
        <v>2.8</v>
      </c>
      <c r="M147" s="203" t="str">
        <f ca="1">CONCATENATE(VLOOKUP(B147,★営業所!$A$2:$B$5,2,FALSE),TEXT(NOW(),"yyyy"))</f>
        <v>T2023</v>
      </c>
      <c r="N147" s="203">
        <v>1</v>
      </c>
      <c r="O147" s="203">
        <v>0</v>
      </c>
      <c r="P147" s="213">
        <f>申込書!$B$6</f>
        <v>0</v>
      </c>
      <c r="Q147" s="203">
        <f>申込書!$C$34</f>
        <v>1000040</v>
      </c>
      <c r="R147" s="203">
        <v>0</v>
      </c>
      <c r="U147" s="203">
        <f>VLOOKUP(B147,★営業所!$A$2:$C$5,3,FALSE)</f>
        <v>8</v>
      </c>
      <c r="V147" s="203">
        <f>申込書!$B$9</f>
        <v>0</v>
      </c>
      <c r="W147" s="203" t="str">
        <f>CONCATENATE(VLOOKUP(B147,★営業所!$A$2:$B$5,2,FALSE),VLOOKUP(申込書!$C$32,★サイズ表記!$D$4:$E$55,2,FALSE),VLOOKUP(D147,★折込地区!$A$2:$B$11,2,FALSE))</f>
        <v>T1001Tot</v>
      </c>
      <c r="X147" s="203" t="str">
        <f>CONCATENATE(申込書!$B$9," ",VLOOKUP(RIGHT(W147,3),★折込地区!$B$2:$C$10,2,FALSE),"")</f>
        <v xml:space="preserve"> 鳥取</v>
      </c>
      <c r="Z147" s="206">
        <f t="shared" ca="1" si="16"/>
        <v>0</v>
      </c>
      <c r="AB147" s="383">
        <f t="shared" si="17"/>
        <v>2.8</v>
      </c>
      <c r="AC147" s="203" t="str">
        <f t="shared" si="18"/>
        <v>V1001</v>
      </c>
      <c r="AD147" s="203" t="str">
        <f>VLOOKUP(AC147,★原価商品!$E$6:$F$349,2,FALSE)</f>
        <v>日経/B4（折り無し）</v>
      </c>
      <c r="AE147" s="203">
        <f t="shared" ca="1" si="19"/>
        <v>0</v>
      </c>
      <c r="AF147" s="383">
        <f ca="1">IFERROR(IF(VLOOKUP(申込書!$C$32,★サイズ表記!$F$4:$H$55,3,FALSE)="切り捨て",ROUNDDOWN(L147*IF(AK147="◎",I147,J147)/100,2),IF(VLOOKUP(申込書!$C$32,★サイズ表記!$F$4:$H$55,3,FALSE)="切り上げ",ROUNDUP(L147*IF(AK147="◎",I147,J147)/100,2),ROUND(L147*IF(AK147="◎",I147,J147)/100,2))),0)</f>
        <v>2.35</v>
      </c>
      <c r="AG147" s="203">
        <f t="shared" ca="1" si="20"/>
        <v>0</v>
      </c>
      <c r="AJ147" s="460" t="str">
        <f>IFERROR(VLOOKUP(申込書!$C$30,★業種!$D$2:$E$87,2,FALSE),"")</f>
        <v>1003</v>
      </c>
      <c r="AK147" s="460" t="str">
        <f ca="1">IF(申込書!$C$36="◎",IF(OR(D147="浜坂・温泉",D147="美方・村岡",D147="香住",D147="岡山",D147="大阪"),"",IF(LEFT(F147)="D","◎",IF(AG147=0,"",IFERROR(IF(VLOOKUP(AG147,★仕入先!$A$2:$C$211,3,FALSE)=0,"","◎"),"")))),"")</f>
        <v/>
      </c>
      <c r="AL147" s="460">
        <f>申込書!$H$14</f>
        <v>0</v>
      </c>
      <c r="AM147" s="460" t="str">
        <f>申込書!$C$32</f>
        <v>B4（折り無し）</v>
      </c>
      <c r="AN147" s="460" t="str">
        <f>VLOOKUP(AM147,★サイズ表記!$D$4:$E$55,2,FALSE)</f>
        <v>1001</v>
      </c>
      <c r="AO147" s="460">
        <f>IF(C147&lt;&gt;"⑧兵庫",VLOOKUP(LEFT(F147),★新聞!$A$4:$B$12,2,FALSE),IF(LEFT(F147)&lt;&gt;"S",VLOOKUP(LEFT(F147),★新聞!$A$4:$B$12,2,FALSE),VLOOKUP("X",★新聞!$A$4:$B$12,2,FALSE)))</f>
        <v>7</v>
      </c>
      <c r="AP147" s="460" t="str">
        <f t="shared" ca="1" si="21"/>
        <v>0</v>
      </c>
      <c r="AQ147" s="460" t="str">
        <f>IF(申込書!$C$38="","",申込書!$C$38)</f>
        <v/>
      </c>
    </row>
    <row r="148" spans="1:43">
      <c r="A148" s="463">
        <f t="shared" si="22"/>
        <v>147</v>
      </c>
      <c r="B148" s="463" t="str">
        <f t="shared" si="23"/>
        <v>東部</v>
      </c>
      <c r="C148" s="464" t="s">
        <v>1101</v>
      </c>
      <c r="D148" s="464" t="s">
        <v>1022</v>
      </c>
      <c r="E148" s="464">
        <f>VLOOKUP(D148,★折込地区!$A$2:$D$10,4,FALSE)</f>
        <v>1</v>
      </c>
      <c r="F148" s="464" t="s">
        <v>527</v>
      </c>
      <c r="G148" s="464" t="str">
        <f>INDEX(★新聞!$E$4:$I$12, MATCH(LEFT(F148),★新聞!$A$4:$A$12,0), MATCH(LEFT(W148),★新聞!$E$3:$I$3,0))</f>
        <v>AP</v>
      </c>
      <c r="H148" s="475" t="s">
        <v>1104</v>
      </c>
      <c r="I148" s="464" cm="1">
        <f t="array" ref="I148">IFERROR(INDEX(★原価率!$A$2:$E$50,MATCH($C148&amp;$H148,★原価率!$A$2:$A$50&amp;★原価率!$B$2:$B$50,0),3),0)</f>
        <v>84</v>
      </c>
      <c r="J148" s="464" cm="1">
        <f t="array" ref="J148">IFERROR(INDEX(★原価率!$A$2:$E$50,MATCH($C148&amp;$H148,★原価率!$A$2:$A$50&amp;★原価率!$B$2:$B$50,0),4),0)</f>
        <v>84</v>
      </c>
      <c r="K148" s="464" cm="1">
        <f t="array" ref="K148">IFERROR(INDEX(★原価率!$A$2:$E$50,MATCH($C148&amp;$H148,★原価率!$A$2:$A$50&amp;★原価率!$B$2:$B$50,0),5),0)</f>
        <v>100</v>
      </c>
      <c r="L148" s="528">
        <f>IFERROR(VLOOKUP(W148,★商品!$A$1:$H$1231,8,FALSE),0)</f>
        <v>2.8</v>
      </c>
      <c r="M148" s="203" t="str">
        <f ca="1">CONCATENATE(VLOOKUP(B148,★営業所!$A$2:$B$5,2,FALSE),TEXT(NOW(),"yyyy"))</f>
        <v>T2023</v>
      </c>
      <c r="N148" s="203">
        <v>1</v>
      </c>
      <c r="O148" s="203">
        <v>0</v>
      </c>
      <c r="P148" s="213">
        <f>申込書!$B$6</f>
        <v>0</v>
      </c>
      <c r="Q148" s="203">
        <f>申込書!$C$34</f>
        <v>1000040</v>
      </c>
      <c r="R148" s="203">
        <v>0</v>
      </c>
      <c r="U148" s="203">
        <f>VLOOKUP(B148,★営業所!$A$2:$C$5,3,FALSE)</f>
        <v>8</v>
      </c>
      <c r="V148" s="203">
        <f>申込書!$B$9</f>
        <v>0</v>
      </c>
      <c r="W148" s="203" t="str">
        <f>CONCATENATE(VLOOKUP(B148,★営業所!$A$2:$B$5,2,FALSE),VLOOKUP(申込書!$C$32,★サイズ表記!$D$4:$E$55,2,FALSE),VLOOKUP(D148,★折込地区!$A$2:$B$11,2,FALSE))</f>
        <v>T1001Tot</v>
      </c>
      <c r="X148" s="203" t="str">
        <f>CONCATENATE(申込書!$B$9," ",VLOOKUP(RIGHT(W148,3),★折込地区!$B$2:$C$10,2,FALSE),"")</f>
        <v xml:space="preserve"> 鳥取</v>
      </c>
      <c r="Z148" s="206">
        <f t="shared" ca="1" si="16"/>
        <v>0</v>
      </c>
      <c r="AB148" s="383">
        <f t="shared" si="17"/>
        <v>2.8</v>
      </c>
      <c r="AC148" s="203" t="str">
        <f t="shared" si="18"/>
        <v>V1001</v>
      </c>
      <c r="AD148" s="203" t="str">
        <f>VLOOKUP(AC148,★原価商品!$E$6:$F$349,2,FALSE)</f>
        <v>日経/B4（折り無し）</v>
      </c>
      <c r="AE148" s="203">
        <f t="shared" ca="1" si="19"/>
        <v>0</v>
      </c>
      <c r="AF148" s="383">
        <f ca="1">IFERROR(IF(VLOOKUP(申込書!$C$32,★サイズ表記!$F$4:$H$55,3,FALSE)="切り捨て",ROUNDDOWN(L148*IF(AK148="◎",I148,J148)/100,2),IF(VLOOKUP(申込書!$C$32,★サイズ表記!$F$4:$H$55,3,FALSE)="切り上げ",ROUNDUP(L148*IF(AK148="◎",I148,J148)/100,2),ROUND(L148*IF(AK148="◎",I148,J148)/100,2))),0)</f>
        <v>2.35</v>
      </c>
      <c r="AG148" s="203">
        <f t="shared" ca="1" si="20"/>
        <v>10113</v>
      </c>
      <c r="AJ148" s="460" t="str">
        <f>IFERROR(VLOOKUP(申込書!$C$30,★業種!$D$2:$E$87,2,FALSE),"")</f>
        <v>1003</v>
      </c>
      <c r="AK148" s="460" t="str">
        <f ca="1">IF(申込書!$C$36="◎",IF(OR(D148="浜坂・温泉",D148="美方・村岡",D148="香住",D148="岡山",D148="大阪"),"",IF(LEFT(F148)="D","◎",IF(AG148=0,"",IFERROR(IF(VLOOKUP(AG148,★仕入先!$A$2:$C$211,3,FALSE)=0,"","◎"),"")))),"")</f>
        <v/>
      </c>
      <c r="AL148" s="460">
        <f>申込書!$H$14</f>
        <v>0</v>
      </c>
      <c r="AM148" s="460" t="str">
        <f>申込書!$C$32</f>
        <v>B4（折り無し）</v>
      </c>
      <c r="AN148" s="460" t="str">
        <f>VLOOKUP(AM148,★サイズ表記!$D$4:$E$55,2,FALSE)</f>
        <v>1001</v>
      </c>
      <c r="AO148" s="460">
        <f>IF(C148&lt;&gt;"⑧兵庫",VLOOKUP(LEFT(F148),★新聞!$A$4:$B$12,2,FALSE),IF(LEFT(F148)&lt;&gt;"S",VLOOKUP(LEFT(F148),★新聞!$A$4:$B$12,2,FALSE),VLOOKUP("X",★新聞!$A$4:$B$12,2,FALSE)))</f>
        <v>7</v>
      </c>
      <c r="AP148" s="460" t="str">
        <f t="shared" ca="1" si="21"/>
        <v>0</v>
      </c>
      <c r="AQ148" s="460" t="str">
        <f>IF(申込書!$C$38="","",申込書!$C$38)</f>
        <v/>
      </c>
    </row>
    <row r="149" spans="1:43">
      <c r="A149" s="463">
        <f t="shared" si="22"/>
        <v>148</v>
      </c>
      <c r="B149" s="463" t="str">
        <f t="shared" si="23"/>
        <v>東部</v>
      </c>
      <c r="C149" s="464" t="s">
        <v>1101</v>
      </c>
      <c r="D149" s="464" t="s">
        <v>1022</v>
      </c>
      <c r="E149" s="464">
        <f>VLOOKUP(D149,★折込地区!$A$2:$D$10,4,FALSE)</f>
        <v>1</v>
      </c>
      <c r="F149" s="464" t="s">
        <v>528</v>
      </c>
      <c r="G149" s="464" t="str">
        <f>INDEX(★新聞!$E$4:$I$12, MATCH(LEFT(F149),★新聞!$A$4:$A$12,0), MATCH(LEFT(W149),★新聞!$E$3:$I$3,0))</f>
        <v>AP</v>
      </c>
      <c r="H149" s="475" t="s">
        <v>1104</v>
      </c>
      <c r="I149" s="464" cm="1">
        <f t="array" ref="I149">IFERROR(INDEX(★原価率!$A$2:$E$50,MATCH($C149&amp;$H149,★原価率!$A$2:$A$50&amp;★原価率!$B$2:$B$50,0),3),0)</f>
        <v>84</v>
      </c>
      <c r="J149" s="464" cm="1">
        <f t="array" ref="J149">IFERROR(INDEX(★原価率!$A$2:$E$50,MATCH($C149&amp;$H149,★原価率!$A$2:$A$50&amp;★原価率!$B$2:$B$50,0),4),0)</f>
        <v>84</v>
      </c>
      <c r="K149" s="464" cm="1">
        <f t="array" ref="K149">IFERROR(INDEX(★原価率!$A$2:$E$50,MATCH($C149&amp;$H149,★原価率!$A$2:$A$50&amp;★原価率!$B$2:$B$50,0),5),0)</f>
        <v>100</v>
      </c>
      <c r="L149" s="528">
        <f>IFERROR(VLOOKUP(W149,★商品!$A$1:$H$1231,8,FALSE),0)</f>
        <v>2.8</v>
      </c>
      <c r="M149" s="203" t="str">
        <f ca="1">CONCATENATE(VLOOKUP(B149,★営業所!$A$2:$B$5,2,FALSE),TEXT(NOW(),"yyyy"))</f>
        <v>T2023</v>
      </c>
      <c r="N149" s="203">
        <v>1</v>
      </c>
      <c r="O149" s="203">
        <v>0</v>
      </c>
      <c r="P149" s="213">
        <f>申込書!$B$6</f>
        <v>0</v>
      </c>
      <c r="Q149" s="203">
        <f>申込書!$C$34</f>
        <v>1000040</v>
      </c>
      <c r="R149" s="203">
        <v>0</v>
      </c>
      <c r="U149" s="203">
        <f>VLOOKUP(B149,★営業所!$A$2:$C$5,3,FALSE)</f>
        <v>8</v>
      </c>
      <c r="V149" s="203">
        <f>申込書!$B$9</f>
        <v>0</v>
      </c>
      <c r="W149" s="203" t="str">
        <f>CONCATENATE(VLOOKUP(B149,★営業所!$A$2:$B$5,2,FALSE),VLOOKUP(申込書!$C$32,★サイズ表記!$D$4:$E$55,2,FALSE),VLOOKUP(D149,★折込地区!$A$2:$B$11,2,FALSE))</f>
        <v>T1001Tot</v>
      </c>
      <c r="X149" s="203" t="str">
        <f>CONCATENATE(申込書!$B$9," ",VLOOKUP(RIGHT(W149,3),★折込地区!$B$2:$C$10,2,FALSE),"")</f>
        <v xml:space="preserve"> 鳥取</v>
      </c>
      <c r="Z149" s="206">
        <f t="shared" ca="1" si="16"/>
        <v>0</v>
      </c>
      <c r="AB149" s="383">
        <f t="shared" si="17"/>
        <v>2.8</v>
      </c>
      <c r="AC149" s="203" t="str">
        <f t="shared" si="18"/>
        <v>V1001</v>
      </c>
      <c r="AD149" s="203" t="str">
        <f>VLOOKUP(AC149,★原価商品!$E$6:$F$349,2,FALSE)</f>
        <v>日経/B4（折り無し）</v>
      </c>
      <c r="AE149" s="203">
        <f t="shared" ca="1" si="19"/>
        <v>0</v>
      </c>
      <c r="AF149" s="383">
        <f ca="1">IFERROR(IF(VLOOKUP(申込書!$C$32,★サイズ表記!$F$4:$H$55,3,FALSE)="切り捨て",ROUNDDOWN(L149*IF(AK149="◎",I149,J149)/100,2),IF(VLOOKUP(申込書!$C$32,★サイズ表記!$F$4:$H$55,3,FALSE)="切り上げ",ROUNDUP(L149*IF(AK149="◎",I149,J149)/100,2),ROUND(L149*IF(AK149="◎",I149,J149)/100,2))),0)</f>
        <v>2.35</v>
      </c>
      <c r="AG149" s="203">
        <f t="shared" ca="1" si="20"/>
        <v>0</v>
      </c>
      <c r="AJ149" s="460" t="str">
        <f>IFERROR(VLOOKUP(申込書!$C$30,★業種!$D$2:$E$87,2,FALSE),"")</f>
        <v>1003</v>
      </c>
      <c r="AK149" s="460" t="str">
        <f ca="1">IF(申込書!$C$36="◎",IF(OR(D149="浜坂・温泉",D149="美方・村岡",D149="香住",D149="岡山",D149="大阪"),"",IF(LEFT(F149)="D","◎",IF(AG149=0,"",IFERROR(IF(VLOOKUP(AG149,★仕入先!$A$2:$C$211,3,FALSE)=0,"","◎"),"")))),"")</f>
        <v/>
      </c>
      <c r="AL149" s="460">
        <f>申込書!$H$14</f>
        <v>0</v>
      </c>
      <c r="AM149" s="460" t="str">
        <f>申込書!$C$32</f>
        <v>B4（折り無し）</v>
      </c>
      <c r="AN149" s="460" t="str">
        <f>VLOOKUP(AM149,★サイズ表記!$D$4:$E$55,2,FALSE)</f>
        <v>1001</v>
      </c>
      <c r="AO149" s="460">
        <f>IF(C149&lt;&gt;"⑧兵庫",VLOOKUP(LEFT(F149),★新聞!$A$4:$B$12,2,FALSE),IF(LEFT(F149)&lt;&gt;"S",VLOOKUP(LEFT(F149),★新聞!$A$4:$B$12,2,FALSE),VLOOKUP("X",★新聞!$A$4:$B$12,2,FALSE)))</f>
        <v>7</v>
      </c>
      <c r="AP149" s="460" t="str">
        <f t="shared" ca="1" si="21"/>
        <v>0</v>
      </c>
      <c r="AQ149" s="460" t="str">
        <f>IF(申込書!$C$38="","",申込書!$C$38)</f>
        <v/>
      </c>
    </row>
    <row r="150" spans="1:43">
      <c r="A150" s="463">
        <f t="shared" si="22"/>
        <v>149</v>
      </c>
      <c r="B150" s="463" t="str">
        <f t="shared" si="23"/>
        <v>東部</v>
      </c>
      <c r="C150" s="464" t="s">
        <v>1101</v>
      </c>
      <c r="D150" s="464" t="s">
        <v>1022</v>
      </c>
      <c r="E150" s="464">
        <f>VLOOKUP(D150,★折込地区!$A$2:$D$10,4,FALSE)</f>
        <v>1</v>
      </c>
      <c r="F150" s="464" t="s">
        <v>529</v>
      </c>
      <c r="G150" s="464" t="str">
        <f>INDEX(★新聞!$E$4:$I$12, MATCH(LEFT(F150),★新聞!$A$4:$A$12,0), MATCH(LEFT(W150),★新聞!$E$3:$I$3,0))</f>
        <v>AP</v>
      </c>
      <c r="H150" s="475" t="s">
        <v>1104</v>
      </c>
      <c r="I150" s="464" cm="1">
        <f t="array" ref="I150">IFERROR(INDEX(★原価率!$A$2:$E$50,MATCH($C150&amp;$H150,★原価率!$A$2:$A$50&amp;★原価率!$B$2:$B$50,0),3),0)</f>
        <v>84</v>
      </c>
      <c r="J150" s="464" cm="1">
        <f t="array" ref="J150">IFERROR(INDEX(★原価率!$A$2:$E$50,MATCH($C150&amp;$H150,★原価率!$A$2:$A$50&amp;★原価率!$B$2:$B$50,0),4),0)</f>
        <v>84</v>
      </c>
      <c r="K150" s="464" cm="1">
        <f t="array" ref="K150">IFERROR(INDEX(★原価率!$A$2:$E$50,MATCH($C150&amp;$H150,★原価率!$A$2:$A$50&amp;★原価率!$B$2:$B$50,0),5),0)</f>
        <v>100</v>
      </c>
      <c r="L150" s="528">
        <f>IFERROR(VLOOKUP(W150,★商品!$A$1:$H$1231,8,FALSE),0)</f>
        <v>2.8</v>
      </c>
      <c r="M150" s="203" t="str">
        <f ca="1">CONCATENATE(VLOOKUP(B150,★営業所!$A$2:$B$5,2,FALSE),TEXT(NOW(),"yyyy"))</f>
        <v>T2023</v>
      </c>
      <c r="N150" s="203">
        <v>1</v>
      </c>
      <c r="O150" s="203">
        <v>0</v>
      </c>
      <c r="P150" s="213">
        <f>申込書!$B$6</f>
        <v>0</v>
      </c>
      <c r="Q150" s="203">
        <f>申込書!$C$34</f>
        <v>1000040</v>
      </c>
      <c r="R150" s="203">
        <v>0</v>
      </c>
      <c r="U150" s="203">
        <f>VLOOKUP(B150,★営業所!$A$2:$C$5,3,FALSE)</f>
        <v>8</v>
      </c>
      <c r="V150" s="203">
        <f>申込書!$B$9</f>
        <v>0</v>
      </c>
      <c r="W150" s="203" t="str">
        <f>CONCATENATE(VLOOKUP(B150,★営業所!$A$2:$B$5,2,FALSE),VLOOKUP(申込書!$C$32,★サイズ表記!$D$4:$E$55,2,FALSE),VLOOKUP(D150,★折込地区!$A$2:$B$11,2,FALSE))</f>
        <v>T1001Tot</v>
      </c>
      <c r="X150" s="203" t="str">
        <f>CONCATENATE(申込書!$B$9," ",VLOOKUP(RIGHT(W150,3),★折込地区!$B$2:$C$10,2,FALSE),"")</f>
        <v xml:space="preserve"> 鳥取</v>
      </c>
      <c r="Z150" s="206">
        <f t="shared" ca="1" si="16"/>
        <v>0</v>
      </c>
      <c r="AB150" s="383">
        <f t="shared" si="17"/>
        <v>2.8</v>
      </c>
      <c r="AC150" s="203" t="str">
        <f t="shared" si="18"/>
        <v>V1001</v>
      </c>
      <c r="AD150" s="203" t="str">
        <f>VLOOKUP(AC150,★原価商品!$E$6:$F$349,2,FALSE)</f>
        <v>日経/B4（折り無し）</v>
      </c>
      <c r="AE150" s="203">
        <f t="shared" ca="1" si="19"/>
        <v>0</v>
      </c>
      <c r="AF150" s="383">
        <f ca="1">IFERROR(IF(VLOOKUP(申込書!$C$32,★サイズ表記!$F$4:$H$55,3,FALSE)="切り捨て",ROUNDDOWN(L150*IF(AK150="◎",I150,J150)/100,2),IF(VLOOKUP(申込書!$C$32,★サイズ表記!$F$4:$H$55,3,FALSE)="切り上げ",ROUNDUP(L150*IF(AK150="◎",I150,J150)/100,2),ROUND(L150*IF(AK150="◎",I150,J150)/100,2))),0)</f>
        <v>2.35</v>
      </c>
      <c r="AG150" s="203">
        <f t="shared" ca="1" si="20"/>
        <v>10113</v>
      </c>
      <c r="AJ150" s="460" t="str">
        <f>IFERROR(VLOOKUP(申込書!$C$30,★業種!$D$2:$E$87,2,FALSE),"")</f>
        <v>1003</v>
      </c>
      <c r="AK150" s="460" t="str">
        <f ca="1">IF(申込書!$C$36="◎",IF(OR(D150="浜坂・温泉",D150="美方・村岡",D150="香住",D150="岡山",D150="大阪"),"",IF(LEFT(F150)="D","◎",IF(AG150=0,"",IFERROR(IF(VLOOKUP(AG150,★仕入先!$A$2:$C$211,3,FALSE)=0,"","◎"),"")))),"")</f>
        <v/>
      </c>
      <c r="AL150" s="460">
        <f>申込書!$H$14</f>
        <v>0</v>
      </c>
      <c r="AM150" s="460" t="str">
        <f>申込書!$C$32</f>
        <v>B4（折り無し）</v>
      </c>
      <c r="AN150" s="460" t="str">
        <f>VLOOKUP(AM150,★サイズ表記!$D$4:$E$55,2,FALSE)</f>
        <v>1001</v>
      </c>
      <c r="AO150" s="460">
        <f>IF(C150&lt;&gt;"⑧兵庫",VLOOKUP(LEFT(F150),★新聞!$A$4:$B$12,2,FALSE),IF(LEFT(F150)&lt;&gt;"S",VLOOKUP(LEFT(F150),★新聞!$A$4:$B$12,2,FALSE),VLOOKUP("X",★新聞!$A$4:$B$12,2,FALSE)))</f>
        <v>7</v>
      </c>
      <c r="AP150" s="460" t="str">
        <f t="shared" ca="1" si="21"/>
        <v>0</v>
      </c>
      <c r="AQ150" s="460" t="str">
        <f>IF(申込書!$C$38="","",申込書!$C$38)</f>
        <v/>
      </c>
    </row>
    <row r="151" spans="1:43">
      <c r="A151" s="463">
        <f t="shared" si="22"/>
        <v>150</v>
      </c>
      <c r="B151" s="463" t="str">
        <f t="shared" si="23"/>
        <v>東部</v>
      </c>
      <c r="C151" s="464" t="s">
        <v>1101</v>
      </c>
      <c r="D151" s="464" t="s">
        <v>1022</v>
      </c>
      <c r="E151" s="464">
        <f>VLOOKUP(D151,★折込地区!$A$2:$D$10,4,FALSE)</f>
        <v>1</v>
      </c>
      <c r="F151" s="464" t="s">
        <v>530</v>
      </c>
      <c r="G151" s="464" t="str">
        <f>INDEX(★新聞!$E$4:$I$12, MATCH(LEFT(F151),★新聞!$A$4:$A$12,0), MATCH(LEFT(W151),★新聞!$E$3:$I$3,0))</f>
        <v>AP</v>
      </c>
      <c r="H151" s="475" t="s">
        <v>1104</v>
      </c>
      <c r="I151" s="464" cm="1">
        <f t="array" ref="I151">IFERROR(INDEX(★原価率!$A$2:$E$50,MATCH($C151&amp;$H151,★原価率!$A$2:$A$50&amp;★原価率!$B$2:$B$50,0),3),0)</f>
        <v>84</v>
      </c>
      <c r="J151" s="464" cm="1">
        <f t="array" ref="J151">IFERROR(INDEX(★原価率!$A$2:$E$50,MATCH($C151&amp;$H151,★原価率!$A$2:$A$50&amp;★原価率!$B$2:$B$50,0),4),0)</f>
        <v>84</v>
      </c>
      <c r="K151" s="464" cm="1">
        <f t="array" ref="K151">IFERROR(INDEX(★原価率!$A$2:$E$50,MATCH($C151&amp;$H151,★原価率!$A$2:$A$50&amp;★原価率!$B$2:$B$50,0),5),0)</f>
        <v>100</v>
      </c>
      <c r="L151" s="528">
        <f>IFERROR(VLOOKUP(W151,★商品!$A$1:$H$1231,8,FALSE),0)</f>
        <v>2.8</v>
      </c>
      <c r="M151" s="203" t="str">
        <f ca="1">CONCATENATE(VLOOKUP(B151,★営業所!$A$2:$B$5,2,FALSE),TEXT(NOW(),"yyyy"))</f>
        <v>T2023</v>
      </c>
      <c r="N151" s="203">
        <v>1</v>
      </c>
      <c r="O151" s="203">
        <v>0</v>
      </c>
      <c r="P151" s="213">
        <f>申込書!$B$6</f>
        <v>0</v>
      </c>
      <c r="Q151" s="203">
        <f>申込書!$C$34</f>
        <v>1000040</v>
      </c>
      <c r="R151" s="203">
        <v>0</v>
      </c>
      <c r="U151" s="203">
        <f>VLOOKUP(B151,★営業所!$A$2:$C$5,3,FALSE)</f>
        <v>8</v>
      </c>
      <c r="V151" s="203">
        <f>申込書!$B$9</f>
        <v>0</v>
      </c>
      <c r="W151" s="203" t="str">
        <f>CONCATENATE(VLOOKUP(B151,★営業所!$A$2:$B$5,2,FALSE),VLOOKUP(申込書!$C$32,★サイズ表記!$D$4:$E$55,2,FALSE),VLOOKUP(D151,★折込地区!$A$2:$B$11,2,FALSE))</f>
        <v>T1001Tot</v>
      </c>
      <c r="X151" s="203" t="str">
        <f>CONCATENATE(申込書!$B$9," ",VLOOKUP(RIGHT(W151,3),★折込地区!$B$2:$C$10,2,FALSE),"")</f>
        <v xml:space="preserve"> 鳥取</v>
      </c>
      <c r="Z151" s="206">
        <f t="shared" ca="1" si="16"/>
        <v>0</v>
      </c>
      <c r="AB151" s="383">
        <f t="shared" si="17"/>
        <v>2.8</v>
      </c>
      <c r="AC151" s="203" t="str">
        <f t="shared" si="18"/>
        <v>V1001</v>
      </c>
      <c r="AD151" s="203" t="str">
        <f>VLOOKUP(AC151,★原価商品!$E$6:$F$349,2,FALSE)</f>
        <v>日経/B4（折り無し）</v>
      </c>
      <c r="AE151" s="203">
        <f t="shared" ca="1" si="19"/>
        <v>0</v>
      </c>
      <c r="AF151" s="383">
        <f ca="1">IFERROR(IF(VLOOKUP(申込書!$C$32,★サイズ表記!$F$4:$H$55,3,FALSE)="切り捨て",ROUNDDOWN(L151*IF(AK151="◎",I151,J151)/100,2),IF(VLOOKUP(申込書!$C$32,★サイズ表記!$F$4:$H$55,3,FALSE)="切り上げ",ROUNDUP(L151*IF(AK151="◎",I151,J151)/100,2),ROUND(L151*IF(AK151="◎",I151,J151)/100,2))),0)</f>
        <v>2.35</v>
      </c>
      <c r="AG151" s="203">
        <f t="shared" ca="1" si="20"/>
        <v>0</v>
      </c>
      <c r="AJ151" s="460" t="str">
        <f>IFERROR(VLOOKUP(申込書!$C$30,★業種!$D$2:$E$87,2,FALSE),"")</f>
        <v>1003</v>
      </c>
      <c r="AK151" s="460" t="str">
        <f ca="1">IF(申込書!$C$36="◎",IF(OR(D151="浜坂・温泉",D151="美方・村岡",D151="香住",D151="岡山",D151="大阪"),"",IF(LEFT(F151)="D","◎",IF(AG151=0,"",IFERROR(IF(VLOOKUP(AG151,★仕入先!$A$2:$C$211,3,FALSE)=0,"","◎"),"")))),"")</f>
        <v/>
      </c>
      <c r="AL151" s="460">
        <f>申込書!$H$14</f>
        <v>0</v>
      </c>
      <c r="AM151" s="460" t="str">
        <f>申込書!$C$32</f>
        <v>B4（折り無し）</v>
      </c>
      <c r="AN151" s="460" t="str">
        <f>VLOOKUP(AM151,★サイズ表記!$D$4:$E$55,2,FALSE)</f>
        <v>1001</v>
      </c>
      <c r="AO151" s="460">
        <f>IF(C151&lt;&gt;"⑧兵庫",VLOOKUP(LEFT(F151),★新聞!$A$4:$B$12,2,FALSE),IF(LEFT(F151)&lt;&gt;"S",VLOOKUP(LEFT(F151),★新聞!$A$4:$B$12,2,FALSE),VLOOKUP("X",★新聞!$A$4:$B$12,2,FALSE)))</f>
        <v>7</v>
      </c>
      <c r="AP151" s="460" t="str">
        <f t="shared" ca="1" si="21"/>
        <v>0</v>
      </c>
      <c r="AQ151" s="460" t="str">
        <f>IF(申込書!$C$38="","",申込書!$C$38)</f>
        <v/>
      </c>
    </row>
    <row r="152" spans="1:43">
      <c r="A152" s="463">
        <f t="shared" si="22"/>
        <v>151</v>
      </c>
      <c r="B152" s="463" t="str">
        <f t="shared" si="23"/>
        <v>東部</v>
      </c>
      <c r="C152" s="464" t="s">
        <v>1101</v>
      </c>
      <c r="D152" s="464" t="s">
        <v>1022</v>
      </c>
      <c r="E152" s="464">
        <f>VLOOKUP(D152,★折込地区!$A$2:$D$10,4,FALSE)</f>
        <v>1</v>
      </c>
      <c r="F152" s="464" t="s">
        <v>531</v>
      </c>
      <c r="G152" s="464" t="str">
        <f>INDEX(★新聞!$E$4:$I$12, MATCH(LEFT(F152),★新聞!$A$4:$A$12,0), MATCH(LEFT(W152),★新聞!$E$3:$I$3,0))</f>
        <v>AP</v>
      </c>
      <c r="H152" s="555" t="s">
        <v>1102</v>
      </c>
      <c r="I152" s="464" cm="1">
        <f t="array" ref="I152">IFERROR(INDEX(★原価率!$A$2:$E$50,MATCH($C152&amp;$H152,★原価率!$A$2:$A$50&amp;★原価率!$B$2:$B$50,0),3),0)</f>
        <v>74</v>
      </c>
      <c r="J152" s="464" cm="1">
        <f t="array" ref="J152">IFERROR(INDEX(★原価率!$A$2:$E$50,MATCH($C152&amp;$H152,★原価率!$A$2:$A$50&amp;★原価率!$B$2:$B$50,0),4),0)</f>
        <v>84</v>
      </c>
      <c r="K152" s="464" cm="1">
        <f t="array" ref="K152">IFERROR(INDEX(★原価率!$A$2:$E$50,MATCH($C152&amp;$H152,★原価率!$A$2:$A$50&amp;★原価率!$B$2:$B$50,0),5),0)</f>
        <v>100</v>
      </c>
      <c r="L152" s="528">
        <f>IFERROR(VLOOKUP(W152,★商品!$A$1:$H$1231,8,FALSE),0)</f>
        <v>2.8</v>
      </c>
      <c r="M152" s="203" t="str">
        <f ca="1">CONCATENATE(VLOOKUP(B152,★営業所!$A$2:$B$5,2,FALSE),TEXT(NOW(),"yyyy"))</f>
        <v>T2023</v>
      </c>
      <c r="N152" s="203">
        <v>1</v>
      </c>
      <c r="O152" s="203">
        <v>0</v>
      </c>
      <c r="P152" s="213">
        <f>申込書!$B$6</f>
        <v>0</v>
      </c>
      <c r="Q152" s="203">
        <f>申込書!$C$34</f>
        <v>1000040</v>
      </c>
      <c r="R152" s="203">
        <v>0</v>
      </c>
      <c r="U152" s="203">
        <f>VLOOKUP(B152,★営業所!$A$2:$C$5,3,FALSE)</f>
        <v>8</v>
      </c>
      <c r="V152" s="203">
        <f>申込書!$B$9</f>
        <v>0</v>
      </c>
      <c r="W152" s="203" t="str">
        <f>CONCATENATE(VLOOKUP(B152,★営業所!$A$2:$B$5,2,FALSE),VLOOKUP(申込書!$C$32,★サイズ表記!$D$4:$E$55,2,FALSE),VLOOKUP(D152,★折込地区!$A$2:$B$11,2,FALSE))</f>
        <v>T1001Tot</v>
      </c>
      <c r="X152" s="203" t="str">
        <f>CONCATENATE(申込書!$B$9," ",VLOOKUP(RIGHT(W152,3),★折込地区!$B$2:$C$10,2,FALSE),"")</f>
        <v xml:space="preserve"> 鳥取</v>
      </c>
      <c r="Z152" s="206">
        <f t="shared" ca="1" si="16"/>
        <v>0</v>
      </c>
      <c r="AB152" s="383">
        <f t="shared" si="17"/>
        <v>2.8</v>
      </c>
      <c r="AC152" s="203" t="str">
        <f t="shared" si="18"/>
        <v>V1001</v>
      </c>
      <c r="AD152" s="203" t="str">
        <f>VLOOKUP(AC152,★原価商品!$E$6:$F$349,2,FALSE)</f>
        <v>日経/B4（折り無し）</v>
      </c>
      <c r="AE152" s="203">
        <f t="shared" ca="1" si="19"/>
        <v>0</v>
      </c>
      <c r="AF152" s="383">
        <f ca="1">IFERROR(IF(VLOOKUP(申込書!$C$32,★サイズ表記!$F$4:$H$55,3,FALSE)="切り捨て",ROUNDDOWN(L152*IF(AK152="◎",I152,J152)/100,2),IF(VLOOKUP(申込書!$C$32,★サイズ表記!$F$4:$H$55,3,FALSE)="切り上げ",ROUNDUP(L152*IF(AK152="◎",I152,J152)/100,2),ROUND(L152*IF(AK152="◎",I152,J152)/100,2))),0)</f>
        <v>2.0699999999999998</v>
      </c>
      <c r="AG152" s="203">
        <f t="shared" ca="1" si="20"/>
        <v>10029</v>
      </c>
      <c r="AJ152" s="460" t="str">
        <f>IFERROR(VLOOKUP(申込書!$C$30,★業種!$D$2:$E$87,2,FALSE),"")</f>
        <v>1003</v>
      </c>
      <c r="AK152" s="460" t="str">
        <f ca="1">IF(申込書!$C$36="◎",IF(OR(D152="浜坂・温泉",D152="美方・村岡",D152="香住",D152="岡山",D152="大阪"),"",IF(LEFT(F152)="D","◎",IF(AG152=0,"",IFERROR(IF(VLOOKUP(AG152,★仕入先!$A$2:$C$211,3,FALSE)=0,"","◎"),"")))),"")</f>
        <v>◎</v>
      </c>
      <c r="AL152" s="460">
        <f>申込書!$H$14</f>
        <v>0</v>
      </c>
      <c r="AM152" s="460" t="str">
        <f>申込書!$C$32</f>
        <v>B4（折り無し）</v>
      </c>
      <c r="AN152" s="460" t="str">
        <f>VLOOKUP(AM152,★サイズ表記!$D$4:$E$55,2,FALSE)</f>
        <v>1001</v>
      </c>
      <c r="AO152" s="460">
        <f>IF(C152&lt;&gt;"⑧兵庫",VLOOKUP(LEFT(F152),★新聞!$A$4:$B$12,2,FALSE),IF(LEFT(F152)&lt;&gt;"S",VLOOKUP(LEFT(F152),★新聞!$A$4:$B$12,2,FALSE),VLOOKUP("X",★新聞!$A$4:$B$12,2,FALSE)))</f>
        <v>7</v>
      </c>
      <c r="AP152" s="460" t="str">
        <f t="shared" ca="1" si="21"/>
        <v>0</v>
      </c>
      <c r="AQ152" s="460" t="str">
        <f>IF(申込書!$C$38="","",申込書!$C$38)</f>
        <v/>
      </c>
    </row>
    <row r="153" spans="1:43">
      <c r="A153" s="463">
        <f t="shared" si="22"/>
        <v>152</v>
      </c>
      <c r="B153" s="463" t="str">
        <f t="shared" si="23"/>
        <v>東部</v>
      </c>
      <c r="C153" s="464" t="s">
        <v>1101</v>
      </c>
      <c r="D153" s="464" t="s">
        <v>1022</v>
      </c>
      <c r="E153" s="464">
        <f>VLOOKUP(D153,★折込地区!$A$2:$D$10,4,FALSE)</f>
        <v>1</v>
      </c>
      <c r="F153" s="464" t="s">
        <v>532</v>
      </c>
      <c r="G153" s="464" t="str">
        <f>INDEX(★新聞!$E$4:$I$12, MATCH(LEFT(F153),★新聞!$A$4:$A$12,0), MATCH(LEFT(W153),★新聞!$E$3:$I$3,0))</f>
        <v>AP</v>
      </c>
      <c r="H153" s="555" t="s">
        <v>1102</v>
      </c>
      <c r="I153" s="464" cm="1">
        <f t="array" ref="I153">IFERROR(INDEX(★原価率!$A$2:$E$50,MATCH($C153&amp;$H153,★原価率!$A$2:$A$50&amp;★原価率!$B$2:$B$50,0),3),0)</f>
        <v>74</v>
      </c>
      <c r="J153" s="464" cm="1">
        <f t="array" ref="J153">IFERROR(INDEX(★原価率!$A$2:$E$50,MATCH($C153&amp;$H153,★原価率!$A$2:$A$50&amp;★原価率!$B$2:$B$50,0),4),0)</f>
        <v>84</v>
      </c>
      <c r="K153" s="464" cm="1">
        <f t="array" ref="K153">IFERROR(INDEX(★原価率!$A$2:$E$50,MATCH($C153&amp;$H153,★原価率!$A$2:$A$50&amp;★原価率!$B$2:$B$50,0),5),0)</f>
        <v>100</v>
      </c>
      <c r="L153" s="528">
        <f>IFERROR(VLOOKUP(W153,★商品!$A$1:$H$1231,8,FALSE),0)</f>
        <v>2.8</v>
      </c>
      <c r="M153" s="203" t="str">
        <f ca="1">CONCATENATE(VLOOKUP(B153,★営業所!$A$2:$B$5,2,FALSE),TEXT(NOW(),"yyyy"))</f>
        <v>T2023</v>
      </c>
      <c r="N153" s="203">
        <v>1</v>
      </c>
      <c r="O153" s="203">
        <v>0</v>
      </c>
      <c r="P153" s="213">
        <f>申込書!$B$6</f>
        <v>0</v>
      </c>
      <c r="Q153" s="203">
        <f>申込書!$C$34</f>
        <v>1000040</v>
      </c>
      <c r="R153" s="203">
        <v>0</v>
      </c>
      <c r="U153" s="203">
        <f>VLOOKUP(B153,★営業所!$A$2:$C$5,3,FALSE)</f>
        <v>8</v>
      </c>
      <c r="V153" s="203">
        <f>申込書!$B$9</f>
        <v>0</v>
      </c>
      <c r="W153" s="203" t="str">
        <f>CONCATENATE(VLOOKUP(B153,★営業所!$A$2:$B$5,2,FALSE),VLOOKUP(申込書!$C$32,★サイズ表記!$D$4:$E$55,2,FALSE),VLOOKUP(D153,★折込地区!$A$2:$B$11,2,FALSE))</f>
        <v>T1001Tot</v>
      </c>
      <c r="X153" s="203" t="str">
        <f>CONCATENATE(申込書!$B$9," ",VLOOKUP(RIGHT(W153,3),★折込地区!$B$2:$C$10,2,FALSE),"")</f>
        <v xml:space="preserve"> 鳥取</v>
      </c>
      <c r="Z153" s="206">
        <f t="shared" ca="1" si="16"/>
        <v>0</v>
      </c>
      <c r="AB153" s="383">
        <f t="shared" si="17"/>
        <v>2.8</v>
      </c>
      <c r="AC153" s="203" t="str">
        <f t="shared" si="18"/>
        <v>V1001</v>
      </c>
      <c r="AD153" s="203" t="str">
        <f>VLOOKUP(AC153,★原価商品!$E$6:$F$349,2,FALSE)</f>
        <v>日経/B4（折り無し）</v>
      </c>
      <c r="AE153" s="203">
        <f t="shared" ca="1" si="19"/>
        <v>0</v>
      </c>
      <c r="AF153" s="383">
        <f ca="1">IFERROR(IF(VLOOKUP(申込書!$C$32,★サイズ表記!$F$4:$H$55,3,FALSE)="切り捨て",ROUNDDOWN(L153*IF(AK153="◎",I153,J153)/100,2),IF(VLOOKUP(申込書!$C$32,★サイズ表記!$F$4:$H$55,3,FALSE)="切り上げ",ROUNDUP(L153*IF(AK153="◎",I153,J153)/100,2),ROUND(L153*IF(AK153="◎",I153,J153)/100,2))),0)</f>
        <v>2.0699999999999998</v>
      </c>
      <c r="AG153" s="203">
        <f t="shared" ca="1" si="20"/>
        <v>10033</v>
      </c>
      <c r="AJ153" s="460" t="str">
        <f>IFERROR(VLOOKUP(申込書!$C$30,★業種!$D$2:$E$87,2,FALSE),"")</f>
        <v>1003</v>
      </c>
      <c r="AK153" s="460" t="str">
        <f ca="1">IF(申込書!$C$36="◎",IF(OR(D153="浜坂・温泉",D153="美方・村岡",D153="香住",D153="岡山",D153="大阪"),"",IF(LEFT(F153)="D","◎",IF(AG153=0,"",IFERROR(IF(VLOOKUP(AG153,★仕入先!$A$2:$C$211,3,FALSE)=0,"","◎"),"")))),"")</f>
        <v>◎</v>
      </c>
      <c r="AL153" s="460">
        <f>申込書!$H$14</f>
        <v>0</v>
      </c>
      <c r="AM153" s="460" t="str">
        <f>申込書!$C$32</f>
        <v>B4（折り無し）</v>
      </c>
      <c r="AN153" s="460" t="str">
        <f>VLOOKUP(AM153,★サイズ表記!$D$4:$E$55,2,FALSE)</f>
        <v>1001</v>
      </c>
      <c r="AO153" s="460">
        <f>IF(C153&lt;&gt;"⑧兵庫",VLOOKUP(LEFT(F153),★新聞!$A$4:$B$12,2,FALSE),IF(LEFT(F153)&lt;&gt;"S",VLOOKUP(LEFT(F153),★新聞!$A$4:$B$12,2,FALSE),VLOOKUP("X",★新聞!$A$4:$B$12,2,FALSE)))</f>
        <v>7</v>
      </c>
      <c r="AP153" s="460" t="str">
        <f t="shared" ca="1" si="21"/>
        <v>0</v>
      </c>
      <c r="AQ153" s="460" t="str">
        <f>IF(申込書!$C$38="","",申込書!$C$38)</f>
        <v/>
      </c>
    </row>
    <row r="154" spans="1:43">
      <c r="A154" s="463">
        <f t="shared" si="22"/>
        <v>153</v>
      </c>
      <c r="B154" s="463" t="str">
        <f t="shared" si="23"/>
        <v>東部</v>
      </c>
      <c r="C154" s="464" t="s">
        <v>1101</v>
      </c>
      <c r="D154" s="464" t="s">
        <v>1022</v>
      </c>
      <c r="E154" s="464">
        <f>VLOOKUP(D154,★折込地区!$A$2:$D$10,4,FALSE)</f>
        <v>1</v>
      </c>
      <c r="F154" s="464" t="s">
        <v>533</v>
      </c>
      <c r="G154" s="464" t="str">
        <f>INDEX(★新聞!$E$4:$I$12, MATCH(LEFT(F154),★新聞!$A$4:$A$12,0), MATCH(LEFT(W154),★新聞!$E$3:$I$3,0))</f>
        <v>AP</v>
      </c>
      <c r="H154" s="555" t="s">
        <v>1102</v>
      </c>
      <c r="I154" s="464" cm="1">
        <f t="array" ref="I154">IFERROR(INDEX(★原価率!$A$2:$E$50,MATCH($C154&amp;$H154,★原価率!$A$2:$A$50&amp;★原価率!$B$2:$B$50,0),3),0)</f>
        <v>74</v>
      </c>
      <c r="J154" s="464" cm="1">
        <f t="array" ref="J154">IFERROR(INDEX(★原価率!$A$2:$E$50,MATCH($C154&amp;$H154,★原価率!$A$2:$A$50&amp;★原価率!$B$2:$B$50,0),4),0)</f>
        <v>84</v>
      </c>
      <c r="K154" s="464" cm="1">
        <f t="array" ref="K154">IFERROR(INDEX(★原価率!$A$2:$E$50,MATCH($C154&amp;$H154,★原価率!$A$2:$A$50&amp;★原価率!$B$2:$B$50,0),5),0)</f>
        <v>100</v>
      </c>
      <c r="L154" s="528">
        <f>IFERROR(VLOOKUP(W154,★商品!$A$1:$H$1231,8,FALSE),0)</f>
        <v>2.8</v>
      </c>
      <c r="M154" s="203" t="str">
        <f ca="1">CONCATENATE(VLOOKUP(B154,★営業所!$A$2:$B$5,2,FALSE),TEXT(NOW(),"yyyy"))</f>
        <v>T2023</v>
      </c>
      <c r="N154" s="203">
        <v>1</v>
      </c>
      <c r="O154" s="203">
        <v>0</v>
      </c>
      <c r="P154" s="213">
        <f>申込書!$B$6</f>
        <v>0</v>
      </c>
      <c r="Q154" s="203">
        <f>申込書!$C$34</f>
        <v>1000040</v>
      </c>
      <c r="R154" s="203">
        <v>0</v>
      </c>
      <c r="U154" s="203">
        <f>VLOOKUP(B154,★営業所!$A$2:$C$5,3,FALSE)</f>
        <v>8</v>
      </c>
      <c r="V154" s="203">
        <f>申込書!$B$9</f>
        <v>0</v>
      </c>
      <c r="W154" s="203" t="str">
        <f>CONCATENATE(VLOOKUP(B154,★営業所!$A$2:$B$5,2,FALSE),VLOOKUP(申込書!$C$32,★サイズ表記!$D$4:$E$55,2,FALSE),VLOOKUP(D154,★折込地区!$A$2:$B$11,2,FALSE))</f>
        <v>T1001Tot</v>
      </c>
      <c r="X154" s="203" t="str">
        <f>CONCATENATE(申込書!$B$9," ",VLOOKUP(RIGHT(W154,3),★折込地区!$B$2:$C$10,2,FALSE),"")</f>
        <v xml:space="preserve"> 鳥取</v>
      </c>
      <c r="Z154" s="206">
        <f t="shared" ca="1" si="16"/>
        <v>0</v>
      </c>
      <c r="AB154" s="383">
        <f t="shared" si="17"/>
        <v>2.8</v>
      </c>
      <c r="AC154" s="203" t="str">
        <f t="shared" si="18"/>
        <v>V1001</v>
      </c>
      <c r="AD154" s="203" t="str">
        <f>VLOOKUP(AC154,★原価商品!$E$6:$F$349,2,FALSE)</f>
        <v>日経/B4（折り無し）</v>
      </c>
      <c r="AE154" s="203">
        <f t="shared" ca="1" si="19"/>
        <v>0</v>
      </c>
      <c r="AF154" s="383">
        <f ca="1">IFERROR(IF(VLOOKUP(申込書!$C$32,★サイズ表記!$F$4:$H$55,3,FALSE)="切り捨て",ROUNDDOWN(L154*IF(AK154="◎",I154,J154)/100,2),IF(VLOOKUP(申込書!$C$32,★サイズ表記!$F$4:$H$55,3,FALSE)="切り上げ",ROUNDUP(L154*IF(AK154="◎",I154,J154)/100,2),ROUND(L154*IF(AK154="◎",I154,J154)/100,2))),0)</f>
        <v>2.0699999999999998</v>
      </c>
      <c r="AG154" s="203">
        <f t="shared" ca="1" si="20"/>
        <v>10036</v>
      </c>
      <c r="AJ154" s="460" t="str">
        <f>IFERROR(VLOOKUP(申込書!$C$30,★業種!$D$2:$E$87,2,FALSE),"")</f>
        <v>1003</v>
      </c>
      <c r="AK154" s="460" t="str">
        <f ca="1">IF(申込書!$C$36="◎",IF(OR(D154="浜坂・温泉",D154="美方・村岡",D154="香住",D154="岡山",D154="大阪"),"",IF(LEFT(F154)="D","◎",IF(AG154=0,"",IFERROR(IF(VLOOKUP(AG154,★仕入先!$A$2:$C$211,3,FALSE)=0,"","◎"),"")))),"")</f>
        <v>◎</v>
      </c>
      <c r="AL154" s="460">
        <f>申込書!$H$14</f>
        <v>0</v>
      </c>
      <c r="AM154" s="460" t="str">
        <f>申込書!$C$32</f>
        <v>B4（折り無し）</v>
      </c>
      <c r="AN154" s="460" t="str">
        <f>VLOOKUP(AM154,★サイズ表記!$D$4:$E$55,2,FALSE)</f>
        <v>1001</v>
      </c>
      <c r="AO154" s="460">
        <f>IF(C154&lt;&gt;"⑧兵庫",VLOOKUP(LEFT(F154),★新聞!$A$4:$B$12,2,FALSE),IF(LEFT(F154)&lt;&gt;"S",VLOOKUP(LEFT(F154),★新聞!$A$4:$B$12,2,FALSE),VLOOKUP("X",★新聞!$A$4:$B$12,2,FALSE)))</f>
        <v>7</v>
      </c>
      <c r="AP154" s="460" t="str">
        <f t="shared" ca="1" si="21"/>
        <v>0</v>
      </c>
      <c r="AQ154" s="460" t="str">
        <f>IF(申込書!$C$38="","",申込書!$C$38)</f>
        <v/>
      </c>
    </row>
    <row r="155" spans="1:43">
      <c r="A155" s="463">
        <f t="shared" si="22"/>
        <v>154</v>
      </c>
      <c r="B155" s="463" t="str">
        <f t="shared" si="23"/>
        <v>東部</v>
      </c>
      <c r="C155" s="464" t="s">
        <v>1101</v>
      </c>
      <c r="D155" s="464" t="s">
        <v>1022</v>
      </c>
      <c r="E155" s="464">
        <f>VLOOKUP(D155,★折込地区!$A$2:$D$10,4,FALSE)</f>
        <v>1</v>
      </c>
      <c r="F155" s="464" t="s">
        <v>534</v>
      </c>
      <c r="G155" s="464" t="str">
        <f>INDEX(★新聞!$E$4:$I$12, MATCH(LEFT(F155),★新聞!$A$4:$A$12,0), MATCH(LEFT(W155),★新聞!$E$3:$I$3,0))</f>
        <v>AP</v>
      </c>
      <c r="H155" s="475" t="s">
        <v>1104</v>
      </c>
      <c r="I155" s="464" cm="1">
        <f t="array" ref="I155">IFERROR(INDEX(★原価率!$A$2:$E$50,MATCH($C155&amp;$H155,★原価率!$A$2:$A$50&amp;★原価率!$B$2:$B$50,0),3),0)</f>
        <v>84</v>
      </c>
      <c r="J155" s="464" cm="1">
        <f t="array" ref="J155">IFERROR(INDEX(★原価率!$A$2:$E$50,MATCH($C155&amp;$H155,★原価率!$A$2:$A$50&amp;★原価率!$B$2:$B$50,0),4),0)</f>
        <v>84</v>
      </c>
      <c r="K155" s="464" cm="1">
        <f t="array" ref="K155">IFERROR(INDEX(★原価率!$A$2:$E$50,MATCH($C155&amp;$H155,★原価率!$A$2:$A$50&amp;★原価率!$B$2:$B$50,0),5),0)</f>
        <v>100</v>
      </c>
      <c r="L155" s="528">
        <f>IFERROR(VLOOKUP(W155,★商品!$A$1:$H$1231,8,FALSE),0)</f>
        <v>2.8</v>
      </c>
      <c r="M155" s="203" t="str">
        <f ca="1">CONCATENATE(VLOOKUP(B155,★営業所!$A$2:$B$5,2,FALSE),TEXT(NOW(),"yyyy"))</f>
        <v>T2023</v>
      </c>
      <c r="N155" s="203">
        <v>1</v>
      </c>
      <c r="O155" s="203">
        <v>0</v>
      </c>
      <c r="P155" s="213">
        <f>申込書!$B$6</f>
        <v>0</v>
      </c>
      <c r="Q155" s="203">
        <f>申込書!$C$34</f>
        <v>1000040</v>
      </c>
      <c r="R155" s="203">
        <v>0</v>
      </c>
      <c r="U155" s="203">
        <f>VLOOKUP(B155,★営業所!$A$2:$C$5,3,FALSE)</f>
        <v>8</v>
      </c>
      <c r="V155" s="203">
        <f>申込書!$B$9</f>
        <v>0</v>
      </c>
      <c r="W155" s="203" t="str">
        <f>CONCATENATE(VLOOKUP(B155,★営業所!$A$2:$B$5,2,FALSE),VLOOKUP(申込書!$C$32,★サイズ表記!$D$4:$E$55,2,FALSE),VLOOKUP(D155,★折込地区!$A$2:$B$11,2,FALSE))</f>
        <v>T1001Tot</v>
      </c>
      <c r="X155" s="203" t="str">
        <f>CONCATENATE(申込書!$B$9," ",VLOOKUP(RIGHT(W155,3),★折込地区!$B$2:$C$10,2,FALSE),"")</f>
        <v xml:space="preserve"> 鳥取</v>
      </c>
      <c r="Z155" s="206">
        <f t="shared" ca="1" si="16"/>
        <v>0</v>
      </c>
      <c r="AB155" s="383">
        <f t="shared" si="17"/>
        <v>2.8</v>
      </c>
      <c r="AC155" s="203" t="str">
        <f t="shared" si="18"/>
        <v>V1001</v>
      </c>
      <c r="AD155" s="203" t="str">
        <f>VLOOKUP(AC155,★原価商品!$E$6:$F$349,2,FALSE)</f>
        <v>日経/B4（折り無し）</v>
      </c>
      <c r="AE155" s="203">
        <f t="shared" ca="1" si="19"/>
        <v>0</v>
      </c>
      <c r="AF155" s="383">
        <f ca="1">IFERROR(IF(VLOOKUP(申込書!$C$32,★サイズ表記!$F$4:$H$55,3,FALSE)="切り捨て",ROUNDDOWN(L155*IF(AK155="◎",I155,J155)/100,2),IF(VLOOKUP(申込書!$C$32,★サイズ表記!$F$4:$H$55,3,FALSE)="切り上げ",ROUNDUP(L155*IF(AK155="◎",I155,J155)/100,2),ROUND(L155*IF(AK155="◎",I155,J155)/100,2))),0)</f>
        <v>2.35</v>
      </c>
      <c r="AG155" s="203">
        <f t="shared" ca="1" si="20"/>
        <v>0</v>
      </c>
      <c r="AJ155" s="460" t="str">
        <f>IFERROR(VLOOKUP(申込書!$C$30,★業種!$D$2:$E$87,2,FALSE),"")</f>
        <v>1003</v>
      </c>
      <c r="AK155" s="460" t="str">
        <f ca="1">IF(申込書!$C$36="◎",IF(OR(D155="浜坂・温泉",D155="美方・村岡",D155="香住",D155="岡山",D155="大阪"),"",IF(LEFT(F155)="D","◎",IF(AG155=0,"",IFERROR(IF(VLOOKUP(AG155,★仕入先!$A$2:$C$211,3,FALSE)=0,"","◎"),"")))),"")</f>
        <v/>
      </c>
      <c r="AL155" s="460">
        <f>申込書!$H$14</f>
        <v>0</v>
      </c>
      <c r="AM155" s="460" t="str">
        <f>申込書!$C$32</f>
        <v>B4（折り無し）</v>
      </c>
      <c r="AN155" s="460" t="str">
        <f>VLOOKUP(AM155,★サイズ表記!$D$4:$E$55,2,FALSE)</f>
        <v>1001</v>
      </c>
      <c r="AO155" s="460">
        <f>IF(C155&lt;&gt;"⑧兵庫",VLOOKUP(LEFT(F155),★新聞!$A$4:$B$12,2,FALSE),IF(LEFT(F155)&lt;&gt;"S",VLOOKUP(LEFT(F155),★新聞!$A$4:$B$12,2,FALSE),VLOOKUP("X",★新聞!$A$4:$B$12,2,FALSE)))</f>
        <v>7</v>
      </c>
      <c r="AP155" s="460" t="str">
        <f t="shared" ca="1" si="21"/>
        <v>0</v>
      </c>
      <c r="AQ155" s="460" t="str">
        <f>IF(申込書!$C$38="","",申込書!$C$38)</f>
        <v/>
      </c>
    </row>
    <row r="156" spans="1:43">
      <c r="A156" s="463">
        <f t="shared" si="22"/>
        <v>155</v>
      </c>
      <c r="B156" s="463" t="str">
        <f t="shared" si="23"/>
        <v>東部</v>
      </c>
      <c r="C156" s="464" t="s">
        <v>1016</v>
      </c>
      <c r="D156" s="464" t="s">
        <v>1022</v>
      </c>
      <c r="E156" s="464">
        <f>VLOOKUP(D156,★折込地区!$A$2:$D$10,4,FALSE)</f>
        <v>1</v>
      </c>
      <c r="F156" s="464" t="s">
        <v>362</v>
      </c>
      <c r="G156" s="464" t="str">
        <f>INDEX(★新聞!$E$4:$I$12, MATCH(LEFT(F156),★新聞!$A$4:$A$12,0), MATCH(LEFT(W156),★新聞!$E$3:$I$3,0))</f>
        <v>X</v>
      </c>
      <c r="H156" s="475" t="s">
        <v>1105</v>
      </c>
      <c r="I156" s="464" cm="1">
        <f t="array" ref="I156">IFERROR(INDEX(★原価率!$A$2:$E$50,MATCH($C156&amp;$H156,★原価率!$A$2:$A$50&amp;★原価率!$B$2:$B$50,0),3),0)</f>
        <v>66</v>
      </c>
      <c r="J156" s="464" cm="1">
        <f t="array" ref="J156">IFERROR(INDEX(★原価率!$A$2:$E$50,MATCH($C156&amp;$H156,★原価率!$A$2:$A$50&amp;★原価率!$B$2:$B$50,0),4),0)</f>
        <v>76</v>
      </c>
      <c r="K156" s="464" cm="1">
        <f t="array" ref="K156">IFERROR(INDEX(★原価率!$A$2:$E$50,MATCH($C156&amp;$H156,★原価率!$A$2:$A$50&amp;★原価率!$B$2:$B$50,0),5),0)</f>
        <v>100</v>
      </c>
      <c r="L156" s="528">
        <f>IFERROR(VLOOKUP(W156,★商品!$A$1:$H$1231,8,FALSE),0)</f>
        <v>2.8</v>
      </c>
      <c r="M156" s="203" t="str">
        <f ca="1">CONCATENATE(VLOOKUP(B156,★営業所!$A$2:$B$5,2,FALSE),TEXT(NOW(),"yyyy"))</f>
        <v>T2023</v>
      </c>
      <c r="N156" s="203">
        <v>1</v>
      </c>
      <c r="O156" s="203">
        <v>0</v>
      </c>
      <c r="P156" s="213">
        <f>申込書!$B$6</f>
        <v>0</v>
      </c>
      <c r="Q156" s="203">
        <f>申込書!$C$34</f>
        <v>1000040</v>
      </c>
      <c r="R156" s="203">
        <v>0</v>
      </c>
      <c r="U156" s="203">
        <f>VLOOKUP(B156,★営業所!$A$2:$C$5,3,FALSE)</f>
        <v>8</v>
      </c>
      <c r="V156" s="203">
        <f>申込書!$B$9</f>
        <v>0</v>
      </c>
      <c r="W156" s="203" t="str">
        <f>CONCATENATE(VLOOKUP(B156,★営業所!$A$2:$B$5,2,FALSE),VLOOKUP(申込書!$C$32,★サイズ表記!$D$4:$E$55,2,FALSE),VLOOKUP(D156,★折込地区!$A$2:$B$11,2,FALSE))</f>
        <v>T1001Tot</v>
      </c>
      <c r="X156" s="203" t="str">
        <f>CONCATENATE(申込書!$B$9," ",VLOOKUP(RIGHT(W156,3),★折込地区!$B$2:$C$10,2,FALSE),"")</f>
        <v xml:space="preserve"> 鳥取</v>
      </c>
      <c r="Z156" s="206">
        <f t="shared" ca="1" si="16"/>
        <v>0</v>
      </c>
      <c r="AB156" s="383">
        <f t="shared" si="17"/>
        <v>2.8</v>
      </c>
      <c r="AC156" s="203" t="str">
        <f t="shared" si="18"/>
        <v>D1001</v>
      </c>
      <c r="AD156" s="203" t="str">
        <f>VLOOKUP(AC156,★原価商品!$E$6:$F$349,2,FALSE)</f>
        <v>日本海/B4（折り無し）</v>
      </c>
      <c r="AE156" s="203">
        <f t="shared" ca="1" si="19"/>
        <v>0</v>
      </c>
      <c r="AF156" s="383">
        <f>IFERROR(IF(VLOOKUP(申込書!$C$32,★サイズ表記!$F$4:$H$55,3,FALSE)="切り捨て",ROUNDDOWN(L156*IF(AK156="◎",I156,J156)/100,2),IF(VLOOKUP(申込書!$C$32,★サイズ表記!$F$4:$H$55,3,FALSE)="切り上げ",ROUNDUP(L156*IF(AK156="◎",I156,J156)/100,2),ROUND(L156*IF(AK156="◎",I156,J156)/100,2))),0)</f>
        <v>1.84</v>
      </c>
      <c r="AG156" s="203">
        <f t="shared" ca="1" si="20"/>
        <v>10414</v>
      </c>
      <c r="AJ156" s="460" t="str">
        <f>IFERROR(VLOOKUP(申込書!$C$30,★業種!$D$2:$E$87,2,FALSE),"")</f>
        <v>1003</v>
      </c>
      <c r="AK156" s="460" t="str">
        <f>IF(申込書!$C$36="◎",IF(OR(D156="浜坂・温泉",D156="美方・村岡",D156="香住",D156="岡山",D156="大阪"),"",IF(LEFT(F156)="D","◎",IF(AG156=0,"",IFERROR(IF(VLOOKUP(AG156,★仕入先!$A$2:$C$211,3,FALSE)=0,"","◎"),"")))),"")</f>
        <v>◎</v>
      </c>
      <c r="AL156" s="460">
        <f>申込書!$H$14</f>
        <v>0</v>
      </c>
      <c r="AM156" s="460" t="str">
        <f>申込書!$C$32</f>
        <v>B4（折り無し）</v>
      </c>
      <c r="AN156" s="460" t="str">
        <f>VLOOKUP(AM156,★サイズ表記!$D$4:$E$55,2,FALSE)</f>
        <v>1001</v>
      </c>
      <c r="AO156" s="460">
        <f>IF(C156&lt;&gt;"⑧兵庫",VLOOKUP(LEFT(F156),★新聞!$A$4:$B$12,2,FALSE),IF(LEFT(F156)&lt;&gt;"S",VLOOKUP(LEFT(F156),★新聞!$A$4:$B$12,2,FALSE),VLOOKUP("X",★新聞!$A$4:$B$12,2,FALSE)))</f>
        <v>1</v>
      </c>
      <c r="AP156" s="460" t="str">
        <f t="shared" ca="1" si="21"/>
        <v>0</v>
      </c>
      <c r="AQ156" s="460" t="str">
        <f>IF(申込書!$C$38="","",申込書!$C$38)</f>
        <v/>
      </c>
    </row>
    <row r="157" spans="1:43">
      <c r="A157" s="463">
        <f t="shared" si="22"/>
        <v>156</v>
      </c>
      <c r="B157" s="463" t="str">
        <f t="shared" si="23"/>
        <v>東部</v>
      </c>
      <c r="C157" s="464" t="s">
        <v>1016</v>
      </c>
      <c r="D157" s="464" t="s">
        <v>1022</v>
      </c>
      <c r="E157" s="464">
        <f>VLOOKUP(D157,★折込地区!$A$2:$D$10,4,FALSE)</f>
        <v>1</v>
      </c>
      <c r="F157" s="464" t="s">
        <v>385</v>
      </c>
      <c r="G157" s="464" t="str">
        <f>INDEX(★新聞!$E$4:$I$12, MATCH(LEFT(F157),★新聞!$A$4:$A$12,0), MATCH(LEFT(W157),★新聞!$E$3:$I$3,0))</f>
        <v>X</v>
      </c>
      <c r="H157" s="475" t="s">
        <v>1105</v>
      </c>
      <c r="I157" s="464" cm="1">
        <f t="array" ref="I157">IFERROR(INDEX(★原価率!$A$2:$E$50,MATCH($C157&amp;$H157,★原価率!$A$2:$A$50&amp;★原価率!$B$2:$B$50,0),3),0)</f>
        <v>66</v>
      </c>
      <c r="J157" s="464" cm="1">
        <f t="array" ref="J157">IFERROR(INDEX(★原価率!$A$2:$E$50,MATCH($C157&amp;$H157,★原価率!$A$2:$A$50&amp;★原価率!$B$2:$B$50,0),4),0)</f>
        <v>76</v>
      </c>
      <c r="K157" s="464" cm="1">
        <f t="array" ref="K157">IFERROR(INDEX(★原価率!$A$2:$E$50,MATCH($C157&amp;$H157,★原価率!$A$2:$A$50&amp;★原価率!$B$2:$B$50,0),5),0)</f>
        <v>100</v>
      </c>
      <c r="L157" s="528">
        <f>IFERROR(VLOOKUP(W157,★商品!$A$1:$H$1231,8,FALSE),0)</f>
        <v>2.8</v>
      </c>
      <c r="M157" s="203" t="str">
        <f ca="1">CONCATENATE(VLOOKUP(B157,★営業所!$A$2:$B$5,2,FALSE),TEXT(NOW(),"yyyy"))</f>
        <v>T2023</v>
      </c>
      <c r="N157" s="203">
        <v>1</v>
      </c>
      <c r="O157" s="203">
        <v>0</v>
      </c>
      <c r="P157" s="213">
        <f>申込書!$B$6</f>
        <v>0</v>
      </c>
      <c r="Q157" s="203">
        <f>申込書!$C$34</f>
        <v>1000040</v>
      </c>
      <c r="R157" s="203">
        <v>0</v>
      </c>
      <c r="U157" s="203">
        <f>VLOOKUP(B157,★営業所!$A$2:$C$5,3,FALSE)</f>
        <v>8</v>
      </c>
      <c r="V157" s="203">
        <f>申込書!$B$9</f>
        <v>0</v>
      </c>
      <c r="W157" s="203" t="str">
        <f>CONCATENATE(VLOOKUP(B157,★営業所!$A$2:$B$5,2,FALSE),VLOOKUP(申込書!$C$32,★サイズ表記!$D$4:$E$55,2,FALSE),VLOOKUP(D157,★折込地区!$A$2:$B$11,2,FALSE))</f>
        <v>T1001Tot</v>
      </c>
      <c r="X157" s="203" t="str">
        <f>CONCATENATE(申込書!$B$9," ",VLOOKUP(RIGHT(W157,3),★折込地区!$B$2:$C$10,2,FALSE),"")</f>
        <v xml:space="preserve"> 鳥取</v>
      </c>
      <c r="Z157" s="206">
        <f t="shared" ca="1" si="16"/>
        <v>0</v>
      </c>
      <c r="AB157" s="383">
        <f t="shared" si="17"/>
        <v>2.8</v>
      </c>
      <c r="AC157" s="203" t="str">
        <f t="shared" si="18"/>
        <v>D1001</v>
      </c>
      <c r="AD157" s="203" t="str">
        <f>VLOOKUP(AC157,★原価商品!$E$6:$F$349,2,FALSE)</f>
        <v>日本海/B4（折り無し）</v>
      </c>
      <c r="AE157" s="203">
        <f t="shared" ca="1" si="19"/>
        <v>0</v>
      </c>
      <c r="AF157" s="383">
        <f>IFERROR(IF(VLOOKUP(申込書!$C$32,★サイズ表記!$F$4:$H$55,3,FALSE)="切り捨て",ROUNDDOWN(L157*IF(AK157="◎",I157,J157)/100,2),IF(VLOOKUP(申込書!$C$32,★サイズ表記!$F$4:$H$55,3,FALSE)="切り上げ",ROUNDUP(L157*IF(AK157="◎",I157,J157)/100,2),ROUND(L157*IF(AK157="◎",I157,J157)/100,2))),0)</f>
        <v>1.84</v>
      </c>
      <c r="AG157" s="203">
        <f t="shared" ca="1" si="20"/>
        <v>10421</v>
      </c>
      <c r="AJ157" s="460" t="str">
        <f>IFERROR(VLOOKUP(申込書!$C$30,★業種!$D$2:$E$87,2,FALSE),"")</f>
        <v>1003</v>
      </c>
      <c r="AK157" s="460" t="str">
        <f>IF(申込書!$C$36="◎",IF(OR(D157="浜坂・温泉",D157="美方・村岡",D157="香住",D157="岡山",D157="大阪"),"",IF(LEFT(F157)="D","◎",IF(AG157=0,"",IFERROR(IF(VLOOKUP(AG157,★仕入先!$A$2:$C$211,3,FALSE)=0,"","◎"),"")))),"")</f>
        <v>◎</v>
      </c>
      <c r="AL157" s="460">
        <f>申込書!$H$14</f>
        <v>0</v>
      </c>
      <c r="AM157" s="460" t="str">
        <f>申込書!$C$32</f>
        <v>B4（折り無し）</v>
      </c>
      <c r="AN157" s="460" t="str">
        <f>VLOOKUP(AM157,★サイズ表記!$D$4:$E$55,2,FALSE)</f>
        <v>1001</v>
      </c>
      <c r="AO157" s="460">
        <f>IF(C157&lt;&gt;"⑧兵庫",VLOOKUP(LEFT(F157),★新聞!$A$4:$B$12,2,FALSE),IF(LEFT(F157)&lt;&gt;"S",VLOOKUP(LEFT(F157),★新聞!$A$4:$B$12,2,FALSE),VLOOKUP("X",★新聞!$A$4:$B$12,2,FALSE)))</f>
        <v>1</v>
      </c>
      <c r="AP157" s="460" t="str">
        <f t="shared" ca="1" si="21"/>
        <v>0</v>
      </c>
      <c r="AQ157" s="460" t="str">
        <f>IF(申込書!$C$38="","",申込書!$C$38)</f>
        <v/>
      </c>
    </row>
    <row r="158" spans="1:43">
      <c r="A158" s="463">
        <f t="shared" si="22"/>
        <v>157</v>
      </c>
      <c r="B158" s="463" t="str">
        <f t="shared" si="23"/>
        <v>東部</v>
      </c>
      <c r="C158" s="464" t="s">
        <v>1016</v>
      </c>
      <c r="D158" s="464" t="s">
        <v>1022</v>
      </c>
      <c r="E158" s="464">
        <f>VLOOKUP(D158,★折込地区!$A$2:$D$10,4,FALSE)</f>
        <v>1</v>
      </c>
      <c r="F158" s="464" t="s">
        <v>386</v>
      </c>
      <c r="G158" s="464" t="str">
        <f>INDEX(★新聞!$E$4:$I$12, MATCH(LEFT(F158),★新聞!$A$4:$A$12,0), MATCH(LEFT(W158),★新聞!$E$3:$I$3,0))</f>
        <v>X</v>
      </c>
      <c r="H158" s="475" t="s">
        <v>1105</v>
      </c>
      <c r="I158" s="464" cm="1">
        <f t="array" ref="I158">IFERROR(INDEX(★原価率!$A$2:$E$50,MATCH($C158&amp;$H158,★原価率!$A$2:$A$50&amp;★原価率!$B$2:$B$50,0),3),0)</f>
        <v>66</v>
      </c>
      <c r="J158" s="464" cm="1">
        <f t="array" ref="J158">IFERROR(INDEX(★原価率!$A$2:$E$50,MATCH($C158&amp;$H158,★原価率!$A$2:$A$50&amp;★原価率!$B$2:$B$50,0),4),0)</f>
        <v>76</v>
      </c>
      <c r="K158" s="464" cm="1">
        <f t="array" ref="K158">IFERROR(INDEX(★原価率!$A$2:$E$50,MATCH($C158&amp;$H158,★原価率!$A$2:$A$50&amp;★原価率!$B$2:$B$50,0),5),0)</f>
        <v>100</v>
      </c>
      <c r="L158" s="528">
        <f>IFERROR(VLOOKUP(W158,★商品!$A$1:$H$1231,8,FALSE),0)</f>
        <v>2.8</v>
      </c>
      <c r="M158" s="203" t="str">
        <f ca="1">CONCATENATE(VLOOKUP(B158,★営業所!$A$2:$B$5,2,FALSE),TEXT(NOW(),"yyyy"))</f>
        <v>T2023</v>
      </c>
      <c r="N158" s="203">
        <v>1</v>
      </c>
      <c r="O158" s="203">
        <v>0</v>
      </c>
      <c r="P158" s="213">
        <f>申込書!$B$6</f>
        <v>0</v>
      </c>
      <c r="Q158" s="203">
        <f>申込書!$C$34</f>
        <v>1000040</v>
      </c>
      <c r="R158" s="203">
        <v>0</v>
      </c>
      <c r="U158" s="203">
        <f>VLOOKUP(B158,★営業所!$A$2:$C$5,3,FALSE)</f>
        <v>8</v>
      </c>
      <c r="V158" s="203">
        <f>申込書!$B$9</f>
        <v>0</v>
      </c>
      <c r="W158" s="203" t="str">
        <f>CONCATENATE(VLOOKUP(B158,★営業所!$A$2:$B$5,2,FALSE),VLOOKUP(申込書!$C$32,★サイズ表記!$D$4:$E$55,2,FALSE),VLOOKUP(D158,★折込地区!$A$2:$B$11,2,FALSE))</f>
        <v>T1001Tot</v>
      </c>
      <c r="X158" s="203" t="str">
        <f>CONCATENATE(申込書!$B$9," ",VLOOKUP(RIGHT(W158,3),★折込地区!$B$2:$C$10,2,FALSE),"")</f>
        <v xml:space="preserve"> 鳥取</v>
      </c>
      <c r="Z158" s="206">
        <f t="shared" ca="1" si="16"/>
        <v>0</v>
      </c>
      <c r="AB158" s="383">
        <f t="shared" si="17"/>
        <v>2.8</v>
      </c>
      <c r="AC158" s="203" t="str">
        <f t="shared" si="18"/>
        <v>D1001</v>
      </c>
      <c r="AD158" s="203" t="str">
        <f>VLOOKUP(AC158,★原価商品!$E$6:$F$349,2,FALSE)</f>
        <v>日本海/B4（折り無し）</v>
      </c>
      <c r="AE158" s="203">
        <f t="shared" ca="1" si="19"/>
        <v>0</v>
      </c>
      <c r="AF158" s="383">
        <f>IFERROR(IF(VLOOKUP(申込書!$C$32,★サイズ表記!$F$4:$H$55,3,FALSE)="切り捨て",ROUNDDOWN(L158*IF(AK158="◎",I158,J158)/100,2),IF(VLOOKUP(申込書!$C$32,★サイズ表記!$F$4:$H$55,3,FALSE)="切り上げ",ROUNDUP(L158*IF(AK158="◎",I158,J158)/100,2),ROUND(L158*IF(AK158="◎",I158,J158)/100,2))),0)</f>
        <v>1.84</v>
      </c>
      <c r="AG158" s="203">
        <f t="shared" ca="1" si="20"/>
        <v>10434</v>
      </c>
      <c r="AJ158" s="460" t="str">
        <f>IFERROR(VLOOKUP(申込書!$C$30,★業種!$D$2:$E$87,2,FALSE),"")</f>
        <v>1003</v>
      </c>
      <c r="AK158" s="460" t="str">
        <f>IF(申込書!$C$36="◎",IF(OR(D158="浜坂・温泉",D158="美方・村岡",D158="香住",D158="岡山",D158="大阪"),"",IF(LEFT(F158)="D","◎",IF(AG158=0,"",IFERROR(IF(VLOOKUP(AG158,★仕入先!$A$2:$C$211,3,FALSE)=0,"","◎"),"")))),"")</f>
        <v>◎</v>
      </c>
      <c r="AL158" s="460">
        <f>申込書!$H$14</f>
        <v>0</v>
      </c>
      <c r="AM158" s="460" t="str">
        <f>申込書!$C$32</f>
        <v>B4（折り無し）</v>
      </c>
      <c r="AN158" s="460" t="str">
        <f>VLOOKUP(AM158,★サイズ表記!$D$4:$E$55,2,FALSE)</f>
        <v>1001</v>
      </c>
      <c r="AO158" s="460">
        <f>IF(C158&lt;&gt;"⑧兵庫",VLOOKUP(LEFT(F158),★新聞!$A$4:$B$12,2,FALSE),IF(LEFT(F158)&lt;&gt;"S",VLOOKUP(LEFT(F158),★新聞!$A$4:$B$12,2,FALSE),VLOOKUP("X",★新聞!$A$4:$B$12,2,FALSE)))</f>
        <v>1</v>
      </c>
      <c r="AP158" s="460" t="str">
        <f t="shared" ca="1" si="21"/>
        <v>0</v>
      </c>
      <c r="AQ158" s="460" t="str">
        <f>IF(申込書!$C$38="","",申込書!$C$38)</f>
        <v/>
      </c>
    </row>
    <row r="159" spans="1:43">
      <c r="A159" s="463">
        <f t="shared" si="22"/>
        <v>158</v>
      </c>
      <c r="B159" s="463" t="str">
        <f t="shared" si="23"/>
        <v>東部</v>
      </c>
      <c r="C159" s="464" t="s">
        <v>1016</v>
      </c>
      <c r="D159" s="464" t="s">
        <v>1022</v>
      </c>
      <c r="E159" s="464">
        <f>VLOOKUP(D159,★折込地区!$A$2:$D$10,4,FALSE)</f>
        <v>1</v>
      </c>
      <c r="F159" s="464" t="s">
        <v>387</v>
      </c>
      <c r="G159" s="464" t="str">
        <f>INDEX(★新聞!$E$4:$I$12, MATCH(LEFT(F159),★新聞!$A$4:$A$12,0), MATCH(LEFT(W159),★新聞!$E$3:$I$3,0))</f>
        <v>X</v>
      </c>
      <c r="H159" s="475" t="s">
        <v>1105</v>
      </c>
      <c r="I159" s="464" cm="1">
        <f t="array" ref="I159">IFERROR(INDEX(★原価率!$A$2:$E$50,MATCH($C159&amp;$H159,★原価率!$A$2:$A$50&amp;★原価率!$B$2:$B$50,0),3),0)</f>
        <v>66</v>
      </c>
      <c r="J159" s="464" cm="1">
        <f t="array" ref="J159">IFERROR(INDEX(★原価率!$A$2:$E$50,MATCH($C159&amp;$H159,★原価率!$A$2:$A$50&amp;★原価率!$B$2:$B$50,0),4),0)</f>
        <v>76</v>
      </c>
      <c r="K159" s="464" cm="1">
        <f t="array" ref="K159">IFERROR(INDEX(★原価率!$A$2:$E$50,MATCH($C159&amp;$H159,★原価率!$A$2:$A$50&amp;★原価率!$B$2:$B$50,0),5),0)</f>
        <v>100</v>
      </c>
      <c r="L159" s="528">
        <f>IFERROR(VLOOKUP(W159,★商品!$A$1:$H$1231,8,FALSE),0)</f>
        <v>2.8</v>
      </c>
      <c r="M159" s="203" t="str">
        <f ca="1">CONCATENATE(VLOOKUP(B159,★営業所!$A$2:$B$5,2,FALSE),TEXT(NOW(),"yyyy"))</f>
        <v>T2023</v>
      </c>
      <c r="N159" s="203">
        <v>1</v>
      </c>
      <c r="O159" s="203">
        <v>0</v>
      </c>
      <c r="P159" s="213">
        <f>申込書!$B$6</f>
        <v>0</v>
      </c>
      <c r="Q159" s="203">
        <f>申込書!$C$34</f>
        <v>1000040</v>
      </c>
      <c r="R159" s="203">
        <v>0</v>
      </c>
      <c r="U159" s="203">
        <f>VLOOKUP(B159,★営業所!$A$2:$C$5,3,FALSE)</f>
        <v>8</v>
      </c>
      <c r="V159" s="203">
        <f>申込書!$B$9</f>
        <v>0</v>
      </c>
      <c r="W159" s="203" t="str">
        <f>CONCATENATE(VLOOKUP(B159,★営業所!$A$2:$B$5,2,FALSE),VLOOKUP(申込書!$C$32,★サイズ表記!$D$4:$E$55,2,FALSE),VLOOKUP(D159,★折込地区!$A$2:$B$11,2,FALSE))</f>
        <v>T1001Tot</v>
      </c>
      <c r="X159" s="203" t="str">
        <f>CONCATENATE(申込書!$B$9," ",VLOOKUP(RIGHT(W159,3),★折込地区!$B$2:$C$10,2,FALSE),"")</f>
        <v xml:space="preserve"> 鳥取</v>
      </c>
      <c r="Z159" s="206">
        <f t="shared" ca="1" si="16"/>
        <v>0</v>
      </c>
      <c r="AB159" s="383">
        <f t="shared" si="17"/>
        <v>2.8</v>
      </c>
      <c r="AC159" s="203" t="str">
        <f t="shared" si="18"/>
        <v>D1001</v>
      </c>
      <c r="AD159" s="203" t="str">
        <f>VLOOKUP(AC159,★原価商品!$E$6:$F$349,2,FALSE)</f>
        <v>日本海/B4（折り無し）</v>
      </c>
      <c r="AE159" s="203">
        <f t="shared" ca="1" si="19"/>
        <v>0</v>
      </c>
      <c r="AF159" s="383">
        <f>IFERROR(IF(VLOOKUP(申込書!$C$32,★サイズ表記!$F$4:$H$55,3,FALSE)="切り捨て",ROUNDDOWN(L159*IF(AK159="◎",I159,J159)/100,2),IF(VLOOKUP(申込書!$C$32,★サイズ表記!$F$4:$H$55,3,FALSE)="切り上げ",ROUNDUP(L159*IF(AK159="◎",I159,J159)/100,2),ROUND(L159*IF(AK159="◎",I159,J159)/100,2))),0)</f>
        <v>1.84</v>
      </c>
      <c r="AG159" s="203">
        <f t="shared" ca="1" si="20"/>
        <v>10441</v>
      </c>
      <c r="AJ159" s="460" t="str">
        <f>IFERROR(VLOOKUP(申込書!$C$30,★業種!$D$2:$E$87,2,FALSE),"")</f>
        <v>1003</v>
      </c>
      <c r="AK159" s="460" t="str">
        <f>IF(申込書!$C$36="◎",IF(OR(D159="浜坂・温泉",D159="美方・村岡",D159="香住",D159="岡山",D159="大阪"),"",IF(LEFT(F159)="D","◎",IF(AG159=0,"",IFERROR(IF(VLOOKUP(AG159,★仕入先!$A$2:$C$211,3,FALSE)=0,"","◎"),"")))),"")</f>
        <v>◎</v>
      </c>
      <c r="AL159" s="460">
        <f>申込書!$H$14</f>
        <v>0</v>
      </c>
      <c r="AM159" s="460" t="str">
        <f>申込書!$C$32</f>
        <v>B4（折り無し）</v>
      </c>
      <c r="AN159" s="460" t="str">
        <f>VLOOKUP(AM159,★サイズ表記!$D$4:$E$55,2,FALSE)</f>
        <v>1001</v>
      </c>
      <c r="AO159" s="460">
        <f>IF(C159&lt;&gt;"⑧兵庫",VLOOKUP(LEFT(F159),★新聞!$A$4:$B$12,2,FALSE),IF(LEFT(F159)&lt;&gt;"S",VLOOKUP(LEFT(F159),★新聞!$A$4:$B$12,2,FALSE),VLOOKUP("X",★新聞!$A$4:$B$12,2,FALSE)))</f>
        <v>1</v>
      </c>
      <c r="AP159" s="460" t="str">
        <f t="shared" ca="1" si="21"/>
        <v>0</v>
      </c>
      <c r="AQ159" s="460" t="str">
        <f>IF(申込書!$C$38="","",申込書!$C$38)</f>
        <v/>
      </c>
    </row>
    <row r="160" spans="1:43">
      <c r="A160" s="463">
        <f t="shared" si="22"/>
        <v>159</v>
      </c>
      <c r="B160" s="463" t="str">
        <f t="shared" si="23"/>
        <v>東部</v>
      </c>
      <c r="C160" s="464" t="s">
        <v>1016</v>
      </c>
      <c r="D160" s="464" t="s">
        <v>1022</v>
      </c>
      <c r="E160" s="464">
        <f>VLOOKUP(D160,★折込地区!$A$2:$D$10,4,FALSE)</f>
        <v>1</v>
      </c>
      <c r="F160" s="464" t="s">
        <v>390</v>
      </c>
      <c r="G160" s="464" t="str">
        <f>INDEX(★新聞!$E$4:$I$12, MATCH(LEFT(F160),★新聞!$A$4:$A$12,0), MATCH(LEFT(W160),★新聞!$E$3:$I$3,0))</f>
        <v>X</v>
      </c>
      <c r="H160" s="475" t="s">
        <v>1105</v>
      </c>
      <c r="I160" s="464" cm="1">
        <f t="array" ref="I160">IFERROR(INDEX(★原価率!$A$2:$E$50,MATCH($C160&amp;$H160,★原価率!$A$2:$A$50&amp;★原価率!$B$2:$B$50,0),3),0)</f>
        <v>66</v>
      </c>
      <c r="J160" s="464" cm="1">
        <f t="array" ref="J160">IFERROR(INDEX(★原価率!$A$2:$E$50,MATCH($C160&amp;$H160,★原価率!$A$2:$A$50&amp;★原価率!$B$2:$B$50,0),4),0)</f>
        <v>76</v>
      </c>
      <c r="K160" s="464" cm="1">
        <f t="array" ref="K160">IFERROR(INDEX(★原価率!$A$2:$E$50,MATCH($C160&amp;$H160,★原価率!$A$2:$A$50&amp;★原価率!$B$2:$B$50,0),5),0)</f>
        <v>100</v>
      </c>
      <c r="L160" s="528">
        <f>IFERROR(VLOOKUP(W160,★商品!$A$1:$H$1231,8,FALSE),0)</f>
        <v>2.8</v>
      </c>
      <c r="M160" s="203" t="str">
        <f ca="1">CONCATENATE(VLOOKUP(B160,★営業所!$A$2:$B$5,2,FALSE),TEXT(NOW(),"yyyy"))</f>
        <v>T2023</v>
      </c>
      <c r="N160" s="203">
        <v>1</v>
      </c>
      <c r="O160" s="203">
        <v>0</v>
      </c>
      <c r="P160" s="213">
        <f>申込書!$B$6</f>
        <v>0</v>
      </c>
      <c r="Q160" s="203">
        <f>申込書!$C$34</f>
        <v>1000040</v>
      </c>
      <c r="R160" s="203">
        <v>0</v>
      </c>
      <c r="U160" s="203">
        <f>VLOOKUP(B160,★営業所!$A$2:$C$5,3,FALSE)</f>
        <v>8</v>
      </c>
      <c r="V160" s="203">
        <f>申込書!$B$9</f>
        <v>0</v>
      </c>
      <c r="W160" s="203" t="str">
        <f>CONCATENATE(VLOOKUP(B160,★営業所!$A$2:$B$5,2,FALSE),VLOOKUP(申込書!$C$32,★サイズ表記!$D$4:$E$55,2,FALSE),VLOOKUP(D160,★折込地区!$A$2:$B$11,2,FALSE))</f>
        <v>T1001Tot</v>
      </c>
      <c r="X160" s="203" t="str">
        <f>CONCATENATE(申込書!$B$9," ",VLOOKUP(RIGHT(W160,3),★折込地区!$B$2:$C$10,2,FALSE),"")</f>
        <v xml:space="preserve"> 鳥取</v>
      </c>
      <c r="Z160" s="206">
        <f t="shared" ca="1" si="16"/>
        <v>0</v>
      </c>
      <c r="AB160" s="383">
        <f t="shared" si="17"/>
        <v>2.8</v>
      </c>
      <c r="AC160" s="203" t="str">
        <f t="shared" si="18"/>
        <v>D1001</v>
      </c>
      <c r="AD160" s="203" t="str">
        <f>VLOOKUP(AC160,★原価商品!$E$6:$F$349,2,FALSE)</f>
        <v>日本海/B4（折り無し）</v>
      </c>
      <c r="AE160" s="203">
        <f t="shared" ca="1" si="19"/>
        <v>0</v>
      </c>
      <c r="AF160" s="383">
        <f>IFERROR(IF(VLOOKUP(申込書!$C$32,★サイズ表記!$F$4:$H$55,3,FALSE)="切り捨て",ROUNDDOWN(L160*IF(AK160="◎",I160,J160)/100,2),IF(VLOOKUP(申込書!$C$32,★サイズ表記!$F$4:$H$55,3,FALSE)="切り上げ",ROUNDUP(L160*IF(AK160="◎",I160,J160)/100,2),ROUND(L160*IF(AK160="◎",I160,J160)/100,2))),0)</f>
        <v>1.84</v>
      </c>
      <c r="AG160" s="203">
        <f t="shared" ca="1" si="20"/>
        <v>10451</v>
      </c>
      <c r="AJ160" s="460" t="str">
        <f>IFERROR(VLOOKUP(申込書!$C$30,★業種!$D$2:$E$87,2,FALSE),"")</f>
        <v>1003</v>
      </c>
      <c r="AK160" s="460" t="str">
        <f>IF(申込書!$C$36="◎",IF(OR(D160="浜坂・温泉",D160="美方・村岡",D160="香住",D160="岡山",D160="大阪"),"",IF(LEFT(F160)="D","◎",IF(AG160=0,"",IFERROR(IF(VLOOKUP(AG160,★仕入先!$A$2:$C$211,3,FALSE)=0,"","◎"),"")))),"")</f>
        <v>◎</v>
      </c>
      <c r="AL160" s="460">
        <f>申込書!$H$14</f>
        <v>0</v>
      </c>
      <c r="AM160" s="460" t="str">
        <f>申込書!$C$32</f>
        <v>B4（折り無し）</v>
      </c>
      <c r="AN160" s="460" t="str">
        <f>VLOOKUP(AM160,★サイズ表記!$D$4:$E$55,2,FALSE)</f>
        <v>1001</v>
      </c>
      <c r="AO160" s="460">
        <f>IF(C160&lt;&gt;"⑧兵庫",VLOOKUP(LEFT(F160),★新聞!$A$4:$B$12,2,FALSE),IF(LEFT(F160)&lt;&gt;"S",VLOOKUP(LEFT(F160),★新聞!$A$4:$B$12,2,FALSE),VLOOKUP("X",★新聞!$A$4:$B$12,2,FALSE)))</f>
        <v>1</v>
      </c>
      <c r="AP160" s="460" t="str">
        <f t="shared" ca="1" si="21"/>
        <v>0</v>
      </c>
      <c r="AQ160" s="460" t="str">
        <f>IF(申込書!$C$38="","",申込書!$C$38)</f>
        <v/>
      </c>
    </row>
    <row r="161" spans="1:43">
      <c r="A161" s="463">
        <f t="shared" si="22"/>
        <v>160</v>
      </c>
      <c r="B161" s="463" t="str">
        <f t="shared" si="23"/>
        <v>東部</v>
      </c>
      <c r="C161" s="464" t="s">
        <v>1016</v>
      </c>
      <c r="D161" s="464" t="s">
        <v>1022</v>
      </c>
      <c r="E161" s="464">
        <f>VLOOKUP(D161,★折込地区!$A$2:$D$10,4,FALSE)</f>
        <v>1</v>
      </c>
      <c r="F161" s="464" t="s">
        <v>391</v>
      </c>
      <c r="G161" s="464" t="str">
        <f>INDEX(★新聞!$E$4:$I$12, MATCH(LEFT(F161),★新聞!$A$4:$A$12,0), MATCH(LEFT(W161),★新聞!$E$3:$I$3,0))</f>
        <v>X</v>
      </c>
      <c r="H161" s="475" t="s">
        <v>1105</v>
      </c>
      <c r="I161" s="464" cm="1">
        <f t="array" ref="I161">IFERROR(INDEX(★原価率!$A$2:$E$50,MATCH($C161&amp;$H161,★原価率!$A$2:$A$50&amp;★原価率!$B$2:$B$50,0),3),0)</f>
        <v>66</v>
      </c>
      <c r="J161" s="464" cm="1">
        <f t="array" ref="J161">IFERROR(INDEX(★原価率!$A$2:$E$50,MATCH($C161&amp;$H161,★原価率!$A$2:$A$50&amp;★原価率!$B$2:$B$50,0),4),0)</f>
        <v>76</v>
      </c>
      <c r="K161" s="464" cm="1">
        <f t="array" ref="K161">IFERROR(INDEX(★原価率!$A$2:$E$50,MATCH($C161&amp;$H161,★原価率!$A$2:$A$50&amp;★原価率!$B$2:$B$50,0),5),0)</f>
        <v>100</v>
      </c>
      <c r="L161" s="528">
        <f>IFERROR(VLOOKUP(W161,★商品!$A$1:$H$1231,8,FALSE),0)</f>
        <v>2.8</v>
      </c>
      <c r="M161" s="203" t="str">
        <f ca="1">CONCATENATE(VLOOKUP(B161,★営業所!$A$2:$B$5,2,FALSE),TEXT(NOW(),"yyyy"))</f>
        <v>T2023</v>
      </c>
      <c r="N161" s="203">
        <v>1</v>
      </c>
      <c r="O161" s="203">
        <v>0</v>
      </c>
      <c r="P161" s="213">
        <f>申込書!$B$6</f>
        <v>0</v>
      </c>
      <c r="Q161" s="203">
        <f>申込書!$C$34</f>
        <v>1000040</v>
      </c>
      <c r="R161" s="203">
        <v>0</v>
      </c>
      <c r="U161" s="203">
        <f>VLOOKUP(B161,★営業所!$A$2:$C$5,3,FALSE)</f>
        <v>8</v>
      </c>
      <c r="V161" s="203">
        <f>申込書!$B$9</f>
        <v>0</v>
      </c>
      <c r="W161" s="203" t="str">
        <f>CONCATENATE(VLOOKUP(B161,★営業所!$A$2:$B$5,2,FALSE),VLOOKUP(申込書!$C$32,★サイズ表記!$D$4:$E$55,2,FALSE),VLOOKUP(D161,★折込地区!$A$2:$B$11,2,FALSE))</f>
        <v>T1001Tot</v>
      </c>
      <c r="X161" s="203" t="str">
        <f>CONCATENATE(申込書!$B$9," ",VLOOKUP(RIGHT(W161,3),★折込地区!$B$2:$C$10,2,FALSE),"")</f>
        <v xml:space="preserve"> 鳥取</v>
      </c>
      <c r="Z161" s="206">
        <f t="shared" ca="1" si="16"/>
        <v>0</v>
      </c>
      <c r="AB161" s="383">
        <f t="shared" si="17"/>
        <v>2.8</v>
      </c>
      <c r="AC161" s="203" t="str">
        <f t="shared" si="18"/>
        <v>D1001</v>
      </c>
      <c r="AD161" s="203" t="str">
        <f>VLOOKUP(AC161,★原価商品!$E$6:$F$349,2,FALSE)</f>
        <v>日本海/B4（折り無し）</v>
      </c>
      <c r="AE161" s="203">
        <f t="shared" ca="1" si="19"/>
        <v>0</v>
      </c>
      <c r="AF161" s="383">
        <f>IFERROR(IF(VLOOKUP(申込書!$C$32,★サイズ表記!$F$4:$H$55,3,FALSE)="切り捨て",ROUNDDOWN(L161*IF(AK161="◎",I161,J161)/100,2),IF(VLOOKUP(申込書!$C$32,★サイズ表記!$F$4:$H$55,3,FALSE)="切り上げ",ROUNDUP(L161*IF(AK161="◎",I161,J161)/100,2),ROUND(L161*IF(AK161="◎",I161,J161)/100,2))),0)</f>
        <v>1.84</v>
      </c>
      <c r="AG161" s="203">
        <f t="shared" ca="1" si="20"/>
        <v>10461</v>
      </c>
      <c r="AJ161" s="460" t="str">
        <f>IFERROR(VLOOKUP(申込書!$C$30,★業種!$D$2:$E$87,2,FALSE),"")</f>
        <v>1003</v>
      </c>
      <c r="AK161" s="460" t="str">
        <f>IF(申込書!$C$36="◎",IF(OR(D161="浜坂・温泉",D161="美方・村岡",D161="香住",D161="岡山",D161="大阪"),"",IF(LEFT(F161)="D","◎",IF(AG161=0,"",IFERROR(IF(VLOOKUP(AG161,★仕入先!$A$2:$C$211,3,FALSE)=0,"","◎"),"")))),"")</f>
        <v>◎</v>
      </c>
      <c r="AL161" s="460">
        <f>申込書!$H$14</f>
        <v>0</v>
      </c>
      <c r="AM161" s="460" t="str">
        <f>申込書!$C$32</f>
        <v>B4（折り無し）</v>
      </c>
      <c r="AN161" s="460" t="str">
        <f>VLOOKUP(AM161,★サイズ表記!$D$4:$E$55,2,FALSE)</f>
        <v>1001</v>
      </c>
      <c r="AO161" s="460">
        <f>IF(C161&lt;&gt;"⑧兵庫",VLOOKUP(LEFT(F161),★新聞!$A$4:$B$12,2,FALSE),IF(LEFT(F161)&lt;&gt;"S",VLOOKUP(LEFT(F161),★新聞!$A$4:$B$12,2,FALSE),VLOOKUP("X",★新聞!$A$4:$B$12,2,FALSE)))</f>
        <v>1</v>
      </c>
      <c r="AP161" s="460" t="str">
        <f t="shared" ca="1" si="21"/>
        <v>0</v>
      </c>
      <c r="AQ161" s="460" t="str">
        <f>IF(申込書!$C$38="","",申込書!$C$38)</f>
        <v/>
      </c>
    </row>
    <row r="162" spans="1:43">
      <c r="A162" s="463">
        <f t="shared" si="22"/>
        <v>161</v>
      </c>
      <c r="B162" s="463" t="str">
        <f t="shared" si="23"/>
        <v>東部</v>
      </c>
      <c r="C162" s="464" t="s">
        <v>1016</v>
      </c>
      <c r="D162" s="464" t="s">
        <v>1022</v>
      </c>
      <c r="E162" s="464">
        <f>VLOOKUP(D162,★折込地区!$A$2:$D$10,4,FALSE)</f>
        <v>1</v>
      </c>
      <c r="F162" s="464" t="s">
        <v>392</v>
      </c>
      <c r="G162" s="464" t="str">
        <f>INDEX(★新聞!$E$4:$I$12, MATCH(LEFT(F162),★新聞!$A$4:$A$12,0), MATCH(LEFT(W162),★新聞!$E$3:$I$3,0))</f>
        <v>X</v>
      </c>
      <c r="H162" s="475" t="s">
        <v>1105</v>
      </c>
      <c r="I162" s="464" cm="1">
        <f t="array" ref="I162">IFERROR(INDEX(★原価率!$A$2:$E$50,MATCH($C162&amp;$H162,★原価率!$A$2:$A$50&amp;★原価率!$B$2:$B$50,0),3),0)</f>
        <v>66</v>
      </c>
      <c r="J162" s="464" cm="1">
        <f t="array" ref="J162">IFERROR(INDEX(★原価率!$A$2:$E$50,MATCH($C162&amp;$H162,★原価率!$A$2:$A$50&amp;★原価率!$B$2:$B$50,0),4),0)</f>
        <v>76</v>
      </c>
      <c r="K162" s="464" cm="1">
        <f t="array" ref="K162">IFERROR(INDEX(★原価率!$A$2:$E$50,MATCH($C162&amp;$H162,★原価率!$A$2:$A$50&amp;★原価率!$B$2:$B$50,0),5),0)</f>
        <v>100</v>
      </c>
      <c r="L162" s="528">
        <f>IFERROR(VLOOKUP(W162,★商品!$A$1:$H$1231,8,FALSE),0)</f>
        <v>2.8</v>
      </c>
      <c r="M162" s="203" t="str">
        <f ca="1">CONCATENATE(VLOOKUP(B162,★営業所!$A$2:$B$5,2,FALSE),TEXT(NOW(),"yyyy"))</f>
        <v>T2023</v>
      </c>
      <c r="N162" s="203">
        <v>1</v>
      </c>
      <c r="O162" s="203">
        <v>0</v>
      </c>
      <c r="P162" s="213">
        <f>申込書!$B$6</f>
        <v>0</v>
      </c>
      <c r="Q162" s="203">
        <f>申込書!$C$34</f>
        <v>1000040</v>
      </c>
      <c r="R162" s="203">
        <v>0</v>
      </c>
      <c r="U162" s="203">
        <f>VLOOKUP(B162,★営業所!$A$2:$C$5,3,FALSE)</f>
        <v>8</v>
      </c>
      <c r="V162" s="203">
        <f>申込書!$B$9</f>
        <v>0</v>
      </c>
      <c r="W162" s="203" t="str">
        <f>CONCATENATE(VLOOKUP(B162,★営業所!$A$2:$B$5,2,FALSE),VLOOKUP(申込書!$C$32,★サイズ表記!$D$4:$E$55,2,FALSE),VLOOKUP(D162,★折込地区!$A$2:$B$11,2,FALSE))</f>
        <v>T1001Tot</v>
      </c>
      <c r="X162" s="203" t="str">
        <f>CONCATENATE(申込書!$B$9," ",VLOOKUP(RIGHT(W162,3),★折込地区!$B$2:$C$10,2,FALSE),"")</f>
        <v xml:space="preserve"> 鳥取</v>
      </c>
      <c r="Z162" s="206">
        <f t="shared" ca="1" si="16"/>
        <v>0</v>
      </c>
      <c r="AB162" s="383">
        <f t="shared" si="17"/>
        <v>2.8</v>
      </c>
      <c r="AC162" s="203" t="str">
        <f t="shared" si="18"/>
        <v>D1001</v>
      </c>
      <c r="AD162" s="203" t="str">
        <f>VLOOKUP(AC162,★原価商品!$E$6:$F$349,2,FALSE)</f>
        <v>日本海/B4（折り無し）</v>
      </c>
      <c r="AE162" s="203">
        <f t="shared" ca="1" si="19"/>
        <v>0</v>
      </c>
      <c r="AF162" s="383">
        <f>IFERROR(IF(VLOOKUP(申込書!$C$32,★サイズ表記!$F$4:$H$55,3,FALSE)="切り捨て",ROUNDDOWN(L162*IF(AK162="◎",I162,J162)/100,2),IF(VLOOKUP(申込書!$C$32,★サイズ表記!$F$4:$H$55,3,FALSE)="切り上げ",ROUNDUP(L162*IF(AK162="◎",I162,J162)/100,2),ROUND(L162*IF(AK162="◎",I162,J162)/100,2))),0)</f>
        <v>1.84</v>
      </c>
      <c r="AG162" s="203">
        <f t="shared" ca="1" si="20"/>
        <v>10462</v>
      </c>
      <c r="AJ162" s="460" t="str">
        <f>IFERROR(VLOOKUP(申込書!$C$30,★業種!$D$2:$E$87,2,FALSE),"")</f>
        <v>1003</v>
      </c>
      <c r="AK162" s="460" t="str">
        <f>IF(申込書!$C$36="◎",IF(OR(D162="浜坂・温泉",D162="美方・村岡",D162="香住",D162="岡山",D162="大阪"),"",IF(LEFT(F162)="D","◎",IF(AG162=0,"",IFERROR(IF(VLOOKUP(AG162,★仕入先!$A$2:$C$211,3,FALSE)=0,"","◎"),"")))),"")</f>
        <v>◎</v>
      </c>
      <c r="AL162" s="460">
        <f>申込書!$H$14</f>
        <v>0</v>
      </c>
      <c r="AM162" s="460" t="str">
        <f>申込書!$C$32</f>
        <v>B4（折り無し）</v>
      </c>
      <c r="AN162" s="460" t="str">
        <f>VLOOKUP(AM162,★サイズ表記!$D$4:$E$55,2,FALSE)</f>
        <v>1001</v>
      </c>
      <c r="AO162" s="460">
        <f>IF(C162&lt;&gt;"⑧兵庫",VLOOKUP(LEFT(F162),★新聞!$A$4:$B$12,2,FALSE),IF(LEFT(F162)&lt;&gt;"S",VLOOKUP(LEFT(F162),★新聞!$A$4:$B$12,2,FALSE),VLOOKUP("X",★新聞!$A$4:$B$12,2,FALSE)))</f>
        <v>1</v>
      </c>
      <c r="AP162" s="460" t="str">
        <f t="shared" ca="1" si="21"/>
        <v>0</v>
      </c>
      <c r="AQ162" s="460" t="str">
        <f>IF(申込書!$C$38="","",申込書!$C$38)</f>
        <v/>
      </c>
    </row>
    <row r="163" spans="1:43">
      <c r="A163" s="463">
        <f t="shared" si="22"/>
        <v>162</v>
      </c>
      <c r="B163" s="463" t="str">
        <f t="shared" si="23"/>
        <v>東部</v>
      </c>
      <c r="C163" s="464" t="s">
        <v>1016</v>
      </c>
      <c r="D163" s="464" t="s">
        <v>1022</v>
      </c>
      <c r="E163" s="464">
        <f>VLOOKUP(D163,★折込地区!$A$2:$D$10,4,FALSE)</f>
        <v>1</v>
      </c>
      <c r="F163" s="464" t="s">
        <v>393</v>
      </c>
      <c r="G163" s="464" t="str">
        <f>INDEX(★新聞!$E$4:$I$12, MATCH(LEFT(F163),★新聞!$A$4:$A$12,0), MATCH(LEFT(W163),★新聞!$E$3:$I$3,0))</f>
        <v>X</v>
      </c>
      <c r="H163" s="475" t="s">
        <v>1105</v>
      </c>
      <c r="I163" s="464" cm="1">
        <f t="array" ref="I163">IFERROR(INDEX(★原価率!$A$2:$E$50,MATCH($C163&amp;$H163,★原価率!$A$2:$A$50&amp;★原価率!$B$2:$B$50,0),3),0)</f>
        <v>66</v>
      </c>
      <c r="J163" s="464" cm="1">
        <f t="array" ref="J163">IFERROR(INDEX(★原価率!$A$2:$E$50,MATCH($C163&amp;$H163,★原価率!$A$2:$A$50&amp;★原価率!$B$2:$B$50,0),4),0)</f>
        <v>76</v>
      </c>
      <c r="K163" s="464" cm="1">
        <f t="array" ref="K163">IFERROR(INDEX(★原価率!$A$2:$E$50,MATCH($C163&amp;$H163,★原価率!$A$2:$A$50&amp;★原価率!$B$2:$B$50,0),5),0)</f>
        <v>100</v>
      </c>
      <c r="L163" s="528">
        <f>IFERROR(VLOOKUP(W163,★商品!$A$1:$H$1231,8,FALSE),0)</f>
        <v>2.8</v>
      </c>
      <c r="M163" s="203" t="str">
        <f ca="1">CONCATENATE(VLOOKUP(B163,★営業所!$A$2:$B$5,2,FALSE),TEXT(NOW(),"yyyy"))</f>
        <v>T2023</v>
      </c>
      <c r="N163" s="203">
        <v>1</v>
      </c>
      <c r="O163" s="203">
        <v>0</v>
      </c>
      <c r="P163" s="213">
        <f>申込書!$B$6</f>
        <v>0</v>
      </c>
      <c r="Q163" s="203">
        <f>申込書!$C$34</f>
        <v>1000040</v>
      </c>
      <c r="R163" s="203">
        <v>0</v>
      </c>
      <c r="U163" s="203">
        <f>VLOOKUP(B163,★営業所!$A$2:$C$5,3,FALSE)</f>
        <v>8</v>
      </c>
      <c r="V163" s="203">
        <f>申込書!$B$9</f>
        <v>0</v>
      </c>
      <c r="W163" s="203" t="str">
        <f>CONCATENATE(VLOOKUP(B163,★営業所!$A$2:$B$5,2,FALSE),VLOOKUP(申込書!$C$32,★サイズ表記!$D$4:$E$55,2,FALSE),VLOOKUP(D163,★折込地区!$A$2:$B$11,2,FALSE))</f>
        <v>T1001Tot</v>
      </c>
      <c r="X163" s="203" t="str">
        <f>CONCATENATE(申込書!$B$9," ",VLOOKUP(RIGHT(W163,3),★折込地区!$B$2:$C$10,2,FALSE),"")</f>
        <v xml:space="preserve"> 鳥取</v>
      </c>
      <c r="Z163" s="206">
        <f t="shared" ca="1" si="16"/>
        <v>0</v>
      </c>
      <c r="AB163" s="383">
        <f t="shared" si="17"/>
        <v>2.8</v>
      </c>
      <c r="AC163" s="203" t="str">
        <f t="shared" si="18"/>
        <v>D1001</v>
      </c>
      <c r="AD163" s="203" t="str">
        <f>VLOOKUP(AC163,★原価商品!$E$6:$F$349,2,FALSE)</f>
        <v>日本海/B4（折り無し）</v>
      </c>
      <c r="AE163" s="203">
        <f t="shared" ca="1" si="19"/>
        <v>0</v>
      </c>
      <c r="AF163" s="383">
        <f>IFERROR(IF(VLOOKUP(申込書!$C$32,★サイズ表記!$F$4:$H$55,3,FALSE)="切り捨て",ROUNDDOWN(L163*IF(AK163="◎",I163,J163)/100,2),IF(VLOOKUP(申込書!$C$32,★サイズ表記!$F$4:$H$55,3,FALSE)="切り上げ",ROUNDUP(L163*IF(AK163="◎",I163,J163)/100,2),ROUND(L163*IF(AK163="◎",I163,J163)/100,2))),0)</f>
        <v>1.84</v>
      </c>
      <c r="AG163" s="203">
        <f t="shared" ca="1" si="20"/>
        <v>10466</v>
      </c>
      <c r="AJ163" s="460" t="str">
        <f>IFERROR(VLOOKUP(申込書!$C$30,★業種!$D$2:$E$87,2,FALSE),"")</f>
        <v>1003</v>
      </c>
      <c r="AK163" s="460" t="str">
        <f>IF(申込書!$C$36="◎",IF(OR(D163="浜坂・温泉",D163="美方・村岡",D163="香住",D163="岡山",D163="大阪"),"",IF(LEFT(F163)="D","◎",IF(AG163=0,"",IFERROR(IF(VLOOKUP(AG163,★仕入先!$A$2:$C$211,3,FALSE)=0,"","◎"),"")))),"")</f>
        <v>◎</v>
      </c>
      <c r="AL163" s="460">
        <f>申込書!$H$14</f>
        <v>0</v>
      </c>
      <c r="AM163" s="460" t="str">
        <f>申込書!$C$32</f>
        <v>B4（折り無し）</v>
      </c>
      <c r="AN163" s="460" t="str">
        <f>VLOOKUP(AM163,★サイズ表記!$D$4:$E$55,2,FALSE)</f>
        <v>1001</v>
      </c>
      <c r="AO163" s="460">
        <f>IF(C163&lt;&gt;"⑧兵庫",VLOOKUP(LEFT(F163),★新聞!$A$4:$B$12,2,FALSE),IF(LEFT(F163)&lt;&gt;"S",VLOOKUP(LEFT(F163),★新聞!$A$4:$B$12,2,FALSE),VLOOKUP("X",★新聞!$A$4:$B$12,2,FALSE)))</f>
        <v>1</v>
      </c>
      <c r="AP163" s="460" t="str">
        <f t="shared" ca="1" si="21"/>
        <v>0</v>
      </c>
      <c r="AQ163" s="460" t="str">
        <f>IF(申込書!$C$38="","",申込書!$C$38)</f>
        <v/>
      </c>
    </row>
    <row r="164" spans="1:43">
      <c r="A164" s="463">
        <f t="shared" si="22"/>
        <v>163</v>
      </c>
      <c r="B164" s="463" t="str">
        <f t="shared" si="23"/>
        <v>東部</v>
      </c>
      <c r="C164" s="464" t="s">
        <v>1016</v>
      </c>
      <c r="D164" s="464" t="s">
        <v>1022</v>
      </c>
      <c r="E164" s="464">
        <f>VLOOKUP(D164,★折込地区!$A$2:$D$10,4,FALSE)</f>
        <v>1</v>
      </c>
      <c r="F164" s="464" t="s">
        <v>394</v>
      </c>
      <c r="G164" s="464" t="str">
        <f>INDEX(★新聞!$E$4:$I$12, MATCH(LEFT(F164),★新聞!$A$4:$A$12,0), MATCH(LEFT(W164),★新聞!$E$3:$I$3,0))</f>
        <v>X</v>
      </c>
      <c r="H164" s="475" t="s">
        <v>1105</v>
      </c>
      <c r="I164" s="464" cm="1">
        <f t="array" ref="I164">IFERROR(INDEX(★原価率!$A$2:$E$50,MATCH($C164&amp;$H164,★原価率!$A$2:$A$50&amp;★原価率!$B$2:$B$50,0),3),0)</f>
        <v>66</v>
      </c>
      <c r="J164" s="464" cm="1">
        <f t="array" ref="J164">IFERROR(INDEX(★原価率!$A$2:$E$50,MATCH($C164&amp;$H164,★原価率!$A$2:$A$50&amp;★原価率!$B$2:$B$50,0),4),0)</f>
        <v>76</v>
      </c>
      <c r="K164" s="464" cm="1">
        <f t="array" ref="K164">IFERROR(INDEX(★原価率!$A$2:$E$50,MATCH($C164&amp;$H164,★原価率!$A$2:$A$50&amp;★原価率!$B$2:$B$50,0),5),0)</f>
        <v>100</v>
      </c>
      <c r="L164" s="528">
        <f>IFERROR(VLOOKUP(W164,★商品!$A$1:$H$1231,8,FALSE),0)</f>
        <v>2.8</v>
      </c>
      <c r="M164" s="203" t="str">
        <f ca="1">CONCATENATE(VLOOKUP(B164,★営業所!$A$2:$B$5,2,FALSE),TEXT(NOW(),"yyyy"))</f>
        <v>T2023</v>
      </c>
      <c r="N164" s="203">
        <v>1</v>
      </c>
      <c r="O164" s="203">
        <v>0</v>
      </c>
      <c r="P164" s="213">
        <f>申込書!$B$6</f>
        <v>0</v>
      </c>
      <c r="Q164" s="203">
        <f>申込書!$C$34</f>
        <v>1000040</v>
      </c>
      <c r="R164" s="203">
        <v>0</v>
      </c>
      <c r="U164" s="203">
        <f>VLOOKUP(B164,★営業所!$A$2:$C$5,3,FALSE)</f>
        <v>8</v>
      </c>
      <c r="V164" s="203">
        <f>申込書!$B$9</f>
        <v>0</v>
      </c>
      <c r="W164" s="203" t="str">
        <f>CONCATENATE(VLOOKUP(B164,★営業所!$A$2:$B$5,2,FALSE),VLOOKUP(申込書!$C$32,★サイズ表記!$D$4:$E$55,2,FALSE),VLOOKUP(D164,★折込地区!$A$2:$B$11,2,FALSE))</f>
        <v>T1001Tot</v>
      </c>
      <c r="X164" s="203" t="str">
        <f>CONCATENATE(申込書!$B$9," ",VLOOKUP(RIGHT(W164,3),★折込地区!$B$2:$C$10,2,FALSE),"")</f>
        <v xml:space="preserve"> 鳥取</v>
      </c>
      <c r="Z164" s="206">
        <f t="shared" ca="1" si="16"/>
        <v>0</v>
      </c>
      <c r="AB164" s="383">
        <f t="shared" si="17"/>
        <v>2.8</v>
      </c>
      <c r="AC164" s="203" t="str">
        <f t="shared" si="18"/>
        <v>D1001</v>
      </c>
      <c r="AD164" s="203" t="str">
        <f>VLOOKUP(AC164,★原価商品!$E$6:$F$349,2,FALSE)</f>
        <v>日本海/B4（折り無し）</v>
      </c>
      <c r="AE164" s="203">
        <f t="shared" ca="1" si="19"/>
        <v>0</v>
      </c>
      <c r="AF164" s="383">
        <f>IFERROR(IF(VLOOKUP(申込書!$C$32,★サイズ表記!$F$4:$H$55,3,FALSE)="切り捨て",ROUNDDOWN(L164*IF(AK164="◎",I164,J164)/100,2),IF(VLOOKUP(申込書!$C$32,★サイズ表記!$F$4:$H$55,3,FALSE)="切り上げ",ROUNDUP(L164*IF(AK164="◎",I164,J164)/100,2),ROUND(L164*IF(AK164="◎",I164,J164)/100,2))),0)</f>
        <v>1.84</v>
      </c>
      <c r="AG164" s="203">
        <f t="shared" ca="1" si="20"/>
        <v>10472</v>
      </c>
      <c r="AJ164" s="460" t="str">
        <f>IFERROR(VLOOKUP(申込書!$C$30,★業種!$D$2:$E$87,2,FALSE),"")</f>
        <v>1003</v>
      </c>
      <c r="AK164" s="460" t="str">
        <f>IF(申込書!$C$36="◎",IF(OR(D164="浜坂・温泉",D164="美方・村岡",D164="香住",D164="岡山",D164="大阪"),"",IF(LEFT(F164)="D","◎",IF(AG164=0,"",IFERROR(IF(VLOOKUP(AG164,★仕入先!$A$2:$C$211,3,FALSE)=0,"","◎"),"")))),"")</f>
        <v>◎</v>
      </c>
      <c r="AL164" s="460">
        <f>申込書!$H$14</f>
        <v>0</v>
      </c>
      <c r="AM164" s="460" t="str">
        <f>申込書!$C$32</f>
        <v>B4（折り無し）</v>
      </c>
      <c r="AN164" s="460" t="str">
        <f>VLOOKUP(AM164,★サイズ表記!$D$4:$E$55,2,FALSE)</f>
        <v>1001</v>
      </c>
      <c r="AO164" s="460">
        <f>IF(C164&lt;&gt;"⑧兵庫",VLOOKUP(LEFT(F164),★新聞!$A$4:$B$12,2,FALSE),IF(LEFT(F164)&lt;&gt;"S",VLOOKUP(LEFT(F164),★新聞!$A$4:$B$12,2,FALSE),VLOOKUP("X",★新聞!$A$4:$B$12,2,FALSE)))</f>
        <v>1</v>
      </c>
      <c r="AP164" s="460" t="str">
        <f t="shared" ca="1" si="21"/>
        <v>0</v>
      </c>
      <c r="AQ164" s="460" t="str">
        <f>IF(申込書!$C$38="","",申込書!$C$38)</f>
        <v/>
      </c>
    </row>
    <row r="165" spans="1:43">
      <c r="A165" s="463">
        <f t="shared" si="22"/>
        <v>164</v>
      </c>
      <c r="B165" s="463" t="str">
        <f t="shared" si="23"/>
        <v>東部</v>
      </c>
      <c r="C165" s="464" t="s">
        <v>1016</v>
      </c>
      <c r="D165" s="464" t="s">
        <v>1022</v>
      </c>
      <c r="E165" s="464">
        <f>VLOOKUP(D165,★折込地区!$A$2:$D$10,4,FALSE)</f>
        <v>1</v>
      </c>
      <c r="F165" s="464" t="s">
        <v>401</v>
      </c>
      <c r="G165" s="464" t="str">
        <f>INDEX(★新聞!$E$4:$I$12, MATCH(LEFT(F165),★新聞!$A$4:$A$12,0), MATCH(LEFT(W165),★新聞!$E$3:$I$3,0))</f>
        <v>X</v>
      </c>
      <c r="H165" s="475" t="s">
        <v>1105</v>
      </c>
      <c r="I165" s="464" cm="1">
        <f t="array" ref="I165">IFERROR(INDEX(★原価率!$A$2:$E$50,MATCH($C165&amp;$H165,★原価率!$A$2:$A$50&amp;★原価率!$B$2:$B$50,0),3),0)</f>
        <v>66</v>
      </c>
      <c r="J165" s="464" cm="1">
        <f t="array" ref="J165">IFERROR(INDEX(★原価率!$A$2:$E$50,MATCH($C165&amp;$H165,★原価率!$A$2:$A$50&amp;★原価率!$B$2:$B$50,0),4),0)</f>
        <v>76</v>
      </c>
      <c r="K165" s="464" cm="1">
        <f t="array" ref="K165">IFERROR(INDEX(★原価率!$A$2:$E$50,MATCH($C165&amp;$H165,★原価率!$A$2:$A$50&amp;★原価率!$B$2:$B$50,0),5),0)</f>
        <v>100</v>
      </c>
      <c r="L165" s="528">
        <f>IFERROR(VLOOKUP(W165,★商品!$A$1:$H$1231,8,FALSE),0)</f>
        <v>2.8</v>
      </c>
      <c r="M165" s="203" t="str">
        <f ca="1">CONCATENATE(VLOOKUP(B165,★営業所!$A$2:$B$5,2,FALSE),TEXT(NOW(),"yyyy"))</f>
        <v>T2023</v>
      </c>
      <c r="N165" s="203">
        <v>1</v>
      </c>
      <c r="O165" s="203">
        <v>0</v>
      </c>
      <c r="P165" s="213">
        <f>申込書!$B$6</f>
        <v>0</v>
      </c>
      <c r="Q165" s="203">
        <f>申込書!$C$34</f>
        <v>1000040</v>
      </c>
      <c r="R165" s="203">
        <v>0</v>
      </c>
      <c r="U165" s="203">
        <f>VLOOKUP(B165,★営業所!$A$2:$C$5,3,FALSE)</f>
        <v>8</v>
      </c>
      <c r="V165" s="203">
        <f>申込書!$B$9</f>
        <v>0</v>
      </c>
      <c r="W165" s="203" t="str">
        <f>CONCATENATE(VLOOKUP(B165,★営業所!$A$2:$B$5,2,FALSE),VLOOKUP(申込書!$C$32,★サイズ表記!$D$4:$E$55,2,FALSE),VLOOKUP(D165,★折込地区!$A$2:$B$11,2,FALSE))</f>
        <v>T1001Tot</v>
      </c>
      <c r="X165" s="203" t="str">
        <f>CONCATENATE(申込書!$B$9," ",VLOOKUP(RIGHT(W165,3),★折込地区!$B$2:$C$10,2,FALSE),"")</f>
        <v xml:space="preserve"> 鳥取</v>
      </c>
      <c r="Z165" s="206">
        <f t="shared" ca="1" si="16"/>
        <v>0</v>
      </c>
      <c r="AB165" s="383">
        <f t="shared" si="17"/>
        <v>2.8</v>
      </c>
      <c r="AC165" s="203" t="str">
        <f t="shared" si="18"/>
        <v>D1001</v>
      </c>
      <c r="AD165" s="203" t="str">
        <f>VLOOKUP(AC165,★原価商品!$E$6:$F$349,2,FALSE)</f>
        <v>日本海/B4（折り無し）</v>
      </c>
      <c r="AE165" s="203">
        <f t="shared" ca="1" si="19"/>
        <v>0</v>
      </c>
      <c r="AF165" s="383">
        <f>IFERROR(IF(VLOOKUP(申込書!$C$32,★サイズ表記!$F$4:$H$55,3,FALSE)="切り捨て",ROUNDDOWN(L165*IF(AK165="◎",I165,J165)/100,2),IF(VLOOKUP(申込書!$C$32,★サイズ表記!$F$4:$H$55,3,FALSE)="切り上げ",ROUNDUP(L165*IF(AK165="◎",I165,J165)/100,2),ROUND(L165*IF(AK165="◎",I165,J165)/100,2))),0)</f>
        <v>1.84</v>
      </c>
      <c r="AG165" s="203">
        <f t="shared" ca="1" si="20"/>
        <v>10201</v>
      </c>
      <c r="AJ165" s="460" t="str">
        <f>IFERROR(VLOOKUP(申込書!$C$30,★業種!$D$2:$E$87,2,FALSE),"")</f>
        <v>1003</v>
      </c>
      <c r="AK165" s="460" t="str">
        <f>IF(申込書!$C$36="◎",IF(OR(D165="浜坂・温泉",D165="美方・村岡",D165="香住",D165="岡山",D165="大阪"),"",IF(LEFT(F165)="D","◎",IF(AG165=0,"",IFERROR(IF(VLOOKUP(AG165,★仕入先!$A$2:$C$211,3,FALSE)=0,"","◎"),"")))),"")</f>
        <v>◎</v>
      </c>
      <c r="AL165" s="460">
        <f>申込書!$H$14</f>
        <v>0</v>
      </c>
      <c r="AM165" s="460" t="str">
        <f>申込書!$C$32</f>
        <v>B4（折り無し）</v>
      </c>
      <c r="AN165" s="460" t="str">
        <f>VLOOKUP(AM165,★サイズ表記!$D$4:$E$55,2,FALSE)</f>
        <v>1001</v>
      </c>
      <c r="AO165" s="460">
        <f>IF(C165&lt;&gt;"⑧兵庫",VLOOKUP(LEFT(F165),★新聞!$A$4:$B$12,2,FALSE),IF(LEFT(F165)&lt;&gt;"S",VLOOKUP(LEFT(F165),★新聞!$A$4:$B$12,2,FALSE),VLOOKUP("X",★新聞!$A$4:$B$12,2,FALSE)))</f>
        <v>1</v>
      </c>
      <c r="AP165" s="460" t="str">
        <f t="shared" ca="1" si="21"/>
        <v>0</v>
      </c>
      <c r="AQ165" s="460" t="str">
        <f>IF(申込書!$C$38="","",申込書!$C$38)</f>
        <v/>
      </c>
    </row>
    <row r="166" spans="1:43">
      <c r="A166" s="463">
        <f t="shared" si="22"/>
        <v>165</v>
      </c>
      <c r="B166" s="463" t="str">
        <f t="shared" si="23"/>
        <v>東部</v>
      </c>
      <c r="C166" s="464" t="s">
        <v>1016</v>
      </c>
      <c r="D166" s="464" t="s">
        <v>1022</v>
      </c>
      <c r="E166" s="464">
        <f>VLOOKUP(D166,★折込地区!$A$2:$D$10,4,FALSE)</f>
        <v>1</v>
      </c>
      <c r="F166" s="464" t="s">
        <v>402</v>
      </c>
      <c r="G166" s="464" t="str">
        <f>INDEX(★新聞!$E$4:$I$12, MATCH(LEFT(F166),★新聞!$A$4:$A$12,0), MATCH(LEFT(W166),★新聞!$E$3:$I$3,0))</f>
        <v>X</v>
      </c>
      <c r="H166" s="475" t="s">
        <v>1105</v>
      </c>
      <c r="I166" s="464" cm="1">
        <f t="array" ref="I166">IFERROR(INDEX(★原価率!$A$2:$E$50,MATCH($C166&amp;$H166,★原価率!$A$2:$A$50&amp;★原価率!$B$2:$B$50,0),3),0)</f>
        <v>66</v>
      </c>
      <c r="J166" s="464" cm="1">
        <f t="array" ref="J166">IFERROR(INDEX(★原価率!$A$2:$E$50,MATCH($C166&amp;$H166,★原価率!$A$2:$A$50&amp;★原価率!$B$2:$B$50,0),4),0)</f>
        <v>76</v>
      </c>
      <c r="K166" s="464" cm="1">
        <f t="array" ref="K166">IFERROR(INDEX(★原価率!$A$2:$E$50,MATCH($C166&amp;$H166,★原価率!$A$2:$A$50&amp;★原価率!$B$2:$B$50,0),5),0)</f>
        <v>100</v>
      </c>
      <c r="L166" s="528">
        <f>IFERROR(VLOOKUP(W166,★商品!$A$1:$H$1231,8,FALSE),0)</f>
        <v>2.8</v>
      </c>
      <c r="M166" s="203" t="str">
        <f ca="1">CONCATENATE(VLOOKUP(B166,★営業所!$A$2:$B$5,2,FALSE),TEXT(NOW(),"yyyy"))</f>
        <v>T2023</v>
      </c>
      <c r="N166" s="203">
        <v>1</v>
      </c>
      <c r="O166" s="203">
        <v>0</v>
      </c>
      <c r="P166" s="213">
        <f>申込書!$B$6</f>
        <v>0</v>
      </c>
      <c r="Q166" s="203">
        <f>申込書!$C$34</f>
        <v>1000040</v>
      </c>
      <c r="R166" s="203">
        <v>0</v>
      </c>
      <c r="U166" s="203">
        <f>VLOOKUP(B166,★営業所!$A$2:$C$5,3,FALSE)</f>
        <v>8</v>
      </c>
      <c r="V166" s="203">
        <f>申込書!$B$9</f>
        <v>0</v>
      </c>
      <c r="W166" s="203" t="str">
        <f>CONCATENATE(VLOOKUP(B166,★営業所!$A$2:$B$5,2,FALSE),VLOOKUP(申込書!$C$32,★サイズ表記!$D$4:$E$55,2,FALSE),VLOOKUP(D166,★折込地区!$A$2:$B$11,2,FALSE))</f>
        <v>T1001Tot</v>
      </c>
      <c r="X166" s="203" t="str">
        <f>CONCATENATE(申込書!$B$9," ",VLOOKUP(RIGHT(W166,3),★折込地区!$B$2:$C$10,2,FALSE),"")</f>
        <v xml:space="preserve"> 鳥取</v>
      </c>
      <c r="Z166" s="206">
        <f t="shared" ca="1" si="16"/>
        <v>0</v>
      </c>
      <c r="AB166" s="383">
        <f t="shared" si="17"/>
        <v>2.8</v>
      </c>
      <c r="AC166" s="203" t="str">
        <f t="shared" si="18"/>
        <v>D1001</v>
      </c>
      <c r="AD166" s="203" t="str">
        <f>VLOOKUP(AC166,★原価商品!$E$6:$F$349,2,FALSE)</f>
        <v>日本海/B4（折り無し）</v>
      </c>
      <c r="AE166" s="203">
        <f t="shared" ca="1" si="19"/>
        <v>0</v>
      </c>
      <c r="AF166" s="383">
        <f>IFERROR(IF(VLOOKUP(申込書!$C$32,★サイズ表記!$F$4:$H$55,3,FALSE)="切り捨て",ROUNDDOWN(L166*IF(AK166="◎",I166,J166)/100,2),IF(VLOOKUP(申込書!$C$32,★サイズ表記!$F$4:$H$55,3,FALSE)="切り上げ",ROUNDUP(L166*IF(AK166="◎",I166,J166)/100,2),ROUND(L166*IF(AK166="◎",I166,J166)/100,2))),0)</f>
        <v>1.84</v>
      </c>
      <c r="AG166" s="203">
        <f t="shared" ca="1" si="20"/>
        <v>10205</v>
      </c>
      <c r="AJ166" s="460" t="str">
        <f>IFERROR(VLOOKUP(申込書!$C$30,★業種!$D$2:$E$87,2,FALSE),"")</f>
        <v>1003</v>
      </c>
      <c r="AK166" s="460" t="str">
        <f>IF(申込書!$C$36="◎",IF(OR(D166="浜坂・温泉",D166="美方・村岡",D166="香住",D166="岡山",D166="大阪"),"",IF(LEFT(F166)="D","◎",IF(AG166=0,"",IFERROR(IF(VLOOKUP(AG166,★仕入先!$A$2:$C$211,3,FALSE)=0,"","◎"),"")))),"")</f>
        <v>◎</v>
      </c>
      <c r="AL166" s="460">
        <f>申込書!$H$14</f>
        <v>0</v>
      </c>
      <c r="AM166" s="460" t="str">
        <f>申込書!$C$32</f>
        <v>B4（折り無し）</v>
      </c>
      <c r="AN166" s="460" t="str">
        <f>VLOOKUP(AM166,★サイズ表記!$D$4:$E$55,2,FALSE)</f>
        <v>1001</v>
      </c>
      <c r="AO166" s="460">
        <f>IF(C166&lt;&gt;"⑧兵庫",VLOOKUP(LEFT(F166),★新聞!$A$4:$B$12,2,FALSE),IF(LEFT(F166)&lt;&gt;"S",VLOOKUP(LEFT(F166),★新聞!$A$4:$B$12,2,FALSE),VLOOKUP("X",★新聞!$A$4:$B$12,2,FALSE)))</f>
        <v>1</v>
      </c>
      <c r="AP166" s="460" t="str">
        <f t="shared" ca="1" si="21"/>
        <v>0</v>
      </c>
      <c r="AQ166" s="460" t="str">
        <f>IF(申込書!$C$38="","",申込書!$C$38)</f>
        <v/>
      </c>
    </row>
    <row r="167" spans="1:43">
      <c r="A167" s="463">
        <f t="shared" si="22"/>
        <v>166</v>
      </c>
      <c r="B167" s="463" t="str">
        <f t="shared" si="23"/>
        <v>東部</v>
      </c>
      <c r="C167" s="464" t="s">
        <v>1016</v>
      </c>
      <c r="D167" s="464" t="s">
        <v>1022</v>
      </c>
      <c r="E167" s="464">
        <f>VLOOKUP(D167,★折込地区!$A$2:$D$10,4,FALSE)</f>
        <v>1</v>
      </c>
      <c r="F167" s="464" t="s">
        <v>403</v>
      </c>
      <c r="G167" s="464" t="str">
        <f>INDEX(★新聞!$E$4:$I$12, MATCH(LEFT(F167),★新聞!$A$4:$A$12,0), MATCH(LEFT(W167),★新聞!$E$3:$I$3,0))</f>
        <v>X</v>
      </c>
      <c r="H167" s="475" t="s">
        <v>1105</v>
      </c>
      <c r="I167" s="464" cm="1">
        <f t="array" ref="I167">IFERROR(INDEX(★原価率!$A$2:$E$50,MATCH($C167&amp;$H167,★原価率!$A$2:$A$50&amp;★原価率!$B$2:$B$50,0),3),0)</f>
        <v>66</v>
      </c>
      <c r="J167" s="464" cm="1">
        <f t="array" ref="J167">IFERROR(INDEX(★原価率!$A$2:$E$50,MATCH($C167&amp;$H167,★原価率!$A$2:$A$50&amp;★原価率!$B$2:$B$50,0),4),0)</f>
        <v>76</v>
      </c>
      <c r="K167" s="464" cm="1">
        <f t="array" ref="K167">IFERROR(INDEX(★原価率!$A$2:$E$50,MATCH($C167&amp;$H167,★原価率!$A$2:$A$50&amp;★原価率!$B$2:$B$50,0),5),0)</f>
        <v>100</v>
      </c>
      <c r="L167" s="528">
        <f>IFERROR(VLOOKUP(W167,★商品!$A$1:$H$1231,8,FALSE),0)</f>
        <v>2.8</v>
      </c>
      <c r="M167" s="203" t="str">
        <f ca="1">CONCATENATE(VLOOKUP(B167,★営業所!$A$2:$B$5,2,FALSE),TEXT(NOW(),"yyyy"))</f>
        <v>T2023</v>
      </c>
      <c r="N167" s="203">
        <v>1</v>
      </c>
      <c r="O167" s="203">
        <v>0</v>
      </c>
      <c r="P167" s="213">
        <f>申込書!$B$6</f>
        <v>0</v>
      </c>
      <c r="Q167" s="203">
        <f>申込書!$C$34</f>
        <v>1000040</v>
      </c>
      <c r="R167" s="203">
        <v>0</v>
      </c>
      <c r="U167" s="203">
        <f>VLOOKUP(B167,★営業所!$A$2:$C$5,3,FALSE)</f>
        <v>8</v>
      </c>
      <c r="V167" s="203">
        <f>申込書!$B$9</f>
        <v>0</v>
      </c>
      <c r="W167" s="203" t="str">
        <f>CONCATENATE(VLOOKUP(B167,★営業所!$A$2:$B$5,2,FALSE),VLOOKUP(申込書!$C$32,★サイズ表記!$D$4:$E$55,2,FALSE),VLOOKUP(D167,★折込地区!$A$2:$B$11,2,FALSE))</f>
        <v>T1001Tot</v>
      </c>
      <c r="X167" s="203" t="str">
        <f>CONCATENATE(申込書!$B$9," ",VLOOKUP(RIGHT(W167,3),★折込地区!$B$2:$C$10,2,FALSE),"")</f>
        <v xml:space="preserve"> 鳥取</v>
      </c>
      <c r="Z167" s="206">
        <f t="shared" ca="1" si="16"/>
        <v>0</v>
      </c>
      <c r="AB167" s="383">
        <f t="shared" si="17"/>
        <v>2.8</v>
      </c>
      <c r="AC167" s="203" t="str">
        <f t="shared" si="18"/>
        <v>D1001</v>
      </c>
      <c r="AD167" s="203" t="str">
        <f>VLOOKUP(AC167,★原価商品!$E$6:$F$349,2,FALSE)</f>
        <v>日本海/B4（折り無し）</v>
      </c>
      <c r="AE167" s="203">
        <f t="shared" ca="1" si="19"/>
        <v>0</v>
      </c>
      <c r="AF167" s="383">
        <f>IFERROR(IF(VLOOKUP(申込書!$C$32,★サイズ表記!$F$4:$H$55,3,FALSE)="切り捨て",ROUNDDOWN(L167*IF(AK167="◎",I167,J167)/100,2),IF(VLOOKUP(申込書!$C$32,★サイズ表記!$F$4:$H$55,3,FALSE)="切り上げ",ROUNDUP(L167*IF(AK167="◎",I167,J167)/100,2),ROUND(L167*IF(AK167="◎",I167,J167)/100,2))),0)</f>
        <v>1.84</v>
      </c>
      <c r="AG167" s="203">
        <f t="shared" ca="1" si="20"/>
        <v>10208</v>
      </c>
      <c r="AJ167" s="460" t="str">
        <f>IFERROR(VLOOKUP(申込書!$C$30,★業種!$D$2:$E$87,2,FALSE),"")</f>
        <v>1003</v>
      </c>
      <c r="AK167" s="460" t="str">
        <f>IF(申込書!$C$36="◎",IF(OR(D167="浜坂・温泉",D167="美方・村岡",D167="香住",D167="岡山",D167="大阪"),"",IF(LEFT(F167)="D","◎",IF(AG167=0,"",IFERROR(IF(VLOOKUP(AG167,★仕入先!$A$2:$C$211,3,FALSE)=0,"","◎"),"")))),"")</f>
        <v>◎</v>
      </c>
      <c r="AL167" s="460">
        <f>申込書!$H$14</f>
        <v>0</v>
      </c>
      <c r="AM167" s="460" t="str">
        <f>申込書!$C$32</f>
        <v>B4（折り無し）</v>
      </c>
      <c r="AN167" s="460" t="str">
        <f>VLOOKUP(AM167,★サイズ表記!$D$4:$E$55,2,FALSE)</f>
        <v>1001</v>
      </c>
      <c r="AO167" s="460">
        <f>IF(C167&lt;&gt;"⑧兵庫",VLOOKUP(LEFT(F167),★新聞!$A$4:$B$12,2,FALSE),IF(LEFT(F167)&lt;&gt;"S",VLOOKUP(LEFT(F167),★新聞!$A$4:$B$12,2,FALSE),VLOOKUP("X",★新聞!$A$4:$B$12,2,FALSE)))</f>
        <v>1</v>
      </c>
      <c r="AP167" s="460" t="str">
        <f t="shared" ca="1" si="21"/>
        <v>0</v>
      </c>
      <c r="AQ167" s="460" t="str">
        <f>IF(申込書!$C$38="","",申込書!$C$38)</f>
        <v/>
      </c>
    </row>
    <row r="168" spans="1:43">
      <c r="A168" s="463">
        <f t="shared" si="22"/>
        <v>167</v>
      </c>
      <c r="B168" s="463" t="str">
        <f t="shared" si="23"/>
        <v>東部</v>
      </c>
      <c r="C168" s="464" t="s">
        <v>1016</v>
      </c>
      <c r="D168" s="464" t="s">
        <v>1022</v>
      </c>
      <c r="E168" s="464">
        <f>VLOOKUP(D168,★折込地区!$A$2:$D$10,4,FALSE)</f>
        <v>1</v>
      </c>
      <c r="F168" s="464" t="s">
        <v>566</v>
      </c>
      <c r="G168" s="464" t="str">
        <f>INDEX(★新聞!$E$4:$I$12, MATCH(LEFT(F168),★新聞!$A$4:$A$12,0), MATCH(LEFT(W168),★新聞!$E$3:$I$3,0))</f>
        <v>X</v>
      </c>
      <c r="H168" s="475" t="s">
        <v>1105</v>
      </c>
      <c r="I168" s="464" cm="1">
        <f t="array" ref="I168">IFERROR(INDEX(★原価率!$A$2:$E$50,MATCH($C168&amp;$H168,★原価率!$A$2:$A$50&amp;★原価率!$B$2:$B$50,0),3),0)</f>
        <v>66</v>
      </c>
      <c r="J168" s="464" cm="1">
        <f t="array" ref="J168">IFERROR(INDEX(★原価率!$A$2:$E$50,MATCH($C168&amp;$H168,★原価率!$A$2:$A$50&amp;★原価率!$B$2:$B$50,0),4),0)</f>
        <v>76</v>
      </c>
      <c r="K168" s="464" cm="1">
        <f t="array" ref="K168">IFERROR(INDEX(★原価率!$A$2:$E$50,MATCH($C168&amp;$H168,★原価率!$A$2:$A$50&amp;★原価率!$B$2:$B$50,0),5),0)</f>
        <v>100</v>
      </c>
      <c r="L168" s="528">
        <f>IFERROR(VLOOKUP(W168,★商品!$A$1:$H$1231,8,FALSE),0)</f>
        <v>2.8</v>
      </c>
      <c r="M168" s="203" t="str">
        <f ca="1">CONCATENATE(VLOOKUP(B168,★営業所!$A$2:$B$5,2,FALSE),TEXT(NOW(),"yyyy"))</f>
        <v>T2023</v>
      </c>
      <c r="N168" s="203">
        <v>1</v>
      </c>
      <c r="O168" s="203">
        <v>0</v>
      </c>
      <c r="P168" s="213">
        <f>申込書!$B$6</f>
        <v>0</v>
      </c>
      <c r="Q168" s="203">
        <f>申込書!$C$34</f>
        <v>1000040</v>
      </c>
      <c r="R168" s="203">
        <v>0</v>
      </c>
      <c r="U168" s="203">
        <f>VLOOKUP(B168,★営業所!$A$2:$C$5,3,FALSE)</f>
        <v>8</v>
      </c>
      <c r="V168" s="203">
        <f>申込書!$B$9</f>
        <v>0</v>
      </c>
      <c r="W168" s="203" t="str">
        <f>CONCATENATE(VLOOKUP(B168,★営業所!$A$2:$B$5,2,FALSE),VLOOKUP(申込書!$C$32,★サイズ表記!$D$4:$E$55,2,FALSE),VLOOKUP(D168,★折込地区!$A$2:$B$11,2,FALSE))</f>
        <v>T1001Tot</v>
      </c>
      <c r="X168" s="203" t="str">
        <f>CONCATENATE(申込書!$B$9," ",VLOOKUP(RIGHT(W168,3),★折込地区!$B$2:$C$10,2,FALSE),"")</f>
        <v xml:space="preserve"> 鳥取</v>
      </c>
      <c r="Z168" s="206">
        <f t="shared" ca="1" si="16"/>
        <v>0</v>
      </c>
      <c r="AB168" s="383">
        <f t="shared" si="17"/>
        <v>2.8</v>
      </c>
      <c r="AC168" s="203" t="str">
        <f t="shared" si="18"/>
        <v>D1001</v>
      </c>
      <c r="AD168" s="203" t="str">
        <f>VLOOKUP(AC168,★原価商品!$E$6:$F$349,2,FALSE)</f>
        <v>日本海/B4（折り無し）</v>
      </c>
      <c r="AE168" s="203">
        <f t="shared" ca="1" si="19"/>
        <v>0</v>
      </c>
      <c r="AF168" s="383">
        <f>IFERROR(IF(VLOOKUP(申込書!$C$32,★サイズ表記!$F$4:$H$55,3,FALSE)="切り捨て",ROUNDDOWN(L168*IF(AK168="◎",I168,J168)/100,2),IF(VLOOKUP(申込書!$C$32,★サイズ表記!$F$4:$H$55,3,FALSE)="切り上げ",ROUNDUP(L168*IF(AK168="◎",I168,J168)/100,2),ROUND(L168*IF(AK168="◎",I168,J168)/100,2))),0)</f>
        <v>1.84</v>
      </c>
      <c r="AG168" s="203">
        <f t="shared" ca="1" si="20"/>
        <v>10046</v>
      </c>
      <c r="AJ168" s="460" t="str">
        <f>IFERROR(VLOOKUP(申込書!$C$30,★業種!$D$2:$E$87,2,FALSE),"")</f>
        <v>1003</v>
      </c>
      <c r="AK168" s="460" t="str">
        <f>IF(申込書!$C$36="◎",IF(OR(D168="浜坂・温泉",D168="美方・村岡",D168="香住",D168="岡山",D168="大阪"),"",IF(LEFT(F168)="D","◎",IF(AG168=0,"",IFERROR(IF(VLOOKUP(AG168,★仕入先!$A$2:$C$211,3,FALSE)=0,"","◎"),"")))),"")</f>
        <v>◎</v>
      </c>
      <c r="AL168" s="460">
        <f>申込書!$H$14</f>
        <v>0</v>
      </c>
      <c r="AM168" s="460" t="str">
        <f>申込書!$C$32</f>
        <v>B4（折り無し）</v>
      </c>
      <c r="AN168" s="460" t="str">
        <f>VLOOKUP(AM168,★サイズ表記!$D$4:$E$55,2,FALSE)</f>
        <v>1001</v>
      </c>
      <c r="AO168" s="460">
        <f>IF(C168&lt;&gt;"⑧兵庫",VLOOKUP(LEFT(F168),★新聞!$A$4:$B$12,2,FALSE),IF(LEFT(F168)&lt;&gt;"S",VLOOKUP(LEFT(F168),★新聞!$A$4:$B$12,2,FALSE),VLOOKUP("X",★新聞!$A$4:$B$12,2,FALSE)))</f>
        <v>1</v>
      </c>
      <c r="AP168" s="460" t="str">
        <f t="shared" ca="1" si="21"/>
        <v>0</v>
      </c>
      <c r="AQ168" s="460" t="str">
        <f>IF(申込書!$C$38="","",申込書!$C$38)</f>
        <v/>
      </c>
    </row>
    <row r="169" spans="1:43">
      <c r="A169" s="463">
        <f t="shared" si="22"/>
        <v>168</v>
      </c>
      <c r="B169" s="463" t="str">
        <f t="shared" si="23"/>
        <v>東部</v>
      </c>
      <c r="C169" s="464" t="s">
        <v>1016</v>
      </c>
      <c r="D169" s="464" t="s">
        <v>1022</v>
      </c>
      <c r="E169" s="464">
        <f>VLOOKUP(D169,★折込地区!$A$2:$D$10,4,FALSE)</f>
        <v>1</v>
      </c>
      <c r="F169" s="464" t="s">
        <v>567</v>
      </c>
      <c r="G169" s="464" t="str">
        <f>INDEX(★新聞!$E$4:$I$12, MATCH(LEFT(F169),★新聞!$A$4:$A$12,0), MATCH(LEFT(W169),★新聞!$E$3:$I$3,0))</f>
        <v>X</v>
      </c>
      <c r="H169" s="475" t="s">
        <v>1105</v>
      </c>
      <c r="I169" s="464" cm="1">
        <f t="array" ref="I169">IFERROR(INDEX(★原価率!$A$2:$E$50,MATCH($C169&amp;$H169,★原価率!$A$2:$A$50&amp;★原価率!$B$2:$B$50,0),3),0)</f>
        <v>66</v>
      </c>
      <c r="J169" s="464" cm="1">
        <f t="array" ref="J169">IFERROR(INDEX(★原価率!$A$2:$E$50,MATCH($C169&amp;$H169,★原価率!$A$2:$A$50&amp;★原価率!$B$2:$B$50,0),4),0)</f>
        <v>76</v>
      </c>
      <c r="K169" s="464" cm="1">
        <f t="array" ref="K169">IFERROR(INDEX(★原価率!$A$2:$E$50,MATCH($C169&amp;$H169,★原価率!$A$2:$A$50&amp;★原価率!$B$2:$B$50,0),5),0)</f>
        <v>100</v>
      </c>
      <c r="L169" s="528">
        <f>IFERROR(VLOOKUP(W169,★商品!$A$1:$H$1231,8,FALSE),0)</f>
        <v>2.8</v>
      </c>
      <c r="M169" s="203" t="str">
        <f ca="1">CONCATENATE(VLOOKUP(B169,★営業所!$A$2:$B$5,2,FALSE),TEXT(NOW(),"yyyy"))</f>
        <v>T2023</v>
      </c>
      <c r="N169" s="203">
        <v>1</v>
      </c>
      <c r="O169" s="203">
        <v>0</v>
      </c>
      <c r="P169" s="213">
        <f>申込書!$B$6</f>
        <v>0</v>
      </c>
      <c r="Q169" s="203">
        <f>申込書!$C$34</f>
        <v>1000040</v>
      </c>
      <c r="R169" s="203">
        <v>0</v>
      </c>
      <c r="U169" s="203">
        <f>VLOOKUP(B169,★営業所!$A$2:$C$5,3,FALSE)</f>
        <v>8</v>
      </c>
      <c r="V169" s="203">
        <f>申込書!$B$9</f>
        <v>0</v>
      </c>
      <c r="W169" s="203" t="str">
        <f>CONCATENATE(VLOOKUP(B169,★営業所!$A$2:$B$5,2,FALSE),VLOOKUP(申込書!$C$32,★サイズ表記!$D$4:$E$55,2,FALSE),VLOOKUP(D169,★折込地区!$A$2:$B$11,2,FALSE))</f>
        <v>T1001Tot</v>
      </c>
      <c r="X169" s="203" t="str">
        <f>CONCATENATE(申込書!$B$9," ",VLOOKUP(RIGHT(W169,3),★折込地区!$B$2:$C$10,2,FALSE),"")</f>
        <v xml:space="preserve"> 鳥取</v>
      </c>
      <c r="Z169" s="206">
        <f t="shared" ca="1" si="16"/>
        <v>0</v>
      </c>
      <c r="AB169" s="383">
        <f t="shared" si="17"/>
        <v>2.8</v>
      </c>
      <c r="AC169" s="203" t="str">
        <f t="shared" si="18"/>
        <v>D1001</v>
      </c>
      <c r="AD169" s="203" t="str">
        <f>VLOOKUP(AC169,★原価商品!$E$6:$F$349,2,FALSE)</f>
        <v>日本海/B4（折り無し）</v>
      </c>
      <c r="AE169" s="203">
        <f t="shared" ca="1" si="19"/>
        <v>0</v>
      </c>
      <c r="AF169" s="383">
        <f>IFERROR(IF(VLOOKUP(申込書!$C$32,★サイズ表記!$F$4:$H$55,3,FALSE)="切り捨て",ROUNDDOWN(L169*IF(AK169="◎",I169,J169)/100,2),IF(VLOOKUP(申込書!$C$32,★サイズ表記!$F$4:$H$55,3,FALSE)="切り上げ",ROUNDUP(L169*IF(AK169="◎",I169,J169)/100,2),ROUND(L169*IF(AK169="◎",I169,J169)/100,2))),0)</f>
        <v>1.84</v>
      </c>
      <c r="AG169" s="203">
        <f t="shared" ca="1" si="20"/>
        <v>10051</v>
      </c>
      <c r="AJ169" s="460" t="str">
        <f>IFERROR(VLOOKUP(申込書!$C$30,★業種!$D$2:$E$87,2,FALSE),"")</f>
        <v>1003</v>
      </c>
      <c r="AK169" s="460" t="str">
        <f>IF(申込書!$C$36="◎",IF(OR(D169="浜坂・温泉",D169="美方・村岡",D169="香住",D169="岡山",D169="大阪"),"",IF(LEFT(F169)="D","◎",IF(AG169=0,"",IFERROR(IF(VLOOKUP(AG169,★仕入先!$A$2:$C$211,3,FALSE)=0,"","◎"),"")))),"")</f>
        <v>◎</v>
      </c>
      <c r="AL169" s="460">
        <f>申込書!$H$14</f>
        <v>0</v>
      </c>
      <c r="AM169" s="460" t="str">
        <f>申込書!$C$32</f>
        <v>B4（折り無し）</v>
      </c>
      <c r="AN169" s="460" t="str">
        <f>VLOOKUP(AM169,★サイズ表記!$D$4:$E$55,2,FALSE)</f>
        <v>1001</v>
      </c>
      <c r="AO169" s="460">
        <f>IF(C169&lt;&gt;"⑧兵庫",VLOOKUP(LEFT(F169),★新聞!$A$4:$B$12,2,FALSE),IF(LEFT(F169)&lt;&gt;"S",VLOOKUP(LEFT(F169),★新聞!$A$4:$B$12,2,FALSE),VLOOKUP("X",★新聞!$A$4:$B$12,2,FALSE)))</f>
        <v>1</v>
      </c>
      <c r="AP169" s="460" t="str">
        <f t="shared" ca="1" si="21"/>
        <v>0</v>
      </c>
      <c r="AQ169" s="460" t="str">
        <f>IF(申込書!$C$38="","",申込書!$C$38)</f>
        <v/>
      </c>
    </row>
    <row r="170" spans="1:43">
      <c r="A170" s="463">
        <f t="shared" si="22"/>
        <v>169</v>
      </c>
      <c r="B170" s="463" t="str">
        <f t="shared" si="23"/>
        <v>東部</v>
      </c>
      <c r="C170" s="464" t="s">
        <v>1016</v>
      </c>
      <c r="D170" s="464" t="s">
        <v>1022</v>
      </c>
      <c r="E170" s="464">
        <f>VLOOKUP(D170,★折込地区!$A$2:$D$10,4,FALSE)</f>
        <v>1</v>
      </c>
      <c r="F170" s="464" t="s">
        <v>568</v>
      </c>
      <c r="G170" s="464" t="str">
        <f>INDEX(★新聞!$E$4:$I$12, MATCH(LEFT(F170),★新聞!$A$4:$A$12,0), MATCH(LEFT(W170),★新聞!$E$3:$I$3,0))</f>
        <v>X</v>
      </c>
      <c r="H170" s="475" t="s">
        <v>1105</v>
      </c>
      <c r="I170" s="464" cm="1">
        <f t="array" ref="I170">IFERROR(INDEX(★原価率!$A$2:$E$50,MATCH($C170&amp;$H170,★原価率!$A$2:$A$50&amp;★原価率!$B$2:$B$50,0),3),0)</f>
        <v>66</v>
      </c>
      <c r="J170" s="464" cm="1">
        <f t="array" ref="J170">IFERROR(INDEX(★原価率!$A$2:$E$50,MATCH($C170&amp;$H170,★原価率!$A$2:$A$50&amp;★原価率!$B$2:$B$50,0),4),0)</f>
        <v>76</v>
      </c>
      <c r="K170" s="464" cm="1">
        <f t="array" ref="K170">IFERROR(INDEX(★原価率!$A$2:$E$50,MATCH($C170&amp;$H170,★原価率!$A$2:$A$50&amp;★原価率!$B$2:$B$50,0),5),0)</f>
        <v>100</v>
      </c>
      <c r="L170" s="528">
        <f>IFERROR(VLOOKUP(W170,★商品!$A$1:$H$1231,8,FALSE),0)</f>
        <v>2.8</v>
      </c>
      <c r="M170" s="203" t="str">
        <f ca="1">CONCATENATE(VLOOKUP(B170,★営業所!$A$2:$B$5,2,FALSE),TEXT(NOW(),"yyyy"))</f>
        <v>T2023</v>
      </c>
      <c r="N170" s="203">
        <v>1</v>
      </c>
      <c r="O170" s="203">
        <v>0</v>
      </c>
      <c r="P170" s="213">
        <f>申込書!$B$6</f>
        <v>0</v>
      </c>
      <c r="Q170" s="203">
        <f>申込書!$C$34</f>
        <v>1000040</v>
      </c>
      <c r="R170" s="203">
        <v>0</v>
      </c>
      <c r="U170" s="203">
        <f>VLOOKUP(B170,★営業所!$A$2:$C$5,3,FALSE)</f>
        <v>8</v>
      </c>
      <c r="V170" s="203">
        <f>申込書!$B$9</f>
        <v>0</v>
      </c>
      <c r="W170" s="203" t="str">
        <f>CONCATENATE(VLOOKUP(B170,★営業所!$A$2:$B$5,2,FALSE),VLOOKUP(申込書!$C$32,★サイズ表記!$D$4:$E$55,2,FALSE),VLOOKUP(D170,★折込地区!$A$2:$B$11,2,FALSE))</f>
        <v>T1001Tot</v>
      </c>
      <c r="X170" s="203" t="str">
        <f>CONCATENATE(申込書!$B$9," ",VLOOKUP(RIGHT(W170,3),★折込地区!$B$2:$C$10,2,FALSE),"")</f>
        <v xml:space="preserve"> 鳥取</v>
      </c>
      <c r="Z170" s="206">
        <f t="shared" ca="1" si="16"/>
        <v>0</v>
      </c>
      <c r="AB170" s="383">
        <f t="shared" si="17"/>
        <v>2.8</v>
      </c>
      <c r="AC170" s="203" t="str">
        <f t="shared" si="18"/>
        <v>D1001</v>
      </c>
      <c r="AD170" s="203" t="str">
        <f>VLOOKUP(AC170,★原価商品!$E$6:$F$349,2,FALSE)</f>
        <v>日本海/B4（折り無し）</v>
      </c>
      <c r="AE170" s="203">
        <f t="shared" ca="1" si="19"/>
        <v>0</v>
      </c>
      <c r="AF170" s="383">
        <f>IFERROR(IF(VLOOKUP(申込書!$C$32,★サイズ表記!$F$4:$H$55,3,FALSE)="切り捨て",ROUNDDOWN(L170*IF(AK170="◎",I170,J170)/100,2),IF(VLOOKUP(申込書!$C$32,★サイズ表記!$F$4:$H$55,3,FALSE)="切り上げ",ROUNDUP(L170*IF(AK170="◎",I170,J170)/100,2),ROUND(L170*IF(AK170="◎",I170,J170)/100,2))),0)</f>
        <v>1.84</v>
      </c>
      <c r="AG170" s="203">
        <f t="shared" ca="1" si="20"/>
        <v>10061</v>
      </c>
      <c r="AJ170" s="460" t="str">
        <f>IFERROR(VLOOKUP(申込書!$C$30,★業種!$D$2:$E$87,2,FALSE),"")</f>
        <v>1003</v>
      </c>
      <c r="AK170" s="460" t="str">
        <f>IF(申込書!$C$36="◎",IF(OR(D170="浜坂・温泉",D170="美方・村岡",D170="香住",D170="岡山",D170="大阪"),"",IF(LEFT(F170)="D","◎",IF(AG170=0,"",IFERROR(IF(VLOOKUP(AG170,★仕入先!$A$2:$C$211,3,FALSE)=0,"","◎"),"")))),"")</f>
        <v>◎</v>
      </c>
      <c r="AL170" s="460">
        <f>申込書!$H$14</f>
        <v>0</v>
      </c>
      <c r="AM170" s="460" t="str">
        <f>申込書!$C$32</f>
        <v>B4（折り無し）</v>
      </c>
      <c r="AN170" s="460" t="str">
        <f>VLOOKUP(AM170,★サイズ表記!$D$4:$E$55,2,FALSE)</f>
        <v>1001</v>
      </c>
      <c r="AO170" s="460">
        <f>IF(C170&lt;&gt;"⑧兵庫",VLOOKUP(LEFT(F170),★新聞!$A$4:$B$12,2,FALSE),IF(LEFT(F170)&lt;&gt;"S",VLOOKUP(LEFT(F170),★新聞!$A$4:$B$12,2,FALSE),VLOOKUP("X",★新聞!$A$4:$B$12,2,FALSE)))</f>
        <v>1</v>
      </c>
      <c r="AP170" s="460" t="str">
        <f t="shared" ca="1" si="21"/>
        <v>0</v>
      </c>
      <c r="AQ170" s="460" t="str">
        <f>IF(申込書!$C$38="","",申込書!$C$38)</f>
        <v/>
      </c>
    </row>
    <row r="171" spans="1:43">
      <c r="A171" s="463">
        <f t="shared" si="22"/>
        <v>170</v>
      </c>
      <c r="B171" s="463" t="str">
        <f t="shared" si="23"/>
        <v>東部</v>
      </c>
      <c r="C171" s="464" t="s">
        <v>1016</v>
      </c>
      <c r="D171" s="464" t="s">
        <v>1022</v>
      </c>
      <c r="E171" s="464">
        <f>VLOOKUP(D171,★折込地区!$A$2:$D$10,4,FALSE)</f>
        <v>1</v>
      </c>
      <c r="F171" s="464" t="s">
        <v>569</v>
      </c>
      <c r="G171" s="464" t="str">
        <f>INDEX(★新聞!$E$4:$I$12, MATCH(LEFT(F171),★新聞!$A$4:$A$12,0), MATCH(LEFT(W171),★新聞!$E$3:$I$3,0))</f>
        <v>X</v>
      </c>
      <c r="H171" s="475" t="s">
        <v>1105</v>
      </c>
      <c r="I171" s="464" cm="1">
        <f t="array" ref="I171">IFERROR(INDEX(★原価率!$A$2:$E$50,MATCH($C171&amp;$H171,★原価率!$A$2:$A$50&amp;★原価率!$B$2:$B$50,0),3),0)</f>
        <v>66</v>
      </c>
      <c r="J171" s="464" cm="1">
        <f t="array" ref="J171">IFERROR(INDEX(★原価率!$A$2:$E$50,MATCH($C171&amp;$H171,★原価率!$A$2:$A$50&amp;★原価率!$B$2:$B$50,0),4),0)</f>
        <v>76</v>
      </c>
      <c r="K171" s="464" cm="1">
        <f t="array" ref="K171">IFERROR(INDEX(★原価率!$A$2:$E$50,MATCH($C171&amp;$H171,★原価率!$A$2:$A$50&amp;★原価率!$B$2:$B$50,0),5),0)</f>
        <v>100</v>
      </c>
      <c r="L171" s="528">
        <f>IFERROR(VLOOKUP(W171,★商品!$A$1:$H$1231,8,FALSE),0)</f>
        <v>2.8</v>
      </c>
      <c r="M171" s="203" t="str">
        <f ca="1">CONCATENATE(VLOOKUP(B171,★営業所!$A$2:$B$5,2,FALSE),TEXT(NOW(),"yyyy"))</f>
        <v>T2023</v>
      </c>
      <c r="N171" s="203">
        <v>1</v>
      </c>
      <c r="O171" s="203">
        <v>0</v>
      </c>
      <c r="P171" s="213">
        <f>申込書!$B$6</f>
        <v>0</v>
      </c>
      <c r="Q171" s="203">
        <f>申込書!$C$34</f>
        <v>1000040</v>
      </c>
      <c r="R171" s="203">
        <v>0</v>
      </c>
      <c r="U171" s="203">
        <f>VLOOKUP(B171,★営業所!$A$2:$C$5,3,FALSE)</f>
        <v>8</v>
      </c>
      <c r="V171" s="203">
        <f>申込書!$B$9</f>
        <v>0</v>
      </c>
      <c r="W171" s="203" t="str">
        <f>CONCATENATE(VLOOKUP(B171,★営業所!$A$2:$B$5,2,FALSE),VLOOKUP(申込書!$C$32,★サイズ表記!$D$4:$E$55,2,FALSE),VLOOKUP(D171,★折込地区!$A$2:$B$11,2,FALSE))</f>
        <v>T1001Tot</v>
      </c>
      <c r="X171" s="203" t="str">
        <f>CONCATENATE(申込書!$B$9," ",VLOOKUP(RIGHT(W171,3),★折込地区!$B$2:$C$10,2,FALSE),"")</f>
        <v xml:space="preserve"> 鳥取</v>
      </c>
      <c r="Z171" s="206">
        <f t="shared" ca="1" si="16"/>
        <v>0</v>
      </c>
      <c r="AB171" s="383">
        <f t="shared" si="17"/>
        <v>2.8</v>
      </c>
      <c r="AC171" s="203" t="str">
        <f t="shared" si="18"/>
        <v>D1001</v>
      </c>
      <c r="AD171" s="203" t="str">
        <f>VLOOKUP(AC171,★原価商品!$E$6:$F$349,2,FALSE)</f>
        <v>日本海/B4（折り無し）</v>
      </c>
      <c r="AE171" s="203">
        <f t="shared" ca="1" si="19"/>
        <v>0</v>
      </c>
      <c r="AF171" s="383">
        <f>IFERROR(IF(VLOOKUP(申込書!$C$32,★サイズ表記!$F$4:$H$55,3,FALSE)="切り捨て",ROUNDDOWN(L171*IF(AK171="◎",I171,J171)/100,2),IF(VLOOKUP(申込書!$C$32,★サイズ表記!$F$4:$H$55,3,FALSE)="切り上げ",ROUNDUP(L171*IF(AK171="◎",I171,J171)/100,2),ROUND(L171*IF(AK171="◎",I171,J171)/100,2))),0)</f>
        <v>1.84</v>
      </c>
      <c r="AG171" s="203">
        <f t="shared" ca="1" si="20"/>
        <v>10075</v>
      </c>
      <c r="AJ171" s="460" t="str">
        <f>IFERROR(VLOOKUP(申込書!$C$30,★業種!$D$2:$E$87,2,FALSE),"")</f>
        <v>1003</v>
      </c>
      <c r="AK171" s="460" t="str">
        <f>IF(申込書!$C$36="◎",IF(OR(D171="浜坂・温泉",D171="美方・村岡",D171="香住",D171="岡山",D171="大阪"),"",IF(LEFT(F171)="D","◎",IF(AG171=0,"",IFERROR(IF(VLOOKUP(AG171,★仕入先!$A$2:$C$211,3,FALSE)=0,"","◎"),"")))),"")</f>
        <v>◎</v>
      </c>
      <c r="AL171" s="460">
        <f>申込書!$H$14</f>
        <v>0</v>
      </c>
      <c r="AM171" s="460" t="str">
        <f>申込書!$C$32</f>
        <v>B4（折り無し）</v>
      </c>
      <c r="AN171" s="460" t="str">
        <f>VLOOKUP(AM171,★サイズ表記!$D$4:$E$55,2,FALSE)</f>
        <v>1001</v>
      </c>
      <c r="AO171" s="460">
        <f>IF(C171&lt;&gt;"⑧兵庫",VLOOKUP(LEFT(F171),★新聞!$A$4:$B$12,2,FALSE),IF(LEFT(F171)&lt;&gt;"S",VLOOKUP(LEFT(F171),★新聞!$A$4:$B$12,2,FALSE),VLOOKUP("X",★新聞!$A$4:$B$12,2,FALSE)))</f>
        <v>1</v>
      </c>
      <c r="AP171" s="460" t="str">
        <f t="shared" ca="1" si="21"/>
        <v>0</v>
      </c>
      <c r="AQ171" s="460" t="str">
        <f>IF(申込書!$C$38="","",申込書!$C$38)</f>
        <v/>
      </c>
    </row>
    <row r="172" spans="1:43">
      <c r="A172" s="463">
        <f t="shared" si="22"/>
        <v>171</v>
      </c>
      <c r="B172" s="463" t="str">
        <f t="shared" si="23"/>
        <v>東部</v>
      </c>
      <c r="C172" s="464" t="s">
        <v>1016</v>
      </c>
      <c r="D172" s="464" t="s">
        <v>1022</v>
      </c>
      <c r="E172" s="464">
        <f>VLOOKUP(D172,★折込地区!$A$2:$D$10,4,FALSE)</f>
        <v>1</v>
      </c>
      <c r="F172" s="464" t="s">
        <v>571</v>
      </c>
      <c r="G172" s="464" t="str">
        <f>INDEX(★新聞!$E$4:$I$12, MATCH(LEFT(F172),★新聞!$A$4:$A$12,0), MATCH(LEFT(W172),★新聞!$E$3:$I$3,0))</f>
        <v>AA</v>
      </c>
      <c r="H172" s="475" t="s">
        <v>1107</v>
      </c>
      <c r="I172" s="464" cm="1">
        <f t="array" ref="I172">IFERROR(INDEX(★原価率!$A$2:$E$50,MATCH($C172&amp;$H172,★原価率!$A$2:$A$50&amp;★原価率!$B$2:$B$50,0),3),0)</f>
        <v>76</v>
      </c>
      <c r="J172" s="464" cm="1">
        <f t="array" ref="J172">IFERROR(INDEX(★原価率!$A$2:$E$50,MATCH($C172&amp;$H172,★原価率!$A$2:$A$50&amp;★原価率!$B$2:$B$50,0),4),0)</f>
        <v>76</v>
      </c>
      <c r="K172" s="464" cm="1">
        <f t="array" ref="K172">IFERROR(INDEX(★原価率!$A$2:$E$50,MATCH($C172&amp;$H172,★原価率!$A$2:$A$50&amp;★原価率!$B$2:$B$50,0),5),0)</f>
        <v>100</v>
      </c>
      <c r="L172" s="528">
        <f>IFERROR(VLOOKUP(W172,★商品!$A$1:$H$1231,8,FALSE),0)</f>
        <v>2.8</v>
      </c>
      <c r="M172" s="203" t="str">
        <f ca="1">CONCATENATE(VLOOKUP(B172,★営業所!$A$2:$B$5,2,FALSE),TEXT(NOW(),"yyyy"))</f>
        <v>T2023</v>
      </c>
      <c r="N172" s="203">
        <v>1</v>
      </c>
      <c r="O172" s="203">
        <v>0</v>
      </c>
      <c r="P172" s="213">
        <f>申込書!$B$6</f>
        <v>0</v>
      </c>
      <c r="Q172" s="203">
        <f>申込書!$C$34</f>
        <v>1000040</v>
      </c>
      <c r="R172" s="203">
        <v>0</v>
      </c>
      <c r="U172" s="203">
        <f>VLOOKUP(B172,★営業所!$A$2:$C$5,3,FALSE)</f>
        <v>8</v>
      </c>
      <c r="V172" s="203">
        <f>申込書!$B$9</f>
        <v>0</v>
      </c>
      <c r="W172" s="203" t="str">
        <f>CONCATENATE(VLOOKUP(B172,★営業所!$A$2:$B$5,2,FALSE),VLOOKUP(申込書!$C$32,★サイズ表記!$D$4:$E$55,2,FALSE),VLOOKUP(D172,★折込地区!$A$2:$B$11,2,FALSE))</f>
        <v>T1001Tot</v>
      </c>
      <c r="X172" s="203" t="str">
        <f>CONCATENATE(申込書!$B$9," ",VLOOKUP(RIGHT(W172,3),★折込地区!$B$2:$C$10,2,FALSE),"")</f>
        <v xml:space="preserve"> 鳥取</v>
      </c>
      <c r="Z172" s="206">
        <f t="shared" ca="1" si="16"/>
        <v>0</v>
      </c>
      <c r="AB172" s="383">
        <f t="shared" si="17"/>
        <v>2.8</v>
      </c>
      <c r="AC172" s="203" t="str">
        <f t="shared" si="18"/>
        <v>G1001</v>
      </c>
      <c r="AD172" s="203" t="str">
        <f>VLOOKUP(AC172,★原価商品!$E$6:$F$349,2,FALSE)</f>
        <v>朝日/B4（折り無し）</v>
      </c>
      <c r="AE172" s="203">
        <f t="shared" ca="1" si="19"/>
        <v>0</v>
      </c>
      <c r="AF172" s="383">
        <f ca="1">IFERROR(IF(VLOOKUP(申込書!$C$32,★サイズ表記!$F$4:$H$55,3,FALSE)="切り捨て",ROUNDDOWN(L172*IF(AK172="◎",I172,J172)/100,2),IF(VLOOKUP(申込書!$C$32,★サイズ表記!$F$4:$H$55,3,FALSE)="切り上げ",ROUNDUP(L172*IF(AK172="◎",I172,J172)/100,2),ROUND(L172*IF(AK172="◎",I172,J172)/100,2))),0)</f>
        <v>2.12</v>
      </c>
      <c r="AG172" s="203">
        <f t="shared" ca="1" si="20"/>
        <v>10413</v>
      </c>
      <c r="AJ172" s="460" t="str">
        <f>IFERROR(VLOOKUP(申込書!$C$30,★業種!$D$2:$E$87,2,FALSE),"")</f>
        <v>1003</v>
      </c>
      <c r="AK172" s="460" t="str">
        <f ca="1">IF(申込書!$C$36="◎",IF(OR(D172="浜坂・温泉",D172="美方・村岡",D172="香住",D172="岡山",D172="大阪"),"",IF(LEFT(F172)="D","◎",IF(AG172=0,"",IFERROR(IF(VLOOKUP(AG172,★仕入先!$A$2:$C$211,3,FALSE)=0,"","◎"),"")))),"")</f>
        <v/>
      </c>
      <c r="AL172" s="460">
        <f>申込書!$H$14</f>
        <v>0</v>
      </c>
      <c r="AM172" s="460" t="str">
        <f>申込書!$C$32</f>
        <v>B4（折り無し）</v>
      </c>
      <c r="AN172" s="460" t="str">
        <f>VLOOKUP(AM172,★サイズ表記!$D$4:$E$55,2,FALSE)</f>
        <v>1001</v>
      </c>
      <c r="AO172" s="460">
        <f>IF(C172&lt;&gt;"⑧兵庫",VLOOKUP(LEFT(F172),★新聞!$A$4:$B$12,2,FALSE),IF(LEFT(F172)&lt;&gt;"S",VLOOKUP(LEFT(F172),★新聞!$A$4:$B$12,2,FALSE),VLOOKUP("X",★新聞!$A$4:$B$12,2,FALSE)))</f>
        <v>2</v>
      </c>
      <c r="AP172" s="460" t="str">
        <f t="shared" ca="1" si="21"/>
        <v>0</v>
      </c>
      <c r="AQ172" s="460" t="str">
        <f>IF(申込書!$C$38="","",申込書!$C$38)</f>
        <v/>
      </c>
    </row>
    <row r="173" spans="1:43">
      <c r="A173" s="463">
        <f t="shared" si="22"/>
        <v>172</v>
      </c>
      <c r="B173" s="463" t="str">
        <f t="shared" si="23"/>
        <v>東部</v>
      </c>
      <c r="C173" s="464" t="s">
        <v>1016</v>
      </c>
      <c r="D173" s="464" t="s">
        <v>1022</v>
      </c>
      <c r="E173" s="464">
        <f>VLOOKUP(D173,★折込地区!$A$2:$D$10,4,FALSE)</f>
        <v>1</v>
      </c>
      <c r="F173" s="464" t="s">
        <v>406</v>
      </c>
      <c r="G173" s="464" t="str">
        <f>INDEX(★新聞!$E$4:$I$12, MATCH(LEFT(F173),★新聞!$A$4:$A$12,0), MATCH(LEFT(W173),★新聞!$E$3:$I$3,0))</f>
        <v>AA</v>
      </c>
      <c r="H173" s="555" t="s">
        <v>1105</v>
      </c>
      <c r="I173" s="464" cm="1">
        <f t="array" ref="I173">IFERROR(INDEX(★原価率!$A$2:$E$50,MATCH($C173&amp;$H173,★原価率!$A$2:$A$50&amp;★原価率!$B$2:$B$50,0),3),0)</f>
        <v>66</v>
      </c>
      <c r="J173" s="464" cm="1">
        <f t="array" ref="J173">IFERROR(INDEX(★原価率!$A$2:$E$50,MATCH($C173&amp;$H173,★原価率!$A$2:$A$50&amp;★原価率!$B$2:$B$50,0),4),0)</f>
        <v>76</v>
      </c>
      <c r="K173" s="464" cm="1">
        <f t="array" ref="K173">IFERROR(INDEX(★原価率!$A$2:$E$50,MATCH($C173&amp;$H173,★原価率!$A$2:$A$50&amp;★原価率!$B$2:$B$50,0),5),0)</f>
        <v>100</v>
      </c>
      <c r="L173" s="528">
        <f>IFERROR(VLOOKUP(W173,★商品!$A$1:$H$1231,8,FALSE),0)</f>
        <v>2.8</v>
      </c>
      <c r="M173" s="203" t="str">
        <f ca="1">CONCATENATE(VLOOKUP(B173,★営業所!$A$2:$B$5,2,FALSE),TEXT(NOW(),"yyyy"))</f>
        <v>T2023</v>
      </c>
      <c r="N173" s="203">
        <v>1</v>
      </c>
      <c r="O173" s="203">
        <v>0</v>
      </c>
      <c r="P173" s="213">
        <f>申込書!$B$6</f>
        <v>0</v>
      </c>
      <c r="Q173" s="203">
        <f>申込書!$C$34</f>
        <v>1000040</v>
      </c>
      <c r="R173" s="203">
        <v>0</v>
      </c>
      <c r="U173" s="203">
        <f>VLOOKUP(B173,★営業所!$A$2:$C$5,3,FALSE)</f>
        <v>8</v>
      </c>
      <c r="V173" s="203">
        <f>申込書!$B$9</f>
        <v>0</v>
      </c>
      <c r="W173" s="203" t="str">
        <f>CONCATENATE(VLOOKUP(B173,★営業所!$A$2:$B$5,2,FALSE),VLOOKUP(申込書!$C$32,★サイズ表記!$D$4:$E$55,2,FALSE),VLOOKUP(D173,★折込地区!$A$2:$B$11,2,FALSE))</f>
        <v>T1001Tot</v>
      </c>
      <c r="X173" s="203" t="str">
        <f>CONCATENATE(申込書!$B$9," ",VLOOKUP(RIGHT(W173,3),★折込地区!$B$2:$C$10,2,FALSE),"")</f>
        <v xml:space="preserve"> 鳥取</v>
      </c>
      <c r="Z173" s="206">
        <f t="shared" ca="1" si="16"/>
        <v>0</v>
      </c>
      <c r="AB173" s="383">
        <f t="shared" si="17"/>
        <v>2.8</v>
      </c>
      <c r="AC173" s="203" t="str">
        <f t="shared" si="18"/>
        <v>G1001</v>
      </c>
      <c r="AD173" s="203" t="str">
        <f>VLOOKUP(AC173,★原価商品!$E$6:$F$349,2,FALSE)</f>
        <v>朝日/B4（折り無し）</v>
      </c>
      <c r="AE173" s="203">
        <f t="shared" ca="1" si="19"/>
        <v>0</v>
      </c>
      <c r="AF173" s="383">
        <f ca="1">IFERROR(IF(VLOOKUP(申込書!$C$32,★サイズ表記!$F$4:$H$55,3,FALSE)="切り捨て",ROUNDDOWN(L173*IF(AK173="◎",I173,J173)/100,2),IF(VLOOKUP(申込書!$C$32,★サイズ表記!$F$4:$H$55,3,FALSE)="切り上げ",ROUNDUP(L173*IF(AK173="◎",I173,J173)/100,2),ROUND(L173*IF(AK173="◎",I173,J173)/100,2))),0)</f>
        <v>1.84</v>
      </c>
      <c r="AG173" s="203">
        <f t="shared" ca="1" si="20"/>
        <v>10421</v>
      </c>
      <c r="AJ173" s="460" t="str">
        <f>IFERROR(VLOOKUP(申込書!$C$30,★業種!$D$2:$E$87,2,FALSE),"")</f>
        <v>1003</v>
      </c>
      <c r="AK173" s="460" t="str">
        <f ca="1">IF(申込書!$C$36="◎",IF(OR(D173="浜坂・温泉",D173="美方・村岡",D173="香住",D173="岡山",D173="大阪"),"",IF(LEFT(F173)="D","◎",IF(AG173=0,"",IFERROR(IF(VLOOKUP(AG173,★仕入先!$A$2:$C$211,3,FALSE)=0,"","◎"),"")))),"")</f>
        <v>◎</v>
      </c>
      <c r="AL173" s="460">
        <f>申込書!$H$14</f>
        <v>0</v>
      </c>
      <c r="AM173" s="460" t="str">
        <f>申込書!$C$32</f>
        <v>B4（折り無し）</v>
      </c>
      <c r="AN173" s="460" t="str">
        <f>VLOOKUP(AM173,★サイズ表記!$D$4:$E$55,2,FALSE)</f>
        <v>1001</v>
      </c>
      <c r="AO173" s="460">
        <f>IF(C173&lt;&gt;"⑧兵庫",VLOOKUP(LEFT(F173),★新聞!$A$4:$B$12,2,FALSE),IF(LEFT(F173)&lt;&gt;"S",VLOOKUP(LEFT(F173),★新聞!$A$4:$B$12,2,FALSE),VLOOKUP("X",★新聞!$A$4:$B$12,2,FALSE)))</f>
        <v>2</v>
      </c>
      <c r="AP173" s="460" t="str">
        <f t="shared" ca="1" si="21"/>
        <v>0</v>
      </c>
      <c r="AQ173" s="460" t="str">
        <f>IF(申込書!$C$38="","",申込書!$C$38)</f>
        <v/>
      </c>
    </row>
    <row r="174" spans="1:43">
      <c r="A174" s="463">
        <f t="shared" si="22"/>
        <v>173</v>
      </c>
      <c r="B174" s="463" t="str">
        <f t="shared" si="23"/>
        <v>東部</v>
      </c>
      <c r="C174" s="464" t="s">
        <v>1016</v>
      </c>
      <c r="D174" s="464" t="s">
        <v>1022</v>
      </c>
      <c r="E174" s="464">
        <f>VLOOKUP(D174,★折込地区!$A$2:$D$10,4,FALSE)</f>
        <v>1</v>
      </c>
      <c r="F174" s="464" t="s">
        <v>407</v>
      </c>
      <c r="G174" s="464" t="str">
        <f>INDEX(★新聞!$E$4:$I$12, MATCH(LEFT(F174),★新聞!$A$4:$A$12,0), MATCH(LEFT(W174),★新聞!$E$3:$I$3,0))</f>
        <v>AA</v>
      </c>
      <c r="H174" s="555" t="s">
        <v>1105</v>
      </c>
      <c r="I174" s="464" cm="1">
        <f t="array" ref="I174">IFERROR(INDEX(★原価率!$A$2:$E$50,MATCH($C174&amp;$H174,★原価率!$A$2:$A$50&amp;★原価率!$B$2:$B$50,0),3),0)</f>
        <v>66</v>
      </c>
      <c r="J174" s="464" cm="1">
        <f t="array" ref="J174">IFERROR(INDEX(★原価率!$A$2:$E$50,MATCH($C174&amp;$H174,★原価率!$A$2:$A$50&amp;★原価率!$B$2:$B$50,0),4),0)</f>
        <v>76</v>
      </c>
      <c r="K174" s="464" cm="1">
        <f t="array" ref="K174">IFERROR(INDEX(★原価率!$A$2:$E$50,MATCH($C174&amp;$H174,★原価率!$A$2:$A$50&amp;★原価率!$B$2:$B$50,0),5),0)</f>
        <v>100</v>
      </c>
      <c r="L174" s="528">
        <f>IFERROR(VLOOKUP(W174,★商品!$A$1:$H$1231,8,FALSE),0)</f>
        <v>2.8</v>
      </c>
      <c r="M174" s="203" t="str">
        <f ca="1">CONCATENATE(VLOOKUP(B174,★営業所!$A$2:$B$5,2,FALSE),TEXT(NOW(),"yyyy"))</f>
        <v>T2023</v>
      </c>
      <c r="N174" s="203">
        <v>1</v>
      </c>
      <c r="O174" s="203">
        <v>0</v>
      </c>
      <c r="P174" s="213">
        <f>申込書!$B$6</f>
        <v>0</v>
      </c>
      <c r="Q174" s="203">
        <f>申込書!$C$34</f>
        <v>1000040</v>
      </c>
      <c r="R174" s="203">
        <v>0</v>
      </c>
      <c r="U174" s="203">
        <f>VLOOKUP(B174,★営業所!$A$2:$C$5,3,FALSE)</f>
        <v>8</v>
      </c>
      <c r="V174" s="203">
        <f>申込書!$B$9</f>
        <v>0</v>
      </c>
      <c r="W174" s="203" t="str">
        <f>CONCATENATE(VLOOKUP(B174,★営業所!$A$2:$B$5,2,FALSE),VLOOKUP(申込書!$C$32,★サイズ表記!$D$4:$E$55,2,FALSE),VLOOKUP(D174,★折込地区!$A$2:$B$11,2,FALSE))</f>
        <v>T1001Tot</v>
      </c>
      <c r="X174" s="203" t="str">
        <f>CONCATENATE(申込書!$B$9," ",VLOOKUP(RIGHT(W174,3),★折込地区!$B$2:$C$10,2,FALSE),"")</f>
        <v xml:space="preserve"> 鳥取</v>
      </c>
      <c r="Z174" s="206">
        <f t="shared" ca="1" si="16"/>
        <v>0</v>
      </c>
      <c r="AB174" s="383">
        <f t="shared" si="17"/>
        <v>2.8</v>
      </c>
      <c r="AC174" s="203" t="str">
        <f t="shared" si="18"/>
        <v>G1001</v>
      </c>
      <c r="AD174" s="203" t="str">
        <f>VLOOKUP(AC174,★原価商品!$E$6:$F$349,2,FALSE)</f>
        <v>朝日/B4（折り無し）</v>
      </c>
      <c r="AE174" s="203">
        <f t="shared" ca="1" si="19"/>
        <v>0</v>
      </c>
      <c r="AF174" s="383">
        <f ca="1">IFERROR(IF(VLOOKUP(申込書!$C$32,★サイズ表記!$F$4:$H$55,3,FALSE)="切り捨て",ROUNDDOWN(L174*IF(AK174="◎",I174,J174)/100,2),IF(VLOOKUP(申込書!$C$32,★サイズ表記!$F$4:$H$55,3,FALSE)="切り上げ",ROUNDUP(L174*IF(AK174="◎",I174,J174)/100,2),ROUND(L174*IF(AK174="◎",I174,J174)/100,2))),0)</f>
        <v>1.84</v>
      </c>
      <c r="AG174" s="203">
        <f t="shared" ca="1" si="20"/>
        <v>10434</v>
      </c>
      <c r="AJ174" s="460" t="str">
        <f>IFERROR(VLOOKUP(申込書!$C$30,★業種!$D$2:$E$87,2,FALSE),"")</f>
        <v>1003</v>
      </c>
      <c r="AK174" s="460" t="str">
        <f ca="1">IF(申込書!$C$36="◎",IF(OR(D174="浜坂・温泉",D174="美方・村岡",D174="香住",D174="岡山",D174="大阪"),"",IF(LEFT(F174)="D","◎",IF(AG174=0,"",IFERROR(IF(VLOOKUP(AG174,★仕入先!$A$2:$C$211,3,FALSE)=0,"","◎"),"")))),"")</f>
        <v>◎</v>
      </c>
      <c r="AL174" s="460">
        <f>申込書!$H$14</f>
        <v>0</v>
      </c>
      <c r="AM174" s="460" t="str">
        <f>申込書!$C$32</f>
        <v>B4（折り無し）</v>
      </c>
      <c r="AN174" s="460" t="str">
        <f>VLOOKUP(AM174,★サイズ表記!$D$4:$E$55,2,FALSE)</f>
        <v>1001</v>
      </c>
      <c r="AO174" s="460">
        <f>IF(C174&lt;&gt;"⑧兵庫",VLOOKUP(LEFT(F174),★新聞!$A$4:$B$12,2,FALSE),IF(LEFT(F174)&lt;&gt;"S",VLOOKUP(LEFT(F174),★新聞!$A$4:$B$12,2,FALSE),VLOOKUP("X",★新聞!$A$4:$B$12,2,FALSE)))</f>
        <v>2</v>
      </c>
      <c r="AP174" s="460" t="str">
        <f t="shared" ca="1" si="21"/>
        <v>0</v>
      </c>
      <c r="AQ174" s="460" t="str">
        <f>IF(申込書!$C$38="","",申込書!$C$38)</f>
        <v/>
      </c>
    </row>
    <row r="175" spans="1:43">
      <c r="A175" s="463">
        <f t="shared" si="22"/>
        <v>174</v>
      </c>
      <c r="B175" s="463" t="str">
        <f t="shared" si="23"/>
        <v>東部</v>
      </c>
      <c r="C175" s="464" t="s">
        <v>1016</v>
      </c>
      <c r="D175" s="464" t="s">
        <v>1022</v>
      </c>
      <c r="E175" s="464">
        <f>VLOOKUP(D175,★折込地区!$A$2:$D$10,4,FALSE)</f>
        <v>1</v>
      </c>
      <c r="F175" s="464" t="s">
        <v>408</v>
      </c>
      <c r="G175" s="464" t="str">
        <f>INDEX(★新聞!$E$4:$I$12, MATCH(LEFT(F175),★新聞!$A$4:$A$12,0), MATCH(LEFT(W175),★新聞!$E$3:$I$3,0))</f>
        <v>AA</v>
      </c>
      <c r="H175" s="475" t="s">
        <v>1107</v>
      </c>
      <c r="I175" s="464" cm="1">
        <f t="array" ref="I175">IFERROR(INDEX(★原価率!$A$2:$E$50,MATCH($C175&amp;$H175,★原価率!$A$2:$A$50&amp;★原価率!$B$2:$B$50,0),3),0)</f>
        <v>76</v>
      </c>
      <c r="J175" s="464" cm="1">
        <f t="array" ref="J175">IFERROR(INDEX(★原価率!$A$2:$E$50,MATCH($C175&amp;$H175,★原価率!$A$2:$A$50&amp;★原価率!$B$2:$B$50,0),4),0)</f>
        <v>76</v>
      </c>
      <c r="K175" s="464" cm="1">
        <f t="array" ref="K175">IFERROR(INDEX(★原価率!$A$2:$E$50,MATCH($C175&amp;$H175,★原価率!$A$2:$A$50&amp;★原価率!$B$2:$B$50,0),5),0)</f>
        <v>100</v>
      </c>
      <c r="L175" s="528">
        <f>IFERROR(VLOOKUP(W175,★商品!$A$1:$H$1231,8,FALSE),0)</f>
        <v>2.8</v>
      </c>
      <c r="M175" s="203" t="str">
        <f ca="1">CONCATENATE(VLOOKUP(B175,★営業所!$A$2:$B$5,2,FALSE),TEXT(NOW(),"yyyy"))</f>
        <v>T2023</v>
      </c>
      <c r="N175" s="203">
        <v>1</v>
      </c>
      <c r="O175" s="203">
        <v>0</v>
      </c>
      <c r="P175" s="213">
        <f>申込書!$B$6</f>
        <v>0</v>
      </c>
      <c r="Q175" s="203">
        <f>申込書!$C$34</f>
        <v>1000040</v>
      </c>
      <c r="R175" s="203">
        <v>0</v>
      </c>
      <c r="U175" s="203">
        <f>VLOOKUP(B175,★営業所!$A$2:$C$5,3,FALSE)</f>
        <v>8</v>
      </c>
      <c r="V175" s="203">
        <f>申込書!$B$9</f>
        <v>0</v>
      </c>
      <c r="W175" s="203" t="str">
        <f>CONCATENATE(VLOOKUP(B175,★営業所!$A$2:$B$5,2,FALSE),VLOOKUP(申込書!$C$32,★サイズ表記!$D$4:$E$55,2,FALSE),VLOOKUP(D175,★折込地区!$A$2:$B$11,2,FALSE))</f>
        <v>T1001Tot</v>
      </c>
      <c r="X175" s="203" t="str">
        <f>CONCATENATE(申込書!$B$9," ",VLOOKUP(RIGHT(W175,3),★折込地区!$B$2:$C$10,2,FALSE),"")</f>
        <v xml:space="preserve"> 鳥取</v>
      </c>
      <c r="Z175" s="206">
        <f t="shared" ca="1" si="16"/>
        <v>0</v>
      </c>
      <c r="AB175" s="383">
        <f t="shared" si="17"/>
        <v>2.8</v>
      </c>
      <c r="AC175" s="203" t="str">
        <f t="shared" si="18"/>
        <v>G1001</v>
      </c>
      <c r="AD175" s="203" t="str">
        <f>VLOOKUP(AC175,★原価商品!$E$6:$F$349,2,FALSE)</f>
        <v>朝日/B4（折り無し）</v>
      </c>
      <c r="AE175" s="203">
        <f t="shared" ca="1" si="19"/>
        <v>0</v>
      </c>
      <c r="AF175" s="383">
        <f ca="1">IFERROR(IF(VLOOKUP(申込書!$C$32,★サイズ表記!$F$4:$H$55,3,FALSE)="切り捨て",ROUNDDOWN(L175*IF(AK175="◎",I175,J175)/100,2),IF(VLOOKUP(申込書!$C$32,★サイズ表記!$F$4:$H$55,3,FALSE)="切り上げ",ROUNDUP(L175*IF(AK175="◎",I175,J175)/100,2),ROUND(L175*IF(AK175="◎",I175,J175)/100,2))),0)</f>
        <v>2.12</v>
      </c>
      <c r="AG175" s="203">
        <f t="shared" ca="1" si="20"/>
        <v>10442</v>
      </c>
      <c r="AJ175" s="460" t="str">
        <f>IFERROR(VLOOKUP(申込書!$C$30,★業種!$D$2:$E$87,2,FALSE),"")</f>
        <v>1003</v>
      </c>
      <c r="AK175" s="460" t="str">
        <f ca="1">IF(申込書!$C$36="◎",IF(OR(D175="浜坂・温泉",D175="美方・村岡",D175="香住",D175="岡山",D175="大阪"),"",IF(LEFT(F175)="D","◎",IF(AG175=0,"",IFERROR(IF(VLOOKUP(AG175,★仕入先!$A$2:$C$211,3,FALSE)=0,"","◎"),"")))),"")</f>
        <v/>
      </c>
      <c r="AL175" s="460">
        <f>申込書!$H$14</f>
        <v>0</v>
      </c>
      <c r="AM175" s="460" t="str">
        <f>申込書!$C$32</f>
        <v>B4（折り無し）</v>
      </c>
      <c r="AN175" s="460" t="str">
        <f>VLOOKUP(AM175,★サイズ表記!$D$4:$E$55,2,FALSE)</f>
        <v>1001</v>
      </c>
      <c r="AO175" s="460">
        <f>IF(C175&lt;&gt;"⑧兵庫",VLOOKUP(LEFT(F175),★新聞!$A$4:$B$12,2,FALSE),IF(LEFT(F175)&lt;&gt;"S",VLOOKUP(LEFT(F175),★新聞!$A$4:$B$12,2,FALSE),VLOOKUP("X",★新聞!$A$4:$B$12,2,FALSE)))</f>
        <v>2</v>
      </c>
      <c r="AP175" s="460" t="str">
        <f t="shared" ca="1" si="21"/>
        <v>0</v>
      </c>
      <c r="AQ175" s="460" t="str">
        <f>IF(申込書!$C$38="","",申込書!$C$38)</f>
        <v/>
      </c>
    </row>
    <row r="176" spans="1:43">
      <c r="A176" s="463">
        <f t="shared" si="22"/>
        <v>175</v>
      </c>
      <c r="B176" s="463" t="str">
        <f t="shared" si="23"/>
        <v>東部</v>
      </c>
      <c r="C176" s="464" t="s">
        <v>1016</v>
      </c>
      <c r="D176" s="464" t="s">
        <v>1022</v>
      </c>
      <c r="E176" s="464">
        <f>VLOOKUP(D176,★折込地区!$A$2:$D$10,4,FALSE)</f>
        <v>1</v>
      </c>
      <c r="F176" s="464" t="s">
        <v>411</v>
      </c>
      <c r="G176" s="464" t="str">
        <f>INDEX(★新聞!$E$4:$I$12, MATCH(LEFT(F176),★新聞!$A$4:$A$12,0), MATCH(LEFT(W176),★新聞!$E$3:$I$3,0))</f>
        <v>AA</v>
      </c>
      <c r="H176" s="555" t="s">
        <v>1105</v>
      </c>
      <c r="I176" s="464" cm="1">
        <f t="array" ref="I176">IFERROR(INDEX(★原価率!$A$2:$E$50,MATCH($C176&amp;$H176,★原価率!$A$2:$A$50&amp;★原価率!$B$2:$B$50,0),3),0)</f>
        <v>66</v>
      </c>
      <c r="J176" s="464" cm="1">
        <f t="array" ref="J176">IFERROR(INDEX(★原価率!$A$2:$E$50,MATCH($C176&amp;$H176,★原価率!$A$2:$A$50&amp;★原価率!$B$2:$B$50,0),4),0)</f>
        <v>76</v>
      </c>
      <c r="K176" s="464" cm="1">
        <f t="array" ref="K176">IFERROR(INDEX(★原価率!$A$2:$E$50,MATCH($C176&amp;$H176,★原価率!$A$2:$A$50&amp;★原価率!$B$2:$B$50,0),5),0)</f>
        <v>100</v>
      </c>
      <c r="L176" s="528">
        <f>IFERROR(VLOOKUP(W176,★商品!$A$1:$H$1231,8,FALSE),0)</f>
        <v>2.8</v>
      </c>
      <c r="M176" s="203" t="str">
        <f ca="1">CONCATENATE(VLOOKUP(B176,★営業所!$A$2:$B$5,2,FALSE),TEXT(NOW(),"yyyy"))</f>
        <v>T2023</v>
      </c>
      <c r="N176" s="203">
        <v>1</v>
      </c>
      <c r="O176" s="203">
        <v>0</v>
      </c>
      <c r="P176" s="213">
        <f>申込書!$B$6</f>
        <v>0</v>
      </c>
      <c r="Q176" s="203">
        <f>申込書!$C$34</f>
        <v>1000040</v>
      </c>
      <c r="R176" s="203">
        <v>0</v>
      </c>
      <c r="U176" s="203">
        <f>VLOOKUP(B176,★営業所!$A$2:$C$5,3,FALSE)</f>
        <v>8</v>
      </c>
      <c r="V176" s="203">
        <f>申込書!$B$9</f>
        <v>0</v>
      </c>
      <c r="W176" s="203" t="str">
        <f>CONCATENATE(VLOOKUP(B176,★営業所!$A$2:$B$5,2,FALSE),VLOOKUP(申込書!$C$32,★サイズ表記!$D$4:$E$55,2,FALSE),VLOOKUP(D176,★折込地区!$A$2:$B$11,2,FALSE))</f>
        <v>T1001Tot</v>
      </c>
      <c r="X176" s="203" t="str">
        <f>CONCATENATE(申込書!$B$9," ",VLOOKUP(RIGHT(W176,3),★折込地区!$B$2:$C$10,2,FALSE),"")</f>
        <v xml:space="preserve"> 鳥取</v>
      </c>
      <c r="Z176" s="206">
        <f t="shared" ca="1" si="16"/>
        <v>0</v>
      </c>
      <c r="AB176" s="383">
        <f t="shared" si="17"/>
        <v>2.8</v>
      </c>
      <c r="AC176" s="203" t="str">
        <f t="shared" si="18"/>
        <v>G1001</v>
      </c>
      <c r="AD176" s="203" t="str">
        <f>VLOOKUP(AC176,★原価商品!$E$6:$F$349,2,FALSE)</f>
        <v>朝日/B4（折り無し）</v>
      </c>
      <c r="AE176" s="203">
        <f t="shared" ca="1" si="19"/>
        <v>0</v>
      </c>
      <c r="AF176" s="383">
        <f ca="1">IFERROR(IF(VLOOKUP(申込書!$C$32,★サイズ表記!$F$4:$H$55,3,FALSE)="切り捨て",ROUNDDOWN(L176*IF(AK176="◎",I176,J176)/100,2),IF(VLOOKUP(申込書!$C$32,★サイズ表記!$F$4:$H$55,3,FALSE)="切り上げ",ROUNDUP(L176*IF(AK176="◎",I176,J176)/100,2),ROUND(L176*IF(AK176="◎",I176,J176)/100,2))),0)</f>
        <v>1.84</v>
      </c>
      <c r="AG176" s="203">
        <f t="shared" ca="1" si="20"/>
        <v>10451</v>
      </c>
      <c r="AJ176" s="460" t="str">
        <f>IFERROR(VLOOKUP(申込書!$C$30,★業種!$D$2:$E$87,2,FALSE),"")</f>
        <v>1003</v>
      </c>
      <c r="AK176" s="460" t="str">
        <f ca="1">IF(申込書!$C$36="◎",IF(OR(D176="浜坂・温泉",D176="美方・村岡",D176="香住",D176="岡山",D176="大阪"),"",IF(LEFT(F176)="D","◎",IF(AG176=0,"",IFERROR(IF(VLOOKUP(AG176,★仕入先!$A$2:$C$211,3,FALSE)=0,"","◎"),"")))),"")</f>
        <v>◎</v>
      </c>
      <c r="AL176" s="460">
        <f>申込書!$H$14</f>
        <v>0</v>
      </c>
      <c r="AM176" s="460" t="str">
        <f>申込書!$C$32</f>
        <v>B4（折り無し）</v>
      </c>
      <c r="AN176" s="460" t="str">
        <f>VLOOKUP(AM176,★サイズ表記!$D$4:$E$55,2,FALSE)</f>
        <v>1001</v>
      </c>
      <c r="AO176" s="460">
        <f>IF(C176&lt;&gt;"⑧兵庫",VLOOKUP(LEFT(F176),★新聞!$A$4:$B$12,2,FALSE),IF(LEFT(F176)&lt;&gt;"S",VLOOKUP(LEFT(F176),★新聞!$A$4:$B$12,2,FALSE),VLOOKUP("X",★新聞!$A$4:$B$12,2,FALSE)))</f>
        <v>2</v>
      </c>
      <c r="AP176" s="460" t="str">
        <f t="shared" ca="1" si="21"/>
        <v>0</v>
      </c>
      <c r="AQ176" s="460" t="str">
        <f>IF(申込書!$C$38="","",申込書!$C$38)</f>
        <v/>
      </c>
    </row>
    <row r="177" spans="1:43">
      <c r="A177" s="463">
        <f t="shared" si="22"/>
        <v>176</v>
      </c>
      <c r="B177" s="463" t="str">
        <f t="shared" si="23"/>
        <v>東部</v>
      </c>
      <c r="C177" s="464" t="s">
        <v>1016</v>
      </c>
      <c r="D177" s="464" t="s">
        <v>1022</v>
      </c>
      <c r="E177" s="464">
        <f>VLOOKUP(D177,★折込地区!$A$2:$D$10,4,FALSE)</f>
        <v>1</v>
      </c>
      <c r="F177" s="464" t="s">
        <v>412</v>
      </c>
      <c r="G177" s="464" t="str">
        <f>INDEX(★新聞!$E$4:$I$12, MATCH(LEFT(F177),★新聞!$A$4:$A$12,0), MATCH(LEFT(W177),★新聞!$E$3:$I$3,0))</f>
        <v>AA</v>
      </c>
      <c r="H177" s="555" t="s">
        <v>1105</v>
      </c>
      <c r="I177" s="464" cm="1">
        <f t="array" ref="I177">IFERROR(INDEX(★原価率!$A$2:$E$50,MATCH($C177&amp;$H177,★原価率!$A$2:$A$50&amp;★原価率!$B$2:$B$50,0),3),0)</f>
        <v>66</v>
      </c>
      <c r="J177" s="464" cm="1">
        <f t="array" ref="J177">IFERROR(INDEX(★原価率!$A$2:$E$50,MATCH($C177&amp;$H177,★原価率!$A$2:$A$50&amp;★原価率!$B$2:$B$50,0),4),0)</f>
        <v>76</v>
      </c>
      <c r="K177" s="464" cm="1">
        <f t="array" ref="K177">IFERROR(INDEX(★原価率!$A$2:$E$50,MATCH($C177&amp;$H177,★原価率!$A$2:$A$50&amp;★原価率!$B$2:$B$50,0),5),0)</f>
        <v>100</v>
      </c>
      <c r="L177" s="528">
        <f>IFERROR(VLOOKUP(W177,★商品!$A$1:$H$1231,8,FALSE),0)</f>
        <v>2.8</v>
      </c>
      <c r="M177" s="203" t="str">
        <f ca="1">CONCATENATE(VLOOKUP(B177,★営業所!$A$2:$B$5,2,FALSE),TEXT(NOW(),"yyyy"))</f>
        <v>T2023</v>
      </c>
      <c r="N177" s="203">
        <v>1</v>
      </c>
      <c r="O177" s="203">
        <v>0</v>
      </c>
      <c r="P177" s="213">
        <f>申込書!$B$6</f>
        <v>0</v>
      </c>
      <c r="Q177" s="203">
        <f>申込書!$C$34</f>
        <v>1000040</v>
      </c>
      <c r="R177" s="203">
        <v>0</v>
      </c>
      <c r="U177" s="203">
        <f>VLOOKUP(B177,★営業所!$A$2:$C$5,3,FALSE)</f>
        <v>8</v>
      </c>
      <c r="V177" s="203">
        <f>申込書!$B$9</f>
        <v>0</v>
      </c>
      <c r="W177" s="203" t="str">
        <f>CONCATENATE(VLOOKUP(B177,★営業所!$A$2:$B$5,2,FALSE),VLOOKUP(申込書!$C$32,★サイズ表記!$D$4:$E$55,2,FALSE),VLOOKUP(D177,★折込地区!$A$2:$B$11,2,FALSE))</f>
        <v>T1001Tot</v>
      </c>
      <c r="X177" s="203" t="str">
        <f>CONCATENATE(申込書!$B$9," ",VLOOKUP(RIGHT(W177,3),★折込地区!$B$2:$C$10,2,FALSE),"")</f>
        <v xml:space="preserve"> 鳥取</v>
      </c>
      <c r="Z177" s="206">
        <f t="shared" ca="1" si="16"/>
        <v>0</v>
      </c>
      <c r="AB177" s="383">
        <f t="shared" si="17"/>
        <v>2.8</v>
      </c>
      <c r="AC177" s="203" t="str">
        <f t="shared" si="18"/>
        <v>G1001</v>
      </c>
      <c r="AD177" s="203" t="str">
        <f>VLOOKUP(AC177,★原価商品!$E$6:$F$349,2,FALSE)</f>
        <v>朝日/B4（折り無し）</v>
      </c>
      <c r="AE177" s="203">
        <f t="shared" ca="1" si="19"/>
        <v>0</v>
      </c>
      <c r="AF177" s="383">
        <f ca="1">IFERROR(IF(VLOOKUP(申込書!$C$32,★サイズ表記!$F$4:$H$55,3,FALSE)="切り捨て",ROUNDDOWN(L177*IF(AK177="◎",I177,J177)/100,2),IF(VLOOKUP(申込書!$C$32,★サイズ表記!$F$4:$H$55,3,FALSE)="切り上げ",ROUNDUP(L177*IF(AK177="◎",I177,J177)/100,2),ROUND(L177*IF(AK177="◎",I177,J177)/100,2))),0)</f>
        <v>1.84</v>
      </c>
      <c r="AG177" s="203">
        <f t="shared" ca="1" si="20"/>
        <v>10461</v>
      </c>
      <c r="AJ177" s="460" t="str">
        <f>IFERROR(VLOOKUP(申込書!$C$30,★業種!$D$2:$E$87,2,FALSE),"")</f>
        <v>1003</v>
      </c>
      <c r="AK177" s="460" t="str">
        <f ca="1">IF(申込書!$C$36="◎",IF(OR(D177="浜坂・温泉",D177="美方・村岡",D177="香住",D177="岡山",D177="大阪"),"",IF(LEFT(F177)="D","◎",IF(AG177=0,"",IFERROR(IF(VLOOKUP(AG177,★仕入先!$A$2:$C$211,3,FALSE)=0,"","◎"),"")))),"")</f>
        <v>◎</v>
      </c>
      <c r="AL177" s="460">
        <f>申込書!$H$14</f>
        <v>0</v>
      </c>
      <c r="AM177" s="460" t="str">
        <f>申込書!$C$32</f>
        <v>B4（折り無し）</v>
      </c>
      <c r="AN177" s="460" t="str">
        <f>VLOOKUP(AM177,★サイズ表記!$D$4:$E$55,2,FALSE)</f>
        <v>1001</v>
      </c>
      <c r="AO177" s="460">
        <f>IF(C177&lt;&gt;"⑧兵庫",VLOOKUP(LEFT(F177),★新聞!$A$4:$B$12,2,FALSE),IF(LEFT(F177)&lt;&gt;"S",VLOOKUP(LEFT(F177),★新聞!$A$4:$B$12,2,FALSE),VLOOKUP("X",★新聞!$A$4:$B$12,2,FALSE)))</f>
        <v>2</v>
      </c>
      <c r="AP177" s="460" t="str">
        <f t="shared" ca="1" si="21"/>
        <v>0</v>
      </c>
      <c r="AQ177" s="460" t="str">
        <f>IF(申込書!$C$38="","",申込書!$C$38)</f>
        <v/>
      </c>
    </row>
    <row r="178" spans="1:43">
      <c r="A178" s="463">
        <f t="shared" si="22"/>
        <v>177</v>
      </c>
      <c r="B178" s="463" t="str">
        <f t="shared" si="23"/>
        <v>東部</v>
      </c>
      <c r="C178" s="464" t="s">
        <v>1016</v>
      </c>
      <c r="D178" s="464" t="s">
        <v>1022</v>
      </c>
      <c r="E178" s="464">
        <f>VLOOKUP(D178,★折込地区!$A$2:$D$10,4,FALSE)</f>
        <v>1</v>
      </c>
      <c r="F178" s="464" t="s">
        <v>413</v>
      </c>
      <c r="G178" s="464" t="str">
        <f>INDEX(★新聞!$E$4:$I$12, MATCH(LEFT(F178),★新聞!$A$4:$A$12,0), MATCH(LEFT(W178),★新聞!$E$3:$I$3,0))</f>
        <v>AA</v>
      </c>
      <c r="H178" s="555" t="s">
        <v>1105</v>
      </c>
      <c r="I178" s="464" cm="1">
        <f t="array" ref="I178">IFERROR(INDEX(★原価率!$A$2:$E$50,MATCH($C178&amp;$H178,★原価率!$A$2:$A$50&amp;★原価率!$B$2:$B$50,0),3),0)</f>
        <v>66</v>
      </c>
      <c r="J178" s="464" cm="1">
        <f t="array" ref="J178">IFERROR(INDEX(★原価率!$A$2:$E$50,MATCH($C178&amp;$H178,★原価率!$A$2:$A$50&amp;★原価率!$B$2:$B$50,0),4),0)</f>
        <v>76</v>
      </c>
      <c r="K178" s="464" cm="1">
        <f t="array" ref="K178">IFERROR(INDEX(★原価率!$A$2:$E$50,MATCH($C178&amp;$H178,★原価率!$A$2:$A$50&amp;★原価率!$B$2:$B$50,0),5),0)</f>
        <v>100</v>
      </c>
      <c r="L178" s="528">
        <f>IFERROR(VLOOKUP(W178,★商品!$A$1:$H$1231,8,FALSE),0)</f>
        <v>2.8</v>
      </c>
      <c r="M178" s="203" t="str">
        <f ca="1">CONCATENATE(VLOOKUP(B178,★営業所!$A$2:$B$5,2,FALSE),TEXT(NOW(),"yyyy"))</f>
        <v>T2023</v>
      </c>
      <c r="N178" s="203">
        <v>1</v>
      </c>
      <c r="O178" s="203">
        <v>0</v>
      </c>
      <c r="P178" s="213">
        <f>申込書!$B$6</f>
        <v>0</v>
      </c>
      <c r="Q178" s="203">
        <f>申込書!$C$34</f>
        <v>1000040</v>
      </c>
      <c r="R178" s="203">
        <v>0</v>
      </c>
      <c r="U178" s="203">
        <f>VLOOKUP(B178,★営業所!$A$2:$C$5,3,FALSE)</f>
        <v>8</v>
      </c>
      <c r="V178" s="203">
        <f>申込書!$B$9</f>
        <v>0</v>
      </c>
      <c r="W178" s="203" t="str">
        <f>CONCATENATE(VLOOKUP(B178,★営業所!$A$2:$B$5,2,FALSE),VLOOKUP(申込書!$C$32,★サイズ表記!$D$4:$E$55,2,FALSE),VLOOKUP(D178,★折込地区!$A$2:$B$11,2,FALSE))</f>
        <v>T1001Tot</v>
      </c>
      <c r="X178" s="203" t="str">
        <f>CONCATENATE(申込書!$B$9," ",VLOOKUP(RIGHT(W178,3),★折込地区!$B$2:$C$10,2,FALSE),"")</f>
        <v xml:space="preserve"> 鳥取</v>
      </c>
      <c r="Z178" s="206">
        <f t="shared" ca="1" si="16"/>
        <v>0</v>
      </c>
      <c r="AB178" s="383">
        <f t="shared" si="17"/>
        <v>2.8</v>
      </c>
      <c r="AC178" s="203" t="str">
        <f t="shared" si="18"/>
        <v>G1001</v>
      </c>
      <c r="AD178" s="203" t="str">
        <f>VLOOKUP(AC178,★原価商品!$E$6:$F$349,2,FALSE)</f>
        <v>朝日/B4（折り無し）</v>
      </c>
      <c r="AE178" s="203">
        <f t="shared" ca="1" si="19"/>
        <v>0</v>
      </c>
      <c r="AF178" s="383">
        <f ca="1">IFERROR(IF(VLOOKUP(申込書!$C$32,★サイズ表記!$F$4:$H$55,3,FALSE)="切り捨て",ROUNDDOWN(L178*IF(AK178="◎",I178,J178)/100,2),IF(VLOOKUP(申込書!$C$32,★サイズ表記!$F$4:$H$55,3,FALSE)="切り上げ",ROUNDUP(L178*IF(AK178="◎",I178,J178)/100,2),ROUND(L178*IF(AK178="◎",I178,J178)/100,2))),0)</f>
        <v>1.84</v>
      </c>
      <c r="AG178" s="203">
        <f t="shared" ca="1" si="20"/>
        <v>10462</v>
      </c>
      <c r="AJ178" s="460" t="str">
        <f>IFERROR(VLOOKUP(申込書!$C$30,★業種!$D$2:$E$87,2,FALSE),"")</f>
        <v>1003</v>
      </c>
      <c r="AK178" s="460" t="str">
        <f ca="1">IF(申込書!$C$36="◎",IF(OR(D178="浜坂・温泉",D178="美方・村岡",D178="香住",D178="岡山",D178="大阪"),"",IF(LEFT(F178)="D","◎",IF(AG178=0,"",IFERROR(IF(VLOOKUP(AG178,★仕入先!$A$2:$C$211,3,FALSE)=0,"","◎"),"")))),"")</f>
        <v>◎</v>
      </c>
      <c r="AL178" s="460">
        <f>申込書!$H$14</f>
        <v>0</v>
      </c>
      <c r="AM178" s="460" t="str">
        <f>申込書!$C$32</f>
        <v>B4（折り無し）</v>
      </c>
      <c r="AN178" s="460" t="str">
        <f>VLOOKUP(AM178,★サイズ表記!$D$4:$E$55,2,FALSE)</f>
        <v>1001</v>
      </c>
      <c r="AO178" s="460">
        <f>IF(C178&lt;&gt;"⑧兵庫",VLOOKUP(LEFT(F178),★新聞!$A$4:$B$12,2,FALSE),IF(LEFT(F178)&lt;&gt;"S",VLOOKUP(LEFT(F178),★新聞!$A$4:$B$12,2,FALSE),VLOOKUP("X",★新聞!$A$4:$B$12,2,FALSE)))</f>
        <v>2</v>
      </c>
      <c r="AP178" s="460" t="str">
        <f t="shared" ca="1" si="21"/>
        <v>0</v>
      </c>
      <c r="AQ178" s="460" t="str">
        <f>IF(申込書!$C$38="","",申込書!$C$38)</f>
        <v/>
      </c>
    </row>
    <row r="179" spans="1:43">
      <c r="A179" s="463">
        <f t="shared" si="22"/>
        <v>178</v>
      </c>
      <c r="B179" s="463" t="str">
        <f t="shared" si="23"/>
        <v>東部</v>
      </c>
      <c r="C179" s="464" t="s">
        <v>1016</v>
      </c>
      <c r="D179" s="464" t="s">
        <v>1022</v>
      </c>
      <c r="E179" s="464">
        <f>VLOOKUP(D179,★折込地区!$A$2:$D$10,4,FALSE)</f>
        <v>1</v>
      </c>
      <c r="F179" s="464" t="s">
        <v>414</v>
      </c>
      <c r="G179" s="464" t="str">
        <f>INDEX(★新聞!$E$4:$I$12, MATCH(LEFT(F179),★新聞!$A$4:$A$12,0), MATCH(LEFT(W179),★新聞!$E$3:$I$3,0))</f>
        <v>AA</v>
      </c>
      <c r="H179" s="555" t="s">
        <v>1105</v>
      </c>
      <c r="I179" s="464" cm="1">
        <f t="array" ref="I179">IFERROR(INDEX(★原価率!$A$2:$E$50,MATCH($C179&amp;$H179,★原価率!$A$2:$A$50&amp;★原価率!$B$2:$B$50,0),3),0)</f>
        <v>66</v>
      </c>
      <c r="J179" s="464" cm="1">
        <f t="array" ref="J179">IFERROR(INDEX(★原価率!$A$2:$E$50,MATCH($C179&amp;$H179,★原価率!$A$2:$A$50&amp;★原価率!$B$2:$B$50,0),4),0)</f>
        <v>76</v>
      </c>
      <c r="K179" s="464" cm="1">
        <f t="array" ref="K179">IFERROR(INDEX(★原価率!$A$2:$E$50,MATCH($C179&amp;$H179,★原価率!$A$2:$A$50&amp;★原価率!$B$2:$B$50,0),5),0)</f>
        <v>100</v>
      </c>
      <c r="L179" s="528">
        <f>IFERROR(VLOOKUP(W179,★商品!$A$1:$H$1231,8,FALSE),0)</f>
        <v>2.8</v>
      </c>
      <c r="M179" s="203" t="str">
        <f ca="1">CONCATENATE(VLOOKUP(B179,★営業所!$A$2:$B$5,2,FALSE),TEXT(NOW(),"yyyy"))</f>
        <v>T2023</v>
      </c>
      <c r="N179" s="203">
        <v>1</v>
      </c>
      <c r="O179" s="203">
        <v>0</v>
      </c>
      <c r="P179" s="213">
        <f>申込書!$B$6</f>
        <v>0</v>
      </c>
      <c r="Q179" s="203">
        <f>申込書!$C$34</f>
        <v>1000040</v>
      </c>
      <c r="R179" s="203">
        <v>0</v>
      </c>
      <c r="U179" s="203">
        <f>VLOOKUP(B179,★営業所!$A$2:$C$5,3,FALSE)</f>
        <v>8</v>
      </c>
      <c r="V179" s="203">
        <f>申込書!$B$9</f>
        <v>0</v>
      </c>
      <c r="W179" s="203" t="str">
        <f>CONCATENATE(VLOOKUP(B179,★営業所!$A$2:$B$5,2,FALSE),VLOOKUP(申込書!$C$32,★サイズ表記!$D$4:$E$55,2,FALSE),VLOOKUP(D179,★折込地区!$A$2:$B$11,2,FALSE))</f>
        <v>T1001Tot</v>
      </c>
      <c r="X179" s="203" t="str">
        <f>CONCATENATE(申込書!$B$9," ",VLOOKUP(RIGHT(W179,3),★折込地区!$B$2:$C$10,2,FALSE),"")</f>
        <v xml:space="preserve"> 鳥取</v>
      </c>
      <c r="Z179" s="206">
        <f t="shared" ca="1" si="16"/>
        <v>0</v>
      </c>
      <c r="AB179" s="383">
        <f t="shared" si="17"/>
        <v>2.8</v>
      </c>
      <c r="AC179" s="203" t="str">
        <f t="shared" si="18"/>
        <v>G1001</v>
      </c>
      <c r="AD179" s="203" t="str">
        <f>VLOOKUP(AC179,★原価商品!$E$6:$F$349,2,FALSE)</f>
        <v>朝日/B4（折り無し）</v>
      </c>
      <c r="AE179" s="203">
        <f t="shared" ca="1" si="19"/>
        <v>0</v>
      </c>
      <c r="AF179" s="383">
        <f ca="1">IFERROR(IF(VLOOKUP(申込書!$C$32,★サイズ表記!$F$4:$H$55,3,FALSE)="切り捨て",ROUNDDOWN(L179*IF(AK179="◎",I179,J179)/100,2),IF(VLOOKUP(申込書!$C$32,★サイズ表記!$F$4:$H$55,3,FALSE)="切り上げ",ROUNDUP(L179*IF(AK179="◎",I179,J179)/100,2),ROUND(L179*IF(AK179="◎",I179,J179)/100,2))),0)</f>
        <v>1.84</v>
      </c>
      <c r="AG179" s="203">
        <f t="shared" ca="1" si="20"/>
        <v>10466</v>
      </c>
      <c r="AJ179" s="460" t="str">
        <f>IFERROR(VLOOKUP(申込書!$C$30,★業種!$D$2:$E$87,2,FALSE),"")</f>
        <v>1003</v>
      </c>
      <c r="AK179" s="460" t="str">
        <f ca="1">IF(申込書!$C$36="◎",IF(OR(D179="浜坂・温泉",D179="美方・村岡",D179="香住",D179="岡山",D179="大阪"),"",IF(LEFT(F179)="D","◎",IF(AG179=0,"",IFERROR(IF(VLOOKUP(AG179,★仕入先!$A$2:$C$211,3,FALSE)=0,"","◎"),"")))),"")</f>
        <v>◎</v>
      </c>
      <c r="AL179" s="460">
        <f>申込書!$H$14</f>
        <v>0</v>
      </c>
      <c r="AM179" s="460" t="str">
        <f>申込書!$C$32</f>
        <v>B4（折り無し）</v>
      </c>
      <c r="AN179" s="460" t="str">
        <f>VLOOKUP(AM179,★サイズ表記!$D$4:$E$55,2,FALSE)</f>
        <v>1001</v>
      </c>
      <c r="AO179" s="460">
        <f>IF(C179&lt;&gt;"⑧兵庫",VLOOKUP(LEFT(F179),★新聞!$A$4:$B$12,2,FALSE),IF(LEFT(F179)&lt;&gt;"S",VLOOKUP(LEFT(F179),★新聞!$A$4:$B$12,2,FALSE),VLOOKUP("X",★新聞!$A$4:$B$12,2,FALSE)))</f>
        <v>2</v>
      </c>
      <c r="AP179" s="460" t="str">
        <f t="shared" ca="1" si="21"/>
        <v>0</v>
      </c>
      <c r="AQ179" s="460" t="str">
        <f>IF(申込書!$C$38="","",申込書!$C$38)</f>
        <v/>
      </c>
    </row>
    <row r="180" spans="1:43">
      <c r="A180" s="463">
        <f t="shared" si="22"/>
        <v>179</v>
      </c>
      <c r="B180" s="463" t="str">
        <f t="shared" si="23"/>
        <v>東部</v>
      </c>
      <c r="C180" s="464" t="s">
        <v>1016</v>
      </c>
      <c r="D180" s="464" t="s">
        <v>1022</v>
      </c>
      <c r="E180" s="464">
        <f>VLOOKUP(D180,★折込地区!$A$2:$D$10,4,FALSE)</f>
        <v>1</v>
      </c>
      <c r="F180" s="464" t="s">
        <v>415</v>
      </c>
      <c r="G180" s="464" t="str">
        <f>INDEX(★新聞!$E$4:$I$12, MATCH(LEFT(F180),★新聞!$A$4:$A$12,0), MATCH(LEFT(W180),★新聞!$E$3:$I$3,0))</f>
        <v>AA</v>
      </c>
      <c r="H180" s="475" t="s">
        <v>1107</v>
      </c>
      <c r="I180" s="464" cm="1">
        <f t="array" ref="I180">IFERROR(INDEX(★原価率!$A$2:$E$50,MATCH($C180&amp;$H180,★原価率!$A$2:$A$50&amp;★原価率!$B$2:$B$50,0),3),0)</f>
        <v>76</v>
      </c>
      <c r="J180" s="464" cm="1">
        <f t="array" ref="J180">IFERROR(INDEX(★原価率!$A$2:$E$50,MATCH($C180&amp;$H180,★原価率!$A$2:$A$50&amp;★原価率!$B$2:$B$50,0),4),0)</f>
        <v>76</v>
      </c>
      <c r="K180" s="464" cm="1">
        <f t="array" ref="K180">IFERROR(INDEX(★原価率!$A$2:$E$50,MATCH($C180&amp;$H180,★原価率!$A$2:$A$50&amp;★原価率!$B$2:$B$50,0),5),0)</f>
        <v>100</v>
      </c>
      <c r="L180" s="528">
        <f>IFERROR(VLOOKUP(W180,★商品!$A$1:$H$1231,8,FALSE),0)</f>
        <v>2.8</v>
      </c>
      <c r="M180" s="203" t="str">
        <f ca="1">CONCATENATE(VLOOKUP(B180,★営業所!$A$2:$B$5,2,FALSE),TEXT(NOW(),"yyyy"))</f>
        <v>T2023</v>
      </c>
      <c r="N180" s="203">
        <v>1</v>
      </c>
      <c r="O180" s="203">
        <v>0</v>
      </c>
      <c r="P180" s="213">
        <f>申込書!$B$6</f>
        <v>0</v>
      </c>
      <c r="Q180" s="203">
        <f>申込書!$C$34</f>
        <v>1000040</v>
      </c>
      <c r="R180" s="203">
        <v>0</v>
      </c>
      <c r="U180" s="203">
        <f>VLOOKUP(B180,★営業所!$A$2:$C$5,3,FALSE)</f>
        <v>8</v>
      </c>
      <c r="V180" s="203">
        <f>申込書!$B$9</f>
        <v>0</v>
      </c>
      <c r="W180" s="203" t="str">
        <f>CONCATENATE(VLOOKUP(B180,★営業所!$A$2:$B$5,2,FALSE),VLOOKUP(申込書!$C$32,★サイズ表記!$D$4:$E$55,2,FALSE),VLOOKUP(D180,★折込地区!$A$2:$B$11,2,FALSE))</f>
        <v>T1001Tot</v>
      </c>
      <c r="X180" s="203" t="str">
        <f>CONCATENATE(申込書!$B$9," ",VLOOKUP(RIGHT(W180,3),★折込地区!$B$2:$C$10,2,FALSE),"")</f>
        <v xml:space="preserve"> 鳥取</v>
      </c>
      <c r="Z180" s="206">
        <f t="shared" ca="1" si="16"/>
        <v>0</v>
      </c>
      <c r="AB180" s="383">
        <f t="shared" si="17"/>
        <v>2.8</v>
      </c>
      <c r="AC180" s="203" t="str">
        <f t="shared" si="18"/>
        <v>G1001</v>
      </c>
      <c r="AD180" s="203" t="str">
        <f>VLOOKUP(AC180,★原価商品!$E$6:$F$349,2,FALSE)</f>
        <v>朝日/B4（折り無し）</v>
      </c>
      <c r="AE180" s="203">
        <f t="shared" ca="1" si="19"/>
        <v>0</v>
      </c>
      <c r="AF180" s="383">
        <f ca="1">IFERROR(IF(VLOOKUP(申込書!$C$32,★サイズ表記!$F$4:$H$55,3,FALSE)="切り捨て",ROUNDDOWN(L180*IF(AK180="◎",I180,J180)/100,2),IF(VLOOKUP(申込書!$C$32,★サイズ表記!$F$4:$H$55,3,FALSE)="切り上げ",ROUNDUP(L180*IF(AK180="◎",I180,J180)/100,2),ROUND(L180*IF(AK180="◎",I180,J180)/100,2))),0)</f>
        <v>2.12</v>
      </c>
      <c r="AG180" s="203">
        <f t="shared" ca="1" si="20"/>
        <v>10473</v>
      </c>
      <c r="AJ180" s="460" t="str">
        <f>IFERROR(VLOOKUP(申込書!$C$30,★業種!$D$2:$E$87,2,FALSE),"")</f>
        <v>1003</v>
      </c>
      <c r="AK180" s="460" t="str">
        <f ca="1">IF(申込書!$C$36="◎",IF(OR(D180="浜坂・温泉",D180="美方・村岡",D180="香住",D180="岡山",D180="大阪"),"",IF(LEFT(F180)="D","◎",IF(AG180=0,"",IFERROR(IF(VLOOKUP(AG180,★仕入先!$A$2:$C$211,3,FALSE)=0,"","◎"),"")))),"")</f>
        <v/>
      </c>
      <c r="AL180" s="460">
        <f>申込書!$H$14</f>
        <v>0</v>
      </c>
      <c r="AM180" s="460" t="str">
        <f>申込書!$C$32</f>
        <v>B4（折り無し）</v>
      </c>
      <c r="AN180" s="460" t="str">
        <f>VLOOKUP(AM180,★サイズ表記!$D$4:$E$55,2,FALSE)</f>
        <v>1001</v>
      </c>
      <c r="AO180" s="460">
        <f>IF(C180&lt;&gt;"⑧兵庫",VLOOKUP(LEFT(F180),★新聞!$A$4:$B$12,2,FALSE),IF(LEFT(F180)&lt;&gt;"S",VLOOKUP(LEFT(F180),★新聞!$A$4:$B$12,2,FALSE),VLOOKUP("X",★新聞!$A$4:$B$12,2,FALSE)))</f>
        <v>2</v>
      </c>
      <c r="AP180" s="460" t="str">
        <f t="shared" ca="1" si="21"/>
        <v>0</v>
      </c>
      <c r="AQ180" s="460" t="str">
        <f>IF(申込書!$C$38="","",申込書!$C$38)</f>
        <v/>
      </c>
    </row>
    <row r="181" spans="1:43">
      <c r="A181" s="463">
        <f t="shared" si="22"/>
        <v>180</v>
      </c>
      <c r="B181" s="463" t="str">
        <f t="shared" si="23"/>
        <v>東部</v>
      </c>
      <c r="C181" s="464" t="s">
        <v>1016</v>
      </c>
      <c r="D181" s="464" t="s">
        <v>1022</v>
      </c>
      <c r="E181" s="464">
        <f>VLOOKUP(D181,★折込地区!$A$2:$D$10,4,FALSE)</f>
        <v>1</v>
      </c>
      <c r="F181" s="464" t="s">
        <v>422</v>
      </c>
      <c r="G181" s="464" t="str">
        <f>INDEX(★新聞!$E$4:$I$12, MATCH(LEFT(F181),★新聞!$A$4:$A$12,0), MATCH(LEFT(W181),★新聞!$E$3:$I$3,0))</f>
        <v>AA</v>
      </c>
      <c r="H181" s="555" t="s">
        <v>1105</v>
      </c>
      <c r="I181" s="464" cm="1">
        <f t="array" ref="I181">IFERROR(INDEX(★原価率!$A$2:$E$50,MATCH($C181&amp;$H181,★原価率!$A$2:$A$50&amp;★原価率!$B$2:$B$50,0),3),0)</f>
        <v>66</v>
      </c>
      <c r="J181" s="464" cm="1">
        <f t="array" ref="J181">IFERROR(INDEX(★原価率!$A$2:$E$50,MATCH($C181&amp;$H181,★原価率!$A$2:$A$50&amp;★原価率!$B$2:$B$50,0),4),0)</f>
        <v>76</v>
      </c>
      <c r="K181" s="464" cm="1">
        <f t="array" ref="K181">IFERROR(INDEX(★原価率!$A$2:$E$50,MATCH($C181&amp;$H181,★原価率!$A$2:$A$50&amp;★原価率!$B$2:$B$50,0),5),0)</f>
        <v>100</v>
      </c>
      <c r="L181" s="528">
        <f>IFERROR(VLOOKUP(W181,★商品!$A$1:$H$1231,8,FALSE),0)</f>
        <v>2.8</v>
      </c>
      <c r="M181" s="203" t="str">
        <f ca="1">CONCATENATE(VLOOKUP(B181,★営業所!$A$2:$B$5,2,FALSE),TEXT(NOW(),"yyyy"))</f>
        <v>T2023</v>
      </c>
      <c r="N181" s="203">
        <v>1</v>
      </c>
      <c r="O181" s="203">
        <v>0</v>
      </c>
      <c r="P181" s="213">
        <f>申込書!$B$6</f>
        <v>0</v>
      </c>
      <c r="Q181" s="203">
        <f>申込書!$C$34</f>
        <v>1000040</v>
      </c>
      <c r="R181" s="203">
        <v>0</v>
      </c>
      <c r="U181" s="203">
        <f>VLOOKUP(B181,★営業所!$A$2:$C$5,3,FALSE)</f>
        <v>8</v>
      </c>
      <c r="V181" s="203">
        <f>申込書!$B$9</f>
        <v>0</v>
      </c>
      <c r="W181" s="203" t="str">
        <f>CONCATENATE(VLOOKUP(B181,★営業所!$A$2:$B$5,2,FALSE),VLOOKUP(申込書!$C$32,★サイズ表記!$D$4:$E$55,2,FALSE),VLOOKUP(D181,★折込地区!$A$2:$B$11,2,FALSE))</f>
        <v>T1001Tot</v>
      </c>
      <c r="X181" s="203" t="str">
        <f>CONCATENATE(申込書!$B$9," ",VLOOKUP(RIGHT(W181,3),★折込地区!$B$2:$C$10,2,FALSE),"")</f>
        <v xml:space="preserve"> 鳥取</v>
      </c>
      <c r="Z181" s="206">
        <f t="shared" ca="1" si="16"/>
        <v>0</v>
      </c>
      <c r="AB181" s="383">
        <f t="shared" si="17"/>
        <v>2.8</v>
      </c>
      <c r="AC181" s="203" t="str">
        <f t="shared" si="18"/>
        <v>G1001</v>
      </c>
      <c r="AD181" s="203" t="str">
        <f>VLOOKUP(AC181,★原価商品!$E$6:$F$349,2,FALSE)</f>
        <v>朝日/B4（折り無し）</v>
      </c>
      <c r="AE181" s="203">
        <f t="shared" ca="1" si="19"/>
        <v>0</v>
      </c>
      <c r="AF181" s="383">
        <f ca="1">IFERROR(IF(VLOOKUP(申込書!$C$32,★サイズ表記!$F$4:$H$55,3,FALSE)="切り捨て",ROUNDDOWN(L181*IF(AK181="◎",I181,J181)/100,2),IF(VLOOKUP(申込書!$C$32,★サイズ表記!$F$4:$H$55,3,FALSE)="切り上げ",ROUNDUP(L181*IF(AK181="◎",I181,J181)/100,2),ROUND(L181*IF(AK181="◎",I181,J181)/100,2))),0)</f>
        <v>1.84</v>
      </c>
      <c r="AG181" s="203">
        <f t="shared" ca="1" si="20"/>
        <v>10201</v>
      </c>
      <c r="AJ181" s="460" t="str">
        <f>IFERROR(VLOOKUP(申込書!$C$30,★業種!$D$2:$E$87,2,FALSE),"")</f>
        <v>1003</v>
      </c>
      <c r="AK181" s="460" t="str">
        <f ca="1">IF(申込書!$C$36="◎",IF(OR(D181="浜坂・温泉",D181="美方・村岡",D181="香住",D181="岡山",D181="大阪"),"",IF(LEFT(F181)="D","◎",IF(AG181=0,"",IFERROR(IF(VLOOKUP(AG181,★仕入先!$A$2:$C$211,3,FALSE)=0,"","◎"),"")))),"")</f>
        <v>◎</v>
      </c>
      <c r="AL181" s="460">
        <f>申込書!$H$14</f>
        <v>0</v>
      </c>
      <c r="AM181" s="460" t="str">
        <f>申込書!$C$32</f>
        <v>B4（折り無し）</v>
      </c>
      <c r="AN181" s="460" t="str">
        <f>VLOOKUP(AM181,★サイズ表記!$D$4:$E$55,2,FALSE)</f>
        <v>1001</v>
      </c>
      <c r="AO181" s="460">
        <f>IF(C181&lt;&gt;"⑧兵庫",VLOOKUP(LEFT(F181),★新聞!$A$4:$B$12,2,FALSE),IF(LEFT(F181)&lt;&gt;"S",VLOOKUP(LEFT(F181),★新聞!$A$4:$B$12,2,FALSE),VLOOKUP("X",★新聞!$A$4:$B$12,2,FALSE)))</f>
        <v>2</v>
      </c>
      <c r="AP181" s="460" t="str">
        <f t="shared" ca="1" si="21"/>
        <v>0</v>
      </c>
      <c r="AQ181" s="460" t="str">
        <f>IF(申込書!$C$38="","",申込書!$C$38)</f>
        <v/>
      </c>
    </row>
    <row r="182" spans="1:43">
      <c r="A182" s="463">
        <f t="shared" si="22"/>
        <v>181</v>
      </c>
      <c r="B182" s="463" t="str">
        <f t="shared" si="23"/>
        <v>東部</v>
      </c>
      <c r="C182" s="464" t="s">
        <v>1016</v>
      </c>
      <c r="D182" s="464" t="s">
        <v>1022</v>
      </c>
      <c r="E182" s="464">
        <f>VLOOKUP(D182,★折込地区!$A$2:$D$10,4,FALSE)</f>
        <v>1</v>
      </c>
      <c r="F182" s="464" t="s">
        <v>423</v>
      </c>
      <c r="G182" s="464" t="str">
        <f>INDEX(★新聞!$E$4:$I$12, MATCH(LEFT(F182),★新聞!$A$4:$A$12,0), MATCH(LEFT(W182),★新聞!$E$3:$I$3,0))</f>
        <v>AA</v>
      </c>
      <c r="H182" s="555" t="s">
        <v>1105</v>
      </c>
      <c r="I182" s="464" cm="1">
        <f t="array" ref="I182">IFERROR(INDEX(★原価率!$A$2:$E$50,MATCH($C182&amp;$H182,★原価率!$A$2:$A$50&amp;★原価率!$B$2:$B$50,0),3),0)</f>
        <v>66</v>
      </c>
      <c r="J182" s="464" cm="1">
        <f t="array" ref="J182">IFERROR(INDEX(★原価率!$A$2:$E$50,MATCH($C182&amp;$H182,★原価率!$A$2:$A$50&amp;★原価率!$B$2:$B$50,0),4),0)</f>
        <v>76</v>
      </c>
      <c r="K182" s="464" cm="1">
        <f t="array" ref="K182">IFERROR(INDEX(★原価率!$A$2:$E$50,MATCH($C182&amp;$H182,★原価率!$A$2:$A$50&amp;★原価率!$B$2:$B$50,0),5),0)</f>
        <v>100</v>
      </c>
      <c r="L182" s="528">
        <f>IFERROR(VLOOKUP(W182,★商品!$A$1:$H$1231,8,FALSE),0)</f>
        <v>2.8</v>
      </c>
      <c r="M182" s="203" t="str">
        <f ca="1">CONCATENATE(VLOOKUP(B182,★営業所!$A$2:$B$5,2,FALSE),TEXT(NOW(),"yyyy"))</f>
        <v>T2023</v>
      </c>
      <c r="N182" s="203">
        <v>1</v>
      </c>
      <c r="O182" s="203">
        <v>0</v>
      </c>
      <c r="P182" s="213">
        <f>申込書!$B$6</f>
        <v>0</v>
      </c>
      <c r="Q182" s="203">
        <f>申込書!$C$34</f>
        <v>1000040</v>
      </c>
      <c r="R182" s="203">
        <v>0</v>
      </c>
      <c r="U182" s="203">
        <f>VLOOKUP(B182,★営業所!$A$2:$C$5,3,FALSE)</f>
        <v>8</v>
      </c>
      <c r="V182" s="203">
        <f>申込書!$B$9</f>
        <v>0</v>
      </c>
      <c r="W182" s="203" t="str">
        <f>CONCATENATE(VLOOKUP(B182,★営業所!$A$2:$B$5,2,FALSE),VLOOKUP(申込書!$C$32,★サイズ表記!$D$4:$E$55,2,FALSE),VLOOKUP(D182,★折込地区!$A$2:$B$11,2,FALSE))</f>
        <v>T1001Tot</v>
      </c>
      <c r="X182" s="203" t="str">
        <f>CONCATENATE(申込書!$B$9," ",VLOOKUP(RIGHT(W182,3),★折込地区!$B$2:$C$10,2,FALSE),"")</f>
        <v xml:space="preserve"> 鳥取</v>
      </c>
      <c r="Z182" s="206">
        <f t="shared" ca="1" si="16"/>
        <v>0</v>
      </c>
      <c r="AB182" s="383">
        <f t="shared" si="17"/>
        <v>2.8</v>
      </c>
      <c r="AC182" s="203" t="str">
        <f t="shared" si="18"/>
        <v>G1001</v>
      </c>
      <c r="AD182" s="203" t="str">
        <f>VLOOKUP(AC182,★原価商品!$E$6:$F$349,2,FALSE)</f>
        <v>朝日/B4（折り無し）</v>
      </c>
      <c r="AE182" s="203">
        <f t="shared" ca="1" si="19"/>
        <v>0</v>
      </c>
      <c r="AF182" s="383">
        <f ca="1">IFERROR(IF(VLOOKUP(申込書!$C$32,★サイズ表記!$F$4:$H$55,3,FALSE)="切り捨て",ROUNDDOWN(L182*IF(AK182="◎",I182,J182)/100,2),IF(VLOOKUP(申込書!$C$32,★サイズ表記!$F$4:$H$55,3,FALSE)="切り上げ",ROUNDUP(L182*IF(AK182="◎",I182,J182)/100,2),ROUND(L182*IF(AK182="◎",I182,J182)/100,2))),0)</f>
        <v>1.84</v>
      </c>
      <c r="AG182" s="203">
        <f t="shared" ca="1" si="20"/>
        <v>10205</v>
      </c>
      <c r="AJ182" s="460" t="str">
        <f>IFERROR(VLOOKUP(申込書!$C$30,★業種!$D$2:$E$87,2,FALSE),"")</f>
        <v>1003</v>
      </c>
      <c r="AK182" s="460" t="str">
        <f ca="1">IF(申込書!$C$36="◎",IF(OR(D182="浜坂・温泉",D182="美方・村岡",D182="香住",D182="岡山",D182="大阪"),"",IF(LEFT(F182)="D","◎",IF(AG182=0,"",IFERROR(IF(VLOOKUP(AG182,★仕入先!$A$2:$C$211,3,FALSE)=0,"","◎"),"")))),"")</f>
        <v>◎</v>
      </c>
      <c r="AL182" s="460">
        <f>申込書!$H$14</f>
        <v>0</v>
      </c>
      <c r="AM182" s="460" t="str">
        <f>申込書!$C$32</f>
        <v>B4（折り無し）</v>
      </c>
      <c r="AN182" s="460" t="str">
        <f>VLOOKUP(AM182,★サイズ表記!$D$4:$E$55,2,FALSE)</f>
        <v>1001</v>
      </c>
      <c r="AO182" s="460">
        <f>IF(C182&lt;&gt;"⑧兵庫",VLOOKUP(LEFT(F182),★新聞!$A$4:$B$12,2,FALSE),IF(LEFT(F182)&lt;&gt;"S",VLOOKUP(LEFT(F182),★新聞!$A$4:$B$12,2,FALSE),VLOOKUP("X",★新聞!$A$4:$B$12,2,FALSE)))</f>
        <v>2</v>
      </c>
      <c r="AP182" s="460" t="str">
        <f t="shared" ca="1" si="21"/>
        <v>0</v>
      </c>
      <c r="AQ182" s="460" t="str">
        <f>IF(申込書!$C$38="","",申込書!$C$38)</f>
        <v/>
      </c>
    </row>
    <row r="183" spans="1:43">
      <c r="A183" s="463">
        <f t="shared" si="22"/>
        <v>182</v>
      </c>
      <c r="B183" s="463" t="str">
        <f t="shared" si="23"/>
        <v>東部</v>
      </c>
      <c r="C183" s="464" t="s">
        <v>1016</v>
      </c>
      <c r="D183" s="464" t="s">
        <v>1022</v>
      </c>
      <c r="E183" s="464">
        <f>VLOOKUP(D183,★折込地区!$A$2:$D$10,4,FALSE)</f>
        <v>1</v>
      </c>
      <c r="F183" s="464" t="s">
        <v>424</v>
      </c>
      <c r="G183" s="464" t="str">
        <f>INDEX(★新聞!$E$4:$I$12, MATCH(LEFT(F183),★新聞!$A$4:$A$12,0), MATCH(LEFT(W183),★新聞!$E$3:$I$3,0))</f>
        <v>AA</v>
      </c>
      <c r="H183" s="555" t="s">
        <v>1105</v>
      </c>
      <c r="I183" s="464" cm="1">
        <f t="array" ref="I183">IFERROR(INDEX(★原価率!$A$2:$E$50,MATCH($C183&amp;$H183,★原価率!$A$2:$A$50&amp;★原価率!$B$2:$B$50,0),3),0)</f>
        <v>66</v>
      </c>
      <c r="J183" s="464" cm="1">
        <f t="array" ref="J183">IFERROR(INDEX(★原価率!$A$2:$E$50,MATCH($C183&amp;$H183,★原価率!$A$2:$A$50&amp;★原価率!$B$2:$B$50,0),4),0)</f>
        <v>76</v>
      </c>
      <c r="K183" s="464" cm="1">
        <f t="array" ref="K183">IFERROR(INDEX(★原価率!$A$2:$E$50,MATCH($C183&amp;$H183,★原価率!$A$2:$A$50&amp;★原価率!$B$2:$B$50,0),5),0)</f>
        <v>100</v>
      </c>
      <c r="L183" s="528">
        <f>IFERROR(VLOOKUP(W183,★商品!$A$1:$H$1231,8,FALSE),0)</f>
        <v>2.8</v>
      </c>
      <c r="M183" s="203" t="str">
        <f ca="1">CONCATENATE(VLOOKUP(B183,★営業所!$A$2:$B$5,2,FALSE),TEXT(NOW(),"yyyy"))</f>
        <v>T2023</v>
      </c>
      <c r="N183" s="203">
        <v>1</v>
      </c>
      <c r="O183" s="203">
        <v>0</v>
      </c>
      <c r="P183" s="213">
        <f>申込書!$B$6</f>
        <v>0</v>
      </c>
      <c r="Q183" s="203">
        <f>申込書!$C$34</f>
        <v>1000040</v>
      </c>
      <c r="R183" s="203">
        <v>0</v>
      </c>
      <c r="U183" s="203">
        <f>VLOOKUP(B183,★営業所!$A$2:$C$5,3,FALSE)</f>
        <v>8</v>
      </c>
      <c r="V183" s="203">
        <f>申込書!$B$9</f>
        <v>0</v>
      </c>
      <c r="W183" s="203" t="str">
        <f>CONCATENATE(VLOOKUP(B183,★営業所!$A$2:$B$5,2,FALSE),VLOOKUP(申込書!$C$32,★サイズ表記!$D$4:$E$55,2,FALSE),VLOOKUP(D183,★折込地区!$A$2:$B$11,2,FALSE))</f>
        <v>T1001Tot</v>
      </c>
      <c r="X183" s="203" t="str">
        <f>CONCATENATE(申込書!$B$9," ",VLOOKUP(RIGHT(W183,3),★折込地区!$B$2:$C$10,2,FALSE),"")</f>
        <v xml:space="preserve"> 鳥取</v>
      </c>
      <c r="Z183" s="206">
        <f t="shared" ca="1" si="16"/>
        <v>0</v>
      </c>
      <c r="AB183" s="383">
        <f t="shared" si="17"/>
        <v>2.8</v>
      </c>
      <c r="AC183" s="203" t="str">
        <f t="shared" si="18"/>
        <v>G1001</v>
      </c>
      <c r="AD183" s="203" t="str">
        <f>VLOOKUP(AC183,★原価商品!$E$6:$F$349,2,FALSE)</f>
        <v>朝日/B4（折り無し）</v>
      </c>
      <c r="AE183" s="203">
        <f t="shared" ca="1" si="19"/>
        <v>0</v>
      </c>
      <c r="AF183" s="383">
        <f ca="1">IFERROR(IF(VLOOKUP(申込書!$C$32,★サイズ表記!$F$4:$H$55,3,FALSE)="切り捨て",ROUNDDOWN(L183*IF(AK183="◎",I183,J183)/100,2),IF(VLOOKUP(申込書!$C$32,★サイズ表記!$F$4:$H$55,3,FALSE)="切り上げ",ROUNDUP(L183*IF(AK183="◎",I183,J183)/100,2),ROUND(L183*IF(AK183="◎",I183,J183)/100,2))),0)</f>
        <v>1.84</v>
      </c>
      <c r="AG183" s="203">
        <f t="shared" ca="1" si="20"/>
        <v>10208</v>
      </c>
      <c r="AJ183" s="460" t="str">
        <f>IFERROR(VLOOKUP(申込書!$C$30,★業種!$D$2:$E$87,2,FALSE),"")</f>
        <v>1003</v>
      </c>
      <c r="AK183" s="460" t="str">
        <f ca="1">IF(申込書!$C$36="◎",IF(OR(D183="浜坂・温泉",D183="美方・村岡",D183="香住",D183="岡山",D183="大阪"),"",IF(LEFT(F183)="D","◎",IF(AG183=0,"",IFERROR(IF(VLOOKUP(AG183,★仕入先!$A$2:$C$211,3,FALSE)=0,"","◎"),"")))),"")</f>
        <v>◎</v>
      </c>
      <c r="AL183" s="460">
        <f>申込書!$H$14</f>
        <v>0</v>
      </c>
      <c r="AM183" s="460" t="str">
        <f>申込書!$C$32</f>
        <v>B4（折り無し）</v>
      </c>
      <c r="AN183" s="460" t="str">
        <f>VLOOKUP(AM183,★サイズ表記!$D$4:$E$55,2,FALSE)</f>
        <v>1001</v>
      </c>
      <c r="AO183" s="460">
        <f>IF(C183&lt;&gt;"⑧兵庫",VLOOKUP(LEFT(F183),★新聞!$A$4:$B$12,2,FALSE),IF(LEFT(F183)&lt;&gt;"S",VLOOKUP(LEFT(F183),★新聞!$A$4:$B$12,2,FALSE),VLOOKUP("X",★新聞!$A$4:$B$12,2,FALSE)))</f>
        <v>2</v>
      </c>
      <c r="AP183" s="460" t="str">
        <f t="shared" ca="1" si="21"/>
        <v>0</v>
      </c>
      <c r="AQ183" s="460" t="str">
        <f>IF(申込書!$C$38="","",申込書!$C$38)</f>
        <v/>
      </c>
    </row>
    <row r="184" spans="1:43">
      <c r="A184" s="463">
        <f t="shared" si="22"/>
        <v>183</v>
      </c>
      <c r="B184" s="463" t="str">
        <f t="shared" si="23"/>
        <v>東部</v>
      </c>
      <c r="C184" s="464" t="s">
        <v>1016</v>
      </c>
      <c r="D184" s="464" t="s">
        <v>1022</v>
      </c>
      <c r="E184" s="464">
        <f>VLOOKUP(D184,★折込地区!$A$2:$D$10,4,FALSE)</f>
        <v>1</v>
      </c>
      <c r="F184" s="464" t="s">
        <v>572</v>
      </c>
      <c r="G184" s="464" t="str">
        <f>INDEX(★新聞!$E$4:$I$12, MATCH(LEFT(F184),★新聞!$A$4:$A$12,0), MATCH(LEFT(W184),★新聞!$E$3:$I$3,0))</f>
        <v>AA</v>
      </c>
      <c r="H184" s="555" t="s">
        <v>1105</v>
      </c>
      <c r="I184" s="464" cm="1">
        <f t="array" ref="I184">IFERROR(INDEX(★原価率!$A$2:$E$50,MATCH($C184&amp;$H184,★原価率!$A$2:$A$50&amp;★原価率!$B$2:$B$50,0),3),0)</f>
        <v>66</v>
      </c>
      <c r="J184" s="464" cm="1">
        <f t="array" ref="J184">IFERROR(INDEX(★原価率!$A$2:$E$50,MATCH($C184&amp;$H184,★原価率!$A$2:$A$50&amp;★原価率!$B$2:$B$50,0),4),0)</f>
        <v>76</v>
      </c>
      <c r="K184" s="464" cm="1">
        <f t="array" ref="K184">IFERROR(INDEX(★原価率!$A$2:$E$50,MATCH($C184&amp;$H184,★原価率!$A$2:$A$50&amp;★原価率!$B$2:$B$50,0),5),0)</f>
        <v>100</v>
      </c>
      <c r="L184" s="528">
        <f>IFERROR(VLOOKUP(W184,★商品!$A$1:$H$1231,8,FALSE),0)</f>
        <v>2.8</v>
      </c>
      <c r="M184" s="203" t="str">
        <f ca="1">CONCATENATE(VLOOKUP(B184,★営業所!$A$2:$B$5,2,FALSE),TEXT(NOW(),"yyyy"))</f>
        <v>T2023</v>
      </c>
      <c r="N184" s="203">
        <v>1</v>
      </c>
      <c r="O184" s="203">
        <v>0</v>
      </c>
      <c r="P184" s="213">
        <f>申込書!$B$6</f>
        <v>0</v>
      </c>
      <c r="Q184" s="203">
        <f>申込書!$C$34</f>
        <v>1000040</v>
      </c>
      <c r="R184" s="203">
        <v>0</v>
      </c>
      <c r="U184" s="203">
        <f>VLOOKUP(B184,★営業所!$A$2:$C$5,3,FALSE)</f>
        <v>8</v>
      </c>
      <c r="V184" s="203">
        <f>申込書!$B$9</f>
        <v>0</v>
      </c>
      <c r="W184" s="203" t="str">
        <f>CONCATENATE(VLOOKUP(B184,★営業所!$A$2:$B$5,2,FALSE),VLOOKUP(申込書!$C$32,★サイズ表記!$D$4:$E$55,2,FALSE),VLOOKUP(D184,★折込地区!$A$2:$B$11,2,FALSE))</f>
        <v>T1001Tot</v>
      </c>
      <c r="X184" s="203" t="str">
        <f>CONCATENATE(申込書!$B$9," ",VLOOKUP(RIGHT(W184,3),★折込地区!$B$2:$C$10,2,FALSE),"")</f>
        <v xml:space="preserve"> 鳥取</v>
      </c>
      <c r="Z184" s="206">
        <f t="shared" ca="1" si="16"/>
        <v>0</v>
      </c>
      <c r="AB184" s="383">
        <f t="shared" si="17"/>
        <v>2.8</v>
      </c>
      <c r="AC184" s="203" t="str">
        <f t="shared" si="18"/>
        <v>G1001</v>
      </c>
      <c r="AD184" s="203" t="str">
        <f>VLOOKUP(AC184,★原価商品!$E$6:$F$349,2,FALSE)</f>
        <v>朝日/B4（折り無し）</v>
      </c>
      <c r="AE184" s="203">
        <f t="shared" ca="1" si="19"/>
        <v>0</v>
      </c>
      <c r="AF184" s="383">
        <f ca="1">IFERROR(IF(VLOOKUP(申込書!$C$32,★サイズ表記!$F$4:$H$55,3,FALSE)="切り捨て",ROUNDDOWN(L184*IF(AK184="◎",I184,J184)/100,2),IF(VLOOKUP(申込書!$C$32,★サイズ表記!$F$4:$H$55,3,FALSE)="切り上げ",ROUNDUP(L184*IF(AK184="◎",I184,J184)/100,2),ROUND(L184*IF(AK184="◎",I184,J184)/100,2))),0)</f>
        <v>1.84</v>
      </c>
      <c r="AG184" s="203">
        <f t="shared" ca="1" si="20"/>
        <v>10046</v>
      </c>
      <c r="AJ184" s="460" t="str">
        <f>IFERROR(VLOOKUP(申込書!$C$30,★業種!$D$2:$E$87,2,FALSE),"")</f>
        <v>1003</v>
      </c>
      <c r="AK184" s="460" t="str">
        <f ca="1">IF(申込書!$C$36="◎",IF(OR(D184="浜坂・温泉",D184="美方・村岡",D184="香住",D184="岡山",D184="大阪"),"",IF(LEFT(F184)="D","◎",IF(AG184=0,"",IFERROR(IF(VLOOKUP(AG184,★仕入先!$A$2:$C$211,3,FALSE)=0,"","◎"),"")))),"")</f>
        <v>◎</v>
      </c>
      <c r="AL184" s="460">
        <f>申込書!$H$14</f>
        <v>0</v>
      </c>
      <c r="AM184" s="460" t="str">
        <f>申込書!$C$32</f>
        <v>B4（折り無し）</v>
      </c>
      <c r="AN184" s="460" t="str">
        <f>VLOOKUP(AM184,★サイズ表記!$D$4:$E$55,2,FALSE)</f>
        <v>1001</v>
      </c>
      <c r="AO184" s="460">
        <f>IF(C184&lt;&gt;"⑧兵庫",VLOOKUP(LEFT(F184),★新聞!$A$4:$B$12,2,FALSE),IF(LEFT(F184)&lt;&gt;"S",VLOOKUP(LEFT(F184),★新聞!$A$4:$B$12,2,FALSE),VLOOKUP("X",★新聞!$A$4:$B$12,2,FALSE)))</f>
        <v>2</v>
      </c>
      <c r="AP184" s="460" t="str">
        <f t="shared" ca="1" si="21"/>
        <v>0</v>
      </c>
      <c r="AQ184" s="460" t="str">
        <f>IF(申込書!$C$38="","",申込書!$C$38)</f>
        <v/>
      </c>
    </row>
    <row r="185" spans="1:43">
      <c r="A185" s="463">
        <f t="shared" si="22"/>
        <v>184</v>
      </c>
      <c r="B185" s="463" t="str">
        <f t="shared" si="23"/>
        <v>東部</v>
      </c>
      <c r="C185" s="464" t="s">
        <v>1016</v>
      </c>
      <c r="D185" s="464" t="s">
        <v>1022</v>
      </c>
      <c r="E185" s="464">
        <f>VLOOKUP(D185,★折込地区!$A$2:$D$10,4,FALSE)</f>
        <v>1</v>
      </c>
      <c r="F185" s="464" t="s">
        <v>573</v>
      </c>
      <c r="G185" s="464" t="str">
        <f>INDEX(★新聞!$E$4:$I$12, MATCH(LEFT(F185),★新聞!$A$4:$A$12,0), MATCH(LEFT(W185),★新聞!$E$3:$I$3,0))</f>
        <v>AA</v>
      </c>
      <c r="H185" s="555" t="s">
        <v>1105</v>
      </c>
      <c r="I185" s="464" cm="1">
        <f t="array" ref="I185">IFERROR(INDEX(★原価率!$A$2:$E$50,MATCH($C185&amp;$H185,★原価率!$A$2:$A$50&amp;★原価率!$B$2:$B$50,0),3),0)</f>
        <v>66</v>
      </c>
      <c r="J185" s="464" cm="1">
        <f t="array" ref="J185">IFERROR(INDEX(★原価率!$A$2:$E$50,MATCH($C185&amp;$H185,★原価率!$A$2:$A$50&amp;★原価率!$B$2:$B$50,0),4),0)</f>
        <v>76</v>
      </c>
      <c r="K185" s="464" cm="1">
        <f t="array" ref="K185">IFERROR(INDEX(★原価率!$A$2:$E$50,MATCH($C185&amp;$H185,★原価率!$A$2:$A$50&amp;★原価率!$B$2:$B$50,0),5),0)</f>
        <v>100</v>
      </c>
      <c r="L185" s="528">
        <f>IFERROR(VLOOKUP(W185,★商品!$A$1:$H$1231,8,FALSE),0)</f>
        <v>2.8</v>
      </c>
      <c r="M185" s="203" t="str">
        <f ca="1">CONCATENATE(VLOOKUP(B185,★営業所!$A$2:$B$5,2,FALSE),TEXT(NOW(),"yyyy"))</f>
        <v>T2023</v>
      </c>
      <c r="N185" s="203">
        <v>1</v>
      </c>
      <c r="O185" s="203">
        <v>0</v>
      </c>
      <c r="P185" s="213">
        <f>申込書!$B$6</f>
        <v>0</v>
      </c>
      <c r="Q185" s="203">
        <f>申込書!$C$34</f>
        <v>1000040</v>
      </c>
      <c r="R185" s="203">
        <v>0</v>
      </c>
      <c r="U185" s="203">
        <f>VLOOKUP(B185,★営業所!$A$2:$C$5,3,FALSE)</f>
        <v>8</v>
      </c>
      <c r="V185" s="203">
        <f>申込書!$B$9</f>
        <v>0</v>
      </c>
      <c r="W185" s="203" t="str">
        <f>CONCATENATE(VLOOKUP(B185,★営業所!$A$2:$B$5,2,FALSE),VLOOKUP(申込書!$C$32,★サイズ表記!$D$4:$E$55,2,FALSE),VLOOKUP(D185,★折込地区!$A$2:$B$11,2,FALSE))</f>
        <v>T1001Tot</v>
      </c>
      <c r="X185" s="203" t="str">
        <f>CONCATENATE(申込書!$B$9," ",VLOOKUP(RIGHT(W185,3),★折込地区!$B$2:$C$10,2,FALSE),"")</f>
        <v xml:space="preserve"> 鳥取</v>
      </c>
      <c r="Z185" s="206">
        <f t="shared" ca="1" si="16"/>
        <v>0</v>
      </c>
      <c r="AB185" s="383">
        <f t="shared" si="17"/>
        <v>2.8</v>
      </c>
      <c r="AC185" s="203" t="str">
        <f t="shared" si="18"/>
        <v>G1001</v>
      </c>
      <c r="AD185" s="203" t="str">
        <f>VLOOKUP(AC185,★原価商品!$E$6:$F$349,2,FALSE)</f>
        <v>朝日/B4（折り無し）</v>
      </c>
      <c r="AE185" s="203">
        <f t="shared" ca="1" si="19"/>
        <v>0</v>
      </c>
      <c r="AF185" s="383">
        <f ca="1">IFERROR(IF(VLOOKUP(申込書!$C$32,★サイズ表記!$F$4:$H$55,3,FALSE)="切り捨て",ROUNDDOWN(L185*IF(AK185="◎",I185,J185)/100,2),IF(VLOOKUP(申込書!$C$32,★サイズ表記!$F$4:$H$55,3,FALSE)="切り上げ",ROUNDUP(L185*IF(AK185="◎",I185,J185)/100,2),ROUND(L185*IF(AK185="◎",I185,J185)/100,2))),0)</f>
        <v>1.84</v>
      </c>
      <c r="AG185" s="203">
        <f t="shared" ca="1" si="20"/>
        <v>10051</v>
      </c>
      <c r="AJ185" s="460" t="str">
        <f>IFERROR(VLOOKUP(申込書!$C$30,★業種!$D$2:$E$87,2,FALSE),"")</f>
        <v>1003</v>
      </c>
      <c r="AK185" s="460" t="str">
        <f ca="1">IF(申込書!$C$36="◎",IF(OR(D185="浜坂・温泉",D185="美方・村岡",D185="香住",D185="岡山",D185="大阪"),"",IF(LEFT(F185)="D","◎",IF(AG185=0,"",IFERROR(IF(VLOOKUP(AG185,★仕入先!$A$2:$C$211,3,FALSE)=0,"","◎"),"")))),"")</f>
        <v>◎</v>
      </c>
      <c r="AL185" s="460">
        <f>申込書!$H$14</f>
        <v>0</v>
      </c>
      <c r="AM185" s="460" t="str">
        <f>申込書!$C$32</f>
        <v>B4（折り無し）</v>
      </c>
      <c r="AN185" s="460" t="str">
        <f>VLOOKUP(AM185,★サイズ表記!$D$4:$E$55,2,FALSE)</f>
        <v>1001</v>
      </c>
      <c r="AO185" s="460">
        <f>IF(C185&lt;&gt;"⑧兵庫",VLOOKUP(LEFT(F185),★新聞!$A$4:$B$12,2,FALSE),IF(LEFT(F185)&lt;&gt;"S",VLOOKUP(LEFT(F185),★新聞!$A$4:$B$12,2,FALSE),VLOOKUP("X",★新聞!$A$4:$B$12,2,FALSE)))</f>
        <v>2</v>
      </c>
      <c r="AP185" s="460" t="str">
        <f t="shared" ca="1" si="21"/>
        <v>0</v>
      </c>
      <c r="AQ185" s="460" t="str">
        <f>IF(申込書!$C$38="","",申込書!$C$38)</f>
        <v/>
      </c>
    </row>
    <row r="186" spans="1:43">
      <c r="A186" s="463">
        <f t="shared" si="22"/>
        <v>185</v>
      </c>
      <c r="B186" s="463" t="str">
        <f t="shared" si="23"/>
        <v>東部</v>
      </c>
      <c r="C186" s="464" t="s">
        <v>1016</v>
      </c>
      <c r="D186" s="464" t="s">
        <v>1022</v>
      </c>
      <c r="E186" s="464">
        <f>VLOOKUP(D186,★折込地区!$A$2:$D$10,4,FALSE)</f>
        <v>1</v>
      </c>
      <c r="F186" s="464" t="s">
        <v>574</v>
      </c>
      <c r="G186" s="464" t="str">
        <f>INDEX(★新聞!$E$4:$I$12, MATCH(LEFT(F186),★新聞!$A$4:$A$12,0), MATCH(LEFT(W186),★新聞!$E$3:$I$3,0))</f>
        <v>AA</v>
      </c>
      <c r="H186" s="555" t="s">
        <v>1105</v>
      </c>
      <c r="I186" s="464" cm="1">
        <f t="array" ref="I186">IFERROR(INDEX(★原価率!$A$2:$E$50,MATCH($C186&amp;$H186,★原価率!$A$2:$A$50&amp;★原価率!$B$2:$B$50,0),3),0)</f>
        <v>66</v>
      </c>
      <c r="J186" s="464" cm="1">
        <f t="array" ref="J186">IFERROR(INDEX(★原価率!$A$2:$E$50,MATCH($C186&amp;$H186,★原価率!$A$2:$A$50&amp;★原価率!$B$2:$B$50,0),4),0)</f>
        <v>76</v>
      </c>
      <c r="K186" s="464" cm="1">
        <f t="array" ref="K186">IFERROR(INDEX(★原価率!$A$2:$E$50,MATCH($C186&amp;$H186,★原価率!$A$2:$A$50&amp;★原価率!$B$2:$B$50,0),5),0)</f>
        <v>100</v>
      </c>
      <c r="L186" s="528">
        <f>IFERROR(VLOOKUP(W186,★商品!$A$1:$H$1231,8,FALSE),0)</f>
        <v>2.8</v>
      </c>
      <c r="M186" s="203" t="str">
        <f ca="1">CONCATENATE(VLOOKUP(B186,★営業所!$A$2:$B$5,2,FALSE),TEXT(NOW(),"yyyy"))</f>
        <v>T2023</v>
      </c>
      <c r="N186" s="203">
        <v>1</v>
      </c>
      <c r="O186" s="203">
        <v>0</v>
      </c>
      <c r="P186" s="213">
        <f>申込書!$B$6</f>
        <v>0</v>
      </c>
      <c r="Q186" s="203">
        <f>申込書!$C$34</f>
        <v>1000040</v>
      </c>
      <c r="R186" s="203">
        <v>0</v>
      </c>
      <c r="U186" s="203">
        <f>VLOOKUP(B186,★営業所!$A$2:$C$5,3,FALSE)</f>
        <v>8</v>
      </c>
      <c r="V186" s="203">
        <f>申込書!$B$9</f>
        <v>0</v>
      </c>
      <c r="W186" s="203" t="str">
        <f>CONCATENATE(VLOOKUP(B186,★営業所!$A$2:$B$5,2,FALSE),VLOOKUP(申込書!$C$32,★サイズ表記!$D$4:$E$55,2,FALSE),VLOOKUP(D186,★折込地区!$A$2:$B$11,2,FALSE))</f>
        <v>T1001Tot</v>
      </c>
      <c r="X186" s="203" t="str">
        <f>CONCATENATE(申込書!$B$9," ",VLOOKUP(RIGHT(W186,3),★折込地区!$B$2:$C$10,2,FALSE),"")</f>
        <v xml:space="preserve"> 鳥取</v>
      </c>
      <c r="Z186" s="206">
        <f t="shared" ca="1" si="16"/>
        <v>0</v>
      </c>
      <c r="AB186" s="383">
        <f t="shared" si="17"/>
        <v>2.8</v>
      </c>
      <c r="AC186" s="203" t="str">
        <f t="shared" si="18"/>
        <v>G1001</v>
      </c>
      <c r="AD186" s="203" t="str">
        <f>VLOOKUP(AC186,★原価商品!$E$6:$F$349,2,FALSE)</f>
        <v>朝日/B4（折り無し）</v>
      </c>
      <c r="AE186" s="203">
        <f t="shared" ca="1" si="19"/>
        <v>0</v>
      </c>
      <c r="AF186" s="383">
        <f ca="1">IFERROR(IF(VLOOKUP(申込書!$C$32,★サイズ表記!$F$4:$H$55,3,FALSE)="切り捨て",ROUNDDOWN(L186*IF(AK186="◎",I186,J186)/100,2),IF(VLOOKUP(申込書!$C$32,★サイズ表記!$F$4:$H$55,3,FALSE)="切り上げ",ROUNDUP(L186*IF(AK186="◎",I186,J186)/100,2),ROUND(L186*IF(AK186="◎",I186,J186)/100,2))),0)</f>
        <v>1.84</v>
      </c>
      <c r="AG186" s="203">
        <f t="shared" ca="1" si="20"/>
        <v>10061</v>
      </c>
      <c r="AJ186" s="460" t="str">
        <f>IFERROR(VLOOKUP(申込書!$C$30,★業種!$D$2:$E$87,2,FALSE),"")</f>
        <v>1003</v>
      </c>
      <c r="AK186" s="460" t="str">
        <f ca="1">IF(申込書!$C$36="◎",IF(OR(D186="浜坂・温泉",D186="美方・村岡",D186="香住",D186="岡山",D186="大阪"),"",IF(LEFT(F186)="D","◎",IF(AG186=0,"",IFERROR(IF(VLOOKUP(AG186,★仕入先!$A$2:$C$211,3,FALSE)=0,"","◎"),"")))),"")</f>
        <v>◎</v>
      </c>
      <c r="AL186" s="460">
        <f>申込書!$H$14</f>
        <v>0</v>
      </c>
      <c r="AM186" s="460" t="str">
        <f>申込書!$C$32</f>
        <v>B4（折り無し）</v>
      </c>
      <c r="AN186" s="460" t="str">
        <f>VLOOKUP(AM186,★サイズ表記!$D$4:$E$55,2,FALSE)</f>
        <v>1001</v>
      </c>
      <c r="AO186" s="460">
        <f>IF(C186&lt;&gt;"⑧兵庫",VLOOKUP(LEFT(F186),★新聞!$A$4:$B$12,2,FALSE),IF(LEFT(F186)&lt;&gt;"S",VLOOKUP(LEFT(F186),★新聞!$A$4:$B$12,2,FALSE),VLOOKUP("X",★新聞!$A$4:$B$12,2,FALSE)))</f>
        <v>2</v>
      </c>
      <c r="AP186" s="460" t="str">
        <f t="shared" ca="1" si="21"/>
        <v>0</v>
      </c>
      <c r="AQ186" s="460" t="str">
        <f>IF(申込書!$C$38="","",申込書!$C$38)</f>
        <v/>
      </c>
    </row>
    <row r="187" spans="1:43">
      <c r="A187" s="463">
        <f t="shared" si="22"/>
        <v>186</v>
      </c>
      <c r="B187" s="463" t="str">
        <f t="shared" si="23"/>
        <v>東部</v>
      </c>
      <c r="C187" s="464" t="s">
        <v>1016</v>
      </c>
      <c r="D187" s="464" t="s">
        <v>1022</v>
      </c>
      <c r="E187" s="464">
        <f>VLOOKUP(D187,★折込地区!$A$2:$D$10,4,FALSE)</f>
        <v>1</v>
      </c>
      <c r="F187" s="464" t="s">
        <v>575</v>
      </c>
      <c r="G187" s="464" t="str">
        <f>INDEX(★新聞!$E$4:$I$12, MATCH(LEFT(F187),★新聞!$A$4:$A$12,0), MATCH(LEFT(W187),★新聞!$E$3:$I$3,0))</f>
        <v>AA</v>
      </c>
      <c r="H187" s="475" t="s">
        <v>1107</v>
      </c>
      <c r="I187" s="464" cm="1">
        <f t="array" ref="I187">IFERROR(INDEX(★原価率!$A$2:$E$50,MATCH($C187&amp;$H187,★原価率!$A$2:$A$50&amp;★原価率!$B$2:$B$50,0),3),0)</f>
        <v>76</v>
      </c>
      <c r="J187" s="464" cm="1">
        <f t="array" ref="J187">IFERROR(INDEX(★原価率!$A$2:$E$50,MATCH($C187&amp;$H187,★原価率!$A$2:$A$50&amp;★原価率!$B$2:$B$50,0),4),0)</f>
        <v>76</v>
      </c>
      <c r="K187" s="464" cm="1">
        <f t="array" ref="K187">IFERROR(INDEX(★原価率!$A$2:$E$50,MATCH($C187&amp;$H187,★原価率!$A$2:$A$50&amp;★原価率!$B$2:$B$50,0),5),0)</f>
        <v>100</v>
      </c>
      <c r="L187" s="528">
        <f>IFERROR(VLOOKUP(W187,★商品!$A$1:$H$1231,8,FALSE),0)</f>
        <v>2.8</v>
      </c>
      <c r="M187" s="203" t="str">
        <f ca="1">CONCATENATE(VLOOKUP(B187,★営業所!$A$2:$B$5,2,FALSE),TEXT(NOW(),"yyyy"))</f>
        <v>T2023</v>
      </c>
      <c r="N187" s="203">
        <v>1</v>
      </c>
      <c r="O187" s="203">
        <v>0</v>
      </c>
      <c r="P187" s="213">
        <f>申込書!$B$6</f>
        <v>0</v>
      </c>
      <c r="Q187" s="203">
        <f>申込書!$C$34</f>
        <v>1000040</v>
      </c>
      <c r="R187" s="203">
        <v>0</v>
      </c>
      <c r="U187" s="203">
        <f>VLOOKUP(B187,★営業所!$A$2:$C$5,3,FALSE)</f>
        <v>8</v>
      </c>
      <c r="V187" s="203">
        <f>申込書!$B$9</f>
        <v>0</v>
      </c>
      <c r="W187" s="203" t="str">
        <f>CONCATENATE(VLOOKUP(B187,★営業所!$A$2:$B$5,2,FALSE),VLOOKUP(申込書!$C$32,★サイズ表記!$D$4:$E$55,2,FALSE),VLOOKUP(D187,★折込地区!$A$2:$B$11,2,FALSE))</f>
        <v>T1001Tot</v>
      </c>
      <c r="X187" s="203" t="str">
        <f>CONCATENATE(申込書!$B$9," ",VLOOKUP(RIGHT(W187,3),★折込地区!$B$2:$C$10,2,FALSE),"")</f>
        <v xml:space="preserve"> 鳥取</v>
      </c>
      <c r="Z187" s="206">
        <f t="shared" ca="1" si="16"/>
        <v>0</v>
      </c>
      <c r="AB187" s="383">
        <f t="shared" si="17"/>
        <v>2.8</v>
      </c>
      <c r="AC187" s="203" t="str">
        <f t="shared" si="18"/>
        <v>G1001</v>
      </c>
      <c r="AD187" s="203" t="str">
        <f>VLOOKUP(AC187,★原価商品!$E$6:$F$349,2,FALSE)</f>
        <v>朝日/B4（折り無し）</v>
      </c>
      <c r="AE187" s="203">
        <f t="shared" ca="1" si="19"/>
        <v>0</v>
      </c>
      <c r="AF187" s="383">
        <f ca="1">IFERROR(IF(VLOOKUP(申込書!$C$32,★サイズ表記!$F$4:$H$55,3,FALSE)="切り捨て",ROUNDDOWN(L187*IF(AK187="◎",I187,J187)/100,2),IF(VLOOKUP(申込書!$C$32,★サイズ表記!$F$4:$H$55,3,FALSE)="切り上げ",ROUNDUP(L187*IF(AK187="◎",I187,J187)/100,2),ROUND(L187*IF(AK187="◎",I187,J187)/100,2))),0)</f>
        <v>2.12</v>
      </c>
      <c r="AG187" s="203">
        <f t="shared" ca="1" si="20"/>
        <v>10074</v>
      </c>
      <c r="AJ187" s="460" t="str">
        <f>IFERROR(VLOOKUP(申込書!$C$30,★業種!$D$2:$E$87,2,FALSE),"")</f>
        <v>1003</v>
      </c>
      <c r="AK187" s="460" t="str">
        <f ca="1">IF(申込書!$C$36="◎",IF(OR(D187="浜坂・温泉",D187="美方・村岡",D187="香住",D187="岡山",D187="大阪"),"",IF(LEFT(F187)="D","◎",IF(AG187=0,"",IFERROR(IF(VLOOKUP(AG187,★仕入先!$A$2:$C$211,3,FALSE)=0,"","◎"),"")))),"")</f>
        <v/>
      </c>
      <c r="AL187" s="460">
        <f>申込書!$H$14</f>
        <v>0</v>
      </c>
      <c r="AM187" s="460" t="str">
        <f>申込書!$C$32</f>
        <v>B4（折り無し）</v>
      </c>
      <c r="AN187" s="460" t="str">
        <f>VLOOKUP(AM187,★サイズ表記!$D$4:$E$55,2,FALSE)</f>
        <v>1001</v>
      </c>
      <c r="AO187" s="460">
        <f>IF(C187&lt;&gt;"⑧兵庫",VLOOKUP(LEFT(F187),★新聞!$A$4:$B$12,2,FALSE),IF(LEFT(F187)&lt;&gt;"S",VLOOKUP(LEFT(F187),★新聞!$A$4:$B$12,2,FALSE),VLOOKUP("X",★新聞!$A$4:$B$12,2,FALSE)))</f>
        <v>2</v>
      </c>
      <c r="AP187" s="460" t="str">
        <f t="shared" ca="1" si="21"/>
        <v>0</v>
      </c>
      <c r="AQ187" s="460" t="str">
        <f>IF(申込書!$C$38="","",申込書!$C$38)</f>
        <v/>
      </c>
    </row>
    <row r="188" spans="1:43">
      <c r="A188" s="463">
        <f t="shared" si="22"/>
        <v>187</v>
      </c>
      <c r="B188" s="463" t="str">
        <f t="shared" si="23"/>
        <v>東部</v>
      </c>
      <c r="C188" s="464" t="s">
        <v>1016</v>
      </c>
      <c r="D188" s="464" t="s">
        <v>1022</v>
      </c>
      <c r="E188" s="464">
        <f>VLOOKUP(D188,★折込地区!$A$2:$D$10,4,FALSE)</f>
        <v>1</v>
      </c>
      <c r="F188" s="464" t="s">
        <v>384</v>
      </c>
      <c r="G188" s="464" t="str">
        <f>INDEX(★新聞!$E$4:$I$12, MATCH(LEFT(F188),★新聞!$A$4:$A$12,0), MATCH(LEFT(W188),★新聞!$E$3:$I$3,0))</f>
        <v>AD</v>
      </c>
      <c r="H188" s="475" t="s">
        <v>1107</v>
      </c>
      <c r="I188" s="464" cm="1">
        <f t="array" ref="I188">IFERROR(INDEX(★原価率!$A$2:$E$50,MATCH($C188&amp;$H188,★原価率!$A$2:$A$50&amp;★原価率!$B$2:$B$50,0),3),0)</f>
        <v>76</v>
      </c>
      <c r="J188" s="464" cm="1">
        <f t="array" ref="J188">IFERROR(INDEX(★原価率!$A$2:$E$50,MATCH($C188&amp;$H188,★原価率!$A$2:$A$50&amp;★原価率!$B$2:$B$50,0),4),0)</f>
        <v>76</v>
      </c>
      <c r="K188" s="464" cm="1">
        <f t="array" ref="K188">IFERROR(INDEX(★原価率!$A$2:$E$50,MATCH($C188&amp;$H188,★原価率!$A$2:$A$50&amp;★原価率!$B$2:$B$50,0),5),0)</f>
        <v>100</v>
      </c>
      <c r="L188" s="528">
        <f>IFERROR(VLOOKUP(W188,★商品!$A$1:$H$1231,8,FALSE),0)</f>
        <v>2.8</v>
      </c>
      <c r="M188" s="203" t="str">
        <f ca="1">CONCATENATE(VLOOKUP(B188,★営業所!$A$2:$B$5,2,FALSE),TEXT(NOW(),"yyyy"))</f>
        <v>T2023</v>
      </c>
      <c r="N188" s="203">
        <v>1</v>
      </c>
      <c r="O188" s="203">
        <v>0</v>
      </c>
      <c r="P188" s="213">
        <f>申込書!$B$6</f>
        <v>0</v>
      </c>
      <c r="Q188" s="203">
        <f>申込書!$C$34</f>
        <v>1000040</v>
      </c>
      <c r="R188" s="203">
        <v>0</v>
      </c>
      <c r="U188" s="203">
        <f>VLOOKUP(B188,★営業所!$A$2:$C$5,3,FALSE)</f>
        <v>8</v>
      </c>
      <c r="V188" s="203">
        <f>申込書!$B$9</f>
        <v>0</v>
      </c>
      <c r="W188" s="203" t="str">
        <f>CONCATENATE(VLOOKUP(B188,★営業所!$A$2:$B$5,2,FALSE),VLOOKUP(申込書!$C$32,★サイズ表記!$D$4:$E$55,2,FALSE),VLOOKUP(D188,★折込地区!$A$2:$B$11,2,FALSE))</f>
        <v>T1001Tot</v>
      </c>
      <c r="X188" s="203" t="str">
        <f>CONCATENATE(申込書!$B$9," ",VLOOKUP(RIGHT(W188,3),★折込地区!$B$2:$C$10,2,FALSE),"")</f>
        <v xml:space="preserve"> 鳥取</v>
      </c>
      <c r="Z188" s="206">
        <f t="shared" ca="1" si="16"/>
        <v>0</v>
      </c>
      <c r="AB188" s="383">
        <f t="shared" si="17"/>
        <v>2.8</v>
      </c>
      <c r="AC188" s="203" t="str">
        <f t="shared" si="18"/>
        <v>J1001</v>
      </c>
      <c r="AD188" s="203" t="str">
        <f>VLOOKUP(AC188,★原価商品!$E$6:$F$349,2,FALSE)</f>
        <v>読売/B4（折り無し）</v>
      </c>
      <c r="AE188" s="203">
        <f t="shared" ca="1" si="19"/>
        <v>0</v>
      </c>
      <c r="AF188" s="383">
        <f ca="1">IFERROR(IF(VLOOKUP(申込書!$C$32,★サイズ表記!$F$4:$H$55,3,FALSE)="切り捨て",ROUNDDOWN(L188*IF(AK188="◎",I188,J188)/100,2),IF(VLOOKUP(申込書!$C$32,★サイズ表記!$F$4:$H$55,3,FALSE)="切り上げ",ROUNDUP(L188*IF(AK188="◎",I188,J188)/100,2),ROUND(L188*IF(AK188="◎",I188,J188)/100,2))),0)</f>
        <v>2.12</v>
      </c>
      <c r="AG188" s="203">
        <f t="shared" ca="1" si="20"/>
        <v>10412</v>
      </c>
      <c r="AJ188" s="460" t="str">
        <f>IFERROR(VLOOKUP(申込書!$C$30,★業種!$D$2:$E$87,2,FALSE),"")</f>
        <v>1003</v>
      </c>
      <c r="AK188" s="460" t="str">
        <f ca="1">IF(申込書!$C$36="◎",IF(OR(D188="浜坂・温泉",D188="美方・村岡",D188="香住",D188="岡山",D188="大阪"),"",IF(LEFT(F188)="D","◎",IF(AG188=0,"",IFERROR(IF(VLOOKUP(AG188,★仕入先!$A$2:$C$211,3,FALSE)=0,"","◎"),"")))),"")</f>
        <v/>
      </c>
      <c r="AL188" s="460">
        <f>申込書!$H$14</f>
        <v>0</v>
      </c>
      <c r="AM188" s="460" t="str">
        <f>申込書!$C$32</f>
        <v>B4（折り無し）</v>
      </c>
      <c r="AN188" s="460" t="str">
        <f>VLOOKUP(AM188,★サイズ表記!$D$4:$E$55,2,FALSE)</f>
        <v>1001</v>
      </c>
      <c r="AO188" s="460">
        <f>IF(C188&lt;&gt;"⑧兵庫",VLOOKUP(LEFT(F188),★新聞!$A$4:$B$12,2,FALSE),IF(LEFT(F188)&lt;&gt;"S",VLOOKUP(LEFT(F188),★新聞!$A$4:$B$12,2,FALSE),VLOOKUP("X",★新聞!$A$4:$B$12,2,FALSE)))</f>
        <v>3</v>
      </c>
      <c r="AP188" s="460" t="str">
        <f t="shared" ca="1" si="21"/>
        <v>0</v>
      </c>
      <c r="AQ188" s="460" t="str">
        <f>IF(申込書!$C$38="","",申込書!$C$38)</f>
        <v/>
      </c>
    </row>
    <row r="189" spans="1:43">
      <c r="A189" s="463">
        <f t="shared" si="22"/>
        <v>188</v>
      </c>
      <c r="B189" s="463" t="str">
        <f t="shared" si="23"/>
        <v>東部</v>
      </c>
      <c r="C189" s="464" t="s">
        <v>1016</v>
      </c>
      <c r="D189" s="464" t="s">
        <v>1022</v>
      </c>
      <c r="E189" s="464">
        <f>VLOOKUP(D189,★折込地区!$A$2:$D$10,4,FALSE)</f>
        <v>1</v>
      </c>
      <c r="F189" s="464" t="s">
        <v>427</v>
      </c>
      <c r="G189" s="464" t="str">
        <f>INDEX(★新聞!$E$4:$I$12, MATCH(LEFT(F189),★新聞!$A$4:$A$12,0), MATCH(LEFT(W189),★新聞!$E$3:$I$3,0))</f>
        <v>AD</v>
      </c>
      <c r="H189" s="475" t="s">
        <v>1107</v>
      </c>
      <c r="I189" s="464" cm="1">
        <f t="array" ref="I189">IFERROR(INDEX(★原価率!$A$2:$E$50,MATCH($C189&amp;$H189,★原価率!$A$2:$A$50&amp;★原価率!$B$2:$B$50,0),3),0)</f>
        <v>76</v>
      </c>
      <c r="J189" s="464" cm="1">
        <f t="array" ref="J189">IFERROR(INDEX(★原価率!$A$2:$E$50,MATCH($C189&amp;$H189,★原価率!$A$2:$A$50&amp;★原価率!$B$2:$B$50,0),4),0)</f>
        <v>76</v>
      </c>
      <c r="K189" s="464" cm="1">
        <f t="array" ref="K189">IFERROR(INDEX(★原価率!$A$2:$E$50,MATCH($C189&amp;$H189,★原価率!$A$2:$A$50&amp;★原価率!$B$2:$B$50,0),5),0)</f>
        <v>100</v>
      </c>
      <c r="L189" s="528">
        <f>IFERROR(VLOOKUP(W189,★商品!$A$1:$H$1231,8,FALSE),0)</f>
        <v>2.8</v>
      </c>
      <c r="M189" s="203" t="str">
        <f ca="1">CONCATENATE(VLOOKUP(B189,★営業所!$A$2:$B$5,2,FALSE),TEXT(NOW(),"yyyy"))</f>
        <v>T2023</v>
      </c>
      <c r="N189" s="203">
        <v>1</v>
      </c>
      <c r="O189" s="203">
        <v>0</v>
      </c>
      <c r="P189" s="213">
        <f>申込書!$B$6</f>
        <v>0</v>
      </c>
      <c r="Q189" s="203">
        <f>申込書!$C$34</f>
        <v>1000040</v>
      </c>
      <c r="R189" s="203">
        <v>0</v>
      </c>
      <c r="U189" s="203">
        <f>VLOOKUP(B189,★営業所!$A$2:$C$5,3,FALSE)</f>
        <v>8</v>
      </c>
      <c r="V189" s="203">
        <f>申込書!$B$9</f>
        <v>0</v>
      </c>
      <c r="W189" s="203" t="str">
        <f>CONCATENATE(VLOOKUP(B189,★営業所!$A$2:$B$5,2,FALSE),VLOOKUP(申込書!$C$32,★サイズ表記!$D$4:$E$55,2,FALSE),VLOOKUP(D189,★折込地区!$A$2:$B$11,2,FALSE))</f>
        <v>T1001Tot</v>
      </c>
      <c r="X189" s="203" t="str">
        <f>CONCATENATE(申込書!$B$9," ",VLOOKUP(RIGHT(W189,3),★折込地区!$B$2:$C$10,2,FALSE),"")</f>
        <v xml:space="preserve"> 鳥取</v>
      </c>
      <c r="Z189" s="206">
        <f t="shared" ca="1" si="16"/>
        <v>0</v>
      </c>
      <c r="AB189" s="383">
        <f t="shared" si="17"/>
        <v>2.8</v>
      </c>
      <c r="AC189" s="203" t="str">
        <f t="shared" si="18"/>
        <v>J1001</v>
      </c>
      <c r="AD189" s="203" t="str">
        <f>VLOOKUP(AC189,★原価商品!$E$6:$F$349,2,FALSE)</f>
        <v>読売/B4（折り無し）</v>
      </c>
      <c r="AE189" s="203">
        <f t="shared" ca="1" si="19"/>
        <v>0</v>
      </c>
      <c r="AF189" s="383">
        <f ca="1">IFERROR(IF(VLOOKUP(申込書!$C$32,★サイズ表記!$F$4:$H$55,3,FALSE)="切り捨て",ROUNDDOWN(L189*IF(AK189="◎",I189,J189)/100,2),IF(VLOOKUP(申込書!$C$32,★サイズ表記!$F$4:$H$55,3,FALSE)="切り上げ",ROUNDUP(L189*IF(AK189="◎",I189,J189)/100,2),ROUND(L189*IF(AK189="◎",I189,J189)/100,2))),0)</f>
        <v>2.12</v>
      </c>
      <c r="AG189" s="203">
        <f t="shared" ca="1" si="20"/>
        <v>10422</v>
      </c>
      <c r="AJ189" s="460" t="str">
        <f>IFERROR(VLOOKUP(申込書!$C$30,★業種!$D$2:$E$87,2,FALSE),"")</f>
        <v>1003</v>
      </c>
      <c r="AK189" s="460" t="str">
        <f ca="1">IF(申込書!$C$36="◎",IF(OR(D189="浜坂・温泉",D189="美方・村岡",D189="香住",D189="岡山",D189="大阪"),"",IF(LEFT(F189)="D","◎",IF(AG189=0,"",IFERROR(IF(VLOOKUP(AG189,★仕入先!$A$2:$C$211,3,FALSE)=0,"","◎"),"")))),"")</f>
        <v/>
      </c>
      <c r="AL189" s="460">
        <f>申込書!$H$14</f>
        <v>0</v>
      </c>
      <c r="AM189" s="460" t="str">
        <f>申込書!$C$32</f>
        <v>B4（折り無し）</v>
      </c>
      <c r="AN189" s="460" t="str">
        <f>VLOOKUP(AM189,★サイズ表記!$D$4:$E$55,2,FALSE)</f>
        <v>1001</v>
      </c>
      <c r="AO189" s="460">
        <f>IF(C189&lt;&gt;"⑧兵庫",VLOOKUP(LEFT(F189),★新聞!$A$4:$B$12,2,FALSE),IF(LEFT(F189)&lt;&gt;"S",VLOOKUP(LEFT(F189),★新聞!$A$4:$B$12,2,FALSE),VLOOKUP("X",★新聞!$A$4:$B$12,2,FALSE)))</f>
        <v>3</v>
      </c>
      <c r="AP189" s="460" t="str">
        <f t="shared" ca="1" si="21"/>
        <v>0</v>
      </c>
      <c r="AQ189" s="460" t="str">
        <f>IF(申込書!$C$38="","",申込書!$C$38)</f>
        <v/>
      </c>
    </row>
    <row r="190" spans="1:43">
      <c r="A190" s="463">
        <f t="shared" si="22"/>
        <v>189</v>
      </c>
      <c r="B190" s="463" t="str">
        <f t="shared" si="23"/>
        <v>東部</v>
      </c>
      <c r="C190" s="464" t="s">
        <v>1016</v>
      </c>
      <c r="D190" s="464" t="s">
        <v>1022</v>
      </c>
      <c r="E190" s="464">
        <f>VLOOKUP(D190,★折込地区!$A$2:$D$10,4,FALSE)</f>
        <v>1</v>
      </c>
      <c r="F190" s="464" t="s">
        <v>428</v>
      </c>
      <c r="G190" s="464" t="str">
        <f>INDEX(★新聞!$E$4:$I$12, MATCH(LEFT(F190),★新聞!$A$4:$A$12,0), MATCH(LEFT(W190),★新聞!$E$3:$I$3,0))</f>
        <v>AD</v>
      </c>
      <c r="H190" s="475" t="s">
        <v>1107</v>
      </c>
      <c r="I190" s="464" cm="1">
        <f t="array" ref="I190">IFERROR(INDEX(★原価率!$A$2:$E$50,MATCH($C190&amp;$H190,★原価率!$A$2:$A$50&amp;★原価率!$B$2:$B$50,0),3),0)</f>
        <v>76</v>
      </c>
      <c r="J190" s="464" cm="1">
        <f t="array" ref="J190">IFERROR(INDEX(★原価率!$A$2:$E$50,MATCH($C190&amp;$H190,★原価率!$A$2:$A$50&amp;★原価率!$B$2:$B$50,0),4),0)</f>
        <v>76</v>
      </c>
      <c r="K190" s="464" cm="1">
        <f t="array" ref="K190">IFERROR(INDEX(★原価率!$A$2:$E$50,MATCH($C190&amp;$H190,★原価率!$A$2:$A$50&amp;★原価率!$B$2:$B$50,0),5),0)</f>
        <v>100</v>
      </c>
      <c r="L190" s="528">
        <f>IFERROR(VLOOKUP(W190,★商品!$A$1:$H$1231,8,FALSE),0)</f>
        <v>2.8</v>
      </c>
      <c r="M190" s="203" t="str">
        <f ca="1">CONCATENATE(VLOOKUP(B190,★営業所!$A$2:$B$5,2,FALSE),TEXT(NOW(),"yyyy"))</f>
        <v>T2023</v>
      </c>
      <c r="N190" s="203">
        <v>1</v>
      </c>
      <c r="O190" s="203">
        <v>0</v>
      </c>
      <c r="P190" s="213">
        <f>申込書!$B$6</f>
        <v>0</v>
      </c>
      <c r="Q190" s="203">
        <f>申込書!$C$34</f>
        <v>1000040</v>
      </c>
      <c r="R190" s="203">
        <v>0</v>
      </c>
      <c r="U190" s="203">
        <f>VLOOKUP(B190,★営業所!$A$2:$C$5,3,FALSE)</f>
        <v>8</v>
      </c>
      <c r="V190" s="203">
        <f>申込書!$B$9</f>
        <v>0</v>
      </c>
      <c r="W190" s="203" t="str">
        <f>CONCATENATE(VLOOKUP(B190,★営業所!$A$2:$B$5,2,FALSE),VLOOKUP(申込書!$C$32,★サイズ表記!$D$4:$E$55,2,FALSE),VLOOKUP(D190,★折込地区!$A$2:$B$11,2,FALSE))</f>
        <v>T1001Tot</v>
      </c>
      <c r="X190" s="203" t="str">
        <f>CONCATENATE(申込書!$B$9," ",VLOOKUP(RIGHT(W190,3),★折込地区!$B$2:$C$10,2,FALSE),"")</f>
        <v xml:space="preserve"> 鳥取</v>
      </c>
      <c r="Z190" s="206">
        <f t="shared" ca="1" si="16"/>
        <v>0</v>
      </c>
      <c r="AB190" s="383">
        <f t="shared" si="17"/>
        <v>2.8</v>
      </c>
      <c r="AC190" s="203" t="str">
        <f t="shared" si="18"/>
        <v>J1001</v>
      </c>
      <c r="AD190" s="203" t="str">
        <f>VLOOKUP(AC190,★原価商品!$E$6:$F$349,2,FALSE)</f>
        <v>読売/B4（折り無し）</v>
      </c>
      <c r="AE190" s="203">
        <f t="shared" ca="1" si="19"/>
        <v>0</v>
      </c>
      <c r="AF190" s="383">
        <f ca="1">IFERROR(IF(VLOOKUP(申込書!$C$32,★サイズ表記!$F$4:$H$55,3,FALSE)="切り捨て",ROUNDDOWN(L190*IF(AK190="◎",I190,J190)/100,2),IF(VLOOKUP(申込書!$C$32,★サイズ表記!$F$4:$H$55,3,FALSE)="切り上げ",ROUNDUP(L190*IF(AK190="◎",I190,J190)/100,2),ROUND(L190*IF(AK190="◎",I190,J190)/100,2))),0)</f>
        <v>2.12</v>
      </c>
      <c r="AG190" s="203">
        <f t="shared" ca="1" si="20"/>
        <v>10432</v>
      </c>
      <c r="AJ190" s="460" t="str">
        <f>IFERROR(VLOOKUP(申込書!$C$30,★業種!$D$2:$E$87,2,FALSE),"")</f>
        <v>1003</v>
      </c>
      <c r="AK190" s="460" t="str">
        <f ca="1">IF(申込書!$C$36="◎",IF(OR(D190="浜坂・温泉",D190="美方・村岡",D190="香住",D190="岡山",D190="大阪"),"",IF(LEFT(F190)="D","◎",IF(AG190=0,"",IFERROR(IF(VLOOKUP(AG190,★仕入先!$A$2:$C$211,3,FALSE)=0,"","◎"),"")))),"")</f>
        <v/>
      </c>
      <c r="AL190" s="460">
        <f>申込書!$H$14</f>
        <v>0</v>
      </c>
      <c r="AM190" s="460" t="str">
        <f>申込書!$C$32</f>
        <v>B4（折り無し）</v>
      </c>
      <c r="AN190" s="460" t="str">
        <f>VLOOKUP(AM190,★サイズ表記!$D$4:$E$55,2,FALSE)</f>
        <v>1001</v>
      </c>
      <c r="AO190" s="460">
        <f>IF(C190&lt;&gt;"⑧兵庫",VLOOKUP(LEFT(F190),★新聞!$A$4:$B$12,2,FALSE),IF(LEFT(F190)&lt;&gt;"S",VLOOKUP(LEFT(F190),★新聞!$A$4:$B$12,2,FALSE),VLOOKUP("X",★新聞!$A$4:$B$12,2,FALSE)))</f>
        <v>3</v>
      </c>
      <c r="AP190" s="460" t="str">
        <f t="shared" ca="1" si="21"/>
        <v>0</v>
      </c>
      <c r="AQ190" s="460" t="str">
        <f>IF(申込書!$C$38="","",申込書!$C$38)</f>
        <v/>
      </c>
    </row>
    <row r="191" spans="1:43">
      <c r="A191" s="463">
        <f t="shared" si="22"/>
        <v>190</v>
      </c>
      <c r="B191" s="463" t="str">
        <f t="shared" si="23"/>
        <v>東部</v>
      </c>
      <c r="C191" s="464" t="s">
        <v>1016</v>
      </c>
      <c r="D191" s="464" t="s">
        <v>1022</v>
      </c>
      <c r="E191" s="464">
        <f>VLOOKUP(D191,★折込地区!$A$2:$D$10,4,FALSE)</f>
        <v>1</v>
      </c>
      <c r="F191" s="464" t="s">
        <v>429</v>
      </c>
      <c r="G191" s="464" t="str">
        <f>INDEX(★新聞!$E$4:$I$12, MATCH(LEFT(F191),★新聞!$A$4:$A$12,0), MATCH(LEFT(W191),★新聞!$E$3:$I$3,0))</f>
        <v>AD</v>
      </c>
      <c r="H191" s="475" t="s">
        <v>1107</v>
      </c>
      <c r="I191" s="464" cm="1">
        <f t="array" ref="I191">IFERROR(INDEX(★原価率!$A$2:$E$50,MATCH($C191&amp;$H191,★原価率!$A$2:$A$50&amp;★原価率!$B$2:$B$50,0),3),0)</f>
        <v>76</v>
      </c>
      <c r="J191" s="464" cm="1">
        <f t="array" ref="J191">IFERROR(INDEX(★原価率!$A$2:$E$50,MATCH($C191&amp;$H191,★原価率!$A$2:$A$50&amp;★原価率!$B$2:$B$50,0),4),0)</f>
        <v>76</v>
      </c>
      <c r="K191" s="464" cm="1">
        <f t="array" ref="K191">IFERROR(INDEX(★原価率!$A$2:$E$50,MATCH($C191&amp;$H191,★原価率!$A$2:$A$50&amp;★原価率!$B$2:$B$50,0),5),0)</f>
        <v>100</v>
      </c>
      <c r="L191" s="528">
        <f>IFERROR(VLOOKUP(W191,★商品!$A$1:$H$1231,8,FALSE),0)</f>
        <v>2.8</v>
      </c>
      <c r="M191" s="203" t="str">
        <f ca="1">CONCATENATE(VLOOKUP(B191,★営業所!$A$2:$B$5,2,FALSE),TEXT(NOW(),"yyyy"))</f>
        <v>T2023</v>
      </c>
      <c r="N191" s="203">
        <v>1</v>
      </c>
      <c r="O191" s="203">
        <v>0</v>
      </c>
      <c r="P191" s="213">
        <f>申込書!$B$6</f>
        <v>0</v>
      </c>
      <c r="Q191" s="203">
        <f>申込書!$C$34</f>
        <v>1000040</v>
      </c>
      <c r="R191" s="203">
        <v>0</v>
      </c>
      <c r="U191" s="203">
        <f>VLOOKUP(B191,★営業所!$A$2:$C$5,3,FALSE)</f>
        <v>8</v>
      </c>
      <c r="V191" s="203">
        <f>申込書!$B$9</f>
        <v>0</v>
      </c>
      <c r="W191" s="203" t="str">
        <f>CONCATENATE(VLOOKUP(B191,★営業所!$A$2:$B$5,2,FALSE),VLOOKUP(申込書!$C$32,★サイズ表記!$D$4:$E$55,2,FALSE),VLOOKUP(D191,★折込地区!$A$2:$B$11,2,FALSE))</f>
        <v>T1001Tot</v>
      </c>
      <c r="X191" s="203" t="str">
        <f>CONCATENATE(申込書!$B$9," ",VLOOKUP(RIGHT(W191,3),★折込地区!$B$2:$C$10,2,FALSE),"")</f>
        <v xml:space="preserve"> 鳥取</v>
      </c>
      <c r="Z191" s="206">
        <f t="shared" ca="1" si="16"/>
        <v>0</v>
      </c>
      <c r="AB191" s="383">
        <f t="shared" si="17"/>
        <v>2.8</v>
      </c>
      <c r="AC191" s="203" t="str">
        <f t="shared" si="18"/>
        <v>J1001</v>
      </c>
      <c r="AD191" s="203" t="str">
        <f>VLOOKUP(AC191,★原価商品!$E$6:$F$349,2,FALSE)</f>
        <v>読売/B4（折り無し）</v>
      </c>
      <c r="AE191" s="203">
        <f t="shared" ca="1" si="19"/>
        <v>0</v>
      </c>
      <c r="AF191" s="383">
        <f ca="1">IFERROR(IF(VLOOKUP(申込書!$C$32,★サイズ表記!$F$4:$H$55,3,FALSE)="切り捨て",ROUNDDOWN(L191*IF(AK191="◎",I191,J191)/100,2),IF(VLOOKUP(申込書!$C$32,★サイズ表記!$F$4:$H$55,3,FALSE)="切り上げ",ROUNDUP(L191*IF(AK191="◎",I191,J191)/100,2),ROUND(L191*IF(AK191="◎",I191,J191)/100,2))),0)</f>
        <v>2.12</v>
      </c>
      <c r="AG191" s="203">
        <f t="shared" ca="1" si="20"/>
        <v>10443</v>
      </c>
      <c r="AJ191" s="460" t="str">
        <f>IFERROR(VLOOKUP(申込書!$C$30,★業種!$D$2:$E$87,2,FALSE),"")</f>
        <v>1003</v>
      </c>
      <c r="AK191" s="460" t="str">
        <f ca="1">IF(申込書!$C$36="◎",IF(OR(D191="浜坂・温泉",D191="美方・村岡",D191="香住",D191="岡山",D191="大阪"),"",IF(LEFT(F191)="D","◎",IF(AG191=0,"",IFERROR(IF(VLOOKUP(AG191,★仕入先!$A$2:$C$211,3,FALSE)=0,"","◎"),"")))),"")</f>
        <v/>
      </c>
      <c r="AL191" s="460">
        <f>申込書!$H$14</f>
        <v>0</v>
      </c>
      <c r="AM191" s="460" t="str">
        <f>申込書!$C$32</f>
        <v>B4（折り無し）</v>
      </c>
      <c r="AN191" s="460" t="str">
        <f>VLOOKUP(AM191,★サイズ表記!$D$4:$E$55,2,FALSE)</f>
        <v>1001</v>
      </c>
      <c r="AO191" s="460">
        <f>IF(C191&lt;&gt;"⑧兵庫",VLOOKUP(LEFT(F191),★新聞!$A$4:$B$12,2,FALSE),IF(LEFT(F191)&lt;&gt;"S",VLOOKUP(LEFT(F191),★新聞!$A$4:$B$12,2,FALSE),VLOOKUP("X",★新聞!$A$4:$B$12,2,FALSE)))</f>
        <v>3</v>
      </c>
      <c r="AP191" s="460" t="str">
        <f t="shared" ca="1" si="21"/>
        <v>0</v>
      </c>
      <c r="AQ191" s="460" t="str">
        <f>IF(申込書!$C$38="","",申込書!$C$38)</f>
        <v/>
      </c>
    </row>
    <row r="192" spans="1:43">
      <c r="A192" s="463">
        <f t="shared" si="22"/>
        <v>191</v>
      </c>
      <c r="B192" s="463" t="str">
        <f t="shared" si="23"/>
        <v>東部</v>
      </c>
      <c r="C192" s="464" t="s">
        <v>1016</v>
      </c>
      <c r="D192" s="464" t="s">
        <v>1022</v>
      </c>
      <c r="E192" s="464">
        <f>VLOOKUP(D192,★折込地区!$A$2:$D$10,4,FALSE)</f>
        <v>1</v>
      </c>
      <c r="F192" s="464" t="s">
        <v>432</v>
      </c>
      <c r="G192" s="464" t="str">
        <f>INDEX(★新聞!$E$4:$I$12, MATCH(LEFT(F192),★新聞!$A$4:$A$12,0), MATCH(LEFT(W192),★新聞!$E$3:$I$3,0))</f>
        <v>AD</v>
      </c>
      <c r="H192" s="475" t="s">
        <v>1107</v>
      </c>
      <c r="I192" s="464" cm="1">
        <f t="array" ref="I192">IFERROR(INDEX(★原価率!$A$2:$E$50,MATCH($C192&amp;$H192,★原価率!$A$2:$A$50&amp;★原価率!$B$2:$B$50,0),3),0)</f>
        <v>76</v>
      </c>
      <c r="J192" s="464" cm="1">
        <f t="array" ref="J192">IFERROR(INDEX(★原価率!$A$2:$E$50,MATCH($C192&amp;$H192,★原価率!$A$2:$A$50&amp;★原価率!$B$2:$B$50,0),4),0)</f>
        <v>76</v>
      </c>
      <c r="K192" s="464" cm="1">
        <f t="array" ref="K192">IFERROR(INDEX(★原価率!$A$2:$E$50,MATCH($C192&amp;$H192,★原価率!$A$2:$A$50&amp;★原価率!$B$2:$B$50,0),5),0)</f>
        <v>100</v>
      </c>
      <c r="L192" s="528">
        <f>IFERROR(VLOOKUP(W192,★商品!$A$1:$H$1231,8,FALSE),0)</f>
        <v>2.8</v>
      </c>
      <c r="M192" s="203" t="str">
        <f ca="1">CONCATENATE(VLOOKUP(B192,★営業所!$A$2:$B$5,2,FALSE),TEXT(NOW(),"yyyy"))</f>
        <v>T2023</v>
      </c>
      <c r="N192" s="203">
        <v>1</v>
      </c>
      <c r="O192" s="203">
        <v>0</v>
      </c>
      <c r="P192" s="213">
        <f>申込書!$B$6</f>
        <v>0</v>
      </c>
      <c r="Q192" s="203">
        <f>申込書!$C$34</f>
        <v>1000040</v>
      </c>
      <c r="R192" s="203">
        <v>0</v>
      </c>
      <c r="U192" s="203">
        <f>VLOOKUP(B192,★営業所!$A$2:$C$5,3,FALSE)</f>
        <v>8</v>
      </c>
      <c r="V192" s="203">
        <f>申込書!$B$9</f>
        <v>0</v>
      </c>
      <c r="W192" s="203" t="str">
        <f>CONCATENATE(VLOOKUP(B192,★営業所!$A$2:$B$5,2,FALSE),VLOOKUP(申込書!$C$32,★サイズ表記!$D$4:$E$55,2,FALSE),VLOOKUP(D192,★折込地区!$A$2:$B$11,2,FALSE))</f>
        <v>T1001Tot</v>
      </c>
      <c r="X192" s="203" t="str">
        <f>CONCATENATE(申込書!$B$9," ",VLOOKUP(RIGHT(W192,3),★折込地区!$B$2:$C$10,2,FALSE),"")</f>
        <v xml:space="preserve"> 鳥取</v>
      </c>
      <c r="Z192" s="206">
        <f t="shared" ca="1" si="16"/>
        <v>0</v>
      </c>
      <c r="AB192" s="383">
        <f t="shared" si="17"/>
        <v>2.8</v>
      </c>
      <c r="AC192" s="203" t="str">
        <f t="shared" si="18"/>
        <v>J1001</v>
      </c>
      <c r="AD192" s="203" t="str">
        <f>VLOOKUP(AC192,★原価商品!$E$6:$F$349,2,FALSE)</f>
        <v>読売/B4（折り無し）</v>
      </c>
      <c r="AE192" s="203">
        <f t="shared" ca="1" si="19"/>
        <v>0</v>
      </c>
      <c r="AF192" s="383">
        <f ca="1">IFERROR(IF(VLOOKUP(申込書!$C$32,★サイズ表記!$F$4:$H$55,3,FALSE)="切り捨て",ROUNDDOWN(L192*IF(AK192="◎",I192,J192)/100,2),IF(VLOOKUP(申込書!$C$32,★サイズ表記!$F$4:$H$55,3,FALSE)="切り上げ",ROUNDUP(L192*IF(AK192="◎",I192,J192)/100,2),ROUND(L192*IF(AK192="◎",I192,J192)/100,2))),0)</f>
        <v>2.12</v>
      </c>
      <c r="AG192" s="203">
        <f t="shared" ca="1" si="20"/>
        <v>10452</v>
      </c>
      <c r="AJ192" s="460" t="str">
        <f>IFERROR(VLOOKUP(申込書!$C$30,★業種!$D$2:$E$87,2,FALSE),"")</f>
        <v>1003</v>
      </c>
      <c r="AK192" s="460" t="str">
        <f ca="1">IF(申込書!$C$36="◎",IF(OR(D192="浜坂・温泉",D192="美方・村岡",D192="香住",D192="岡山",D192="大阪"),"",IF(LEFT(F192)="D","◎",IF(AG192=0,"",IFERROR(IF(VLOOKUP(AG192,★仕入先!$A$2:$C$211,3,FALSE)=0,"","◎"),"")))),"")</f>
        <v/>
      </c>
      <c r="AL192" s="460">
        <f>申込書!$H$14</f>
        <v>0</v>
      </c>
      <c r="AM192" s="460" t="str">
        <f>申込書!$C$32</f>
        <v>B4（折り無し）</v>
      </c>
      <c r="AN192" s="460" t="str">
        <f>VLOOKUP(AM192,★サイズ表記!$D$4:$E$55,2,FALSE)</f>
        <v>1001</v>
      </c>
      <c r="AO192" s="460">
        <f>IF(C192&lt;&gt;"⑧兵庫",VLOOKUP(LEFT(F192),★新聞!$A$4:$B$12,2,FALSE),IF(LEFT(F192)&lt;&gt;"S",VLOOKUP(LEFT(F192),★新聞!$A$4:$B$12,2,FALSE),VLOOKUP("X",★新聞!$A$4:$B$12,2,FALSE)))</f>
        <v>3</v>
      </c>
      <c r="AP192" s="460" t="str">
        <f t="shared" ca="1" si="21"/>
        <v>0</v>
      </c>
      <c r="AQ192" s="460" t="str">
        <f>IF(申込書!$C$38="","",申込書!$C$38)</f>
        <v/>
      </c>
    </row>
    <row r="193" spans="1:43">
      <c r="A193" s="463">
        <f t="shared" si="22"/>
        <v>192</v>
      </c>
      <c r="B193" s="463" t="str">
        <f t="shared" si="23"/>
        <v>東部</v>
      </c>
      <c r="C193" s="464" t="s">
        <v>1016</v>
      </c>
      <c r="D193" s="464" t="s">
        <v>1022</v>
      </c>
      <c r="E193" s="464">
        <f>VLOOKUP(D193,★折込地区!$A$2:$D$10,4,FALSE)</f>
        <v>1</v>
      </c>
      <c r="F193" s="464" t="s">
        <v>433</v>
      </c>
      <c r="G193" s="464" t="str">
        <f>INDEX(★新聞!$E$4:$I$12, MATCH(LEFT(F193),★新聞!$A$4:$A$12,0), MATCH(LEFT(W193),★新聞!$E$3:$I$3,0))</f>
        <v>AD</v>
      </c>
      <c r="H193" s="475" t="s">
        <v>1107</v>
      </c>
      <c r="I193" s="464" cm="1">
        <f t="array" ref="I193">IFERROR(INDEX(★原価率!$A$2:$E$50,MATCH($C193&amp;$H193,★原価率!$A$2:$A$50&amp;★原価率!$B$2:$B$50,0),3),0)</f>
        <v>76</v>
      </c>
      <c r="J193" s="464" cm="1">
        <f t="array" ref="J193">IFERROR(INDEX(★原価率!$A$2:$E$50,MATCH($C193&amp;$H193,★原価率!$A$2:$A$50&amp;★原価率!$B$2:$B$50,0),4),0)</f>
        <v>76</v>
      </c>
      <c r="K193" s="464" cm="1">
        <f t="array" ref="K193">IFERROR(INDEX(★原価率!$A$2:$E$50,MATCH($C193&amp;$H193,★原価率!$A$2:$A$50&amp;★原価率!$B$2:$B$50,0),5),0)</f>
        <v>100</v>
      </c>
      <c r="L193" s="528">
        <f>IFERROR(VLOOKUP(W193,★商品!$A$1:$H$1231,8,FALSE),0)</f>
        <v>2.8</v>
      </c>
      <c r="M193" s="203" t="str">
        <f ca="1">CONCATENATE(VLOOKUP(B193,★営業所!$A$2:$B$5,2,FALSE),TEXT(NOW(),"yyyy"))</f>
        <v>T2023</v>
      </c>
      <c r="N193" s="203">
        <v>1</v>
      </c>
      <c r="O193" s="203">
        <v>0</v>
      </c>
      <c r="P193" s="213">
        <f>申込書!$B$6</f>
        <v>0</v>
      </c>
      <c r="Q193" s="203">
        <f>申込書!$C$34</f>
        <v>1000040</v>
      </c>
      <c r="R193" s="203">
        <v>0</v>
      </c>
      <c r="U193" s="203">
        <f>VLOOKUP(B193,★営業所!$A$2:$C$5,3,FALSE)</f>
        <v>8</v>
      </c>
      <c r="V193" s="203">
        <f>申込書!$B$9</f>
        <v>0</v>
      </c>
      <c r="W193" s="203" t="str">
        <f>CONCATENATE(VLOOKUP(B193,★営業所!$A$2:$B$5,2,FALSE),VLOOKUP(申込書!$C$32,★サイズ表記!$D$4:$E$55,2,FALSE),VLOOKUP(D193,★折込地区!$A$2:$B$11,2,FALSE))</f>
        <v>T1001Tot</v>
      </c>
      <c r="X193" s="203" t="str">
        <f>CONCATENATE(申込書!$B$9," ",VLOOKUP(RIGHT(W193,3),★折込地区!$B$2:$C$10,2,FALSE),"")</f>
        <v xml:space="preserve"> 鳥取</v>
      </c>
      <c r="Z193" s="206">
        <f t="shared" ca="1" si="16"/>
        <v>0</v>
      </c>
      <c r="AB193" s="383">
        <f t="shared" si="17"/>
        <v>2.8</v>
      </c>
      <c r="AC193" s="203" t="str">
        <f t="shared" si="18"/>
        <v>J1001</v>
      </c>
      <c r="AD193" s="203" t="str">
        <f>VLOOKUP(AC193,★原価商品!$E$6:$F$349,2,FALSE)</f>
        <v>読売/B4（折り無し）</v>
      </c>
      <c r="AE193" s="203">
        <f t="shared" ca="1" si="19"/>
        <v>0</v>
      </c>
      <c r="AF193" s="383">
        <f ca="1">IFERROR(IF(VLOOKUP(申込書!$C$32,★サイズ表記!$F$4:$H$55,3,FALSE)="切り捨て",ROUNDDOWN(L193*IF(AK193="◎",I193,J193)/100,2),IF(VLOOKUP(申込書!$C$32,★サイズ表記!$F$4:$H$55,3,FALSE)="切り上げ",ROUNDUP(L193*IF(AK193="◎",I193,J193)/100,2),ROUND(L193*IF(AK193="◎",I193,J193)/100,2))),0)</f>
        <v>2.12</v>
      </c>
      <c r="AG193" s="203">
        <f t="shared" ca="1" si="20"/>
        <v>10452</v>
      </c>
      <c r="AJ193" s="460" t="str">
        <f>IFERROR(VLOOKUP(申込書!$C$30,★業種!$D$2:$E$87,2,FALSE),"")</f>
        <v>1003</v>
      </c>
      <c r="AK193" s="460" t="str">
        <f ca="1">IF(申込書!$C$36="◎",IF(OR(D193="浜坂・温泉",D193="美方・村岡",D193="香住",D193="岡山",D193="大阪"),"",IF(LEFT(F193)="D","◎",IF(AG193=0,"",IFERROR(IF(VLOOKUP(AG193,★仕入先!$A$2:$C$211,3,FALSE)=0,"","◎"),"")))),"")</f>
        <v/>
      </c>
      <c r="AL193" s="460">
        <f>申込書!$H$14</f>
        <v>0</v>
      </c>
      <c r="AM193" s="460" t="str">
        <f>申込書!$C$32</f>
        <v>B4（折り無し）</v>
      </c>
      <c r="AN193" s="460" t="str">
        <f>VLOOKUP(AM193,★サイズ表記!$D$4:$E$55,2,FALSE)</f>
        <v>1001</v>
      </c>
      <c r="AO193" s="460">
        <f>IF(C193&lt;&gt;"⑧兵庫",VLOOKUP(LEFT(F193),★新聞!$A$4:$B$12,2,FALSE),IF(LEFT(F193)&lt;&gt;"S",VLOOKUP(LEFT(F193),★新聞!$A$4:$B$12,2,FALSE),VLOOKUP("X",★新聞!$A$4:$B$12,2,FALSE)))</f>
        <v>3</v>
      </c>
      <c r="AP193" s="460" t="str">
        <f t="shared" ca="1" si="21"/>
        <v>0</v>
      </c>
      <c r="AQ193" s="460" t="str">
        <f>IF(申込書!$C$38="","",申込書!$C$38)</f>
        <v/>
      </c>
    </row>
    <row r="194" spans="1:43">
      <c r="A194" s="463">
        <f t="shared" si="22"/>
        <v>193</v>
      </c>
      <c r="B194" s="463" t="str">
        <f t="shared" si="23"/>
        <v>東部</v>
      </c>
      <c r="C194" s="464" t="s">
        <v>1016</v>
      </c>
      <c r="D194" s="464" t="s">
        <v>1022</v>
      </c>
      <c r="E194" s="464">
        <f>VLOOKUP(D194,★折込地区!$A$2:$D$10,4,FALSE)</f>
        <v>1</v>
      </c>
      <c r="F194" s="464" t="s">
        <v>434</v>
      </c>
      <c r="G194" s="464" t="str">
        <f>INDEX(★新聞!$E$4:$I$12, MATCH(LEFT(F194),★新聞!$A$4:$A$12,0), MATCH(LEFT(W194),★新聞!$E$3:$I$3,0))</f>
        <v>AD</v>
      </c>
      <c r="H194" s="475" t="s">
        <v>1107</v>
      </c>
      <c r="I194" s="464" cm="1">
        <f t="array" ref="I194">IFERROR(INDEX(★原価率!$A$2:$E$50,MATCH($C194&amp;$H194,★原価率!$A$2:$A$50&amp;★原価率!$B$2:$B$50,0),3),0)</f>
        <v>76</v>
      </c>
      <c r="J194" s="464" cm="1">
        <f t="array" ref="J194">IFERROR(INDEX(★原価率!$A$2:$E$50,MATCH($C194&amp;$H194,★原価率!$A$2:$A$50&amp;★原価率!$B$2:$B$50,0),4),0)</f>
        <v>76</v>
      </c>
      <c r="K194" s="464" cm="1">
        <f t="array" ref="K194">IFERROR(INDEX(★原価率!$A$2:$E$50,MATCH($C194&amp;$H194,★原価率!$A$2:$A$50&amp;★原価率!$B$2:$B$50,0),5),0)</f>
        <v>100</v>
      </c>
      <c r="L194" s="528">
        <f>IFERROR(VLOOKUP(W194,★商品!$A$1:$H$1231,8,FALSE),0)</f>
        <v>2.8</v>
      </c>
      <c r="M194" s="203" t="str">
        <f ca="1">CONCATENATE(VLOOKUP(B194,★営業所!$A$2:$B$5,2,FALSE),TEXT(NOW(),"yyyy"))</f>
        <v>T2023</v>
      </c>
      <c r="N194" s="203">
        <v>1</v>
      </c>
      <c r="O194" s="203">
        <v>0</v>
      </c>
      <c r="P194" s="213">
        <f>申込書!$B$6</f>
        <v>0</v>
      </c>
      <c r="Q194" s="203">
        <f>申込書!$C$34</f>
        <v>1000040</v>
      </c>
      <c r="R194" s="203">
        <v>0</v>
      </c>
      <c r="U194" s="203">
        <f>VLOOKUP(B194,★営業所!$A$2:$C$5,3,FALSE)</f>
        <v>8</v>
      </c>
      <c r="V194" s="203">
        <f>申込書!$B$9</f>
        <v>0</v>
      </c>
      <c r="W194" s="203" t="str">
        <f>CONCATENATE(VLOOKUP(B194,★営業所!$A$2:$B$5,2,FALSE),VLOOKUP(申込書!$C$32,★サイズ表記!$D$4:$E$55,2,FALSE),VLOOKUP(D194,★折込地区!$A$2:$B$11,2,FALSE))</f>
        <v>T1001Tot</v>
      </c>
      <c r="X194" s="203" t="str">
        <f>CONCATENATE(申込書!$B$9," ",VLOOKUP(RIGHT(W194,3),★折込地区!$B$2:$C$10,2,FALSE),"")</f>
        <v xml:space="preserve"> 鳥取</v>
      </c>
      <c r="Z194" s="206">
        <f t="shared" ref="Z194:Z257" ca="1" si="24">SUMIFS($AE$2:$AE$977,$W$2:$W$977,W194,$AG$2:$AG$977,"&lt;&gt;0")</f>
        <v>0</v>
      </c>
      <c r="AB194" s="383">
        <f t="shared" ref="AB194:AB257" si="25">IFERROR(L194*K194/100,0)</f>
        <v>2.8</v>
      </c>
      <c r="AC194" s="203" t="str">
        <f t="shared" ref="AC194:AC257" si="26">CONCATENATE(LEFT(F194),AN194)</f>
        <v>J1001</v>
      </c>
      <c r="AD194" s="203" t="str">
        <f>VLOOKUP(AC194,★原価商品!$E$6:$F$349,2,FALSE)</f>
        <v>読売/B4（折り無し）</v>
      </c>
      <c r="AE194" s="203">
        <f t="shared" ref="AE194:AE257" ca="1" si="27">INDIRECT(C194 &amp; "!" &amp; F194)</f>
        <v>0</v>
      </c>
      <c r="AF194" s="383">
        <f ca="1">IFERROR(IF(VLOOKUP(申込書!$C$32,★サイズ表記!$F$4:$H$55,3,FALSE)="切り捨て",ROUNDDOWN(L194*IF(AK194="◎",I194,J194)/100,2),IF(VLOOKUP(申込書!$C$32,★サイズ表記!$F$4:$H$55,3,FALSE)="切り上げ",ROUNDUP(L194*IF(AK194="◎",I194,J194)/100,2),ROUND(L194*IF(AK194="◎",I194,J194)/100,2))),0)</f>
        <v>2.12</v>
      </c>
      <c r="AG194" s="203">
        <f t="shared" ref="AG194:AG257" ca="1" si="28">IFERROR(INDIRECT(C194 &amp; "!" &amp; G194 &amp; MID(F194,2,1000)),0)</f>
        <v>10463</v>
      </c>
      <c r="AJ194" s="460" t="str">
        <f>IFERROR(VLOOKUP(申込書!$C$30,★業種!$D$2:$E$87,2,FALSE),"")</f>
        <v>1003</v>
      </c>
      <c r="AK194" s="460" t="str">
        <f ca="1">IF(申込書!$C$36="◎",IF(OR(D194="浜坂・温泉",D194="美方・村岡",D194="香住",D194="岡山",D194="大阪"),"",IF(LEFT(F194)="D","◎",IF(AG194=0,"",IFERROR(IF(VLOOKUP(AG194,★仕入先!$A$2:$C$211,3,FALSE)=0,"","◎"),"")))),"")</f>
        <v/>
      </c>
      <c r="AL194" s="460">
        <f>申込書!$H$14</f>
        <v>0</v>
      </c>
      <c r="AM194" s="460" t="str">
        <f>申込書!$C$32</f>
        <v>B4（折り無し）</v>
      </c>
      <c r="AN194" s="460" t="str">
        <f>VLOOKUP(AM194,★サイズ表記!$D$4:$E$55,2,FALSE)</f>
        <v>1001</v>
      </c>
      <c r="AO194" s="460">
        <f>IF(C194&lt;&gt;"⑧兵庫",VLOOKUP(LEFT(F194),★新聞!$A$4:$B$12,2,FALSE),IF(LEFT(F194)&lt;&gt;"S",VLOOKUP(LEFT(F194),★新聞!$A$4:$B$12,2,FALSE),VLOOKUP("X",★新聞!$A$4:$B$12,2,FALSE)))</f>
        <v>3</v>
      </c>
      <c r="AP194" s="460" t="str">
        <f t="shared" ref="AP194:AP257" ca="1" si="29">FIXED(SUM($AE$2:$AE$977),0,FALSE)</f>
        <v>0</v>
      </c>
      <c r="AQ194" s="460" t="str">
        <f>IF(申込書!$C$38="","",申込書!$C$38)</f>
        <v/>
      </c>
    </row>
    <row r="195" spans="1:43">
      <c r="A195" s="463">
        <f t="shared" si="22"/>
        <v>194</v>
      </c>
      <c r="B195" s="463" t="str">
        <f t="shared" si="23"/>
        <v>東部</v>
      </c>
      <c r="C195" s="464" t="s">
        <v>1016</v>
      </c>
      <c r="D195" s="464" t="s">
        <v>1022</v>
      </c>
      <c r="E195" s="464">
        <f>VLOOKUP(D195,★折込地区!$A$2:$D$10,4,FALSE)</f>
        <v>1</v>
      </c>
      <c r="F195" s="464" t="s">
        <v>435</v>
      </c>
      <c r="G195" s="464" t="str">
        <f>INDEX(★新聞!$E$4:$I$12, MATCH(LEFT(F195),★新聞!$A$4:$A$12,0), MATCH(LEFT(W195),★新聞!$E$3:$I$3,0))</f>
        <v>AD</v>
      </c>
      <c r="H195" s="475" t="s">
        <v>1107</v>
      </c>
      <c r="I195" s="464" cm="1">
        <f t="array" ref="I195">IFERROR(INDEX(★原価率!$A$2:$E$50,MATCH($C195&amp;$H195,★原価率!$A$2:$A$50&amp;★原価率!$B$2:$B$50,0),3),0)</f>
        <v>76</v>
      </c>
      <c r="J195" s="464" cm="1">
        <f t="array" ref="J195">IFERROR(INDEX(★原価率!$A$2:$E$50,MATCH($C195&amp;$H195,★原価率!$A$2:$A$50&amp;★原価率!$B$2:$B$50,0),4),0)</f>
        <v>76</v>
      </c>
      <c r="K195" s="464" cm="1">
        <f t="array" ref="K195">IFERROR(INDEX(★原価率!$A$2:$E$50,MATCH($C195&amp;$H195,★原価率!$A$2:$A$50&amp;★原価率!$B$2:$B$50,0),5),0)</f>
        <v>100</v>
      </c>
      <c r="L195" s="528">
        <f>IFERROR(VLOOKUP(W195,★商品!$A$1:$H$1231,8,FALSE),0)</f>
        <v>2.8</v>
      </c>
      <c r="M195" s="203" t="str">
        <f ca="1">CONCATENATE(VLOOKUP(B195,★営業所!$A$2:$B$5,2,FALSE),TEXT(NOW(),"yyyy"))</f>
        <v>T2023</v>
      </c>
      <c r="N195" s="203">
        <v>1</v>
      </c>
      <c r="O195" s="203">
        <v>0</v>
      </c>
      <c r="P195" s="213">
        <f>申込書!$B$6</f>
        <v>0</v>
      </c>
      <c r="Q195" s="203">
        <f>申込書!$C$34</f>
        <v>1000040</v>
      </c>
      <c r="R195" s="203">
        <v>0</v>
      </c>
      <c r="U195" s="203">
        <f>VLOOKUP(B195,★営業所!$A$2:$C$5,3,FALSE)</f>
        <v>8</v>
      </c>
      <c r="V195" s="203">
        <f>申込書!$B$9</f>
        <v>0</v>
      </c>
      <c r="W195" s="203" t="str">
        <f>CONCATENATE(VLOOKUP(B195,★営業所!$A$2:$B$5,2,FALSE),VLOOKUP(申込書!$C$32,★サイズ表記!$D$4:$E$55,2,FALSE),VLOOKUP(D195,★折込地区!$A$2:$B$11,2,FALSE))</f>
        <v>T1001Tot</v>
      </c>
      <c r="X195" s="203" t="str">
        <f>CONCATENATE(申込書!$B$9," ",VLOOKUP(RIGHT(W195,3),★折込地区!$B$2:$C$10,2,FALSE),"")</f>
        <v xml:space="preserve"> 鳥取</v>
      </c>
      <c r="Z195" s="206">
        <f t="shared" ca="1" si="24"/>
        <v>0</v>
      </c>
      <c r="AB195" s="383">
        <f t="shared" si="25"/>
        <v>2.8</v>
      </c>
      <c r="AC195" s="203" t="str">
        <f t="shared" si="26"/>
        <v>J1001</v>
      </c>
      <c r="AD195" s="203" t="str">
        <f>VLOOKUP(AC195,★原価商品!$E$6:$F$349,2,FALSE)</f>
        <v>読売/B4（折り無し）</v>
      </c>
      <c r="AE195" s="203">
        <f t="shared" ca="1" si="27"/>
        <v>0</v>
      </c>
      <c r="AF195" s="383">
        <f ca="1">IFERROR(IF(VLOOKUP(申込書!$C$32,★サイズ表記!$F$4:$H$55,3,FALSE)="切り捨て",ROUNDDOWN(L195*IF(AK195="◎",I195,J195)/100,2),IF(VLOOKUP(申込書!$C$32,★サイズ表記!$F$4:$H$55,3,FALSE)="切り上げ",ROUNDUP(L195*IF(AK195="◎",I195,J195)/100,2),ROUND(L195*IF(AK195="◎",I195,J195)/100,2))),0)</f>
        <v>2.12</v>
      </c>
      <c r="AG195" s="203">
        <f t="shared" ca="1" si="28"/>
        <v>10465</v>
      </c>
      <c r="AJ195" s="460" t="str">
        <f>IFERROR(VLOOKUP(申込書!$C$30,★業種!$D$2:$E$87,2,FALSE),"")</f>
        <v>1003</v>
      </c>
      <c r="AK195" s="460" t="str">
        <f ca="1">IF(申込書!$C$36="◎",IF(OR(D195="浜坂・温泉",D195="美方・村岡",D195="香住",D195="岡山",D195="大阪"),"",IF(LEFT(F195)="D","◎",IF(AG195=0,"",IFERROR(IF(VLOOKUP(AG195,★仕入先!$A$2:$C$211,3,FALSE)=0,"","◎"),"")))),"")</f>
        <v/>
      </c>
      <c r="AL195" s="460">
        <f>申込書!$H$14</f>
        <v>0</v>
      </c>
      <c r="AM195" s="460" t="str">
        <f>申込書!$C$32</f>
        <v>B4（折り無し）</v>
      </c>
      <c r="AN195" s="460" t="str">
        <f>VLOOKUP(AM195,★サイズ表記!$D$4:$E$55,2,FALSE)</f>
        <v>1001</v>
      </c>
      <c r="AO195" s="460">
        <f>IF(C195&lt;&gt;"⑧兵庫",VLOOKUP(LEFT(F195),★新聞!$A$4:$B$12,2,FALSE),IF(LEFT(F195)&lt;&gt;"S",VLOOKUP(LEFT(F195),★新聞!$A$4:$B$12,2,FALSE),VLOOKUP("X",★新聞!$A$4:$B$12,2,FALSE)))</f>
        <v>3</v>
      </c>
      <c r="AP195" s="460" t="str">
        <f t="shared" ca="1" si="29"/>
        <v>0</v>
      </c>
      <c r="AQ195" s="460" t="str">
        <f>IF(申込書!$C$38="","",申込書!$C$38)</f>
        <v/>
      </c>
    </row>
    <row r="196" spans="1:43">
      <c r="A196" s="463">
        <f t="shared" ref="A196:A259" si="30">A195+1</f>
        <v>195</v>
      </c>
      <c r="B196" s="463" t="str">
        <f t="shared" ref="B196:B259" si="31">$B$2</f>
        <v>東部</v>
      </c>
      <c r="C196" s="464" t="s">
        <v>1016</v>
      </c>
      <c r="D196" s="464" t="s">
        <v>1022</v>
      </c>
      <c r="E196" s="464">
        <f>VLOOKUP(D196,★折込地区!$A$2:$D$10,4,FALSE)</f>
        <v>1</v>
      </c>
      <c r="F196" s="464" t="s">
        <v>436</v>
      </c>
      <c r="G196" s="464" t="str">
        <f>INDEX(★新聞!$E$4:$I$12, MATCH(LEFT(F196),★新聞!$A$4:$A$12,0), MATCH(LEFT(W196),★新聞!$E$3:$I$3,0))</f>
        <v>AD</v>
      </c>
      <c r="H196" s="475" t="s">
        <v>1107</v>
      </c>
      <c r="I196" s="464" cm="1">
        <f t="array" ref="I196">IFERROR(INDEX(★原価率!$A$2:$E$50,MATCH($C196&amp;$H196,★原価率!$A$2:$A$50&amp;★原価率!$B$2:$B$50,0),3),0)</f>
        <v>76</v>
      </c>
      <c r="J196" s="464" cm="1">
        <f t="array" ref="J196">IFERROR(INDEX(★原価率!$A$2:$E$50,MATCH($C196&amp;$H196,★原価率!$A$2:$A$50&amp;★原価率!$B$2:$B$50,0),4),0)</f>
        <v>76</v>
      </c>
      <c r="K196" s="464" cm="1">
        <f t="array" ref="K196">IFERROR(INDEX(★原価率!$A$2:$E$50,MATCH($C196&amp;$H196,★原価率!$A$2:$A$50&amp;★原価率!$B$2:$B$50,0),5),0)</f>
        <v>100</v>
      </c>
      <c r="L196" s="528">
        <f>IFERROR(VLOOKUP(W196,★商品!$A$1:$H$1231,8,FALSE),0)</f>
        <v>2.8</v>
      </c>
      <c r="M196" s="203" t="str">
        <f ca="1">CONCATENATE(VLOOKUP(B196,★営業所!$A$2:$B$5,2,FALSE),TEXT(NOW(),"yyyy"))</f>
        <v>T2023</v>
      </c>
      <c r="N196" s="203">
        <v>1</v>
      </c>
      <c r="O196" s="203">
        <v>0</v>
      </c>
      <c r="P196" s="213">
        <f>申込書!$B$6</f>
        <v>0</v>
      </c>
      <c r="Q196" s="203">
        <f>申込書!$C$34</f>
        <v>1000040</v>
      </c>
      <c r="R196" s="203">
        <v>0</v>
      </c>
      <c r="U196" s="203">
        <f>VLOOKUP(B196,★営業所!$A$2:$C$5,3,FALSE)</f>
        <v>8</v>
      </c>
      <c r="V196" s="203">
        <f>申込書!$B$9</f>
        <v>0</v>
      </c>
      <c r="W196" s="203" t="str">
        <f>CONCATENATE(VLOOKUP(B196,★営業所!$A$2:$B$5,2,FALSE),VLOOKUP(申込書!$C$32,★サイズ表記!$D$4:$E$55,2,FALSE),VLOOKUP(D196,★折込地区!$A$2:$B$11,2,FALSE))</f>
        <v>T1001Tot</v>
      </c>
      <c r="X196" s="203" t="str">
        <f>CONCATENATE(申込書!$B$9," ",VLOOKUP(RIGHT(W196,3),★折込地区!$B$2:$C$10,2,FALSE),"")</f>
        <v xml:space="preserve"> 鳥取</v>
      </c>
      <c r="Z196" s="206">
        <f t="shared" ca="1" si="24"/>
        <v>0</v>
      </c>
      <c r="AB196" s="383">
        <f t="shared" si="25"/>
        <v>2.8</v>
      </c>
      <c r="AC196" s="203" t="str">
        <f t="shared" si="26"/>
        <v>J1001</v>
      </c>
      <c r="AD196" s="203" t="str">
        <f>VLOOKUP(AC196,★原価商品!$E$6:$F$349,2,FALSE)</f>
        <v>読売/B4（折り無し）</v>
      </c>
      <c r="AE196" s="203">
        <f t="shared" ca="1" si="27"/>
        <v>0</v>
      </c>
      <c r="AF196" s="383">
        <f ca="1">IFERROR(IF(VLOOKUP(申込書!$C$32,★サイズ表記!$F$4:$H$55,3,FALSE)="切り捨て",ROUNDDOWN(L196*IF(AK196="◎",I196,J196)/100,2),IF(VLOOKUP(申込書!$C$32,★サイズ表記!$F$4:$H$55,3,FALSE)="切り上げ",ROUNDUP(L196*IF(AK196="◎",I196,J196)/100,2),ROUND(L196*IF(AK196="◎",I196,J196)/100,2))),0)</f>
        <v>2.12</v>
      </c>
      <c r="AG196" s="203">
        <f t="shared" ca="1" si="28"/>
        <v>10474</v>
      </c>
      <c r="AJ196" s="460" t="str">
        <f>IFERROR(VLOOKUP(申込書!$C$30,★業種!$D$2:$E$87,2,FALSE),"")</f>
        <v>1003</v>
      </c>
      <c r="AK196" s="460" t="str">
        <f ca="1">IF(申込書!$C$36="◎",IF(OR(D196="浜坂・温泉",D196="美方・村岡",D196="香住",D196="岡山",D196="大阪"),"",IF(LEFT(F196)="D","◎",IF(AG196=0,"",IFERROR(IF(VLOOKUP(AG196,★仕入先!$A$2:$C$211,3,FALSE)=0,"","◎"),"")))),"")</f>
        <v/>
      </c>
      <c r="AL196" s="460">
        <f>申込書!$H$14</f>
        <v>0</v>
      </c>
      <c r="AM196" s="460" t="str">
        <f>申込書!$C$32</f>
        <v>B4（折り無し）</v>
      </c>
      <c r="AN196" s="460" t="str">
        <f>VLOOKUP(AM196,★サイズ表記!$D$4:$E$55,2,FALSE)</f>
        <v>1001</v>
      </c>
      <c r="AO196" s="460">
        <f>IF(C196&lt;&gt;"⑧兵庫",VLOOKUP(LEFT(F196),★新聞!$A$4:$B$12,2,FALSE),IF(LEFT(F196)&lt;&gt;"S",VLOOKUP(LEFT(F196),★新聞!$A$4:$B$12,2,FALSE),VLOOKUP("X",★新聞!$A$4:$B$12,2,FALSE)))</f>
        <v>3</v>
      </c>
      <c r="AP196" s="460" t="str">
        <f t="shared" ca="1" si="29"/>
        <v>0</v>
      </c>
      <c r="AQ196" s="460" t="str">
        <f>IF(申込書!$C$38="","",申込書!$C$38)</f>
        <v/>
      </c>
    </row>
    <row r="197" spans="1:43">
      <c r="A197" s="463">
        <f t="shared" si="30"/>
        <v>196</v>
      </c>
      <c r="B197" s="463" t="str">
        <f t="shared" si="31"/>
        <v>東部</v>
      </c>
      <c r="C197" s="464" t="s">
        <v>1016</v>
      </c>
      <c r="D197" s="464" t="s">
        <v>1022</v>
      </c>
      <c r="E197" s="464">
        <f>VLOOKUP(D197,★折込地区!$A$2:$D$10,4,FALSE)</f>
        <v>1</v>
      </c>
      <c r="F197" s="464" t="s">
        <v>443</v>
      </c>
      <c r="G197" s="464" t="str">
        <f>INDEX(★新聞!$E$4:$I$12, MATCH(LEFT(F197),★新聞!$A$4:$A$12,0), MATCH(LEFT(W197),★新聞!$E$3:$I$3,0))</f>
        <v>AD</v>
      </c>
      <c r="H197" s="555" t="s">
        <v>1105</v>
      </c>
      <c r="I197" s="464" cm="1">
        <f t="array" ref="I197">IFERROR(INDEX(★原価率!$A$2:$E$50,MATCH($C197&amp;$H197,★原価率!$A$2:$A$50&amp;★原価率!$B$2:$B$50,0),3),0)</f>
        <v>66</v>
      </c>
      <c r="J197" s="464" cm="1">
        <f t="array" ref="J197">IFERROR(INDEX(★原価率!$A$2:$E$50,MATCH($C197&amp;$H197,★原価率!$A$2:$A$50&amp;★原価率!$B$2:$B$50,0),4),0)</f>
        <v>76</v>
      </c>
      <c r="K197" s="464" cm="1">
        <f t="array" ref="K197">IFERROR(INDEX(★原価率!$A$2:$E$50,MATCH($C197&amp;$H197,★原価率!$A$2:$A$50&amp;★原価率!$B$2:$B$50,0),5),0)</f>
        <v>100</v>
      </c>
      <c r="L197" s="528">
        <f>IFERROR(VLOOKUP(W197,★商品!$A$1:$H$1231,8,FALSE),0)</f>
        <v>2.8</v>
      </c>
      <c r="M197" s="203" t="str">
        <f ca="1">CONCATENATE(VLOOKUP(B197,★営業所!$A$2:$B$5,2,FALSE),TEXT(NOW(),"yyyy"))</f>
        <v>T2023</v>
      </c>
      <c r="N197" s="203">
        <v>1</v>
      </c>
      <c r="O197" s="203">
        <v>0</v>
      </c>
      <c r="P197" s="213">
        <f>申込書!$B$6</f>
        <v>0</v>
      </c>
      <c r="Q197" s="203">
        <f>申込書!$C$34</f>
        <v>1000040</v>
      </c>
      <c r="R197" s="203">
        <v>0</v>
      </c>
      <c r="U197" s="203">
        <f>VLOOKUP(B197,★営業所!$A$2:$C$5,3,FALSE)</f>
        <v>8</v>
      </c>
      <c r="V197" s="203">
        <f>申込書!$B$9</f>
        <v>0</v>
      </c>
      <c r="W197" s="203" t="str">
        <f>CONCATENATE(VLOOKUP(B197,★営業所!$A$2:$B$5,2,FALSE),VLOOKUP(申込書!$C$32,★サイズ表記!$D$4:$E$55,2,FALSE),VLOOKUP(D197,★折込地区!$A$2:$B$11,2,FALSE))</f>
        <v>T1001Tot</v>
      </c>
      <c r="X197" s="203" t="str">
        <f>CONCATENATE(申込書!$B$9," ",VLOOKUP(RIGHT(W197,3),★折込地区!$B$2:$C$10,2,FALSE),"")</f>
        <v xml:space="preserve"> 鳥取</v>
      </c>
      <c r="Z197" s="206">
        <f t="shared" ca="1" si="24"/>
        <v>0</v>
      </c>
      <c r="AB197" s="383">
        <f t="shared" si="25"/>
        <v>2.8</v>
      </c>
      <c r="AC197" s="203" t="str">
        <f t="shared" si="26"/>
        <v>J1001</v>
      </c>
      <c r="AD197" s="203" t="str">
        <f>VLOOKUP(AC197,★原価商品!$E$6:$F$349,2,FALSE)</f>
        <v>読売/B4（折り無し）</v>
      </c>
      <c r="AE197" s="203">
        <f t="shared" ca="1" si="27"/>
        <v>0</v>
      </c>
      <c r="AF197" s="383">
        <f ca="1">IFERROR(IF(VLOOKUP(申込書!$C$32,★サイズ表記!$F$4:$H$55,3,FALSE)="切り捨て",ROUNDDOWN(L197*IF(AK197="◎",I197,J197)/100,2),IF(VLOOKUP(申込書!$C$32,★サイズ表記!$F$4:$H$55,3,FALSE)="切り上げ",ROUNDUP(L197*IF(AK197="◎",I197,J197)/100,2),ROUND(L197*IF(AK197="◎",I197,J197)/100,2))),0)</f>
        <v>1.84</v>
      </c>
      <c r="AG197" s="203">
        <f t="shared" ca="1" si="28"/>
        <v>10201</v>
      </c>
      <c r="AJ197" s="460" t="str">
        <f>IFERROR(VLOOKUP(申込書!$C$30,★業種!$D$2:$E$87,2,FALSE),"")</f>
        <v>1003</v>
      </c>
      <c r="AK197" s="460" t="str">
        <f ca="1">IF(申込書!$C$36="◎",IF(OR(D197="浜坂・温泉",D197="美方・村岡",D197="香住",D197="岡山",D197="大阪"),"",IF(LEFT(F197)="D","◎",IF(AG197=0,"",IFERROR(IF(VLOOKUP(AG197,★仕入先!$A$2:$C$211,3,FALSE)=0,"","◎"),"")))),"")</f>
        <v>◎</v>
      </c>
      <c r="AL197" s="460">
        <f>申込書!$H$14</f>
        <v>0</v>
      </c>
      <c r="AM197" s="460" t="str">
        <f>申込書!$C$32</f>
        <v>B4（折り無し）</v>
      </c>
      <c r="AN197" s="460" t="str">
        <f>VLOOKUP(AM197,★サイズ表記!$D$4:$E$55,2,FALSE)</f>
        <v>1001</v>
      </c>
      <c r="AO197" s="460">
        <f>IF(C197&lt;&gt;"⑧兵庫",VLOOKUP(LEFT(F197),★新聞!$A$4:$B$12,2,FALSE),IF(LEFT(F197)&lt;&gt;"S",VLOOKUP(LEFT(F197),★新聞!$A$4:$B$12,2,FALSE),VLOOKUP("X",★新聞!$A$4:$B$12,2,FALSE)))</f>
        <v>3</v>
      </c>
      <c r="AP197" s="460" t="str">
        <f t="shared" ca="1" si="29"/>
        <v>0</v>
      </c>
      <c r="AQ197" s="460" t="str">
        <f>IF(申込書!$C$38="","",申込書!$C$38)</f>
        <v/>
      </c>
    </row>
    <row r="198" spans="1:43">
      <c r="A198" s="463">
        <f t="shared" si="30"/>
        <v>197</v>
      </c>
      <c r="B198" s="463" t="str">
        <f t="shared" si="31"/>
        <v>東部</v>
      </c>
      <c r="C198" s="464" t="s">
        <v>1016</v>
      </c>
      <c r="D198" s="464" t="s">
        <v>1022</v>
      </c>
      <c r="E198" s="464">
        <f>VLOOKUP(D198,★折込地区!$A$2:$D$10,4,FALSE)</f>
        <v>1</v>
      </c>
      <c r="F198" s="464" t="s">
        <v>444</v>
      </c>
      <c r="G198" s="464" t="str">
        <f>INDEX(★新聞!$E$4:$I$12, MATCH(LEFT(F198),★新聞!$A$4:$A$12,0), MATCH(LEFT(W198),★新聞!$E$3:$I$3,0))</f>
        <v>AD</v>
      </c>
      <c r="H198" s="475" t="s">
        <v>1107</v>
      </c>
      <c r="I198" s="464" cm="1">
        <f t="array" ref="I198">IFERROR(INDEX(★原価率!$A$2:$E$50,MATCH($C198&amp;$H198,★原価率!$A$2:$A$50&amp;★原価率!$B$2:$B$50,0),3),0)</f>
        <v>76</v>
      </c>
      <c r="J198" s="464" cm="1">
        <f t="array" ref="J198">IFERROR(INDEX(★原価率!$A$2:$E$50,MATCH($C198&amp;$H198,★原価率!$A$2:$A$50&amp;★原価率!$B$2:$B$50,0),4),0)</f>
        <v>76</v>
      </c>
      <c r="K198" s="464" cm="1">
        <f t="array" ref="K198">IFERROR(INDEX(★原価率!$A$2:$E$50,MATCH($C198&amp;$H198,★原価率!$A$2:$A$50&amp;★原価率!$B$2:$B$50,0),5),0)</f>
        <v>100</v>
      </c>
      <c r="L198" s="528">
        <f>IFERROR(VLOOKUP(W198,★商品!$A$1:$H$1231,8,FALSE),0)</f>
        <v>2.8</v>
      </c>
      <c r="M198" s="203" t="str">
        <f ca="1">CONCATENATE(VLOOKUP(B198,★営業所!$A$2:$B$5,2,FALSE),TEXT(NOW(),"yyyy"))</f>
        <v>T2023</v>
      </c>
      <c r="N198" s="203">
        <v>1</v>
      </c>
      <c r="O198" s="203">
        <v>0</v>
      </c>
      <c r="P198" s="213">
        <f>申込書!$B$6</f>
        <v>0</v>
      </c>
      <c r="Q198" s="203">
        <f>申込書!$C$34</f>
        <v>1000040</v>
      </c>
      <c r="R198" s="203">
        <v>0</v>
      </c>
      <c r="U198" s="203">
        <f>VLOOKUP(B198,★営業所!$A$2:$C$5,3,FALSE)</f>
        <v>8</v>
      </c>
      <c r="V198" s="203">
        <f>申込書!$B$9</f>
        <v>0</v>
      </c>
      <c r="W198" s="203" t="str">
        <f>CONCATENATE(VLOOKUP(B198,★営業所!$A$2:$B$5,2,FALSE),VLOOKUP(申込書!$C$32,★サイズ表記!$D$4:$E$55,2,FALSE),VLOOKUP(D198,★折込地区!$A$2:$B$11,2,FALSE))</f>
        <v>T1001Tot</v>
      </c>
      <c r="X198" s="203" t="str">
        <f>CONCATENATE(申込書!$B$9," ",VLOOKUP(RIGHT(W198,3),★折込地区!$B$2:$C$10,2,FALSE),"")</f>
        <v xml:space="preserve"> 鳥取</v>
      </c>
      <c r="Z198" s="206">
        <f t="shared" ca="1" si="24"/>
        <v>0</v>
      </c>
      <c r="AB198" s="383">
        <f t="shared" si="25"/>
        <v>2.8</v>
      </c>
      <c r="AC198" s="203" t="str">
        <f t="shared" si="26"/>
        <v>J1001</v>
      </c>
      <c r="AD198" s="203" t="str">
        <f>VLOOKUP(AC198,★原価商品!$E$6:$F$349,2,FALSE)</f>
        <v>読売/B4（折り無し）</v>
      </c>
      <c r="AE198" s="203">
        <f t="shared" ca="1" si="27"/>
        <v>0</v>
      </c>
      <c r="AF198" s="383">
        <f ca="1">IFERROR(IF(VLOOKUP(申込書!$C$32,★サイズ表記!$F$4:$H$55,3,FALSE)="切り捨て",ROUNDDOWN(L198*IF(AK198="◎",I198,J198)/100,2),IF(VLOOKUP(申込書!$C$32,★サイズ表記!$F$4:$H$55,3,FALSE)="切り上げ",ROUNDUP(L198*IF(AK198="◎",I198,J198)/100,2),ROUND(L198*IF(AK198="◎",I198,J198)/100,2))),0)</f>
        <v>2.12</v>
      </c>
      <c r="AG198" s="203">
        <f t="shared" ca="1" si="28"/>
        <v>10206</v>
      </c>
      <c r="AJ198" s="460" t="str">
        <f>IFERROR(VLOOKUP(申込書!$C$30,★業種!$D$2:$E$87,2,FALSE),"")</f>
        <v>1003</v>
      </c>
      <c r="AK198" s="460" t="str">
        <f ca="1">IF(申込書!$C$36="◎",IF(OR(D198="浜坂・温泉",D198="美方・村岡",D198="香住",D198="岡山",D198="大阪"),"",IF(LEFT(F198)="D","◎",IF(AG198=0,"",IFERROR(IF(VLOOKUP(AG198,★仕入先!$A$2:$C$211,3,FALSE)=0,"","◎"),"")))),"")</f>
        <v/>
      </c>
      <c r="AL198" s="460">
        <f>申込書!$H$14</f>
        <v>0</v>
      </c>
      <c r="AM198" s="460" t="str">
        <f>申込書!$C$32</f>
        <v>B4（折り無し）</v>
      </c>
      <c r="AN198" s="460" t="str">
        <f>VLOOKUP(AM198,★サイズ表記!$D$4:$E$55,2,FALSE)</f>
        <v>1001</v>
      </c>
      <c r="AO198" s="460">
        <f>IF(C198&lt;&gt;"⑧兵庫",VLOOKUP(LEFT(F198),★新聞!$A$4:$B$12,2,FALSE),IF(LEFT(F198)&lt;&gt;"S",VLOOKUP(LEFT(F198),★新聞!$A$4:$B$12,2,FALSE),VLOOKUP("X",★新聞!$A$4:$B$12,2,FALSE)))</f>
        <v>3</v>
      </c>
      <c r="AP198" s="460" t="str">
        <f t="shared" ca="1" si="29"/>
        <v>0</v>
      </c>
      <c r="AQ198" s="460" t="str">
        <f>IF(申込書!$C$38="","",申込書!$C$38)</f>
        <v/>
      </c>
    </row>
    <row r="199" spans="1:43">
      <c r="A199" s="463">
        <f t="shared" si="30"/>
        <v>198</v>
      </c>
      <c r="B199" s="463" t="str">
        <f t="shared" si="31"/>
        <v>東部</v>
      </c>
      <c r="C199" s="464" t="s">
        <v>1016</v>
      </c>
      <c r="D199" s="464" t="s">
        <v>1022</v>
      </c>
      <c r="E199" s="464">
        <f>VLOOKUP(D199,★折込地区!$A$2:$D$10,4,FALSE)</f>
        <v>1</v>
      </c>
      <c r="F199" s="464" t="s">
        <v>445</v>
      </c>
      <c r="G199" s="464" t="str">
        <f>INDEX(★新聞!$E$4:$I$12, MATCH(LEFT(F199),★新聞!$A$4:$A$12,0), MATCH(LEFT(W199),★新聞!$E$3:$I$3,0))</f>
        <v>AD</v>
      </c>
      <c r="H199" s="475" t="s">
        <v>1107</v>
      </c>
      <c r="I199" s="464" cm="1">
        <f t="array" ref="I199">IFERROR(INDEX(★原価率!$A$2:$E$50,MATCH($C199&amp;$H199,★原価率!$A$2:$A$50&amp;★原価率!$B$2:$B$50,0),3),0)</f>
        <v>76</v>
      </c>
      <c r="J199" s="464" cm="1">
        <f t="array" ref="J199">IFERROR(INDEX(★原価率!$A$2:$E$50,MATCH($C199&amp;$H199,★原価率!$A$2:$A$50&amp;★原価率!$B$2:$B$50,0),4),0)</f>
        <v>76</v>
      </c>
      <c r="K199" s="464" cm="1">
        <f t="array" ref="K199">IFERROR(INDEX(★原価率!$A$2:$E$50,MATCH($C199&amp;$H199,★原価率!$A$2:$A$50&amp;★原価率!$B$2:$B$50,0),5),0)</f>
        <v>100</v>
      </c>
      <c r="L199" s="528">
        <f>IFERROR(VLOOKUP(W199,★商品!$A$1:$H$1231,8,FALSE),0)</f>
        <v>2.8</v>
      </c>
      <c r="M199" s="203" t="str">
        <f ca="1">CONCATENATE(VLOOKUP(B199,★営業所!$A$2:$B$5,2,FALSE),TEXT(NOW(),"yyyy"))</f>
        <v>T2023</v>
      </c>
      <c r="N199" s="203">
        <v>1</v>
      </c>
      <c r="O199" s="203">
        <v>0</v>
      </c>
      <c r="P199" s="213">
        <f>申込書!$B$6</f>
        <v>0</v>
      </c>
      <c r="Q199" s="203">
        <f>申込書!$C$34</f>
        <v>1000040</v>
      </c>
      <c r="R199" s="203">
        <v>0</v>
      </c>
      <c r="U199" s="203">
        <f>VLOOKUP(B199,★営業所!$A$2:$C$5,3,FALSE)</f>
        <v>8</v>
      </c>
      <c r="V199" s="203">
        <f>申込書!$B$9</f>
        <v>0</v>
      </c>
      <c r="W199" s="203" t="str">
        <f>CONCATENATE(VLOOKUP(B199,★営業所!$A$2:$B$5,2,FALSE),VLOOKUP(申込書!$C$32,★サイズ表記!$D$4:$E$55,2,FALSE),VLOOKUP(D199,★折込地区!$A$2:$B$11,2,FALSE))</f>
        <v>T1001Tot</v>
      </c>
      <c r="X199" s="203" t="str">
        <f>CONCATENATE(申込書!$B$9," ",VLOOKUP(RIGHT(W199,3),★折込地区!$B$2:$C$10,2,FALSE),"")</f>
        <v xml:space="preserve"> 鳥取</v>
      </c>
      <c r="Z199" s="206">
        <f t="shared" ca="1" si="24"/>
        <v>0</v>
      </c>
      <c r="AB199" s="383">
        <f t="shared" si="25"/>
        <v>2.8</v>
      </c>
      <c r="AC199" s="203" t="str">
        <f t="shared" si="26"/>
        <v>J1001</v>
      </c>
      <c r="AD199" s="203" t="str">
        <f>VLOOKUP(AC199,★原価商品!$E$6:$F$349,2,FALSE)</f>
        <v>読売/B4（折り無し）</v>
      </c>
      <c r="AE199" s="203">
        <f t="shared" ca="1" si="27"/>
        <v>0</v>
      </c>
      <c r="AF199" s="383">
        <f ca="1">IFERROR(IF(VLOOKUP(申込書!$C$32,★サイズ表記!$F$4:$H$55,3,FALSE)="切り捨て",ROUNDDOWN(L199*IF(AK199="◎",I199,J199)/100,2),IF(VLOOKUP(申込書!$C$32,★サイズ表記!$F$4:$H$55,3,FALSE)="切り上げ",ROUNDUP(L199*IF(AK199="◎",I199,J199)/100,2),ROUND(L199*IF(AK199="◎",I199,J199)/100,2))),0)</f>
        <v>2.12</v>
      </c>
      <c r="AG199" s="203">
        <f t="shared" ca="1" si="28"/>
        <v>0</v>
      </c>
      <c r="AJ199" s="460" t="str">
        <f>IFERROR(VLOOKUP(申込書!$C$30,★業種!$D$2:$E$87,2,FALSE),"")</f>
        <v>1003</v>
      </c>
      <c r="AK199" s="460" t="str">
        <f ca="1">IF(申込書!$C$36="◎",IF(OR(D199="浜坂・温泉",D199="美方・村岡",D199="香住",D199="岡山",D199="大阪"),"",IF(LEFT(F199)="D","◎",IF(AG199=0,"",IFERROR(IF(VLOOKUP(AG199,★仕入先!$A$2:$C$211,3,FALSE)=0,"","◎"),"")))),"")</f>
        <v/>
      </c>
      <c r="AL199" s="460">
        <f>申込書!$H$14</f>
        <v>0</v>
      </c>
      <c r="AM199" s="460" t="str">
        <f>申込書!$C$32</f>
        <v>B4（折り無し）</v>
      </c>
      <c r="AN199" s="460" t="str">
        <f>VLOOKUP(AM199,★サイズ表記!$D$4:$E$55,2,FALSE)</f>
        <v>1001</v>
      </c>
      <c r="AO199" s="460">
        <f>IF(C199&lt;&gt;"⑧兵庫",VLOOKUP(LEFT(F199),★新聞!$A$4:$B$12,2,FALSE),IF(LEFT(F199)&lt;&gt;"S",VLOOKUP(LEFT(F199),★新聞!$A$4:$B$12,2,FALSE),VLOOKUP("X",★新聞!$A$4:$B$12,2,FALSE)))</f>
        <v>3</v>
      </c>
      <c r="AP199" s="460" t="str">
        <f t="shared" ca="1" si="29"/>
        <v>0</v>
      </c>
      <c r="AQ199" s="460" t="str">
        <f>IF(申込書!$C$38="","",申込書!$C$38)</f>
        <v/>
      </c>
    </row>
    <row r="200" spans="1:43">
      <c r="A200" s="463">
        <f t="shared" si="30"/>
        <v>199</v>
      </c>
      <c r="B200" s="463" t="str">
        <f t="shared" si="31"/>
        <v>東部</v>
      </c>
      <c r="C200" s="464" t="s">
        <v>1016</v>
      </c>
      <c r="D200" s="464" t="s">
        <v>1022</v>
      </c>
      <c r="E200" s="464">
        <f>VLOOKUP(D200,★折込地区!$A$2:$D$10,4,FALSE)</f>
        <v>1</v>
      </c>
      <c r="F200" s="464" t="s">
        <v>576</v>
      </c>
      <c r="G200" s="464" t="str">
        <f>INDEX(★新聞!$E$4:$I$12, MATCH(LEFT(F200),★新聞!$A$4:$A$12,0), MATCH(LEFT(W200),★新聞!$E$3:$I$3,0))</f>
        <v>AD</v>
      </c>
      <c r="H200" s="475" t="s">
        <v>1107</v>
      </c>
      <c r="I200" s="464" cm="1">
        <f t="array" ref="I200">IFERROR(INDEX(★原価率!$A$2:$E$50,MATCH($C200&amp;$H200,★原価率!$A$2:$A$50&amp;★原価率!$B$2:$B$50,0),3),0)</f>
        <v>76</v>
      </c>
      <c r="J200" s="464" cm="1">
        <f t="array" ref="J200">IFERROR(INDEX(★原価率!$A$2:$E$50,MATCH($C200&amp;$H200,★原価率!$A$2:$A$50&amp;★原価率!$B$2:$B$50,0),4),0)</f>
        <v>76</v>
      </c>
      <c r="K200" s="464" cm="1">
        <f t="array" ref="K200">IFERROR(INDEX(★原価率!$A$2:$E$50,MATCH($C200&amp;$H200,★原価率!$A$2:$A$50&amp;★原価率!$B$2:$B$50,0),5),0)</f>
        <v>100</v>
      </c>
      <c r="L200" s="528">
        <f>IFERROR(VLOOKUP(W200,★商品!$A$1:$H$1231,8,FALSE),0)</f>
        <v>2.8</v>
      </c>
      <c r="M200" s="203" t="str">
        <f ca="1">CONCATENATE(VLOOKUP(B200,★営業所!$A$2:$B$5,2,FALSE),TEXT(NOW(),"yyyy"))</f>
        <v>T2023</v>
      </c>
      <c r="N200" s="203">
        <v>1</v>
      </c>
      <c r="O200" s="203">
        <v>0</v>
      </c>
      <c r="P200" s="213">
        <f>申込書!$B$6</f>
        <v>0</v>
      </c>
      <c r="Q200" s="203">
        <f>申込書!$C$34</f>
        <v>1000040</v>
      </c>
      <c r="R200" s="203">
        <v>0</v>
      </c>
      <c r="U200" s="203">
        <f>VLOOKUP(B200,★営業所!$A$2:$C$5,3,FALSE)</f>
        <v>8</v>
      </c>
      <c r="V200" s="203">
        <f>申込書!$B$9</f>
        <v>0</v>
      </c>
      <c r="W200" s="203" t="str">
        <f>CONCATENATE(VLOOKUP(B200,★営業所!$A$2:$B$5,2,FALSE),VLOOKUP(申込書!$C$32,★サイズ表記!$D$4:$E$55,2,FALSE),VLOOKUP(D200,★折込地区!$A$2:$B$11,2,FALSE))</f>
        <v>T1001Tot</v>
      </c>
      <c r="X200" s="203" t="str">
        <f>CONCATENATE(申込書!$B$9," ",VLOOKUP(RIGHT(W200,3),★折込地区!$B$2:$C$10,2,FALSE),"")</f>
        <v xml:space="preserve"> 鳥取</v>
      </c>
      <c r="Z200" s="206">
        <f t="shared" ca="1" si="24"/>
        <v>0</v>
      </c>
      <c r="AB200" s="383">
        <f t="shared" si="25"/>
        <v>2.8</v>
      </c>
      <c r="AC200" s="203" t="str">
        <f t="shared" si="26"/>
        <v>J1001</v>
      </c>
      <c r="AD200" s="203" t="str">
        <f>VLOOKUP(AC200,★原価商品!$E$6:$F$349,2,FALSE)</f>
        <v>読売/B4（折り無し）</v>
      </c>
      <c r="AE200" s="203">
        <f t="shared" ca="1" si="27"/>
        <v>0</v>
      </c>
      <c r="AF200" s="383">
        <f ca="1">IFERROR(IF(VLOOKUP(申込書!$C$32,★サイズ表記!$F$4:$H$55,3,FALSE)="切り捨て",ROUNDDOWN(L200*IF(AK200="◎",I200,J200)/100,2),IF(VLOOKUP(申込書!$C$32,★サイズ表記!$F$4:$H$55,3,FALSE)="切り上げ",ROUNDUP(L200*IF(AK200="◎",I200,J200)/100,2),ROUND(L200*IF(AK200="◎",I200,J200)/100,2))),0)</f>
        <v>2.12</v>
      </c>
      <c r="AG200" s="203">
        <f t="shared" ca="1" si="28"/>
        <v>10045</v>
      </c>
      <c r="AJ200" s="460" t="str">
        <f>IFERROR(VLOOKUP(申込書!$C$30,★業種!$D$2:$E$87,2,FALSE),"")</f>
        <v>1003</v>
      </c>
      <c r="AK200" s="460" t="str">
        <f ca="1">IF(申込書!$C$36="◎",IF(OR(D200="浜坂・温泉",D200="美方・村岡",D200="香住",D200="岡山",D200="大阪"),"",IF(LEFT(F200)="D","◎",IF(AG200=0,"",IFERROR(IF(VLOOKUP(AG200,★仕入先!$A$2:$C$211,3,FALSE)=0,"","◎"),"")))),"")</f>
        <v/>
      </c>
      <c r="AL200" s="460">
        <f>申込書!$H$14</f>
        <v>0</v>
      </c>
      <c r="AM200" s="460" t="str">
        <f>申込書!$C$32</f>
        <v>B4（折り無し）</v>
      </c>
      <c r="AN200" s="460" t="str">
        <f>VLOOKUP(AM200,★サイズ表記!$D$4:$E$55,2,FALSE)</f>
        <v>1001</v>
      </c>
      <c r="AO200" s="460">
        <f>IF(C200&lt;&gt;"⑧兵庫",VLOOKUP(LEFT(F200),★新聞!$A$4:$B$12,2,FALSE),IF(LEFT(F200)&lt;&gt;"S",VLOOKUP(LEFT(F200),★新聞!$A$4:$B$12,2,FALSE),VLOOKUP("X",★新聞!$A$4:$B$12,2,FALSE)))</f>
        <v>3</v>
      </c>
      <c r="AP200" s="460" t="str">
        <f t="shared" ca="1" si="29"/>
        <v>0</v>
      </c>
      <c r="AQ200" s="460" t="str">
        <f>IF(申込書!$C$38="","",申込書!$C$38)</f>
        <v/>
      </c>
    </row>
    <row r="201" spans="1:43">
      <c r="A201" s="463">
        <f t="shared" si="30"/>
        <v>200</v>
      </c>
      <c r="B201" s="463" t="str">
        <f t="shared" si="31"/>
        <v>東部</v>
      </c>
      <c r="C201" s="464" t="s">
        <v>1016</v>
      </c>
      <c r="D201" s="464" t="s">
        <v>1022</v>
      </c>
      <c r="E201" s="464">
        <f>VLOOKUP(D201,★折込地区!$A$2:$D$10,4,FALSE)</f>
        <v>1</v>
      </c>
      <c r="F201" s="464" t="s">
        <v>577</v>
      </c>
      <c r="G201" s="464" t="str">
        <f>INDEX(★新聞!$E$4:$I$12, MATCH(LEFT(F201),★新聞!$A$4:$A$12,0), MATCH(LEFT(W201),★新聞!$E$3:$I$3,0))</f>
        <v>AD</v>
      </c>
      <c r="H201" s="475" t="s">
        <v>1107</v>
      </c>
      <c r="I201" s="464" cm="1">
        <f t="array" ref="I201">IFERROR(INDEX(★原価率!$A$2:$E$50,MATCH($C201&amp;$H201,★原価率!$A$2:$A$50&amp;★原価率!$B$2:$B$50,0),3),0)</f>
        <v>76</v>
      </c>
      <c r="J201" s="464" cm="1">
        <f t="array" ref="J201">IFERROR(INDEX(★原価率!$A$2:$E$50,MATCH($C201&amp;$H201,★原価率!$A$2:$A$50&amp;★原価率!$B$2:$B$50,0),4),0)</f>
        <v>76</v>
      </c>
      <c r="K201" s="464" cm="1">
        <f t="array" ref="K201">IFERROR(INDEX(★原価率!$A$2:$E$50,MATCH($C201&amp;$H201,★原価率!$A$2:$A$50&amp;★原価率!$B$2:$B$50,0),5),0)</f>
        <v>100</v>
      </c>
      <c r="L201" s="528">
        <f>IFERROR(VLOOKUP(W201,★商品!$A$1:$H$1231,8,FALSE),0)</f>
        <v>2.8</v>
      </c>
      <c r="M201" s="203" t="str">
        <f ca="1">CONCATENATE(VLOOKUP(B201,★営業所!$A$2:$B$5,2,FALSE),TEXT(NOW(),"yyyy"))</f>
        <v>T2023</v>
      </c>
      <c r="N201" s="203">
        <v>1</v>
      </c>
      <c r="O201" s="203">
        <v>0</v>
      </c>
      <c r="P201" s="213">
        <f>申込書!$B$6</f>
        <v>0</v>
      </c>
      <c r="Q201" s="203">
        <f>申込書!$C$34</f>
        <v>1000040</v>
      </c>
      <c r="R201" s="203">
        <v>0</v>
      </c>
      <c r="U201" s="203">
        <f>VLOOKUP(B201,★営業所!$A$2:$C$5,3,FALSE)</f>
        <v>8</v>
      </c>
      <c r="V201" s="203">
        <f>申込書!$B$9</f>
        <v>0</v>
      </c>
      <c r="W201" s="203" t="str">
        <f>CONCATENATE(VLOOKUP(B201,★営業所!$A$2:$B$5,2,FALSE),VLOOKUP(申込書!$C$32,★サイズ表記!$D$4:$E$55,2,FALSE),VLOOKUP(D201,★折込地区!$A$2:$B$11,2,FALSE))</f>
        <v>T1001Tot</v>
      </c>
      <c r="X201" s="203" t="str">
        <f>CONCATENATE(申込書!$B$9," ",VLOOKUP(RIGHT(W201,3),★折込地区!$B$2:$C$10,2,FALSE),"")</f>
        <v xml:space="preserve"> 鳥取</v>
      </c>
      <c r="Z201" s="206">
        <f t="shared" ca="1" si="24"/>
        <v>0</v>
      </c>
      <c r="AB201" s="383">
        <f t="shared" si="25"/>
        <v>2.8</v>
      </c>
      <c r="AC201" s="203" t="str">
        <f t="shared" si="26"/>
        <v>J1001</v>
      </c>
      <c r="AD201" s="203" t="str">
        <f>VLOOKUP(AC201,★原価商品!$E$6:$F$349,2,FALSE)</f>
        <v>読売/B4（折り無し）</v>
      </c>
      <c r="AE201" s="203">
        <f t="shared" ca="1" si="27"/>
        <v>0</v>
      </c>
      <c r="AF201" s="383">
        <f ca="1">IFERROR(IF(VLOOKUP(申込書!$C$32,★サイズ表記!$F$4:$H$55,3,FALSE)="切り捨て",ROUNDDOWN(L201*IF(AK201="◎",I201,J201)/100,2),IF(VLOOKUP(申込書!$C$32,★サイズ表記!$F$4:$H$55,3,FALSE)="切り上げ",ROUNDUP(L201*IF(AK201="◎",I201,J201)/100,2),ROUND(L201*IF(AK201="◎",I201,J201)/100,2))),0)</f>
        <v>2.12</v>
      </c>
      <c r="AG201" s="203">
        <f t="shared" ca="1" si="28"/>
        <v>10053</v>
      </c>
      <c r="AJ201" s="460" t="str">
        <f>IFERROR(VLOOKUP(申込書!$C$30,★業種!$D$2:$E$87,2,FALSE),"")</f>
        <v>1003</v>
      </c>
      <c r="AK201" s="460" t="str">
        <f ca="1">IF(申込書!$C$36="◎",IF(OR(D201="浜坂・温泉",D201="美方・村岡",D201="香住",D201="岡山",D201="大阪"),"",IF(LEFT(F201)="D","◎",IF(AG201=0,"",IFERROR(IF(VLOOKUP(AG201,★仕入先!$A$2:$C$211,3,FALSE)=0,"","◎"),"")))),"")</f>
        <v/>
      </c>
      <c r="AL201" s="460">
        <f>申込書!$H$14</f>
        <v>0</v>
      </c>
      <c r="AM201" s="460" t="str">
        <f>申込書!$C$32</f>
        <v>B4（折り無し）</v>
      </c>
      <c r="AN201" s="460" t="str">
        <f>VLOOKUP(AM201,★サイズ表記!$D$4:$E$55,2,FALSE)</f>
        <v>1001</v>
      </c>
      <c r="AO201" s="460">
        <f>IF(C201&lt;&gt;"⑧兵庫",VLOOKUP(LEFT(F201),★新聞!$A$4:$B$12,2,FALSE),IF(LEFT(F201)&lt;&gt;"S",VLOOKUP(LEFT(F201),★新聞!$A$4:$B$12,2,FALSE),VLOOKUP("X",★新聞!$A$4:$B$12,2,FALSE)))</f>
        <v>3</v>
      </c>
      <c r="AP201" s="460" t="str">
        <f t="shared" ca="1" si="29"/>
        <v>0</v>
      </c>
      <c r="AQ201" s="460" t="str">
        <f>IF(申込書!$C$38="","",申込書!$C$38)</f>
        <v/>
      </c>
    </row>
    <row r="202" spans="1:43">
      <c r="A202" s="463">
        <f t="shared" si="30"/>
        <v>201</v>
      </c>
      <c r="B202" s="463" t="str">
        <f t="shared" si="31"/>
        <v>東部</v>
      </c>
      <c r="C202" s="464" t="s">
        <v>1016</v>
      </c>
      <c r="D202" s="464" t="s">
        <v>1022</v>
      </c>
      <c r="E202" s="464">
        <f>VLOOKUP(D202,★折込地区!$A$2:$D$10,4,FALSE)</f>
        <v>1</v>
      </c>
      <c r="F202" s="464" t="s">
        <v>578</v>
      </c>
      <c r="G202" s="464" t="str">
        <f>INDEX(★新聞!$E$4:$I$12, MATCH(LEFT(F202),★新聞!$A$4:$A$12,0), MATCH(LEFT(W202),★新聞!$E$3:$I$3,0))</f>
        <v>AD</v>
      </c>
      <c r="H202" s="475" t="s">
        <v>1107</v>
      </c>
      <c r="I202" s="464" cm="1">
        <f t="array" ref="I202">IFERROR(INDEX(★原価率!$A$2:$E$50,MATCH($C202&amp;$H202,★原価率!$A$2:$A$50&amp;★原価率!$B$2:$B$50,0),3),0)</f>
        <v>76</v>
      </c>
      <c r="J202" s="464" cm="1">
        <f t="array" ref="J202">IFERROR(INDEX(★原価率!$A$2:$E$50,MATCH($C202&amp;$H202,★原価率!$A$2:$A$50&amp;★原価率!$B$2:$B$50,0),4),0)</f>
        <v>76</v>
      </c>
      <c r="K202" s="464" cm="1">
        <f t="array" ref="K202">IFERROR(INDEX(★原価率!$A$2:$E$50,MATCH($C202&amp;$H202,★原価率!$A$2:$A$50&amp;★原価率!$B$2:$B$50,0),5),0)</f>
        <v>100</v>
      </c>
      <c r="L202" s="528">
        <f>IFERROR(VLOOKUP(W202,★商品!$A$1:$H$1231,8,FALSE),0)</f>
        <v>2.8</v>
      </c>
      <c r="M202" s="203" t="str">
        <f ca="1">CONCATENATE(VLOOKUP(B202,★営業所!$A$2:$B$5,2,FALSE),TEXT(NOW(),"yyyy"))</f>
        <v>T2023</v>
      </c>
      <c r="N202" s="203">
        <v>1</v>
      </c>
      <c r="O202" s="203">
        <v>0</v>
      </c>
      <c r="P202" s="213">
        <f>申込書!$B$6</f>
        <v>0</v>
      </c>
      <c r="Q202" s="203">
        <f>申込書!$C$34</f>
        <v>1000040</v>
      </c>
      <c r="R202" s="203">
        <v>0</v>
      </c>
      <c r="U202" s="203">
        <f>VLOOKUP(B202,★営業所!$A$2:$C$5,3,FALSE)</f>
        <v>8</v>
      </c>
      <c r="V202" s="203">
        <f>申込書!$B$9</f>
        <v>0</v>
      </c>
      <c r="W202" s="203" t="str">
        <f>CONCATENATE(VLOOKUP(B202,★営業所!$A$2:$B$5,2,FALSE),VLOOKUP(申込書!$C$32,★サイズ表記!$D$4:$E$55,2,FALSE),VLOOKUP(D202,★折込地区!$A$2:$B$11,2,FALSE))</f>
        <v>T1001Tot</v>
      </c>
      <c r="X202" s="203" t="str">
        <f>CONCATENATE(申込書!$B$9," ",VLOOKUP(RIGHT(W202,3),★折込地区!$B$2:$C$10,2,FALSE),"")</f>
        <v xml:space="preserve"> 鳥取</v>
      </c>
      <c r="Z202" s="206">
        <f t="shared" ca="1" si="24"/>
        <v>0</v>
      </c>
      <c r="AB202" s="383">
        <f t="shared" si="25"/>
        <v>2.8</v>
      </c>
      <c r="AC202" s="203" t="str">
        <f t="shared" si="26"/>
        <v>J1001</v>
      </c>
      <c r="AD202" s="203" t="str">
        <f>VLOOKUP(AC202,★原価商品!$E$6:$F$349,2,FALSE)</f>
        <v>読売/B4（折り無し）</v>
      </c>
      <c r="AE202" s="203">
        <f t="shared" ca="1" si="27"/>
        <v>0</v>
      </c>
      <c r="AF202" s="383">
        <f ca="1">IFERROR(IF(VLOOKUP(申込書!$C$32,★サイズ表記!$F$4:$H$55,3,FALSE)="切り捨て",ROUNDDOWN(L202*IF(AK202="◎",I202,J202)/100,2),IF(VLOOKUP(申込書!$C$32,★サイズ表記!$F$4:$H$55,3,FALSE)="切り上げ",ROUNDUP(L202*IF(AK202="◎",I202,J202)/100,2),ROUND(L202*IF(AK202="◎",I202,J202)/100,2))),0)</f>
        <v>2.12</v>
      </c>
      <c r="AG202" s="203">
        <f t="shared" ca="1" si="28"/>
        <v>10064</v>
      </c>
      <c r="AJ202" s="460" t="str">
        <f>IFERROR(VLOOKUP(申込書!$C$30,★業種!$D$2:$E$87,2,FALSE),"")</f>
        <v>1003</v>
      </c>
      <c r="AK202" s="460" t="str">
        <f ca="1">IF(申込書!$C$36="◎",IF(OR(D202="浜坂・温泉",D202="美方・村岡",D202="香住",D202="岡山",D202="大阪"),"",IF(LEFT(F202)="D","◎",IF(AG202=0,"",IFERROR(IF(VLOOKUP(AG202,★仕入先!$A$2:$C$211,3,FALSE)=0,"","◎"),"")))),"")</f>
        <v/>
      </c>
      <c r="AL202" s="460">
        <f>申込書!$H$14</f>
        <v>0</v>
      </c>
      <c r="AM202" s="460" t="str">
        <f>申込書!$C$32</f>
        <v>B4（折り無し）</v>
      </c>
      <c r="AN202" s="460" t="str">
        <f>VLOOKUP(AM202,★サイズ表記!$D$4:$E$55,2,FALSE)</f>
        <v>1001</v>
      </c>
      <c r="AO202" s="460">
        <f>IF(C202&lt;&gt;"⑧兵庫",VLOOKUP(LEFT(F202),★新聞!$A$4:$B$12,2,FALSE),IF(LEFT(F202)&lt;&gt;"S",VLOOKUP(LEFT(F202),★新聞!$A$4:$B$12,2,FALSE),VLOOKUP("X",★新聞!$A$4:$B$12,2,FALSE)))</f>
        <v>3</v>
      </c>
      <c r="AP202" s="460" t="str">
        <f t="shared" ca="1" si="29"/>
        <v>0</v>
      </c>
      <c r="AQ202" s="460" t="str">
        <f>IF(申込書!$C$38="","",申込書!$C$38)</f>
        <v/>
      </c>
    </row>
    <row r="203" spans="1:43">
      <c r="A203" s="463">
        <f t="shared" si="30"/>
        <v>202</v>
      </c>
      <c r="B203" s="463" t="str">
        <f t="shared" si="31"/>
        <v>東部</v>
      </c>
      <c r="C203" s="464" t="s">
        <v>1016</v>
      </c>
      <c r="D203" s="464" t="s">
        <v>1022</v>
      </c>
      <c r="E203" s="464">
        <f>VLOOKUP(D203,★折込地区!$A$2:$D$10,4,FALSE)</f>
        <v>1</v>
      </c>
      <c r="F203" s="464" t="s">
        <v>579</v>
      </c>
      <c r="G203" s="464" t="str">
        <f>INDEX(★新聞!$E$4:$I$12, MATCH(LEFT(F203),★新聞!$A$4:$A$12,0), MATCH(LEFT(W203),★新聞!$E$3:$I$3,0))</f>
        <v>AD</v>
      </c>
      <c r="H203" s="475" t="s">
        <v>1107</v>
      </c>
      <c r="I203" s="464" cm="1">
        <f t="array" ref="I203">IFERROR(INDEX(★原価率!$A$2:$E$50,MATCH($C203&amp;$H203,★原価率!$A$2:$A$50&amp;★原価率!$B$2:$B$50,0),3),0)</f>
        <v>76</v>
      </c>
      <c r="J203" s="464" cm="1">
        <f t="array" ref="J203">IFERROR(INDEX(★原価率!$A$2:$E$50,MATCH($C203&amp;$H203,★原価率!$A$2:$A$50&amp;★原価率!$B$2:$B$50,0),4),0)</f>
        <v>76</v>
      </c>
      <c r="K203" s="464" cm="1">
        <f t="array" ref="K203">IFERROR(INDEX(★原価率!$A$2:$E$50,MATCH($C203&amp;$H203,★原価率!$A$2:$A$50&amp;★原価率!$B$2:$B$50,0),5),0)</f>
        <v>100</v>
      </c>
      <c r="L203" s="528">
        <f>IFERROR(VLOOKUP(W203,★商品!$A$1:$H$1231,8,FALSE),0)</f>
        <v>2.8</v>
      </c>
      <c r="M203" s="203" t="str">
        <f ca="1">CONCATENATE(VLOOKUP(B203,★営業所!$A$2:$B$5,2,FALSE),TEXT(NOW(),"yyyy"))</f>
        <v>T2023</v>
      </c>
      <c r="N203" s="203">
        <v>1</v>
      </c>
      <c r="O203" s="203">
        <v>0</v>
      </c>
      <c r="P203" s="213">
        <f>申込書!$B$6</f>
        <v>0</v>
      </c>
      <c r="Q203" s="203">
        <f>申込書!$C$34</f>
        <v>1000040</v>
      </c>
      <c r="R203" s="203">
        <v>0</v>
      </c>
      <c r="U203" s="203">
        <f>VLOOKUP(B203,★営業所!$A$2:$C$5,3,FALSE)</f>
        <v>8</v>
      </c>
      <c r="V203" s="203">
        <f>申込書!$B$9</f>
        <v>0</v>
      </c>
      <c r="W203" s="203" t="str">
        <f>CONCATENATE(VLOOKUP(B203,★営業所!$A$2:$B$5,2,FALSE),VLOOKUP(申込書!$C$32,★サイズ表記!$D$4:$E$55,2,FALSE),VLOOKUP(D203,★折込地区!$A$2:$B$11,2,FALSE))</f>
        <v>T1001Tot</v>
      </c>
      <c r="X203" s="203" t="str">
        <f>CONCATENATE(申込書!$B$9," ",VLOOKUP(RIGHT(W203,3),★折込地区!$B$2:$C$10,2,FALSE),"")</f>
        <v xml:space="preserve"> 鳥取</v>
      </c>
      <c r="Z203" s="206">
        <f t="shared" ca="1" si="24"/>
        <v>0</v>
      </c>
      <c r="AB203" s="383">
        <f t="shared" si="25"/>
        <v>2.8</v>
      </c>
      <c r="AC203" s="203" t="str">
        <f t="shared" si="26"/>
        <v>J1001</v>
      </c>
      <c r="AD203" s="203" t="str">
        <f>VLOOKUP(AC203,★原価商品!$E$6:$F$349,2,FALSE)</f>
        <v>読売/B4（折り無し）</v>
      </c>
      <c r="AE203" s="203">
        <f t="shared" ca="1" si="27"/>
        <v>0</v>
      </c>
      <c r="AF203" s="383">
        <f ca="1">IFERROR(IF(VLOOKUP(申込書!$C$32,★サイズ表記!$F$4:$H$55,3,FALSE)="切り捨て",ROUNDDOWN(L203*IF(AK203="◎",I203,J203)/100,2),IF(VLOOKUP(申込書!$C$32,★サイズ表記!$F$4:$H$55,3,FALSE)="切り上げ",ROUNDUP(L203*IF(AK203="◎",I203,J203)/100,2),ROUND(L203*IF(AK203="◎",I203,J203)/100,2))),0)</f>
        <v>2.12</v>
      </c>
      <c r="AG203" s="203">
        <f t="shared" ca="1" si="28"/>
        <v>10074</v>
      </c>
      <c r="AJ203" s="460" t="str">
        <f>IFERROR(VLOOKUP(申込書!$C$30,★業種!$D$2:$E$87,2,FALSE),"")</f>
        <v>1003</v>
      </c>
      <c r="AK203" s="460" t="str">
        <f ca="1">IF(申込書!$C$36="◎",IF(OR(D203="浜坂・温泉",D203="美方・村岡",D203="香住",D203="岡山",D203="大阪"),"",IF(LEFT(F203)="D","◎",IF(AG203=0,"",IFERROR(IF(VLOOKUP(AG203,★仕入先!$A$2:$C$211,3,FALSE)=0,"","◎"),"")))),"")</f>
        <v/>
      </c>
      <c r="AL203" s="460">
        <f>申込書!$H$14</f>
        <v>0</v>
      </c>
      <c r="AM203" s="460" t="str">
        <f>申込書!$C$32</f>
        <v>B4（折り無し）</v>
      </c>
      <c r="AN203" s="460" t="str">
        <f>VLOOKUP(AM203,★サイズ表記!$D$4:$E$55,2,FALSE)</f>
        <v>1001</v>
      </c>
      <c r="AO203" s="460">
        <f>IF(C203&lt;&gt;"⑧兵庫",VLOOKUP(LEFT(F203),★新聞!$A$4:$B$12,2,FALSE),IF(LEFT(F203)&lt;&gt;"S",VLOOKUP(LEFT(F203),★新聞!$A$4:$B$12,2,FALSE),VLOOKUP("X",★新聞!$A$4:$B$12,2,FALSE)))</f>
        <v>3</v>
      </c>
      <c r="AP203" s="460" t="str">
        <f t="shared" ca="1" si="29"/>
        <v>0</v>
      </c>
      <c r="AQ203" s="460" t="str">
        <f>IF(申込書!$C$38="","",申込書!$C$38)</f>
        <v/>
      </c>
    </row>
    <row r="204" spans="1:43">
      <c r="A204" s="463">
        <f t="shared" si="30"/>
        <v>203</v>
      </c>
      <c r="B204" s="463" t="str">
        <f t="shared" si="31"/>
        <v>東部</v>
      </c>
      <c r="C204" s="464" t="s">
        <v>1016</v>
      </c>
      <c r="D204" s="464" t="s">
        <v>1022</v>
      </c>
      <c r="E204" s="464">
        <f>VLOOKUP(D204,★折込地区!$A$2:$D$10,4,FALSE)</f>
        <v>1</v>
      </c>
      <c r="F204" s="464" t="s">
        <v>383</v>
      </c>
      <c r="G204" s="464" t="str">
        <f>INDEX(★新聞!$E$4:$I$12, MATCH(LEFT(F204),★新聞!$A$4:$A$12,0), MATCH(LEFT(W204),★新聞!$E$3:$I$3,0))</f>
        <v>AG</v>
      </c>
      <c r="H204" s="475" t="s">
        <v>1107</v>
      </c>
      <c r="I204" s="464" cm="1">
        <f t="array" ref="I204">IFERROR(INDEX(★原価率!$A$2:$E$50,MATCH($C204&amp;$H204,★原価率!$A$2:$A$50&amp;★原価率!$B$2:$B$50,0),3),0)</f>
        <v>76</v>
      </c>
      <c r="J204" s="464" cm="1">
        <f t="array" ref="J204">IFERROR(INDEX(★原価率!$A$2:$E$50,MATCH($C204&amp;$H204,★原価率!$A$2:$A$50&amp;★原価率!$B$2:$B$50,0),4),0)</f>
        <v>76</v>
      </c>
      <c r="K204" s="464" cm="1">
        <f t="array" ref="K204">IFERROR(INDEX(★原価率!$A$2:$E$50,MATCH($C204&amp;$H204,★原価率!$A$2:$A$50&amp;★原価率!$B$2:$B$50,0),5),0)</f>
        <v>100</v>
      </c>
      <c r="L204" s="528">
        <f>IFERROR(VLOOKUP(W204,★商品!$A$1:$H$1231,8,FALSE),0)</f>
        <v>2.8</v>
      </c>
      <c r="M204" s="203" t="str">
        <f ca="1">CONCATENATE(VLOOKUP(B204,★営業所!$A$2:$B$5,2,FALSE),TEXT(NOW(),"yyyy"))</f>
        <v>T2023</v>
      </c>
      <c r="N204" s="203">
        <v>1</v>
      </c>
      <c r="O204" s="203">
        <v>0</v>
      </c>
      <c r="P204" s="213">
        <f>申込書!$B$6</f>
        <v>0</v>
      </c>
      <c r="Q204" s="203">
        <f>申込書!$C$34</f>
        <v>1000040</v>
      </c>
      <c r="R204" s="203">
        <v>0</v>
      </c>
      <c r="U204" s="203">
        <f>VLOOKUP(B204,★営業所!$A$2:$C$5,3,FALSE)</f>
        <v>8</v>
      </c>
      <c r="V204" s="203">
        <f>申込書!$B$9</f>
        <v>0</v>
      </c>
      <c r="W204" s="203" t="str">
        <f>CONCATENATE(VLOOKUP(B204,★営業所!$A$2:$B$5,2,FALSE),VLOOKUP(申込書!$C$32,★サイズ表記!$D$4:$E$55,2,FALSE),VLOOKUP(D204,★折込地区!$A$2:$B$11,2,FALSE))</f>
        <v>T1001Tot</v>
      </c>
      <c r="X204" s="203" t="str">
        <f>CONCATENATE(申込書!$B$9," ",VLOOKUP(RIGHT(W204,3),★折込地区!$B$2:$C$10,2,FALSE),"")</f>
        <v xml:space="preserve"> 鳥取</v>
      </c>
      <c r="Z204" s="206">
        <f t="shared" ca="1" si="24"/>
        <v>0</v>
      </c>
      <c r="AB204" s="383">
        <f t="shared" si="25"/>
        <v>2.8</v>
      </c>
      <c r="AC204" s="203" t="str">
        <f t="shared" si="26"/>
        <v>M1001</v>
      </c>
      <c r="AD204" s="203" t="str">
        <f>VLOOKUP(AC204,★原価商品!$E$6:$F$349,2,FALSE)</f>
        <v>毎日/B4（折り無し）</v>
      </c>
      <c r="AE204" s="203">
        <f t="shared" ca="1" si="27"/>
        <v>0</v>
      </c>
      <c r="AF204" s="383">
        <f ca="1">IFERROR(IF(VLOOKUP(申込書!$C$32,★サイズ表記!$F$4:$H$55,3,FALSE)="切り捨て",ROUNDDOWN(L204*IF(AK204="◎",I204,J204)/100,2),IF(VLOOKUP(申込書!$C$32,★サイズ表記!$F$4:$H$55,3,FALSE)="切り上げ",ROUNDUP(L204*IF(AK204="◎",I204,J204)/100,2),ROUND(L204*IF(AK204="◎",I204,J204)/100,2))),0)</f>
        <v>2.12</v>
      </c>
      <c r="AG204" s="203">
        <f t="shared" ca="1" si="28"/>
        <v>10413</v>
      </c>
      <c r="AJ204" s="460" t="str">
        <f>IFERROR(VLOOKUP(申込書!$C$30,★業種!$D$2:$E$87,2,FALSE),"")</f>
        <v>1003</v>
      </c>
      <c r="AK204" s="460" t="str">
        <f ca="1">IF(申込書!$C$36="◎",IF(OR(D204="浜坂・温泉",D204="美方・村岡",D204="香住",D204="岡山",D204="大阪"),"",IF(LEFT(F204)="D","◎",IF(AG204=0,"",IFERROR(IF(VLOOKUP(AG204,★仕入先!$A$2:$C$211,3,FALSE)=0,"","◎"),"")))),"")</f>
        <v/>
      </c>
      <c r="AL204" s="460">
        <f>申込書!$H$14</f>
        <v>0</v>
      </c>
      <c r="AM204" s="460" t="str">
        <f>申込書!$C$32</f>
        <v>B4（折り無し）</v>
      </c>
      <c r="AN204" s="460" t="str">
        <f>VLOOKUP(AM204,★サイズ表記!$D$4:$E$55,2,FALSE)</f>
        <v>1001</v>
      </c>
      <c r="AO204" s="460">
        <f>IF(C204&lt;&gt;"⑧兵庫",VLOOKUP(LEFT(F204),★新聞!$A$4:$B$12,2,FALSE),IF(LEFT(F204)&lt;&gt;"S",VLOOKUP(LEFT(F204),★新聞!$A$4:$B$12,2,FALSE),VLOOKUP("X",★新聞!$A$4:$B$12,2,FALSE)))</f>
        <v>4</v>
      </c>
      <c r="AP204" s="460" t="str">
        <f t="shared" ca="1" si="29"/>
        <v>0</v>
      </c>
      <c r="AQ204" s="460" t="str">
        <f>IF(申込書!$C$38="","",申込書!$C$38)</f>
        <v/>
      </c>
    </row>
    <row r="205" spans="1:43">
      <c r="A205" s="463">
        <f t="shared" si="30"/>
        <v>204</v>
      </c>
      <c r="B205" s="463" t="str">
        <f t="shared" si="31"/>
        <v>東部</v>
      </c>
      <c r="C205" s="464" t="s">
        <v>1016</v>
      </c>
      <c r="D205" s="464" t="s">
        <v>1022</v>
      </c>
      <c r="E205" s="464">
        <f>VLOOKUP(D205,★折込地区!$A$2:$D$10,4,FALSE)</f>
        <v>1</v>
      </c>
      <c r="F205" s="464" t="s">
        <v>448</v>
      </c>
      <c r="G205" s="464" t="str">
        <f>INDEX(★新聞!$E$4:$I$12, MATCH(LEFT(F205),★新聞!$A$4:$A$12,0), MATCH(LEFT(W205),★新聞!$E$3:$I$3,0))</f>
        <v>AG</v>
      </c>
      <c r="H205" s="555" t="s">
        <v>1105</v>
      </c>
      <c r="I205" s="464" cm="1">
        <f t="array" ref="I205">IFERROR(INDEX(★原価率!$A$2:$E$50,MATCH($C205&amp;$H205,★原価率!$A$2:$A$50&amp;★原価率!$B$2:$B$50,0),3),0)</f>
        <v>66</v>
      </c>
      <c r="J205" s="464" cm="1">
        <f t="array" ref="J205">IFERROR(INDEX(★原価率!$A$2:$E$50,MATCH($C205&amp;$H205,★原価率!$A$2:$A$50&amp;★原価率!$B$2:$B$50,0),4),0)</f>
        <v>76</v>
      </c>
      <c r="K205" s="464" cm="1">
        <f t="array" ref="K205">IFERROR(INDEX(★原価率!$A$2:$E$50,MATCH($C205&amp;$H205,★原価率!$A$2:$A$50&amp;★原価率!$B$2:$B$50,0),5),0)</f>
        <v>100</v>
      </c>
      <c r="L205" s="528">
        <f>IFERROR(VLOOKUP(W205,★商品!$A$1:$H$1231,8,FALSE),0)</f>
        <v>2.8</v>
      </c>
      <c r="M205" s="203" t="str">
        <f ca="1">CONCATENATE(VLOOKUP(B205,★営業所!$A$2:$B$5,2,FALSE),TEXT(NOW(),"yyyy"))</f>
        <v>T2023</v>
      </c>
      <c r="N205" s="203">
        <v>1</v>
      </c>
      <c r="O205" s="203">
        <v>0</v>
      </c>
      <c r="P205" s="213">
        <f>申込書!$B$6</f>
        <v>0</v>
      </c>
      <c r="Q205" s="203">
        <f>申込書!$C$34</f>
        <v>1000040</v>
      </c>
      <c r="R205" s="203">
        <v>0</v>
      </c>
      <c r="U205" s="203">
        <f>VLOOKUP(B205,★営業所!$A$2:$C$5,3,FALSE)</f>
        <v>8</v>
      </c>
      <c r="V205" s="203">
        <f>申込書!$B$9</f>
        <v>0</v>
      </c>
      <c r="W205" s="203" t="str">
        <f>CONCATENATE(VLOOKUP(B205,★営業所!$A$2:$B$5,2,FALSE),VLOOKUP(申込書!$C$32,★サイズ表記!$D$4:$E$55,2,FALSE),VLOOKUP(D205,★折込地区!$A$2:$B$11,2,FALSE))</f>
        <v>T1001Tot</v>
      </c>
      <c r="X205" s="203" t="str">
        <f>CONCATENATE(申込書!$B$9," ",VLOOKUP(RIGHT(W205,3),★折込地区!$B$2:$C$10,2,FALSE),"")</f>
        <v xml:space="preserve"> 鳥取</v>
      </c>
      <c r="Z205" s="206">
        <f t="shared" ca="1" si="24"/>
        <v>0</v>
      </c>
      <c r="AB205" s="383">
        <f t="shared" si="25"/>
        <v>2.8</v>
      </c>
      <c r="AC205" s="203" t="str">
        <f t="shared" si="26"/>
        <v>M1001</v>
      </c>
      <c r="AD205" s="203" t="str">
        <f>VLOOKUP(AC205,★原価商品!$E$6:$F$349,2,FALSE)</f>
        <v>毎日/B4（折り無し）</v>
      </c>
      <c r="AE205" s="203">
        <f t="shared" ca="1" si="27"/>
        <v>0</v>
      </c>
      <c r="AF205" s="383">
        <f ca="1">IFERROR(IF(VLOOKUP(申込書!$C$32,★サイズ表記!$F$4:$H$55,3,FALSE)="切り捨て",ROUNDDOWN(L205*IF(AK205="◎",I205,J205)/100,2),IF(VLOOKUP(申込書!$C$32,★サイズ表記!$F$4:$H$55,3,FALSE)="切り上げ",ROUNDUP(L205*IF(AK205="◎",I205,J205)/100,2),ROUND(L205*IF(AK205="◎",I205,J205)/100,2))),0)</f>
        <v>1.84</v>
      </c>
      <c r="AG205" s="203">
        <f t="shared" ca="1" si="28"/>
        <v>10421</v>
      </c>
      <c r="AJ205" s="460" t="str">
        <f>IFERROR(VLOOKUP(申込書!$C$30,★業種!$D$2:$E$87,2,FALSE),"")</f>
        <v>1003</v>
      </c>
      <c r="AK205" s="460" t="str">
        <f ca="1">IF(申込書!$C$36="◎",IF(OR(D205="浜坂・温泉",D205="美方・村岡",D205="香住",D205="岡山",D205="大阪"),"",IF(LEFT(F205)="D","◎",IF(AG205=0,"",IFERROR(IF(VLOOKUP(AG205,★仕入先!$A$2:$C$211,3,FALSE)=0,"","◎"),"")))),"")</f>
        <v>◎</v>
      </c>
      <c r="AL205" s="460">
        <f>申込書!$H$14</f>
        <v>0</v>
      </c>
      <c r="AM205" s="460" t="str">
        <f>申込書!$C$32</f>
        <v>B4（折り無し）</v>
      </c>
      <c r="AN205" s="460" t="str">
        <f>VLOOKUP(AM205,★サイズ表記!$D$4:$E$55,2,FALSE)</f>
        <v>1001</v>
      </c>
      <c r="AO205" s="460">
        <f>IF(C205&lt;&gt;"⑧兵庫",VLOOKUP(LEFT(F205),★新聞!$A$4:$B$12,2,FALSE),IF(LEFT(F205)&lt;&gt;"S",VLOOKUP(LEFT(F205),★新聞!$A$4:$B$12,2,FALSE),VLOOKUP("X",★新聞!$A$4:$B$12,2,FALSE)))</f>
        <v>4</v>
      </c>
      <c r="AP205" s="460" t="str">
        <f t="shared" ca="1" si="29"/>
        <v>0</v>
      </c>
      <c r="AQ205" s="460" t="str">
        <f>IF(申込書!$C$38="","",申込書!$C$38)</f>
        <v/>
      </c>
    </row>
    <row r="206" spans="1:43">
      <c r="A206" s="463">
        <f t="shared" si="30"/>
        <v>205</v>
      </c>
      <c r="B206" s="463" t="str">
        <f t="shared" si="31"/>
        <v>東部</v>
      </c>
      <c r="C206" s="464" t="s">
        <v>1016</v>
      </c>
      <c r="D206" s="464" t="s">
        <v>1022</v>
      </c>
      <c r="E206" s="464">
        <f>VLOOKUP(D206,★折込地区!$A$2:$D$10,4,FALSE)</f>
        <v>1</v>
      </c>
      <c r="F206" s="464" t="s">
        <v>449</v>
      </c>
      <c r="G206" s="464" t="str">
        <f>INDEX(★新聞!$E$4:$I$12, MATCH(LEFT(F206),★新聞!$A$4:$A$12,0), MATCH(LEFT(W206),★新聞!$E$3:$I$3,0))</f>
        <v>AG</v>
      </c>
      <c r="H206" s="555" t="s">
        <v>1105</v>
      </c>
      <c r="I206" s="464" cm="1">
        <f t="array" ref="I206">IFERROR(INDEX(★原価率!$A$2:$E$50,MATCH($C206&amp;$H206,★原価率!$A$2:$A$50&amp;★原価率!$B$2:$B$50,0),3),0)</f>
        <v>66</v>
      </c>
      <c r="J206" s="464" cm="1">
        <f t="array" ref="J206">IFERROR(INDEX(★原価率!$A$2:$E$50,MATCH($C206&amp;$H206,★原価率!$A$2:$A$50&amp;★原価率!$B$2:$B$50,0),4),0)</f>
        <v>76</v>
      </c>
      <c r="K206" s="464" cm="1">
        <f t="array" ref="K206">IFERROR(INDEX(★原価率!$A$2:$E$50,MATCH($C206&amp;$H206,★原価率!$A$2:$A$50&amp;★原価率!$B$2:$B$50,0),5),0)</f>
        <v>100</v>
      </c>
      <c r="L206" s="528">
        <f>IFERROR(VLOOKUP(W206,★商品!$A$1:$H$1231,8,FALSE),0)</f>
        <v>2.8</v>
      </c>
      <c r="M206" s="203" t="str">
        <f ca="1">CONCATENATE(VLOOKUP(B206,★営業所!$A$2:$B$5,2,FALSE),TEXT(NOW(),"yyyy"))</f>
        <v>T2023</v>
      </c>
      <c r="N206" s="203">
        <v>1</v>
      </c>
      <c r="O206" s="203">
        <v>0</v>
      </c>
      <c r="P206" s="213">
        <f>申込書!$B$6</f>
        <v>0</v>
      </c>
      <c r="Q206" s="203">
        <f>申込書!$C$34</f>
        <v>1000040</v>
      </c>
      <c r="R206" s="203">
        <v>0</v>
      </c>
      <c r="U206" s="203">
        <f>VLOOKUP(B206,★営業所!$A$2:$C$5,3,FALSE)</f>
        <v>8</v>
      </c>
      <c r="V206" s="203">
        <f>申込書!$B$9</f>
        <v>0</v>
      </c>
      <c r="W206" s="203" t="str">
        <f>CONCATENATE(VLOOKUP(B206,★営業所!$A$2:$B$5,2,FALSE),VLOOKUP(申込書!$C$32,★サイズ表記!$D$4:$E$55,2,FALSE),VLOOKUP(D206,★折込地区!$A$2:$B$11,2,FALSE))</f>
        <v>T1001Tot</v>
      </c>
      <c r="X206" s="203" t="str">
        <f>CONCATENATE(申込書!$B$9," ",VLOOKUP(RIGHT(W206,3),★折込地区!$B$2:$C$10,2,FALSE),"")</f>
        <v xml:space="preserve"> 鳥取</v>
      </c>
      <c r="Z206" s="206">
        <f t="shared" ca="1" si="24"/>
        <v>0</v>
      </c>
      <c r="AB206" s="383">
        <f t="shared" si="25"/>
        <v>2.8</v>
      </c>
      <c r="AC206" s="203" t="str">
        <f t="shared" si="26"/>
        <v>M1001</v>
      </c>
      <c r="AD206" s="203" t="str">
        <f>VLOOKUP(AC206,★原価商品!$E$6:$F$349,2,FALSE)</f>
        <v>毎日/B4（折り無し）</v>
      </c>
      <c r="AE206" s="203">
        <f t="shared" ca="1" si="27"/>
        <v>0</v>
      </c>
      <c r="AF206" s="383">
        <f ca="1">IFERROR(IF(VLOOKUP(申込書!$C$32,★サイズ表記!$F$4:$H$55,3,FALSE)="切り捨て",ROUNDDOWN(L206*IF(AK206="◎",I206,J206)/100,2),IF(VLOOKUP(申込書!$C$32,★サイズ表記!$F$4:$H$55,3,FALSE)="切り上げ",ROUNDUP(L206*IF(AK206="◎",I206,J206)/100,2),ROUND(L206*IF(AK206="◎",I206,J206)/100,2))),0)</f>
        <v>1.84</v>
      </c>
      <c r="AG206" s="203">
        <f t="shared" ca="1" si="28"/>
        <v>10434</v>
      </c>
      <c r="AJ206" s="460" t="str">
        <f>IFERROR(VLOOKUP(申込書!$C$30,★業種!$D$2:$E$87,2,FALSE),"")</f>
        <v>1003</v>
      </c>
      <c r="AK206" s="460" t="str">
        <f ca="1">IF(申込書!$C$36="◎",IF(OR(D206="浜坂・温泉",D206="美方・村岡",D206="香住",D206="岡山",D206="大阪"),"",IF(LEFT(F206)="D","◎",IF(AG206=0,"",IFERROR(IF(VLOOKUP(AG206,★仕入先!$A$2:$C$211,3,FALSE)=0,"","◎"),"")))),"")</f>
        <v>◎</v>
      </c>
      <c r="AL206" s="460">
        <f>申込書!$H$14</f>
        <v>0</v>
      </c>
      <c r="AM206" s="460" t="str">
        <f>申込書!$C$32</f>
        <v>B4（折り無し）</v>
      </c>
      <c r="AN206" s="460" t="str">
        <f>VLOOKUP(AM206,★サイズ表記!$D$4:$E$55,2,FALSE)</f>
        <v>1001</v>
      </c>
      <c r="AO206" s="460">
        <f>IF(C206&lt;&gt;"⑧兵庫",VLOOKUP(LEFT(F206),★新聞!$A$4:$B$12,2,FALSE),IF(LEFT(F206)&lt;&gt;"S",VLOOKUP(LEFT(F206),★新聞!$A$4:$B$12,2,FALSE),VLOOKUP("X",★新聞!$A$4:$B$12,2,FALSE)))</f>
        <v>4</v>
      </c>
      <c r="AP206" s="460" t="str">
        <f t="shared" ca="1" si="29"/>
        <v>0</v>
      </c>
      <c r="AQ206" s="460" t="str">
        <f>IF(申込書!$C$38="","",申込書!$C$38)</f>
        <v/>
      </c>
    </row>
    <row r="207" spans="1:43">
      <c r="A207" s="463">
        <f t="shared" si="30"/>
        <v>206</v>
      </c>
      <c r="B207" s="463" t="str">
        <f t="shared" si="31"/>
        <v>東部</v>
      </c>
      <c r="C207" s="464" t="s">
        <v>1016</v>
      </c>
      <c r="D207" s="464" t="s">
        <v>1022</v>
      </c>
      <c r="E207" s="464">
        <f>VLOOKUP(D207,★折込地区!$A$2:$D$10,4,FALSE)</f>
        <v>1</v>
      </c>
      <c r="F207" s="464" t="s">
        <v>450</v>
      </c>
      <c r="G207" s="464" t="str">
        <f>INDEX(★新聞!$E$4:$I$12, MATCH(LEFT(F207),★新聞!$A$4:$A$12,0), MATCH(LEFT(W207),★新聞!$E$3:$I$3,0))</f>
        <v>AG</v>
      </c>
      <c r="H207" s="555" t="s">
        <v>1105</v>
      </c>
      <c r="I207" s="464" cm="1">
        <f t="array" ref="I207">IFERROR(INDEX(★原価率!$A$2:$E$50,MATCH($C207&amp;$H207,★原価率!$A$2:$A$50&amp;★原価率!$B$2:$B$50,0),3),0)</f>
        <v>66</v>
      </c>
      <c r="J207" s="464" cm="1">
        <f t="array" ref="J207">IFERROR(INDEX(★原価率!$A$2:$E$50,MATCH($C207&amp;$H207,★原価率!$A$2:$A$50&amp;★原価率!$B$2:$B$50,0),4),0)</f>
        <v>76</v>
      </c>
      <c r="K207" s="464" cm="1">
        <f t="array" ref="K207">IFERROR(INDEX(★原価率!$A$2:$E$50,MATCH($C207&amp;$H207,★原価率!$A$2:$A$50&amp;★原価率!$B$2:$B$50,0),5),0)</f>
        <v>100</v>
      </c>
      <c r="L207" s="528">
        <f>IFERROR(VLOOKUP(W207,★商品!$A$1:$H$1231,8,FALSE),0)</f>
        <v>2.8</v>
      </c>
      <c r="M207" s="203" t="str">
        <f ca="1">CONCATENATE(VLOOKUP(B207,★営業所!$A$2:$B$5,2,FALSE),TEXT(NOW(),"yyyy"))</f>
        <v>T2023</v>
      </c>
      <c r="N207" s="203">
        <v>1</v>
      </c>
      <c r="O207" s="203">
        <v>0</v>
      </c>
      <c r="P207" s="213">
        <f>申込書!$B$6</f>
        <v>0</v>
      </c>
      <c r="Q207" s="203">
        <f>申込書!$C$34</f>
        <v>1000040</v>
      </c>
      <c r="R207" s="203">
        <v>0</v>
      </c>
      <c r="U207" s="203">
        <f>VLOOKUP(B207,★営業所!$A$2:$C$5,3,FALSE)</f>
        <v>8</v>
      </c>
      <c r="V207" s="203">
        <f>申込書!$B$9</f>
        <v>0</v>
      </c>
      <c r="W207" s="203" t="str">
        <f>CONCATENATE(VLOOKUP(B207,★営業所!$A$2:$B$5,2,FALSE),VLOOKUP(申込書!$C$32,★サイズ表記!$D$4:$E$55,2,FALSE),VLOOKUP(D207,★折込地区!$A$2:$B$11,2,FALSE))</f>
        <v>T1001Tot</v>
      </c>
      <c r="X207" s="203" t="str">
        <f>CONCATENATE(申込書!$B$9," ",VLOOKUP(RIGHT(W207,3),★折込地区!$B$2:$C$10,2,FALSE),"")</f>
        <v xml:space="preserve"> 鳥取</v>
      </c>
      <c r="Z207" s="206">
        <f t="shared" ca="1" si="24"/>
        <v>0</v>
      </c>
      <c r="AB207" s="383">
        <f t="shared" si="25"/>
        <v>2.8</v>
      </c>
      <c r="AC207" s="203" t="str">
        <f t="shared" si="26"/>
        <v>M1001</v>
      </c>
      <c r="AD207" s="203" t="str">
        <f>VLOOKUP(AC207,★原価商品!$E$6:$F$349,2,FALSE)</f>
        <v>毎日/B4（折り無し）</v>
      </c>
      <c r="AE207" s="203">
        <f t="shared" ca="1" si="27"/>
        <v>0</v>
      </c>
      <c r="AF207" s="383">
        <f ca="1">IFERROR(IF(VLOOKUP(申込書!$C$32,★サイズ表記!$F$4:$H$55,3,FALSE)="切り捨て",ROUNDDOWN(L207*IF(AK207="◎",I207,J207)/100,2),IF(VLOOKUP(申込書!$C$32,★サイズ表記!$F$4:$H$55,3,FALSE)="切り上げ",ROUNDUP(L207*IF(AK207="◎",I207,J207)/100,2),ROUND(L207*IF(AK207="◎",I207,J207)/100,2))),0)</f>
        <v>1.84</v>
      </c>
      <c r="AG207" s="203">
        <f t="shared" ca="1" si="28"/>
        <v>10441</v>
      </c>
      <c r="AJ207" s="460" t="str">
        <f>IFERROR(VLOOKUP(申込書!$C$30,★業種!$D$2:$E$87,2,FALSE),"")</f>
        <v>1003</v>
      </c>
      <c r="AK207" s="460" t="str">
        <f ca="1">IF(申込書!$C$36="◎",IF(OR(D207="浜坂・温泉",D207="美方・村岡",D207="香住",D207="岡山",D207="大阪"),"",IF(LEFT(F207)="D","◎",IF(AG207=0,"",IFERROR(IF(VLOOKUP(AG207,★仕入先!$A$2:$C$211,3,FALSE)=0,"","◎"),"")))),"")</f>
        <v>◎</v>
      </c>
      <c r="AL207" s="460">
        <f>申込書!$H$14</f>
        <v>0</v>
      </c>
      <c r="AM207" s="460" t="str">
        <f>申込書!$C$32</f>
        <v>B4（折り無し）</v>
      </c>
      <c r="AN207" s="460" t="str">
        <f>VLOOKUP(AM207,★サイズ表記!$D$4:$E$55,2,FALSE)</f>
        <v>1001</v>
      </c>
      <c r="AO207" s="460">
        <f>IF(C207&lt;&gt;"⑧兵庫",VLOOKUP(LEFT(F207),★新聞!$A$4:$B$12,2,FALSE),IF(LEFT(F207)&lt;&gt;"S",VLOOKUP(LEFT(F207),★新聞!$A$4:$B$12,2,FALSE),VLOOKUP("X",★新聞!$A$4:$B$12,2,FALSE)))</f>
        <v>4</v>
      </c>
      <c r="AP207" s="460" t="str">
        <f t="shared" ca="1" si="29"/>
        <v>0</v>
      </c>
      <c r="AQ207" s="460" t="str">
        <f>IF(申込書!$C$38="","",申込書!$C$38)</f>
        <v/>
      </c>
    </row>
    <row r="208" spans="1:43">
      <c r="A208" s="463">
        <f t="shared" si="30"/>
        <v>207</v>
      </c>
      <c r="B208" s="463" t="str">
        <f t="shared" si="31"/>
        <v>東部</v>
      </c>
      <c r="C208" s="464" t="s">
        <v>1016</v>
      </c>
      <c r="D208" s="464" t="s">
        <v>1022</v>
      </c>
      <c r="E208" s="464">
        <f>VLOOKUP(D208,★折込地区!$A$2:$D$10,4,FALSE)</f>
        <v>1</v>
      </c>
      <c r="F208" s="464" t="s">
        <v>453</v>
      </c>
      <c r="G208" s="464" t="str">
        <f>INDEX(★新聞!$E$4:$I$12, MATCH(LEFT(F208),★新聞!$A$4:$A$12,0), MATCH(LEFT(W208),★新聞!$E$3:$I$3,0))</f>
        <v>AG</v>
      </c>
      <c r="H208" s="555" t="s">
        <v>1105</v>
      </c>
      <c r="I208" s="464" cm="1">
        <f t="array" ref="I208">IFERROR(INDEX(★原価率!$A$2:$E$50,MATCH($C208&amp;$H208,★原価率!$A$2:$A$50&amp;★原価率!$B$2:$B$50,0),3),0)</f>
        <v>66</v>
      </c>
      <c r="J208" s="464" cm="1">
        <f t="array" ref="J208">IFERROR(INDEX(★原価率!$A$2:$E$50,MATCH($C208&amp;$H208,★原価率!$A$2:$A$50&amp;★原価率!$B$2:$B$50,0),4),0)</f>
        <v>76</v>
      </c>
      <c r="K208" s="464" cm="1">
        <f t="array" ref="K208">IFERROR(INDEX(★原価率!$A$2:$E$50,MATCH($C208&amp;$H208,★原価率!$A$2:$A$50&amp;★原価率!$B$2:$B$50,0),5),0)</f>
        <v>100</v>
      </c>
      <c r="L208" s="528">
        <f>IFERROR(VLOOKUP(W208,★商品!$A$1:$H$1231,8,FALSE),0)</f>
        <v>2.8</v>
      </c>
      <c r="M208" s="203" t="str">
        <f ca="1">CONCATENATE(VLOOKUP(B208,★営業所!$A$2:$B$5,2,FALSE),TEXT(NOW(),"yyyy"))</f>
        <v>T2023</v>
      </c>
      <c r="N208" s="203">
        <v>1</v>
      </c>
      <c r="O208" s="203">
        <v>0</v>
      </c>
      <c r="P208" s="213">
        <f>申込書!$B$6</f>
        <v>0</v>
      </c>
      <c r="Q208" s="203">
        <f>申込書!$C$34</f>
        <v>1000040</v>
      </c>
      <c r="R208" s="203">
        <v>0</v>
      </c>
      <c r="U208" s="203">
        <f>VLOOKUP(B208,★営業所!$A$2:$C$5,3,FALSE)</f>
        <v>8</v>
      </c>
      <c r="V208" s="203">
        <f>申込書!$B$9</f>
        <v>0</v>
      </c>
      <c r="W208" s="203" t="str">
        <f>CONCATENATE(VLOOKUP(B208,★営業所!$A$2:$B$5,2,FALSE),VLOOKUP(申込書!$C$32,★サイズ表記!$D$4:$E$55,2,FALSE),VLOOKUP(D208,★折込地区!$A$2:$B$11,2,FALSE))</f>
        <v>T1001Tot</v>
      </c>
      <c r="X208" s="203" t="str">
        <f>CONCATENATE(申込書!$B$9," ",VLOOKUP(RIGHT(W208,3),★折込地区!$B$2:$C$10,2,FALSE),"")</f>
        <v xml:space="preserve"> 鳥取</v>
      </c>
      <c r="Z208" s="206">
        <f t="shared" ca="1" si="24"/>
        <v>0</v>
      </c>
      <c r="AB208" s="383">
        <f t="shared" si="25"/>
        <v>2.8</v>
      </c>
      <c r="AC208" s="203" t="str">
        <f t="shared" si="26"/>
        <v>M1001</v>
      </c>
      <c r="AD208" s="203" t="str">
        <f>VLOOKUP(AC208,★原価商品!$E$6:$F$349,2,FALSE)</f>
        <v>毎日/B4（折り無し）</v>
      </c>
      <c r="AE208" s="203">
        <f t="shared" ca="1" si="27"/>
        <v>0</v>
      </c>
      <c r="AF208" s="383">
        <f ca="1">IFERROR(IF(VLOOKUP(申込書!$C$32,★サイズ表記!$F$4:$H$55,3,FALSE)="切り捨て",ROUNDDOWN(L208*IF(AK208="◎",I208,J208)/100,2),IF(VLOOKUP(申込書!$C$32,★サイズ表記!$F$4:$H$55,3,FALSE)="切り上げ",ROUNDUP(L208*IF(AK208="◎",I208,J208)/100,2),ROUND(L208*IF(AK208="◎",I208,J208)/100,2))),0)</f>
        <v>1.84</v>
      </c>
      <c r="AG208" s="203">
        <f t="shared" ca="1" si="28"/>
        <v>10451</v>
      </c>
      <c r="AJ208" s="460" t="str">
        <f>IFERROR(VLOOKUP(申込書!$C$30,★業種!$D$2:$E$87,2,FALSE),"")</f>
        <v>1003</v>
      </c>
      <c r="AK208" s="460" t="str">
        <f ca="1">IF(申込書!$C$36="◎",IF(OR(D208="浜坂・温泉",D208="美方・村岡",D208="香住",D208="岡山",D208="大阪"),"",IF(LEFT(F208)="D","◎",IF(AG208=0,"",IFERROR(IF(VLOOKUP(AG208,★仕入先!$A$2:$C$211,3,FALSE)=0,"","◎"),"")))),"")</f>
        <v>◎</v>
      </c>
      <c r="AL208" s="460">
        <f>申込書!$H$14</f>
        <v>0</v>
      </c>
      <c r="AM208" s="460" t="str">
        <f>申込書!$C$32</f>
        <v>B4（折り無し）</v>
      </c>
      <c r="AN208" s="460" t="str">
        <f>VLOOKUP(AM208,★サイズ表記!$D$4:$E$55,2,FALSE)</f>
        <v>1001</v>
      </c>
      <c r="AO208" s="460">
        <f>IF(C208&lt;&gt;"⑧兵庫",VLOOKUP(LEFT(F208),★新聞!$A$4:$B$12,2,FALSE),IF(LEFT(F208)&lt;&gt;"S",VLOOKUP(LEFT(F208),★新聞!$A$4:$B$12,2,FALSE),VLOOKUP("X",★新聞!$A$4:$B$12,2,FALSE)))</f>
        <v>4</v>
      </c>
      <c r="AP208" s="460" t="str">
        <f t="shared" ca="1" si="29"/>
        <v>0</v>
      </c>
      <c r="AQ208" s="460" t="str">
        <f>IF(申込書!$C$38="","",申込書!$C$38)</f>
        <v/>
      </c>
    </row>
    <row r="209" spans="1:43">
      <c r="A209" s="463">
        <f t="shared" si="30"/>
        <v>208</v>
      </c>
      <c r="B209" s="463" t="str">
        <f t="shared" si="31"/>
        <v>東部</v>
      </c>
      <c r="C209" s="464" t="s">
        <v>1016</v>
      </c>
      <c r="D209" s="464" t="s">
        <v>1022</v>
      </c>
      <c r="E209" s="464">
        <f>VLOOKUP(D209,★折込地区!$A$2:$D$10,4,FALSE)</f>
        <v>1</v>
      </c>
      <c r="F209" s="464" t="s">
        <v>454</v>
      </c>
      <c r="G209" s="464" t="str">
        <f>INDEX(★新聞!$E$4:$I$12, MATCH(LEFT(F209),★新聞!$A$4:$A$12,0), MATCH(LEFT(W209),★新聞!$E$3:$I$3,0))</f>
        <v>AG</v>
      </c>
      <c r="H209" s="555" t="s">
        <v>1105</v>
      </c>
      <c r="I209" s="464" cm="1">
        <f t="array" ref="I209">IFERROR(INDEX(★原価率!$A$2:$E$50,MATCH($C209&amp;$H209,★原価率!$A$2:$A$50&amp;★原価率!$B$2:$B$50,0),3),0)</f>
        <v>66</v>
      </c>
      <c r="J209" s="464" cm="1">
        <f t="array" ref="J209">IFERROR(INDEX(★原価率!$A$2:$E$50,MATCH($C209&amp;$H209,★原価率!$A$2:$A$50&amp;★原価率!$B$2:$B$50,0),4),0)</f>
        <v>76</v>
      </c>
      <c r="K209" s="464" cm="1">
        <f t="array" ref="K209">IFERROR(INDEX(★原価率!$A$2:$E$50,MATCH($C209&amp;$H209,★原価率!$A$2:$A$50&amp;★原価率!$B$2:$B$50,0),5),0)</f>
        <v>100</v>
      </c>
      <c r="L209" s="528">
        <f>IFERROR(VLOOKUP(W209,★商品!$A$1:$H$1231,8,FALSE),0)</f>
        <v>2.8</v>
      </c>
      <c r="M209" s="203" t="str">
        <f ca="1">CONCATENATE(VLOOKUP(B209,★営業所!$A$2:$B$5,2,FALSE),TEXT(NOW(),"yyyy"))</f>
        <v>T2023</v>
      </c>
      <c r="N209" s="203">
        <v>1</v>
      </c>
      <c r="O209" s="203">
        <v>0</v>
      </c>
      <c r="P209" s="213">
        <f>申込書!$B$6</f>
        <v>0</v>
      </c>
      <c r="Q209" s="203">
        <f>申込書!$C$34</f>
        <v>1000040</v>
      </c>
      <c r="R209" s="203">
        <v>0</v>
      </c>
      <c r="U209" s="203">
        <f>VLOOKUP(B209,★営業所!$A$2:$C$5,3,FALSE)</f>
        <v>8</v>
      </c>
      <c r="V209" s="203">
        <f>申込書!$B$9</f>
        <v>0</v>
      </c>
      <c r="W209" s="203" t="str">
        <f>CONCATENATE(VLOOKUP(B209,★営業所!$A$2:$B$5,2,FALSE),VLOOKUP(申込書!$C$32,★サイズ表記!$D$4:$E$55,2,FALSE),VLOOKUP(D209,★折込地区!$A$2:$B$11,2,FALSE))</f>
        <v>T1001Tot</v>
      </c>
      <c r="X209" s="203" t="str">
        <f>CONCATENATE(申込書!$B$9," ",VLOOKUP(RIGHT(W209,3),★折込地区!$B$2:$C$10,2,FALSE),"")</f>
        <v xml:space="preserve"> 鳥取</v>
      </c>
      <c r="Z209" s="206">
        <f t="shared" ca="1" si="24"/>
        <v>0</v>
      </c>
      <c r="AB209" s="383">
        <f t="shared" si="25"/>
        <v>2.8</v>
      </c>
      <c r="AC209" s="203" t="str">
        <f t="shared" si="26"/>
        <v>M1001</v>
      </c>
      <c r="AD209" s="203" t="str">
        <f>VLOOKUP(AC209,★原価商品!$E$6:$F$349,2,FALSE)</f>
        <v>毎日/B4（折り無し）</v>
      </c>
      <c r="AE209" s="203">
        <f t="shared" ca="1" si="27"/>
        <v>0</v>
      </c>
      <c r="AF209" s="383">
        <f ca="1">IFERROR(IF(VLOOKUP(申込書!$C$32,★サイズ表記!$F$4:$H$55,3,FALSE)="切り捨て",ROUNDDOWN(L209*IF(AK209="◎",I209,J209)/100,2),IF(VLOOKUP(申込書!$C$32,★サイズ表記!$F$4:$H$55,3,FALSE)="切り上げ",ROUNDUP(L209*IF(AK209="◎",I209,J209)/100,2),ROUND(L209*IF(AK209="◎",I209,J209)/100,2))),0)</f>
        <v>1.84</v>
      </c>
      <c r="AG209" s="203">
        <f t="shared" ca="1" si="28"/>
        <v>10461</v>
      </c>
      <c r="AJ209" s="460" t="str">
        <f>IFERROR(VLOOKUP(申込書!$C$30,★業種!$D$2:$E$87,2,FALSE),"")</f>
        <v>1003</v>
      </c>
      <c r="AK209" s="460" t="str">
        <f ca="1">IF(申込書!$C$36="◎",IF(OR(D209="浜坂・温泉",D209="美方・村岡",D209="香住",D209="岡山",D209="大阪"),"",IF(LEFT(F209)="D","◎",IF(AG209=0,"",IFERROR(IF(VLOOKUP(AG209,★仕入先!$A$2:$C$211,3,FALSE)=0,"","◎"),"")))),"")</f>
        <v>◎</v>
      </c>
      <c r="AL209" s="460">
        <f>申込書!$H$14</f>
        <v>0</v>
      </c>
      <c r="AM209" s="460" t="str">
        <f>申込書!$C$32</f>
        <v>B4（折り無し）</v>
      </c>
      <c r="AN209" s="460" t="str">
        <f>VLOOKUP(AM209,★サイズ表記!$D$4:$E$55,2,FALSE)</f>
        <v>1001</v>
      </c>
      <c r="AO209" s="460">
        <f>IF(C209&lt;&gt;"⑧兵庫",VLOOKUP(LEFT(F209),★新聞!$A$4:$B$12,2,FALSE),IF(LEFT(F209)&lt;&gt;"S",VLOOKUP(LEFT(F209),★新聞!$A$4:$B$12,2,FALSE),VLOOKUP("X",★新聞!$A$4:$B$12,2,FALSE)))</f>
        <v>4</v>
      </c>
      <c r="AP209" s="460" t="str">
        <f t="shared" ca="1" si="29"/>
        <v>0</v>
      </c>
      <c r="AQ209" s="460" t="str">
        <f>IF(申込書!$C$38="","",申込書!$C$38)</f>
        <v/>
      </c>
    </row>
    <row r="210" spans="1:43">
      <c r="A210" s="463">
        <f t="shared" si="30"/>
        <v>209</v>
      </c>
      <c r="B210" s="463" t="str">
        <f t="shared" si="31"/>
        <v>東部</v>
      </c>
      <c r="C210" s="464" t="s">
        <v>1016</v>
      </c>
      <c r="D210" s="464" t="s">
        <v>1022</v>
      </c>
      <c r="E210" s="464">
        <f>VLOOKUP(D210,★折込地区!$A$2:$D$10,4,FALSE)</f>
        <v>1</v>
      </c>
      <c r="F210" s="464" t="s">
        <v>455</v>
      </c>
      <c r="G210" s="464" t="str">
        <f>INDEX(★新聞!$E$4:$I$12, MATCH(LEFT(F210),★新聞!$A$4:$A$12,0), MATCH(LEFT(W210),★新聞!$E$3:$I$3,0))</f>
        <v>AG</v>
      </c>
      <c r="H210" s="555" t="s">
        <v>1105</v>
      </c>
      <c r="I210" s="464" cm="1">
        <f t="array" ref="I210">IFERROR(INDEX(★原価率!$A$2:$E$50,MATCH($C210&amp;$H210,★原価率!$A$2:$A$50&amp;★原価率!$B$2:$B$50,0),3),0)</f>
        <v>66</v>
      </c>
      <c r="J210" s="464" cm="1">
        <f t="array" ref="J210">IFERROR(INDEX(★原価率!$A$2:$E$50,MATCH($C210&amp;$H210,★原価率!$A$2:$A$50&amp;★原価率!$B$2:$B$50,0),4),0)</f>
        <v>76</v>
      </c>
      <c r="K210" s="464" cm="1">
        <f t="array" ref="K210">IFERROR(INDEX(★原価率!$A$2:$E$50,MATCH($C210&amp;$H210,★原価率!$A$2:$A$50&amp;★原価率!$B$2:$B$50,0),5),0)</f>
        <v>100</v>
      </c>
      <c r="L210" s="528">
        <f>IFERROR(VLOOKUP(W210,★商品!$A$1:$H$1231,8,FALSE),0)</f>
        <v>2.8</v>
      </c>
      <c r="M210" s="203" t="str">
        <f ca="1">CONCATENATE(VLOOKUP(B210,★営業所!$A$2:$B$5,2,FALSE),TEXT(NOW(),"yyyy"))</f>
        <v>T2023</v>
      </c>
      <c r="N210" s="203">
        <v>1</v>
      </c>
      <c r="O210" s="203">
        <v>0</v>
      </c>
      <c r="P210" s="213">
        <f>申込書!$B$6</f>
        <v>0</v>
      </c>
      <c r="Q210" s="203">
        <f>申込書!$C$34</f>
        <v>1000040</v>
      </c>
      <c r="R210" s="203">
        <v>0</v>
      </c>
      <c r="U210" s="203">
        <f>VLOOKUP(B210,★営業所!$A$2:$C$5,3,FALSE)</f>
        <v>8</v>
      </c>
      <c r="V210" s="203">
        <f>申込書!$B$9</f>
        <v>0</v>
      </c>
      <c r="W210" s="203" t="str">
        <f>CONCATENATE(VLOOKUP(B210,★営業所!$A$2:$B$5,2,FALSE),VLOOKUP(申込書!$C$32,★サイズ表記!$D$4:$E$55,2,FALSE),VLOOKUP(D210,★折込地区!$A$2:$B$11,2,FALSE))</f>
        <v>T1001Tot</v>
      </c>
      <c r="X210" s="203" t="str">
        <f>CONCATENATE(申込書!$B$9," ",VLOOKUP(RIGHT(W210,3),★折込地区!$B$2:$C$10,2,FALSE),"")</f>
        <v xml:space="preserve"> 鳥取</v>
      </c>
      <c r="Z210" s="206">
        <f t="shared" ca="1" si="24"/>
        <v>0</v>
      </c>
      <c r="AB210" s="383">
        <f t="shared" si="25"/>
        <v>2.8</v>
      </c>
      <c r="AC210" s="203" t="str">
        <f t="shared" si="26"/>
        <v>M1001</v>
      </c>
      <c r="AD210" s="203" t="str">
        <f>VLOOKUP(AC210,★原価商品!$E$6:$F$349,2,FALSE)</f>
        <v>毎日/B4（折り無し）</v>
      </c>
      <c r="AE210" s="203">
        <f t="shared" ca="1" si="27"/>
        <v>0</v>
      </c>
      <c r="AF210" s="383">
        <f ca="1">IFERROR(IF(VLOOKUP(申込書!$C$32,★サイズ表記!$F$4:$H$55,3,FALSE)="切り捨て",ROUNDDOWN(L210*IF(AK210="◎",I210,J210)/100,2),IF(VLOOKUP(申込書!$C$32,★サイズ表記!$F$4:$H$55,3,FALSE)="切り上げ",ROUNDUP(L210*IF(AK210="◎",I210,J210)/100,2),ROUND(L210*IF(AK210="◎",I210,J210)/100,2))),0)</f>
        <v>1.84</v>
      </c>
      <c r="AG210" s="203">
        <f t="shared" ca="1" si="28"/>
        <v>10462</v>
      </c>
      <c r="AJ210" s="460" t="str">
        <f>IFERROR(VLOOKUP(申込書!$C$30,★業種!$D$2:$E$87,2,FALSE),"")</f>
        <v>1003</v>
      </c>
      <c r="AK210" s="460" t="str">
        <f ca="1">IF(申込書!$C$36="◎",IF(OR(D210="浜坂・温泉",D210="美方・村岡",D210="香住",D210="岡山",D210="大阪"),"",IF(LEFT(F210)="D","◎",IF(AG210=0,"",IFERROR(IF(VLOOKUP(AG210,★仕入先!$A$2:$C$211,3,FALSE)=0,"","◎"),"")))),"")</f>
        <v>◎</v>
      </c>
      <c r="AL210" s="460">
        <f>申込書!$H$14</f>
        <v>0</v>
      </c>
      <c r="AM210" s="460" t="str">
        <f>申込書!$C$32</f>
        <v>B4（折り無し）</v>
      </c>
      <c r="AN210" s="460" t="str">
        <f>VLOOKUP(AM210,★サイズ表記!$D$4:$E$55,2,FALSE)</f>
        <v>1001</v>
      </c>
      <c r="AO210" s="460">
        <f>IF(C210&lt;&gt;"⑧兵庫",VLOOKUP(LEFT(F210),★新聞!$A$4:$B$12,2,FALSE),IF(LEFT(F210)&lt;&gt;"S",VLOOKUP(LEFT(F210),★新聞!$A$4:$B$12,2,FALSE),VLOOKUP("X",★新聞!$A$4:$B$12,2,FALSE)))</f>
        <v>4</v>
      </c>
      <c r="AP210" s="460" t="str">
        <f t="shared" ca="1" si="29"/>
        <v>0</v>
      </c>
      <c r="AQ210" s="460" t="str">
        <f>IF(申込書!$C$38="","",申込書!$C$38)</f>
        <v/>
      </c>
    </row>
    <row r="211" spans="1:43">
      <c r="A211" s="463">
        <f t="shared" si="30"/>
        <v>210</v>
      </c>
      <c r="B211" s="463" t="str">
        <f t="shared" si="31"/>
        <v>東部</v>
      </c>
      <c r="C211" s="464" t="s">
        <v>1016</v>
      </c>
      <c r="D211" s="464" t="s">
        <v>1022</v>
      </c>
      <c r="E211" s="464">
        <f>VLOOKUP(D211,★折込地区!$A$2:$D$10,4,FALSE)</f>
        <v>1</v>
      </c>
      <c r="F211" s="464" t="s">
        <v>456</v>
      </c>
      <c r="G211" s="464" t="str">
        <f>INDEX(★新聞!$E$4:$I$12, MATCH(LEFT(F211),★新聞!$A$4:$A$12,0), MATCH(LEFT(W211),★新聞!$E$3:$I$3,0))</f>
        <v>AG</v>
      </c>
      <c r="H211" s="555" t="s">
        <v>1105</v>
      </c>
      <c r="I211" s="464" cm="1">
        <f t="array" ref="I211">IFERROR(INDEX(★原価率!$A$2:$E$50,MATCH($C211&amp;$H211,★原価率!$A$2:$A$50&amp;★原価率!$B$2:$B$50,0),3),0)</f>
        <v>66</v>
      </c>
      <c r="J211" s="464" cm="1">
        <f t="array" ref="J211">IFERROR(INDEX(★原価率!$A$2:$E$50,MATCH($C211&amp;$H211,★原価率!$A$2:$A$50&amp;★原価率!$B$2:$B$50,0),4),0)</f>
        <v>76</v>
      </c>
      <c r="K211" s="464" cm="1">
        <f t="array" ref="K211">IFERROR(INDEX(★原価率!$A$2:$E$50,MATCH($C211&amp;$H211,★原価率!$A$2:$A$50&amp;★原価率!$B$2:$B$50,0),5),0)</f>
        <v>100</v>
      </c>
      <c r="L211" s="528">
        <f>IFERROR(VLOOKUP(W211,★商品!$A$1:$H$1231,8,FALSE),0)</f>
        <v>2.8</v>
      </c>
      <c r="M211" s="203" t="str">
        <f ca="1">CONCATENATE(VLOOKUP(B211,★営業所!$A$2:$B$5,2,FALSE),TEXT(NOW(),"yyyy"))</f>
        <v>T2023</v>
      </c>
      <c r="N211" s="203">
        <v>1</v>
      </c>
      <c r="O211" s="203">
        <v>0</v>
      </c>
      <c r="P211" s="213">
        <f>申込書!$B$6</f>
        <v>0</v>
      </c>
      <c r="Q211" s="203">
        <f>申込書!$C$34</f>
        <v>1000040</v>
      </c>
      <c r="R211" s="203">
        <v>0</v>
      </c>
      <c r="U211" s="203">
        <f>VLOOKUP(B211,★営業所!$A$2:$C$5,3,FALSE)</f>
        <v>8</v>
      </c>
      <c r="V211" s="203">
        <f>申込書!$B$9</f>
        <v>0</v>
      </c>
      <c r="W211" s="203" t="str">
        <f>CONCATENATE(VLOOKUP(B211,★営業所!$A$2:$B$5,2,FALSE),VLOOKUP(申込書!$C$32,★サイズ表記!$D$4:$E$55,2,FALSE),VLOOKUP(D211,★折込地区!$A$2:$B$11,2,FALSE))</f>
        <v>T1001Tot</v>
      </c>
      <c r="X211" s="203" t="str">
        <f>CONCATENATE(申込書!$B$9," ",VLOOKUP(RIGHT(W211,3),★折込地区!$B$2:$C$10,2,FALSE),"")</f>
        <v xml:space="preserve"> 鳥取</v>
      </c>
      <c r="Z211" s="206">
        <f t="shared" ca="1" si="24"/>
        <v>0</v>
      </c>
      <c r="AB211" s="383">
        <f t="shared" si="25"/>
        <v>2.8</v>
      </c>
      <c r="AC211" s="203" t="str">
        <f t="shared" si="26"/>
        <v>M1001</v>
      </c>
      <c r="AD211" s="203" t="str">
        <f>VLOOKUP(AC211,★原価商品!$E$6:$F$349,2,FALSE)</f>
        <v>毎日/B4（折り無し）</v>
      </c>
      <c r="AE211" s="203">
        <f t="shared" ca="1" si="27"/>
        <v>0</v>
      </c>
      <c r="AF211" s="383">
        <f ca="1">IFERROR(IF(VLOOKUP(申込書!$C$32,★サイズ表記!$F$4:$H$55,3,FALSE)="切り捨て",ROUNDDOWN(L211*IF(AK211="◎",I211,J211)/100,2),IF(VLOOKUP(申込書!$C$32,★サイズ表記!$F$4:$H$55,3,FALSE)="切り上げ",ROUNDUP(L211*IF(AK211="◎",I211,J211)/100,2),ROUND(L211*IF(AK211="◎",I211,J211)/100,2))),0)</f>
        <v>1.84</v>
      </c>
      <c r="AG211" s="203">
        <f t="shared" ca="1" si="28"/>
        <v>10466</v>
      </c>
      <c r="AJ211" s="460" t="str">
        <f>IFERROR(VLOOKUP(申込書!$C$30,★業種!$D$2:$E$87,2,FALSE),"")</f>
        <v>1003</v>
      </c>
      <c r="AK211" s="460" t="str">
        <f ca="1">IF(申込書!$C$36="◎",IF(OR(D211="浜坂・温泉",D211="美方・村岡",D211="香住",D211="岡山",D211="大阪"),"",IF(LEFT(F211)="D","◎",IF(AG211=0,"",IFERROR(IF(VLOOKUP(AG211,★仕入先!$A$2:$C$211,3,FALSE)=0,"","◎"),"")))),"")</f>
        <v>◎</v>
      </c>
      <c r="AL211" s="460">
        <f>申込書!$H$14</f>
        <v>0</v>
      </c>
      <c r="AM211" s="460" t="str">
        <f>申込書!$C$32</f>
        <v>B4（折り無し）</v>
      </c>
      <c r="AN211" s="460" t="str">
        <f>VLOOKUP(AM211,★サイズ表記!$D$4:$E$55,2,FALSE)</f>
        <v>1001</v>
      </c>
      <c r="AO211" s="460">
        <f>IF(C211&lt;&gt;"⑧兵庫",VLOOKUP(LEFT(F211),★新聞!$A$4:$B$12,2,FALSE),IF(LEFT(F211)&lt;&gt;"S",VLOOKUP(LEFT(F211),★新聞!$A$4:$B$12,2,FALSE),VLOOKUP("X",★新聞!$A$4:$B$12,2,FALSE)))</f>
        <v>4</v>
      </c>
      <c r="AP211" s="460" t="str">
        <f t="shared" ca="1" si="29"/>
        <v>0</v>
      </c>
      <c r="AQ211" s="460" t="str">
        <f>IF(申込書!$C$38="","",申込書!$C$38)</f>
        <v/>
      </c>
    </row>
    <row r="212" spans="1:43">
      <c r="A212" s="463">
        <f t="shared" si="30"/>
        <v>211</v>
      </c>
      <c r="B212" s="463" t="str">
        <f t="shared" si="31"/>
        <v>東部</v>
      </c>
      <c r="C212" s="464" t="s">
        <v>1016</v>
      </c>
      <c r="D212" s="464" t="s">
        <v>1022</v>
      </c>
      <c r="E212" s="464">
        <f>VLOOKUP(D212,★折込地区!$A$2:$D$10,4,FALSE)</f>
        <v>1</v>
      </c>
      <c r="F212" s="464" t="s">
        <v>457</v>
      </c>
      <c r="G212" s="464" t="str">
        <f>INDEX(★新聞!$E$4:$I$12, MATCH(LEFT(F212),★新聞!$A$4:$A$12,0), MATCH(LEFT(W212),★新聞!$E$3:$I$3,0))</f>
        <v>AG</v>
      </c>
      <c r="H212" s="475" t="s">
        <v>1107</v>
      </c>
      <c r="I212" s="464" cm="1">
        <f t="array" ref="I212">IFERROR(INDEX(★原価率!$A$2:$E$50,MATCH($C212&amp;$H212,★原価率!$A$2:$A$50&amp;★原価率!$B$2:$B$50,0),3),0)</f>
        <v>76</v>
      </c>
      <c r="J212" s="464" cm="1">
        <f t="array" ref="J212">IFERROR(INDEX(★原価率!$A$2:$E$50,MATCH($C212&amp;$H212,★原価率!$A$2:$A$50&amp;★原価率!$B$2:$B$50,0),4),0)</f>
        <v>76</v>
      </c>
      <c r="K212" s="464" cm="1">
        <f t="array" ref="K212">IFERROR(INDEX(★原価率!$A$2:$E$50,MATCH($C212&amp;$H212,★原価率!$A$2:$A$50&amp;★原価率!$B$2:$B$50,0),5),0)</f>
        <v>100</v>
      </c>
      <c r="L212" s="528">
        <f>IFERROR(VLOOKUP(W212,★商品!$A$1:$H$1231,8,FALSE),0)</f>
        <v>2.8</v>
      </c>
      <c r="M212" s="203" t="str">
        <f ca="1">CONCATENATE(VLOOKUP(B212,★営業所!$A$2:$B$5,2,FALSE),TEXT(NOW(),"yyyy"))</f>
        <v>T2023</v>
      </c>
      <c r="N212" s="203">
        <v>1</v>
      </c>
      <c r="O212" s="203">
        <v>0</v>
      </c>
      <c r="P212" s="213">
        <f>申込書!$B$6</f>
        <v>0</v>
      </c>
      <c r="Q212" s="203">
        <f>申込書!$C$34</f>
        <v>1000040</v>
      </c>
      <c r="R212" s="203">
        <v>0</v>
      </c>
      <c r="U212" s="203">
        <f>VLOOKUP(B212,★営業所!$A$2:$C$5,3,FALSE)</f>
        <v>8</v>
      </c>
      <c r="V212" s="203">
        <f>申込書!$B$9</f>
        <v>0</v>
      </c>
      <c r="W212" s="203" t="str">
        <f>CONCATENATE(VLOOKUP(B212,★営業所!$A$2:$B$5,2,FALSE),VLOOKUP(申込書!$C$32,★サイズ表記!$D$4:$E$55,2,FALSE),VLOOKUP(D212,★折込地区!$A$2:$B$11,2,FALSE))</f>
        <v>T1001Tot</v>
      </c>
      <c r="X212" s="203" t="str">
        <f>CONCATENATE(申込書!$B$9," ",VLOOKUP(RIGHT(W212,3),★折込地区!$B$2:$C$10,2,FALSE),"")</f>
        <v xml:space="preserve"> 鳥取</v>
      </c>
      <c r="Z212" s="206">
        <f t="shared" ca="1" si="24"/>
        <v>0</v>
      </c>
      <c r="AB212" s="383">
        <f t="shared" si="25"/>
        <v>2.8</v>
      </c>
      <c r="AC212" s="203" t="str">
        <f t="shared" si="26"/>
        <v>M1001</v>
      </c>
      <c r="AD212" s="203" t="str">
        <f>VLOOKUP(AC212,★原価商品!$E$6:$F$349,2,FALSE)</f>
        <v>毎日/B4（折り無し）</v>
      </c>
      <c r="AE212" s="203">
        <f t="shared" ca="1" si="27"/>
        <v>0</v>
      </c>
      <c r="AF212" s="383">
        <f ca="1">IFERROR(IF(VLOOKUP(申込書!$C$32,★サイズ表記!$F$4:$H$55,3,FALSE)="切り捨て",ROUNDDOWN(L212*IF(AK212="◎",I212,J212)/100,2),IF(VLOOKUP(申込書!$C$32,★サイズ表記!$F$4:$H$55,3,FALSE)="切り上げ",ROUNDUP(L212*IF(AK212="◎",I212,J212)/100,2),ROUND(L212*IF(AK212="◎",I212,J212)/100,2))),0)</f>
        <v>2.12</v>
      </c>
      <c r="AG212" s="203">
        <f t="shared" ca="1" si="28"/>
        <v>10474</v>
      </c>
      <c r="AJ212" s="460" t="str">
        <f>IFERROR(VLOOKUP(申込書!$C$30,★業種!$D$2:$E$87,2,FALSE),"")</f>
        <v>1003</v>
      </c>
      <c r="AK212" s="460" t="str">
        <f ca="1">IF(申込書!$C$36="◎",IF(OR(D212="浜坂・温泉",D212="美方・村岡",D212="香住",D212="岡山",D212="大阪"),"",IF(LEFT(F212)="D","◎",IF(AG212=0,"",IFERROR(IF(VLOOKUP(AG212,★仕入先!$A$2:$C$211,3,FALSE)=0,"","◎"),"")))),"")</f>
        <v/>
      </c>
      <c r="AL212" s="460">
        <f>申込書!$H$14</f>
        <v>0</v>
      </c>
      <c r="AM212" s="460" t="str">
        <f>申込書!$C$32</f>
        <v>B4（折り無し）</v>
      </c>
      <c r="AN212" s="460" t="str">
        <f>VLOOKUP(AM212,★サイズ表記!$D$4:$E$55,2,FALSE)</f>
        <v>1001</v>
      </c>
      <c r="AO212" s="460">
        <f>IF(C212&lt;&gt;"⑧兵庫",VLOOKUP(LEFT(F212),★新聞!$A$4:$B$12,2,FALSE),IF(LEFT(F212)&lt;&gt;"S",VLOOKUP(LEFT(F212),★新聞!$A$4:$B$12,2,FALSE),VLOOKUP("X",★新聞!$A$4:$B$12,2,FALSE)))</f>
        <v>4</v>
      </c>
      <c r="AP212" s="460" t="str">
        <f t="shared" ca="1" si="29"/>
        <v>0</v>
      </c>
      <c r="AQ212" s="460" t="str">
        <f>IF(申込書!$C$38="","",申込書!$C$38)</f>
        <v/>
      </c>
    </row>
    <row r="213" spans="1:43">
      <c r="A213" s="463">
        <f t="shared" si="30"/>
        <v>212</v>
      </c>
      <c r="B213" s="463" t="str">
        <f t="shared" si="31"/>
        <v>東部</v>
      </c>
      <c r="C213" s="464" t="s">
        <v>1016</v>
      </c>
      <c r="D213" s="464" t="s">
        <v>1022</v>
      </c>
      <c r="E213" s="464">
        <f>VLOOKUP(D213,★折込地区!$A$2:$D$10,4,FALSE)</f>
        <v>1</v>
      </c>
      <c r="F213" s="464" t="s">
        <v>464</v>
      </c>
      <c r="G213" s="464" t="str">
        <f>INDEX(★新聞!$E$4:$I$12, MATCH(LEFT(F213),★新聞!$A$4:$A$12,0), MATCH(LEFT(W213),★新聞!$E$3:$I$3,0))</f>
        <v>AG</v>
      </c>
      <c r="H213" s="555" t="s">
        <v>1105</v>
      </c>
      <c r="I213" s="464" cm="1">
        <f t="array" ref="I213">IFERROR(INDEX(★原価率!$A$2:$E$50,MATCH($C213&amp;$H213,★原価率!$A$2:$A$50&amp;★原価率!$B$2:$B$50,0),3),0)</f>
        <v>66</v>
      </c>
      <c r="J213" s="464" cm="1">
        <f t="array" ref="J213">IFERROR(INDEX(★原価率!$A$2:$E$50,MATCH($C213&amp;$H213,★原価率!$A$2:$A$50&amp;★原価率!$B$2:$B$50,0),4),0)</f>
        <v>76</v>
      </c>
      <c r="K213" s="464" cm="1">
        <f t="array" ref="K213">IFERROR(INDEX(★原価率!$A$2:$E$50,MATCH($C213&amp;$H213,★原価率!$A$2:$A$50&amp;★原価率!$B$2:$B$50,0),5),0)</f>
        <v>100</v>
      </c>
      <c r="L213" s="528">
        <f>IFERROR(VLOOKUP(W213,★商品!$A$1:$H$1231,8,FALSE),0)</f>
        <v>2.8</v>
      </c>
      <c r="M213" s="203" t="str">
        <f ca="1">CONCATENATE(VLOOKUP(B213,★営業所!$A$2:$B$5,2,FALSE),TEXT(NOW(),"yyyy"))</f>
        <v>T2023</v>
      </c>
      <c r="N213" s="203">
        <v>1</v>
      </c>
      <c r="O213" s="203">
        <v>0</v>
      </c>
      <c r="P213" s="213">
        <f>申込書!$B$6</f>
        <v>0</v>
      </c>
      <c r="Q213" s="203">
        <f>申込書!$C$34</f>
        <v>1000040</v>
      </c>
      <c r="R213" s="203">
        <v>0</v>
      </c>
      <c r="U213" s="203">
        <f>VLOOKUP(B213,★営業所!$A$2:$C$5,3,FALSE)</f>
        <v>8</v>
      </c>
      <c r="V213" s="203">
        <f>申込書!$B$9</f>
        <v>0</v>
      </c>
      <c r="W213" s="203" t="str">
        <f>CONCATENATE(VLOOKUP(B213,★営業所!$A$2:$B$5,2,FALSE),VLOOKUP(申込書!$C$32,★サイズ表記!$D$4:$E$55,2,FALSE),VLOOKUP(D213,★折込地区!$A$2:$B$11,2,FALSE))</f>
        <v>T1001Tot</v>
      </c>
      <c r="X213" s="203" t="str">
        <f>CONCATENATE(申込書!$B$9," ",VLOOKUP(RIGHT(W213,3),★折込地区!$B$2:$C$10,2,FALSE),"")</f>
        <v xml:space="preserve"> 鳥取</v>
      </c>
      <c r="Z213" s="206">
        <f t="shared" ca="1" si="24"/>
        <v>0</v>
      </c>
      <c r="AB213" s="383">
        <f t="shared" si="25"/>
        <v>2.8</v>
      </c>
      <c r="AC213" s="203" t="str">
        <f t="shared" si="26"/>
        <v>M1001</v>
      </c>
      <c r="AD213" s="203" t="str">
        <f>VLOOKUP(AC213,★原価商品!$E$6:$F$349,2,FALSE)</f>
        <v>毎日/B4（折り無し）</v>
      </c>
      <c r="AE213" s="203">
        <f t="shared" ca="1" si="27"/>
        <v>0</v>
      </c>
      <c r="AF213" s="383">
        <f ca="1">IFERROR(IF(VLOOKUP(申込書!$C$32,★サイズ表記!$F$4:$H$55,3,FALSE)="切り捨て",ROUNDDOWN(L213*IF(AK213="◎",I213,J213)/100,2),IF(VLOOKUP(申込書!$C$32,★サイズ表記!$F$4:$H$55,3,FALSE)="切り上げ",ROUNDUP(L213*IF(AK213="◎",I213,J213)/100,2),ROUND(L213*IF(AK213="◎",I213,J213)/100,2))),0)</f>
        <v>1.84</v>
      </c>
      <c r="AG213" s="203">
        <f t="shared" ca="1" si="28"/>
        <v>10201</v>
      </c>
      <c r="AJ213" s="460" t="str">
        <f>IFERROR(VLOOKUP(申込書!$C$30,★業種!$D$2:$E$87,2,FALSE),"")</f>
        <v>1003</v>
      </c>
      <c r="AK213" s="460" t="str">
        <f ca="1">IF(申込書!$C$36="◎",IF(OR(D213="浜坂・温泉",D213="美方・村岡",D213="香住",D213="岡山",D213="大阪"),"",IF(LEFT(F213)="D","◎",IF(AG213=0,"",IFERROR(IF(VLOOKUP(AG213,★仕入先!$A$2:$C$211,3,FALSE)=0,"","◎"),"")))),"")</f>
        <v>◎</v>
      </c>
      <c r="AL213" s="460">
        <f>申込書!$H$14</f>
        <v>0</v>
      </c>
      <c r="AM213" s="460" t="str">
        <f>申込書!$C$32</f>
        <v>B4（折り無し）</v>
      </c>
      <c r="AN213" s="460" t="str">
        <f>VLOOKUP(AM213,★サイズ表記!$D$4:$E$55,2,FALSE)</f>
        <v>1001</v>
      </c>
      <c r="AO213" s="460">
        <f>IF(C213&lt;&gt;"⑧兵庫",VLOOKUP(LEFT(F213),★新聞!$A$4:$B$12,2,FALSE),IF(LEFT(F213)&lt;&gt;"S",VLOOKUP(LEFT(F213),★新聞!$A$4:$B$12,2,FALSE),VLOOKUP("X",★新聞!$A$4:$B$12,2,FALSE)))</f>
        <v>4</v>
      </c>
      <c r="AP213" s="460" t="str">
        <f t="shared" ca="1" si="29"/>
        <v>0</v>
      </c>
      <c r="AQ213" s="460" t="str">
        <f>IF(申込書!$C$38="","",申込書!$C$38)</f>
        <v/>
      </c>
    </row>
    <row r="214" spans="1:43">
      <c r="A214" s="463">
        <f t="shared" si="30"/>
        <v>213</v>
      </c>
      <c r="B214" s="463" t="str">
        <f t="shared" si="31"/>
        <v>東部</v>
      </c>
      <c r="C214" s="464" t="s">
        <v>1016</v>
      </c>
      <c r="D214" s="464" t="s">
        <v>1022</v>
      </c>
      <c r="E214" s="464">
        <f>VLOOKUP(D214,★折込地区!$A$2:$D$10,4,FALSE)</f>
        <v>1</v>
      </c>
      <c r="F214" s="464" t="s">
        <v>465</v>
      </c>
      <c r="G214" s="464" t="str">
        <f>INDEX(★新聞!$E$4:$I$12, MATCH(LEFT(F214),★新聞!$A$4:$A$12,0), MATCH(LEFT(W214),★新聞!$E$3:$I$3,0))</f>
        <v>AG</v>
      </c>
      <c r="H214" s="555" t="s">
        <v>1105</v>
      </c>
      <c r="I214" s="464" cm="1">
        <f t="array" ref="I214">IFERROR(INDEX(★原価率!$A$2:$E$50,MATCH($C214&amp;$H214,★原価率!$A$2:$A$50&amp;★原価率!$B$2:$B$50,0),3),0)</f>
        <v>66</v>
      </c>
      <c r="J214" s="464" cm="1">
        <f t="array" ref="J214">IFERROR(INDEX(★原価率!$A$2:$E$50,MATCH($C214&amp;$H214,★原価率!$A$2:$A$50&amp;★原価率!$B$2:$B$50,0),4),0)</f>
        <v>76</v>
      </c>
      <c r="K214" s="464" cm="1">
        <f t="array" ref="K214">IFERROR(INDEX(★原価率!$A$2:$E$50,MATCH($C214&amp;$H214,★原価率!$A$2:$A$50&amp;★原価率!$B$2:$B$50,0),5),0)</f>
        <v>100</v>
      </c>
      <c r="L214" s="528">
        <f>IFERROR(VLOOKUP(W214,★商品!$A$1:$H$1231,8,FALSE),0)</f>
        <v>2.8</v>
      </c>
      <c r="M214" s="203" t="str">
        <f ca="1">CONCATENATE(VLOOKUP(B214,★営業所!$A$2:$B$5,2,FALSE),TEXT(NOW(),"yyyy"))</f>
        <v>T2023</v>
      </c>
      <c r="N214" s="203">
        <v>1</v>
      </c>
      <c r="O214" s="203">
        <v>0</v>
      </c>
      <c r="P214" s="213">
        <f>申込書!$B$6</f>
        <v>0</v>
      </c>
      <c r="Q214" s="203">
        <f>申込書!$C$34</f>
        <v>1000040</v>
      </c>
      <c r="R214" s="203">
        <v>0</v>
      </c>
      <c r="U214" s="203">
        <f>VLOOKUP(B214,★営業所!$A$2:$C$5,3,FALSE)</f>
        <v>8</v>
      </c>
      <c r="V214" s="203">
        <f>申込書!$B$9</f>
        <v>0</v>
      </c>
      <c r="W214" s="203" t="str">
        <f>CONCATENATE(VLOOKUP(B214,★営業所!$A$2:$B$5,2,FALSE),VLOOKUP(申込書!$C$32,★サイズ表記!$D$4:$E$55,2,FALSE),VLOOKUP(D214,★折込地区!$A$2:$B$11,2,FALSE))</f>
        <v>T1001Tot</v>
      </c>
      <c r="X214" s="203" t="str">
        <f>CONCATENATE(申込書!$B$9," ",VLOOKUP(RIGHT(W214,3),★折込地区!$B$2:$C$10,2,FALSE),"")</f>
        <v xml:space="preserve"> 鳥取</v>
      </c>
      <c r="Z214" s="206">
        <f t="shared" ca="1" si="24"/>
        <v>0</v>
      </c>
      <c r="AB214" s="383">
        <f t="shared" si="25"/>
        <v>2.8</v>
      </c>
      <c r="AC214" s="203" t="str">
        <f t="shared" si="26"/>
        <v>M1001</v>
      </c>
      <c r="AD214" s="203" t="str">
        <f>VLOOKUP(AC214,★原価商品!$E$6:$F$349,2,FALSE)</f>
        <v>毎日/B4（折り無し）</v>
      </c>
      <c r="AE214" s="203">
        <f t="shared" ca="1" si="27"/>
        <v>0</v>
      </c>
      <c r="AF214" s="383">
        <f ca="1">IFERROR(IF(VLOOKUP(申込書!$C$32,★サイズ表記!$F$4:$H$55,3,FALSE)="切り捨て",ROUNDDOWN(L214*IF(AK214="◎",I214,J214)/100,2),IF(VLOOKUP(申込書!$C$32,★サイズ表記!$F$4:$H$55,3,FALSE)="切り上げ",ROUNDUP(L214*IF(AK214="◎",I214,J214)/100,2),ROUND(L214*IF(AK214="◎",I214,J214)/100,2))),0)</f>
        <v>1.84</v>
      </c>
      <c r="AG214" s="203">
        <f t="shared" ca="1" si="28"/>
        <v>10205</v>
      </c>
      <c r="AJ214" s="460" t="str">
        <f>IFERROR(VLOOKUP(申込書!$C$30,★業種!$D$2:$E$87,2,FALSE),"")</f>
        <v>1003</v>
      </c>
      <c r="AK214" s="460" t="str">
        <f ca="1">IF(申込書!$C$36="◎",IF(OR(D214="浜坂・温泉",D214="美方・村岡",D214="香住",D214="岡山",D214="大阪"),"",IF(LEFT(F214)="D","◎",IF(AG214=0,"",IFERROR(IF(VLOOKUP(AG214,★仕入先!$A$2:$C$211,3,FALSE)=0,"","◎"),"")))),"")</f>
        <v>◎</v>
      </c>
      <c r="AL214" s="460">
        <f>申込書!$H$14</f>
        <v>0</v>
      </c>
      <c r="AM214" s="460" t="str">
        <f>申込書!$C$32</f>
        <v>B4（折り無し）</v>
      </c>
      <c r="AN214" s="460" t="str">
        <f>VLOOKUP(AM214,★サイズ表記!$D$4:$E$55,2,FALSE)</f>
        <v>1001</v>
      </c>
      <c r="AO214" s="460">
        <f>IF(C214&lt;&gt;"⑧兵庫",VLOOKUP(LEFT(F214),★新聞!$A$4:$B$12,2,FALSE),IF(LEFT(F214)&lt;&gt;"S",VLOOKUP(LEFT(F214),★新聞!$A$4:$B$12,2,FALSE),VLOOKUP("X",★新聞!$A$4:$B$12,2,FALSE)))</f>
        <v>4</v>
      </c>
      <c r="AP214" s="460" t="str">
        <f t="shared" ca="1" si="29"/>
        <v>0</v>
      </c>
      <c r="AQ214" s="460" t="str">
        <f>IF(申込書!$C$38="","",申込書!$C$38)</f>
        <v/>
      </c>
    </row>
    <row r="215" spans="1:43">
      <c r="A215" s="463">
        <f t="shared" si="30"/>
        <v>214</v>
      </c>
      <c r="B215" s="463" t="str">
        <f t="shared" si="31"/>
        <v>東部</v>
      </c>
      <c r="C215" s="464" t="s">
        <v>1016</v>
      </c>
      <c r="D215" s="464" t="s">
        <v>1022</v>
      </c>
      <c r="E215" s="464">
        <f>VLOOKUP(D215,★折込地区!$A$2:$D$10,4,FALSE)</f>
        <v>1</v>
      </c>
      <c r="F215" s="464" t="s">
        <v>466</v>
      </c>
      <c r="G215" s="464" t="str">
        <f>INDEX(★新聞!$E$4:$I$12, MATCH(LEFT(F215),★新聞!$A$4:$A$12,0), MATCH(LEFT(W215),★新聞!$E$3:$I$3,0))</f>
        <v>AG</v>
      </c>
      <c r="H215" s="555" t="s">
        <v>1105</v>
      </c>
      <c r="I215" s="464" cm="1">
        <f t="array" ref="I215">IFERROR(INDEX(★原価率!$A$2:$E$50,MATCH($C215&amp;$H215,★原価率!$A$2:$A$50&amp;★原価率!$B$2:$B$50,0),3),0)</f>
        <v>66</v>
      </c>
      <c r="J215" s="464" cm="1">
        <f t="array" ref="J215">IFERROR(INDEX(★原価率!$A$2:$E$50,MATCH($C215&amp;$H215,★原価率!$A$2:$A$50&amp;★原価率!$B$2:$B$50,0),4),0)</f>
        <v>76</v>
      </c>
      <c r="K215" s="464" cm="1">
        <f t="array" ref="K215">IFERROR(INDEX(★原価率!$A$2:$E$50,MATCH($C215&amp;$H215,★原価率!$A$2:$A$50&amp;★原価率!$B$2:$B$50,0),5),0)</f>
        <v>100</v>
      </c>
      <c r="L215" s="528">
        <f>IFERROR(VLOOKUP(W215,★商品!$A$1:$H$1231,8,FALSE),0)</f>
        <v>2.8</v>
      </c>
      <c r="M215" s="203" t="str">
        <f ca="1">CONCATENATE(VLOOKUP(B215,★営業所!$A$2:$B$5,2,FALSE),TEXT(NOW(),"yyyy"))</f>
        <v>T2023</v>
      </c>
      <c r="N215" s="203">
        <v>1</v>
      </c>
      <c r="O215" s="203">
        <v>0</v>
      </c>
      <c r="P215" s="213">
        <f>申込書!$B$6</f>
        <v>0</v>
      </c>
      <c r="Q215" s="203">
        <f>申込書!$C$34</f>
        <v>1000040</v>
      </c>
      <c r="R215" s="203">
        <v>0</v>
      </c>
      <c r="U215" s="203">
        <f>VLOOKUP(B215,★営業所!$A$2:$C$5,3,FALSE)</f>
        <v>8</v>
      </c>
      <c r="V215" s="203">
        <f>申込書!$B$9</f>
        <v>0</v>
      </c>
      <c r="W215" s="203" t="str">
        <f>CONCATENATE(VLOOKUP(B215,★営業所!$A$2:$B$5,2,FALSE),VLOOKUP(申込書!$C$32,★サイズ表記!$D$4:$E$55,2,FALSE),VLOOKUP(D215,★折込地区!$A$2:$B$11,2,FALSE))</f>
        <v>T1001Tot</v>
      </c>
      <c r="X215" s="203" t="str">
        <f>CONCATENATE(申込書!$B$9," ",VLOOKUP(RIGHT(W215,3),★折込地区!$B$2:$C$10,2,FALSE),"")</f>
        <v xml:space="preserve"> 鳥取</v>
      </c>
      <c r="Z215" s="206">
        <f t="shared" ca="1" si="24"/>
        <v>0</v>
      </c>
      <c r="AB215" s="383">
        <f t="shared" si="25"/>
        <v>2.8</v>
      </c>
      <c r="AC215" s="203" t="str">
        <f t="shared" si="26"/>
        <v>M1001</v>
      </c>
      <c r="AD215" s="203" t="str">
        <f>VLOOKUP(AC215,★原価商品!$E$6:$F$349,2,FALSE)</f>
        <v>毎日/B4（折り無し）</v>
      </c>
      <c r="AE215" s="203">
        <f t="shared" ca="1" si="27"/>
        <v>0</v>
      </c>
      <c r="AF215" s="383">
        <f ca="1">IFERROR(IF(VLOOKUP(申込書!$C$32,★サイズ表記!$F$4:$H$55,3,FALSE)="切り捨て",ROUNDDOWN(L215*IF(AK215="◎",I215,J215)/100,2),IF(VLOOKUP(申込書!$C$32,★サイズ表記!$F$4:$H$55,3,FALSE)="切り上げ",ROUNDUP(L215*IF(AK215="◎",I215,J215)/100,2),ROUND(L215*IF(AK215="◎",I215,J215)/100,2))),0)</f>
        <v>1.84</v>
      </c>
      <c r="AG215" s="203">
        <f t="shared" ca="1" si="28"/>
        <v>10208</v>
      </c>
      <c r="AJ215" s="460" t="str">
        <f>IFERROR(VLOOKUP(申込書!$C$30,★業種!$D$2:$E$87,2,FALSE),"")</f>
        <v>1003</v>
      </c>
      <c r="AK215" s="460" t="str">
        <f ca="1">IF(申込書!$C$36="◎",IF(OR(D215="浜坂・温泉",D215="美方・村岡",D215="香住",D215="岡山",D215="大阪"),"",IF(LEFT(F215)="D","◎",IF(AG215=0,"",IFERROR(IF(VLOOKUP(AG215,★仕入先!$A$2:$C$211,3,FALSE)=0,"","◎"),"")))),"")</f>
        <v>◎</v>
      </c>
      <c r="AL215" s="460">
        <f>申込書!$H$14</f>
        <v>0</v>
      </c>
      <c r="AM215" s="460" t="str">
        <f>申込書!$C$32</f>
        <v>B4（折り無し）</v>
      </c>
      <c r="AN215" s="460" t="str">
        <f>VLOOKUP(AM215,★サイズ表記!$D$4:$E$55,2,FALSE)</f>
        <v>1001</v>
      </c>
      <c r="AO215" s="460">
        <f>IF(C215&lt;&gt;"⑧兵庫",VLOOKUP(LEFT(F215),★新聞!$A$4:$B$12,2,FALSE),IF(LEFT(F215)&lt;&gt;"S",VLOOKUP(LEFT(F215),★新聞!$A$4:$B$12,2,FALSE),VLOOKUP("X",★新聞!$A$4:$B$12,2,FALSE)))</f>
        <v>4</v>
      </c>
      <c r="AP215" s="460" t="str">
        <f t="shared" ca="1" si="29"/>
        <v>0</v>
      </c>
      <c r="AQ215" s="460" t="str">
        <f>IF(申込書!$C$38="","",申込書!$C$38)</f>
        <v/>
      </c>
    </row>
    <row r="216" spans="1:43">
      <c r="A216" s="463">
        <f t="shared" si="30"/>
        <v>215</v>
      </c>
      <c r="B216" s="463" t="str">
        <f t="shared" si="31"/>
        <v>東部</v>
      </c>
      <c r="C216" s="464" t="s">
        <v>1016</v>
      </c>
      <c r="D216" s="464" t="s">
        <v>1022</v>
      </c>
      <c r="E216" s="464">
        <f>VLOOKUP(D216,★折込地区!$A$2:$D$10,4,FALSE)</f>
        <v>1</v>
      </c>
      <c r="F216" s="464" t="s">
        <v>580</v>
      </c>
      <c r="G216" s="464" t="str">
        <f>INDEX(★新聞!$E$4:$I$12, MATCH(LEFT(F216),★新聞!$A$4:$A$12,0), MATCH(LEFT(W216),★新聞!$E$3:$I$3,0))</f>
        <v>AG</v>
      </c>
      <c r="H216" s="555" t="s">
        <v>1105</v>
      </c>
      <c r="I216" s="464" cm="1">
        <f t="array" ref="I216">IFERROR(INDEX(★原価率!$A$2:$E$50,MATCH($C216&amp;$H216,★原価率!$A$2:$A$50&amp;★原価率!$B$2:$B$50,0),3),0)</f>
        <v>66</v>
      </c>
      <c r="J216" s="464" cm="1">
        <f t="array" ref="J216">IFERROR(INDEX(★原価率!$A$2:$E$50,MATCH($C216&amp;$H216,★原価率!$A$2:$A$50&amp;★原価率!$B$2:$B$50,0),4),0)</f>
        <v>76</v>
      </c>
      <c r="K216" s="464" cm="1">
        <f t="array" ref="K216">IFERROR(INDEX(★原価率!$A$2:$E$50,MATCH($C216&amp;$H216,★原価率!$A$2:$A$50&amp;★原価率!$B$2:$B$50,0),5),0)</f>
        <v>100</v>
      </c>
      <c r="L216" s="528">
        <f>IFERROR(VLOOKUP(W216,★商品!$A$1:$H$1231,8,FALSE),0)</f>
        <v>2.8</v>
      </c>
      <c r="M216" s="203" t="str">
        <f ca="1">CONCATENATE(VLOOKUP(B216,★営業所!$A$2:$B$5,2,FALSE),TEXT(NOW(),"yyyy"))</f>
        <v>T2023</v>
      </c>
      <c r="N216" s="203">
        <v>1</v>
      </c>
      <c r="O216" s="203">
        <v>0</v>
      </c>
      <c r="P216" s="213">
        <f>申込書!$B$6</f>
        <v>0</v>
      </c>
      <c r="Q216" s="203">
        <f>申込書!$C$34</f>
        <v>1000040</v>
      </c>
      <c r="R216" s="203">
        <v>0</v>
      </c>
      <c r="U216" s="203">
        <f>VLOOKUP(B216,★営業所!$A$2:$C$5,3,FALSE)</f>
        <v>8</v>
      </c>
      <c r="V216" s="203">
        <f>申込書!$B$9</f>
        <v>0</v>
      </c>
      <c r="W216" s="203" t="str">
        <f>CONCATENATE(VLOOKUP(B216,★営業所!$A$2:$B$5,2,FALSE),VLOOKUP(申込書!$C$32,★サイズ表記!$D$4:$E$55,2,FALSE),VLOOKUP(D216,★折込地区!$A$2:$B$11,2,FALSE))</f>
        <v>T1001Tot</v>
      </c>
      <c r="X216" s="203" t="str">
        <f>CONCATENATE(申込書!$B$9," ",VLOOKUP(RIGHT(W216,3),★折込地区!$B$2:$C$10,2,FALSE),"")</f>
        <v xml:space="preserve"> 鳥取</v>
      </c>
      <c r="Z216" s="206">
        <f t="shared" ca="1" si="24"/>
        <v>0</v>
      </c>
      <c r="AB216" s="383">
        <f t="shared" si="25"/>
        <v>2.8</v>
      </c>
      <c r="AC216" s="203" t="str">
        <f t="shared" si="26"/>
        <v>M1001</v>
      </c>
      <c r="AD216" s="203" t="str">
        <f>VLOOKUP(AC216,★原価商品!$E$6:$F$349,2,FALSE)</f>
        <v>毎日/B4（折り無し）</v>
      </c>
      <c r="AE216" s="203">
        <f t="shared" ca="1" si="27"/>
        <v>0</v>
      </c>
      <c r="AF216" s="383">
        <f ca="1">IFERROR(IF(VLOOKUP(申込書!$C$32,★サイズ表記!$F$4:$H$55,3,FALSE)="切り捨て",ROUNDDOWN(L216*IF(AK216="◎",I216,J216)/100,2),IF(VLOOKUP(申込書!$C$32,★サイズ表記!$F$4:$H$55,3,FALSE)="切り上げ",ROUNDUP(L216*IF(AK216="◎",I216,J216)/100,2),ROUND(L216*IF(AK216="◎",I216,J216)/100,2))),0)</f>
        <v>1.84</v>
      </c>
      <c r="AG216" s="203">
        <f t="shared" ca="1" si="28"/>
        <v>10046</v>
      </c>
      <c r="AJ216" s="460" t="str">
        <f>IFERROR(VLOOKUP(申込書!$C$30,★業種!$D$2:$E$87,2,FALSE),"")</f>
        <v>1003</v>
      </c>
      <c r="AK216" s="460" t="str">
        <f ca="1">IF(申込書!$C$36="◎",IF(OR(D216="浜坂・温泉",D216="美方・村岡",D216="香住",D216="岡山",D216="大阪"),"",IF(LEFT(F216)="D","◎",IF(AG216=0,"",IFERROR(IF(VLOOKUP(AG216,★仕入先!$A$2:$C$211,3,FALSE)=0,"","◎"),"")))),"")</f>
        <v>◎</v>
      </c>
      <c r="AL216" s="460">
        <f>申込書!$H$14</f>
        <v>0</v>
      </c>
      <c r="AM216" s="460" t="str">
        <f>申込書!$C$32</f>
        <v>B4（折り無し）</v>
      </c>
      <c r="AN216" s="460" t="str">
        <f>VLOOKUP(AM216,★サイズ表記!$D$4:$E$55,2,FALSE)</f>
        <v>1001</v>
      </c>
      <c r="AO216" s="460">
        <f>IF(C216&lt;&gt;"⑧兵庫",VLOOKUP(LEFT(F216),★新聞!$A$4:$B$12,2,FALSE),IF(LEFT(F216)&lt;&gt;"S",VLOOKUP(LEFT(F216),★新聞!$A$4:$B$12,2,FALSE),VLOOKUP("X",★新聞!$A$4:$B$12,2,FALSE)))</f>
        <v>4</v>
      </c>
      <c r="AP216" s="460" t="str">
        <f t="shared" ca="1" si="29"/>
        <v>0</v>
      </c>
      <c r="AQ216" s="460" t="str">
        <f>IF(申込書!$C$38="","",申込書!$C$38)</f>
        <v/>
      </c>
    </row>
    <row r="217" spans="1:43">
      <c r="A217" s="463">
        <f t="shared" si="30"/>
        <v>216</v>
      </c>
      <c r="B217" s="463" t="str">
        <f t="shared" si="31"/>
        <v>東部</v>
      </c>
      <c r="C217" s="464" t="s">
        <v>1016</v>
      </c>
      <c r="D217" s="464" t="s">
        <v>1022</v>
      </c>
      <c r="E217" s="464">
        <f>VLOOKUP(D217,★折込地区!$A$2:$D$10,4,FALSE)</f>
        <v>1</v>
      </c>
      <c r="F217" s="464" t="s">
        <v>581</v>
      </c>
      <c r="G217" s="464" t="str">
        <f>INDEX(★新聞!$E$4:$I$12, MATCH(LEFT(F217),★新聞!$A$4:$A$12,0), MATCH(LEFT(W217),★新聞!$E$3:$I$3,0))</f>
        <v>AG</v>
      </c>
      <c r="H217" s="475" t="s">
        <v>1107</v>
      </c>
      <c r="I217" s="464" cm="1">
        <f t="array" ref="I217">IFERROR(INDEX(★原価率!$A$2:$E$50,MATCH($C217&amp;$H217,★原価率!$A$2:$A$50&amp;★原価率!$B$2:$B$50,0),3),0)</f>
        <v>76</v>
      </c>
      <c r="J217" s="464" cm="1">
        <f t="array" ref="J217">IFERROR(INDEX(★原価率!$A$2:$E$50,MATCH($C217&amp;$H217,★原価率!$A$2:$A$50&amp;★原価率!$B$2:$B$50,0),4),0)</f>
        <v>76</v>
      </c>
      <c r="K217" s="464" cm="1">
        <f t="array" ref="K217">IFERROR(INDEX(★原価率!$A$2:$E$50,MATCH($C217&amp;$H217,★原価率!$A$2:$A$50&amp;★原価率!$B$2:$B$50,0),5),0)</f>
        <v>100</v>
      </c>
      <c r="L217" s="528">
        <f>IFERROR(VLOOKUP(W217,★商品!$A$1:$H$1231,8,FALSE),0)</f>
        <v>2.8</v>
      </c>
      <c r="M217" s="203" t="str">
        <f ca="1">CONCATENATE(VLOOKUP(B217,★営業所!$A$2:$B$5,2,FALSE),TEXT(NOW(),"yyyy"))</f>
        <v>T2023</v>
      </c>
      <c r="N217" s="203">
        <v>1</v>
      </c>
      <c r="O217" s="203">
        <v>0</v>
      </c>
      <c r="P217" s="213">
        <f>申込書!$B$6</f>
        <v>0</v>
      </c>
      <c r="Q217" s="203">
        <f>申込書!$C$34</f>
        <v>1000040</v>
      </c>
      <c r="R217" s="203">
        <v>0</v>
      </c>
      <c r="U217" s="203">
        <f>VLOOKUP(B217,★営業所!$A$2:$C$5,3,FALSE)</f>
        <v>8</v>
      </c>
      <c r="V217" s="203">
        <f>申込書!$B$9</f>
        <v>0</v>
      </c>
      <c r="W217" s="203" t="str">
        <f>CONCATENATE(VLOOKUP(B217,★営業所!$A$2:$B$5,2,FALSE),VLOOKUP(申込書!$C$32,★サイズ表記!$D$4:$E$55,2,FALSE),VLOOKUP(D217,★折込地区!$A$2:$B$11,2,FALSE))</f>
        <v>T1001Tot</v>
      </c>
      <c r="X217" s="203" t="str">
        <f>CONCATENATE(申込書!$B$9," ",VLOOKUP(RIGHT(W217,3),★折込地区!$B$2:$C$10,2,FALSE),"")</f>
        <v xml:space="preserve"> 鳥取</v>
      </c>
      <c r="Z217" s="206">
        <f t="shared" ca="1" si="24"/>
        <v>0</v>
      </c>
      <c r="AB217" s="383">
        <f t="shared" si="25"/>
        <v>2.8</v>
      </c>
      <c r="AC217" s="203" t="str">
        <f t="shared" si="26"/>
        <v>M1001</v>
      </c>
      <c r="AD217" s="203" t="str">
        <f>VLOOKUP(AC217,★原価商品!$E$6:$F$349,2,FALSE)</f>
        <v>毎日/B4（折り無し）</v>
      </c>
      <c r="AE217" s="203">
        <f t="shared" ca="1" si="27"/>
        <v>0</v>
      </c>
      <c r="AF217" s="383">
        <f ca="1">IFERROR(IF(VLOOKUP(申込書!$C$32,★サイズ表記!$F$4:$H$55,3,FALSE)="切り捨て",ROUNDDOWN(L217*IF(AK217="◎",I217,J217)/100,2),IF(VLOOKUP(申込書!$C$32,★サイズ表記!$F$4:$H$55,3,FALSE)="切り上げ",ROUNDUP(L217*IF(AK217="◎",I217,J217)/100,2),ROUND(L217*IF(AK217="◎",I217,J217)/100,2))),0)</f>
        <v>2.12</v>
      </c>
      <c r="AG217" s="203">
        <f t="shared" ca="1" si="28"/>
        <v>10053</v>
      </c>
      <c r="AJ217" s="460" t="str">
        <f>IFERROR(VLOOKUP(申込書!$C$30,★業種!$D$2:$E$87,2,FALSE),"")</f>
        <v>1003</v>
      </c>
      <c r="AK217" s="460" t="str">
        <f ca="1">IF(申込書!$C$36="◎",IF(OR(D217="浜坂・温泉",D217="美方・村岡",D217="香住",D217="岡山",D217="大阪"),"",IF(LEFT(F217)="D","◎",IF(AG217=0,"",IFERROR(IF(VLOOKUP(AG217,★仕入先!$A$2:$C$211,3,FALSE)=0,"","◎"),"")))),"")</f>
        <v/>
      </c>
      <c r="AL217" s="460">
        <f>申込書!$H$14</f>
        <v>0</v>
      </c>
      <c r="AM217" s="460" t="str">
        <f>申込書!$C$32</f>
        <v>B4（折り無し）</v>
      </c>
      <c r="AN217" s="460" t="str">
        <f>VLOOKUP(AM217,★サイズ表記!$D$4:$E$55,2,FALSE)</f>
        <v>1001</v>
      </c>
      <c r="AO217" s="460">
        <f>IF(C217&lt;&gt;"⑧兵庫",VLOOKUP(LEFT(F217),★新聞!$A$4:$B$12,2,FALSE),IF(LEFT(F217)&lt;&gt;"S",VLOOKUP(LEFT(F217),★新聞!$A$4:$B$12,2,FALSE),VLOOKUP("X",★新聞!$A$4:$B$12,2,FALSE)))</f>
        <v>4</v>
      </c>
      <c r="AP217" s="460" t="str">
        <f t="shared" ca="1" si="29"/>
        <v>0</v>
      </c>
      <c r="AQ217" s="460" t="str">
        <f>IF(申込書!$C$38="","",申込書!$C$38)</f>
        <v/>
      </c>
    </row>
    <row r="218" spans="1:43">
      <c r="A218" s="463">
        <f t="shared" si="30"/>
        <v>217</v>
      </c>
      <c r="B218" s="463" t="str">
        <f t="shared" si="31"/>
        <v>東部</v>
      </c>
      <c r="C218" s="464" t="s">
        <v>1016</v>
      </c>
      <c r="D218" s="464" t="s">
        <v>1022</v>
      </c>
      <c r="E218" s="464">
        <f>VLOOKUP(D218,★折込地区!$A$2:$D$10,4,FALSE)</f>
        <v>1</v>
      </c>
      <c r="F218" s="464" t="s">
        <v>582</v>
      </c>
      <c r="G218" s="464" t="str">
        <f>INDEX(★新聞!$E$4:$I$12, MATCH(LEFT(F218),★新聞!$A$4:$A$12,0), MATCH(LEFT(W218),★新聞!$E$3:$I$3,0))</f>
        <v>AG</v>
      </c>
      <c r="H218" s="555" t="s">
        <v>1105</v>
      </c>
      <c r="I218" s="464" cm="1">
        <f t="array" ref="I218">IFERROR(INDEX(★原価率!$A$2:$E$50,MATCH($C218&amp;$H218,★原価率!$A$2:$A$50&amp;★原価率!$B$2:$B$50,0),3),0)</f>
        <v>66</v>
      </c>
      <c r="J218" s="464" cm="1">
        <f t="array" ref="J218">IFERROR(INDEX(★原価率!$A$2:$E$50,MATCH($C218&amp;$H218,★原価率!$A$2:$A$50&amp;★原価率!$B$2:$B$50,0),4),0)</f>
        <v>76</v>
      </c>
      <c r="K218" s="464" cm="1">
        <f t="array" ref="K218">IFERROR(INDEX(★原価率!$A$2:$E$50,MATCH($C218&amp;$H218,★原価率!$A$2:$A$50&amp;★原価率!$B$2:$B$50,0),5),0)</f>
        <v>100</v>
      </c>
      <c r="L218" s="528">
        <f>IFERROR(VLOOKUP(W218,★商品!$A$1:$H$1231,8,FALSE),0)</f>
        <v>2.8</v>
      </c>
      <c r="M218" s="203" t="str">
        <f ca="1">CONCATENATE(VLOOKUP(B218,★営業所!$A$2:$B$5,2,FALSE),TEXT(NOW(),"yyyy"))</f>
        <v>T2023</v>
      </c>
      <c r="N218" s="203">
        <v>1</v>
      </c>
      <c r="O218" s="203">
        <v>0</v>
      </c>
      <c r="P218" s="213">
        <f>申込書!$B$6</f>
        <v>0</v>
      </c>
      <c r="Q218" s="203">
        <f>申込書!$C$34</f>
        <v>1000040</v>
      </c>
      <c r="R218" s="203">
        <v>0</v>
      </c>
      <c r="U218" s="203">
        <f>VLOOKUP(B218,★営業所!$A$2:$C$5,3,FALSE)</f>
        <v>8</v>
      </c>
      <c r="V218" s="203">
        <f>申込書!$B$9</f>
        <v>0</v>
      </c>
      <c r="W218" s="203" t="str">
        <f>CONCATENATE(VLOOKUP(B218,★営業所!$A$2:$B$5,2,FALSE),VLOOKUP(申込書!$C$32,★サイズ表記!$D$4:$E$55,2,FALSE),VLOOKUP(D218,★折込地区!$A$2:$B$11,2,FALSE))</f>
        <v>T1001Tot</v>
      </c>
      <c r="X218" s="203" t="str">
        <f>CONCATENATE(申込書!$B$9," ",VLOOKUP(RIGHT(W218,3),★折込地区!$B$2:$C$10,2,FALSE),"")</f>
        <v xml:space="preserve"> 鳥取</v>
      </c>
      <c r="Z218" s="206">
        <f t="shared" ca="1" si="24"/>
        <v>0</v>
      </c>
      <c r="AB218" s="383">
        <f t="shared" si="25"/>
        <v>2.8</v>
      </c>
      <c r="AC218" s="203" t="str">
        <f t="shared" si="26"/>
        <v>M1001</v>
      </c>
      <c r="AD218" s="203" t="str">
        <f>VLOOKUP(AC218,★原価商品!$E$6:$F$349,2,FALSE)</f>
        <v>毎日/B4（折り無し）</v>
      </c>
      <c r="AE218" s="203">
        <f t="shared" ca="1" si="27"/>
        <v>0</v>
      </c>
      <c r="AF218" s="383">
        <f ca="1">IFERROR(IF(VLOOKUP(申込書!$C$32,★サイズ表記!$F$4:$H$55,3,FALSE)="切り捨て",ROUNDDOWN(L218*IF(AK218="◎",I218,J218)/100,2),IF(VLOOKUP(申込書!$C$32,★サイズ表記!$F$4:$H$55,3,FALSE)="切り上げ",ROUNDUP(L218*IF(AK218="◎",I218,J218)/100,2),ROUND(L218*IF(AK218="◎",I218,J218)/100,2))),0)</f>
        <v>1.84</v>
      </c>
      <c r="AG218" s="203">
        <f t="shared" ca="1" si="28"/>
        <v>10061</v>
      </c>
      <c r="AJ218" s="460" t="str">
        <f>IFERROR(VLOOKUP(申込書!$C$30,★業種!$D$2:$E$87,2,FALSE),"")</f>
        <v>1003</v>
      </c>
      <c r="AK218" s="460" t="str">
        <f ca="1">IF(申込書!$C$36="◎",IF(OR(D218="浜坂・温泉",D218="美方・村岡",D218="香住",D218="岡山",D218="大阪"),"",IF(LEFT(F218)="D","◎",IF(AG218=0,"",IFERROR(IF(VLOOKUP(AG218,★仕入先!$A$2:$C$211,3,FALSE)=0,"","◎"),"")))),"")</f>
        <v>◎</v>
      </c>
      <c r="AL218" s="460">
        <f>申込書!$H$14</f>
        <v>0</v>
      </c>
      <c r="AM218" s="460" t="str">
        <f>申込書!$C$32</f>
        <v>B4（折り無し）</v>
      </c>
      <c r="AN218" s="460" t="str">
        <f>VLOOKUP(AM218,★サイズ表記!$D$4:$E$55,2,FALSE)</f>
        <v>1001</v>
      </c>
      <c r="AO218" s="460">
        <f>IF(C218&lt;&gt;"⑧兵庫",VLOOKUP(LEFT(F218),★新聞!$A$4:$B$12,2,FALSE),IF(LEFT(F218)&lt;&gt;"S",VLOOKUP(LEFT(F218),★新聞!$A$4:$B$12,2,FALSE),VLOOKUP("X",★新聞!$A$4:$B$12,2,FALSE)))</f>
        <v>4</v>
      </c>
      <c r="AP218" s="460" t="str">
        <f t="shared" ca="1" si="29"/>
        <v>0</v>
      </c>
      <c r="AQ218" s="460" t="str">
        <f>IF(申込書!$C$38="","",申込書!$C$38)</f>
        <v/>
      </c>
    </row>
    <row r="219" spans="1:43">
      <c r="A219" s="463">
        <f t="shared" si="30"/>
        <v>218</v>
      </c>
      <c r="B219" s="463" t="str">
        <f t="shared" si="31"/>
        <v>東部</v>
      </c>
      <c r="C219" s="464" t="s">
        <v>1016</v>
      </c>
      <c r="D219" s="464" t="s">
        <v>1022</v>
      </c>
      <c r="E219" s="464">
        <f>VLOOKUP(D219,★折込地区!$A$2:$D$10,4,FALSE)</f>
        <v>1</v>
      </c>
      <c r="F219" s="464" t="s">
        <v>583</v>
      </c>
      <c r="G219" s="464" t="str">
        <f>INDEX(★新聞!$E$4:$I$12, MATCH(LEFT(F219),★新聞!$A$4:$A$12,0), MATCH(LEFT(W219),★新聞!$E$3:$I$3,0))</f>
        <v>AG</v>
      </c>
      <c r="H219" s="475" t="s">
        <v>1107</v>
      </c>
      <c r="I219" s="464" cm="1">
        <f t="array" ref="I219">IFERROR(INDEX(★原価率!$A$2:$E$50,MATCH($C219&amp;$H219,★原価率!$A$2:$A$50&amp;★原価率!$B$2:$B$50,0),3),0)</f>
        <v>76</v>
      </c>
      <c r="J219" s="464" cm="1">
        <f t="array" ref="J219">IFERROR(INDEX(★原価率!$A$2:$E$50,MATCH($C219&amp;$H219,★原価率!$A$2:$A$50&amp;★原価率!$B$2:$B$50,0),4),0)</f>
        <v>76</v>
      </c>
      <c r="K219" s="464" cm="1">
        <f t="array" ref="K219">IFERROR(INDEX(★原価率!$A$2:$E$50,MATCH($C219&amp;$H219,★原価率!$A$2:$A$50&amp;★原価率!$B$2:$B$50,0),5),0)</f>
        <v>100</v>
      </c>
      <c r="L219" s="528">
        <f>IFERROR(VLOOKUP(W219,★商品!$A$1:$H$1231,8,FALSE),0)</f>
        <v>2.8</v>
      </c>
      <c r="M219" s="203" t="str">
        <f ca="1">CONCATENATE(VLOOKUP(B219,★営業所!$A$2:$B$5,2,FALSE),TEXT(NOW(),"yyyy"))</f>
        <v>T2023</v>
      </c>
      <c r="N219" s="203">
        <v>1</v>
      </c>
      <c r="O219" s="203">
        <v>0</v>
      </c>
      <c r="P219" s="213">
        <f>申込書!$B$6</f>
        <v>0</v>
      </c>
      <c r="Q219" s="203">
        <f>申込書!$C$34</f>
        <v>1000040</v>
      </c>
      <c r="R219" s="203">
        <v>0</v>
      </c>
      <c r="U219" s="203">
        <f>VLOOKUP(B219,★営業所!$A$2:$C$5,3,FALSE)</f>
        <v>8</v>
      </c>
      <c r="V219" s="203">
        <f>申込書!$B$9</f>
        <v>0</v>
      </c>
      <c r="W219" s="203" t="str">
        <f>CONCATENATE(VLOOKUP(B219,★営業所!$A$2:$B$5,2,FALSE),VLOOKUP(申込書!$C$32,★サイズ表記!$D$4:$E$55,2,FALSE),VLOOKUP(D219,★折込地区!$A$2:$B$11,2,FALSE))</f>
        <v>T1001Tot</v>
      </c>
      <c r="X219" s="203" t="str">
        <f>CONCATENATE(申込書!$B$9," ",VLOOKUP(RIGHT(W219,3),★折込地区!$B$2:$C$10,2,FALSE),"")</f>
        <v xml:space="preserve"> 鳥取</v>
      </c>
      <c r="Z219" s="206">
        <f t="shared" ca="1" si="24"/>
        <v>0</v>
      </c>
      <c r="AB219" s="383">
        <f t="shared" si="25"/>
        <v>2.8</v>
      </c>
      <c r="AC219" s="203" t="str">
        <f t="shared" si="26"/>
        <v>M1001</v>
      </c>
      <c r="AD219" s="203" t="str">
        <f>VLOOKUP(AC219,★原価商品!$E$6:$F$349,2,FALSE)</f>
        <v>毎日/B4（折り無し）</v>
      </c>
      <c r="AE219" s="203">
        <f t="shared" ca="1" si="27"/>
        <v>0</v>
      </c>
      <c r="AF219" s="383">
        <f ca="1">IFERROR(IF(VLOOKUP(申込書!$C$32,★サイズ表記!$F$4:$H$55,3,FALSE)="切り捨て",ROUNDDOWN(L219*IF(AK219="◎",I219,J219)/100,2),IF(VLOOKUP(申込書!$C$32,★サイズ表記!$F$4:$H$55,3,FALSE)="切り上げ",ROUNDUP(L219*IF(AK219="◎",I219,J219)/100,2),ROUND(L219*IF(AK219="◎",I219,J219)/100,2))),0)</f>
        <v>2.12</v>
      </c>
      <c r="AG219" s="203">
        <f t="shared" ca="1" si="28"/>
        <v>10074</v>
      </c>
      <c r="AJ219" s="460" t="str">
        <f>IFERROR(VLOOKUP(申込書!$C$30,★業種!$D$2:$E$87,2,FALSE),"")</f>
        <v>1003</v>
      </c>
      <c r="AK219" s="460" t="str">
        <f ca="1">IF(申込書!$C$36="◎",IF(OR(D219="浜坂・温泉",D219="美方・村岡",D219="香住",D219="岡山",D219="大阪"),"",IF(LEFT(F219)="D","◎",IF(AG219=0,"",IFERROR(IF(VLOOKUP(AG219,★仕入先!$A$2:$C$211,3,FALSE)=0,"","◎"),"")))),"")</f>
        <v/>
      </c>
      <c r="AL219" s="460">
        <f>申込書!$H$14</f>
        <v>0</v>
      </c>
      <c r="AM219" s="460" t="str">
        <f>申込書!$C$32</f>
        <v>B4（折り無し）</v>
      </c>
      <c r="AN219" s="460" t="str">
        <f>VLOOKUP(AM219,★サイズ表記!$D$4:$E$55,2,FALSE)</f>
        <v>1001</v>
      </c>
      <c r="AO219" s="460">
        <f>IF(C219&lt;&gt;"⑧兵庫",VLOOKUP(LEFT(F219),★新聞!$A$4:$B$12,2,FALSE),IF(LEFT(F219)&lt;&gt;"S",VLOOKUP(LEFT(F219),★新聞!$A$4:$B$12,2,FALSE),VLOOKUP("X",★新聞!$A$4:$B$12,2,FALSE)))</f>
        <v>4</v>
      </c>
      <c r="AP219" s="460" t="str">
        <f t="shared" ca="1" si="29"/>
        <v>0</v>
      </c>
      <c r="AQ219" s="460" t="str">
        <f>IF(申込書!$C$38="","",申込書!$C$38)</f>
        <v/>
      </c>
    </row>
    <row r="220" spans="1:43">
      <c r="A220" s="463">
        <f t="shared" si="30"/>
        <v>219</v>
      </c>
      <c r="B220" s="463" t="str">
        <f t="shared" si="31"/>
        <v>東部</v>
      </c>
      <c r="C220" s="464" t="s">
        <v>1016</v>
      </c>
      <c r="D220" s="464" t="s">
        <v>1022</v>
      </c>
      <c r="E220" s="464">
        <f>VLOOKUP(D220,★折込地区!$A$2:$D$10,4,FALSE)</f>
        <v>1</v>
      </c>
      <c r="F220" s="464" t="s">
        <v>469</v>
      </c>
      <c r="G220" s="464" t="str">
        <f>INDEX(★新聞!$E$4:$I$12, MATCH(LEFT(F220),★新聞!$A$4:$A$12,0), MATCH(LEFT(W220),★新聞!$E$3:$I$3,0))</f>
        <v>AJ</v>
      </c>
      <c r="H220" s="475" t="s">
        <v>1107</v>
      </c>
      <c r="I220" s="464" cm="1">
        <f t="array" ref="I220">IFERROR(INDEX(★原価率!$A$2:$E$50,MATCH($C220&amp;$H220,★原価率!$A$2:$A$50&amp;★原価率!$B$2:$B$50,0),3),0)</f>
        <v>76</v>
      </c>
      <c r="J220" s="464" cm="1">
        <f t="array" ref="J220">IFERROR(INDEX(★原価率!$A$2:$E$50,MATCH($C220&amp;$H220,★原価率!$A$2:$A$50&amp;★原価率!$B$2:$B$50,0),4),0)</f>
        <v>76</v>
      </c>
      <c r="K220" s="464" cm="1">
        <f t="array" ref="K220">IFERROR(INDEX(★原価率!$A$2:$E$50,MATCH($C220&amp;$H220,★原価率!$A$2:$A$50&amp;★原価率!$B$2:$B$50,0),5),0)</f>
        <v>100</v>
      </c>
      <c r="L220" s="528">
        <f>IFERROR(VLOOKUP(W220,★商品!$A$1:$H$1231,8,FALSE),0)</f>
        <v>2.8</v>
      </c>
      <c r="M220" s="203" t="str">
        <f ca="1">CONCATENATE(VLOOKUP(B220,★営業所!$A$2:$B$5,2,FALSE),TEXT(NOW(),"yyyy"))</f>
        <v>T2023</v>
      </c>
      <c r="N220" s="203">
        <v>1</v>
      </c>
      <c r="O220" s="203">
        <v>0</v>
      </c>
      <c r="P220" s="213">
        <f>申込書!$B$6</f>
        <v>0</v>
      </c>
      <c r="Q220" s="203">
        <f>申込書!$C$34</f>
        <v>1000040</v>
      </c>
      <c r="R220" s="203">
        <v>0</v>
      </c>
      <c r="U220" s="203">
        <f>VLOOKUP(B220,★営業所!$A$2:$C$5,3,FALSE)</f>
        <v>8</v>
      </c>
      <c r="V220" s="203">
        <f>申込書!$B$9</f>
        <v>0</v>
      </c>
      <c r="W220" s="203" t="str">
        <f>CONCATENATE(VLOOKUP(B220,★営業所!$A$2:$B$5,2,FALSE),VLOOKUP(申込書!$C$32,★サイズ表記!$D$4:$E$55,2,FALSE),VLOOKUP(D220,★折込地区!$A$2:$B$11,2,FALSE))</f>
        <v>T1001Tot</v>
      </c>
      <c r="X220" s="203" t="str">
        <f>CONCATENATE(申込書!$B$9," ",VLOOKUP(RIGHT(W220,3),★折込地区!$B$2:$C$10,2,FALSE),"")</f>
        <v xml:space="preserve"> 鳥取</v>
      </c>
      <c r="Z220" s="206">
        <f t="shared" ca="1" si="24"/>
        <v>0</v>
      </c>
      <c r="AB220" s="383">
        <f t="shared" si="25"/>
        <v>2.8</v>
      </c>
      <c r="AC220" s="203" t="str">
        <f t="shared" si="26"/>
        <v>P1001</v>
      </c>
      <c r="AD220" s="203" t="str">
        <f>VLOOKUP(AC220,★原価商品!$E$6:$F$349,2,FALSE)</f>
        <v>産経/B4（折り無し）</v>
      </c>
      <c r="AE220" s="203">
        <f t="shared" ca="1" si="27"/>
        <v>0</v>
      </c>
      <c r="AF220" s="383">
        <f ca="1">IFERROR(IF(VLOOKUP(申込書!$C$32,★サイズ表記!$F$4:$H$55,3,FALSE)="切り捨て",ROUNDDOWN(L220*IF(AK220="◎",I220,J220)/100,2),IF(VLOOKUP(申込書!$C$32,★サイズ表記!$F$4:$H$55,3,FALSE)="切り上げ",ROUNDUP(L220*IF(AK220="◎",I220,J220)/100,2),ROUND(L220*IF(AK220="◎",I220,J220)/100,2))),0)</f>
        <v>2.12</v>
      </c>
      <c r="AG220" s="203">
        <f t="shared" ca="1" si="28"/>
        <v>10413</v>
      </c>
      <c r="AJ220" s="460" t="str">
        <f>IFERROR(VLOOKUP(申込書!$C$30,★業種!$D$2:$E$87,2,FALSE),"")</f>
        <v>1003</v>
      </c>
      <c r="AK220" s="460" t="str">
        <f ca="1">IF(申込書!$C$36="◎",IF(OR(D220="浜坂・温泉",D220="美方・村岡",D220="香住",D220="岡山",D220="大阪"),"",IF(LEFT(F220)="D","◎",IF(AG220=0,"",IFERROR(IF(VLOOKUP(AG220,★仕入先!$A$2:$C$211,3,FALSE)=0,"","◎"),"")))),"")</f>
        <v/>
      </c>
      <c r="AL220" s="460">
        <f>申込書!$H$14</f>
        <v>0</v>
      </c>
      <c r="AM220" s="460" t="str">
        <f>申込書!$C$32</f>
        <v>B4（折り無し）</v>
      </c>
      <c r="AN220" s="460" t="str">
        <f>VLOOKUP(AM220,★サイズ表記!$D$4:$E$55,2,FALSE)</f>
        <v>1001</v>
      </c>
      <c r="AO220" s="460">
        <f>IF(C220&lt;&gt;"⑧兵庫",VLOOKUP(LEFT(F220),★新聞!$A$4:$B$12,2,FALSE),IF(LEFT(F220)&lt;&gt;"S",VLOOKUP(LEFT(F220),★新聞!$A$4:$B$12,2,FALSE),VLOOKUP("X",★新聞!$A$4:$B$12,2,FALSE)))</f>
        <v>5</v>
      </c>
      <c r="AP220" s="460" t="str">
        <f t="shared" ca="1" si="29"/>
        <v>0</v>
      </c>
      <c r="AQ220" s="460" t="str">
        <f>IF(申込書!$C$38="","",申込書!$C$38)</f>
        <v/>
      </c>
    </row>
    <row r="221" spans="1:43">
      <c r="A221" s="463">
        <f t="shared" si="30"/>
        <v>220</v>
      </c>
      <c r="B221" s="463" t="str">
        <f t="shared" si="31"/>
        <v>東部</v>
      </c>
      <c r="C221" s="464" t="s">
        <v>1016</v>
      </c>
      <c r="D221" s="464" t="s">
        <v>1022</v>
      </c>
      <c r="E221" s="464">
        <f>VLOOKUP(D221,★折込地区!$A$2:$D$10,4,FALSE)</f>
        <v>1</v>
      </c>
      <c r="F221" s="464" t="s">
        <v>470</v>
      </c>
      <c r="G221" s="464" t="str">
        <f>INDEX(★新聞!$E$4:$I$12, MATCH(LEFT(F221),★新聞!$A$4:$A$12,0), MATCH(LEFT(W221),★新聞!$E$3:$I$3,0))</f>
        <v>AJ</v>
      </c>
      <c r="H221" s="555" t="s">
        <v>1105</v>
      </c>
      <c r="I221" s="464" cm="1">
        <f t="array" ref="I221">IFERROR(INDEX(★原価率!$A$2:$E$50,MATCH($C221&amp;$H221,★原価率!$A$2:$A$50&amp;★原価率!$B$2:$B$50,0),3),0)</f>
        <v>66</v>
      </c>
      <c r="J221" s="464" cm="1">
        <f t="array" ref="J221">IFERROR(INDEX(★原価率!$A$2:$E$50,MATCH($C221&amp;$H221,★原価率!$A$2:$A$50&amp;★原価率!$B$2:$B$50,0),4),0)</f>
        <v>76</v>
      </c>
      <c r="K221" s="464" cm="1">
        <f t="array" ref="K221">IFERROR(INDEX(★原価率!$A$2:$E$50,MATCH($C221&amp;$H221,★原価率!$A$2:$A$50&amp;★原価率!$B$2:$B$50,0),5),0)</f>
        <v>100</v>
      </c>
      <c r="L221" s="528">
        <f>IFERROR(VLOOKUP(W221,★商品!$A$1:$H$1231,8,FALSE),0)</f>
        <v>2.8</v>
      </c>
      <c r="M221" s="203" t="str">
        <f ca="1">CONCATENATE(VLOOKUP(B221,★営業所!$A$2:$B$5,2,FALSE),TEXT(NOW(),"yyyy"))</f>
        <v>T2023</v>
      </c>
      <c r="N221" s="203">
        <v>1</v>
      </c>
      <c r="O221" s="203">
        <v>0</v>
      </c>
      <c r="P221" s="213">
        <f>申込書!$B$6</f>
        <v>0</v>
      </c>
      <c r="Q221" s="203">
        <f>申込書!$C$34</f>
        <v>1000040</v>
      </c>
      <c r="R221" s="203">
        <v>0</v>
      </c>
      <c r="U221" s="203">
        <f>VLOOKUP(B221,★営業所!$A$2:$C$5,3,FALSE)</f>
        <v>8</v>
      </c>
      <c r="V221" s="203">
        <f>申込書!$B$9</f>
        <v>0</v>
      </c>
      <c r="W221" s="203" t="str">
        <f>CONCATENATE(VLOOKUP(B221,★営業所!$A$2:$B$5,2,FALSE),VLOOKUP(申込書!$C$32,★サイズ表記!$D$4:$E$55,2,FALSE),VLOOKUP(D221,★折込地区!$A$2:$B$11,2,FALSE))</f>
        <v>T1001Tot</v>
      </c>
      <c r="X221" s="203" t="str">
        <f>CONCATENATE(申込書!$B$9," ",VLOOKUP(RIGHT(W221,3),★折込地区!$B$2:$C$10,2,FALSE),"")</f>
        <v xml:space="preserve"> 鳥取</v>
      </c>
      <c r="Z221" s="206">
        <f t="shared" ca="1" si="24"/>
        <v>0</v>
      </c>
      <c r="AB221" s="383">
        <f t="shared" si="25"/>
        <v>2.8</v>
      </c>
      <c r="AC221" s="203" t="str">
        <f t="shared" si="26"/>
        <v>P1001</v>
      </c>
      <c r="AD221" s="203" t="str">
        <f>VLOOKUP(AC221,★原価商品!$E$6:$F$349,2,FALSE)</f>
        <v>産経/B4（折り無し）</v>
      </c>
      <c r="AE221" s="203">
        <f t="shared" ca="1" si="27"/>
        <v>0</v>
      </c>
      <c r="AF221" s="383">
        <f ca="1">IFERROR(IF(VLOOKUP(申込書!$C$32,★サイズ表記!$F$4:$H$55,3,FALSE)="切り捨て",ROUNDDOWN(L221*IF(AK221="◎",I221,J221)/100,2),IF(VLOOKUP(申込書!$C$32,★サイズ表記!$F$4:$H$55,3,FALSE)="切り上げ",ROUNDUP(L221*IF(AK221="◎",I221,J221)/100,2),ROUND(L221*IF(AK221="◎",I221,J221)/100,2))),0)</f>
        <v>1.84</v>
      </c>
      <c r="AG221" s="203">
        <f t="shared" ca="1" si="28"/>
        <v>10421</v>
      </c>
      <c r="AJ221" s="460" t="str">
        <f>IFERROR(VLOOKUP(申込書!$C$30,★業種!$D$2:$E$87,2,FALSE),"")</f>
        <v>1003</v>
      </c>
      <c r="AK221" s="460" t="str">
        <f ca="1">IF(申込書!$C$36="◎",IF(OR(D221="浜坂・温泉",D221="美方・村岡",D221="香住",D221="岡山",D221="大阪"),"",IF(LEFT(F221)="D","◎",IF(AG221=0,"",IFERROR(IF(VLOOKUP(AG221,★仕入先!$A$2:$C$211,3,FALSE)=0,"","◎"),"")))),"")</f>
        <v>◎</v>
      </c>
      <c r="AL221" s="460">
        <f>申込書!$H$14</f>
        <v>0</v>
      </c>
      <c r="AM221" s="460" t="str">
        <f>申込書!$C$32</f>
        <v>B4（折り無し）</v>
      </c>
      <c r="AN221" s="460" t="str">
        <f>VLOOKUP(AM221,★サイズ表記!$D$4:$E$55,2,FALSE)</f>
        <v>1001</v>
      </c>
      <c r="AO221" s="460">
        <f>IF(C221&lt;&gt;"⑧兵庫",VLOOKUP(LEFT(F221),★新聞!$A$4:$B$12,2,FALSE),IF(LEFT(F221)&lt;&gt;"S",VLOOKUP(LEFT(F221),★新聞!$A$4:$B$12,2,FALSE),VLOOKUP("X",★新聞!$A$4:$B$12,2,FALSE)))</f>
        <v>5</v>
      </c>
      <c r="AP221" s="460" t="str">
        <f t="shared" ca="1" si="29"/>
        <v>0</v>
      </c>
      <c r="AQ221" s="460" t="str">
        <f>IF(申込書!$C$38="","",申込書!$C$38)</f>
        <v/>
      </c>
    </row>
    <row r="222" spans="1:43">
      <c r="A222" s="463">
        <f t="shared" si="30"/>
        <v>221</v>
      </c>
      <c r="B222" s="463" t="str">
        <f t="shared" si="31"/>
        <v>東部</v>
      </c>
      <c r="C222" s="464" t="s">
        <v>1016</v>
      </c>
      <c r="D222" s="464" t="s">
        <v>1022</v>
      </c>
      <c r="E222" s="464">
        <f>VLOOKUP(D222,★折込地区!$A$2:$D$10,4,FALSE)</f>
        <v>1</v>
      </c>
      <c r="F222" s="464" t="s">
        <v>471</v>
      </c>
      <c r="G222" s="464" t="str">
        <f>INDEX(★新聞!$E$4:$I$12, MATCH(LEFT(F222),★新聞!$A$4:$A$12,0), MATCH(LEFT(W222),★新聞!$E$3:$I$3,0))</f>
        <v>AJ</v>
      </c>
      <c r="H222" s="555" t="s">
        <v>1105</v>
      </c>
      <c r="I222" s="464" cm="1">
        <f t="array" ref="I222">IFERROR(INDEX(★原価率!$A$2:$E$50,MATCH($C222&amp;$H222,★原価率!$A$2:$A$50&amp;★原価率!$B$2:$B$50,0),3),0)</f>
        <v>66</v>
      </c>
      <c r="J222" s="464" cm="1">
        <f t="array" ref="J222">IFERROR(INDEX(★原価率!$A$2:$E$50,MATCH($C222&amp;$H222,★原価率!$A$2:$A$50&amp;★原価率!$B$2:$B$50,0),4),0)</f>
        <v>76</v>
      </c>
      <c r="K222" s="464" cm="1">
        <f t="array" ref="K222">IFERROR(INDEX(★原価率!$A$2:$E$50,MATCH($C222&amp;$H222,★原価率!$A$2:$A$50&amp;★原価率!$B$2:$B$50,0),5),0)</f>
        <v>100</v>
      </c>
      <c r="L222" s="528">
        <f>IFERROR(VLOOKUP(W222,★商品!$A$1:$H$1231,8,FALSE),0)</f>
        <v>2.8</v>
      </c>
      <c r="M222" s="203" t="str">
        <f ca="1">CONCATENATE(VLOOKUP(B222,★営業所!$A$2:$B$5,2,FALSE),TEXT(NOW(),"yyyy"))</f>
        <v>T2023</v>
      </c>
      <c r="N222" s="203">
        <v>1</v>
      </c>
      <c r="O222" s="203">
        <v>0</v>
      </c>
      <c r="P222" s="213">
        <f>申込書!$B$6</f>
        <v>0</v>
      </c>
      <c r="Q222" s="203">
        <f>申込書!$C$34</f>
        <v>1000040</v>
      </c>
      <c r="R222" s="203">
        <v>0</v>
      </c>
      <c r="U222" s="203">
        <f>VLOOKUP(B222,★営業所!$A$2:$C$5,3,FALSE)</f>
        <v>8</v>
      </c>
      <c r="V222" s="203">
        <f>申込書!$B$9</f>
        <v>0</v>
      </c>
      <c r="W222" s="203" t="str">
        <f>CONCATENATE(VLOOKUP(B222,★営業所!$A$2:$B$5,2,FALSE),VLOOKUP(申込書!$C$32,★サイズ表記!$D$4:$E$55,2,FALSE),VLOOKUP(D222,★折込地区!$A$2:$B$11,2,FALSE))</f>
        <v>T1001Tot</v>
      </c>
      <c r="X222" s="203" t="str">
        <f>CONCATENATE(申込書!$B$9," ",VLOOKUP(RIGHT(W222,3),★折込地区!$B$2:$C$10,2,FALSE),"")</f>
        <v xml:space="preserve"> 鳥取</v>
      </c>
      <c r="Z222" s="206">
        <f t="shared" ca="1" si="24"/>
        <v>0</v>
      </c>
      <c r="AB222" s="383">
        <f t="shared" si="25"/>
        <v>2.8</v>
      </c>
      <c r="AC222" s="203" t="str">
        <f t="shared" si="26"/>
        <v>P1001</v>
      </c>
      <c r="AD222" s="203" t="str">
        <f>VLOOKUP(AC222,★原価商品!$E$6:$F$349,2,FALSE)</f>
        <v>産経/B4（折り無し）</v>
      </c>
      <c r="AE222" s="203">
        <f t="shared" ca="1" si="27"/>
        <v>0</v>
      </c>
      <c r="AF222" s="383">
        <f ca="1">IFERROR(IF(VLOOKUP(申込書!$C$32,★サイズ表記!$F$4:$H$55,3,FALSE)="切り捨て",ROUNDDOWN(L222*IF(AK222="◎",I222,J222)/100,2),IF(VLOOKUP(申込書!$C$32,★サイズ表記!$F$4:$H$55,3,FALSE)="切り上げ",ROUNDUP(L222*IF(AK222="◎",I222,J222)/100,2),ROUND(L222*IF(AK222="◎",I222,J222)/100,2))),0)</f>
        <v>1.84</v>
      </c>
      <c r="AG222" s="203">
        <f t="shared" ca="1" si="28"/>
        <v>10434</v>
      </c>
      <c r="AJ222" s="460" t="str">
        <f>IFERROR(VLOOKUP(申込書!$C$30,★業種!$D$2:$E$87,2,FALSE),"")</f>
        <v>1003</v>
      </c>
      <c r="AK222" s="460" t="str">
        <f ca="1">IF(申込書!$C$36="◎",IF(OR(D222="浜坂・温泉",D222="美方・村岡",D222="香住",D222="岡山",D222="大阪"),"",IF(LEFT(F222)="D","◎",IF(AG222=0,"",IFERROR(IF(VLOOKUP(AG222,★仕入先!$A$2:$C$211,3,FALSE)=0,"","◎"),"")))),"")</f>
        <v>◎</v>
      </c>
      <c r="AL222" s="460">
        <f>申込書!$H$14</f>
        <v>0</v>
      </c>
      <c r="AM222" s="460" t="str">
        <f>申込書!$C$32</f>
        <v>B4（折り無し）</v>
      </c>
      <c r="AN222" s="460" t="str">
        <f>VLOOKUP(AM222,★サイズ表記!$D$4:$E$55,2,FALSE)</f>
        <v>1001</v>
      </c>
      <c r="AO222" s="460">
        <f>IF(C222&lt;&gt;"⑧兵庫",VLOOKUP(LEFT(F222),★新聞!$A$4:$B$12,2,FALSE),IF(LEFT(F222)&lt;&gt;"S",VLOOKUP(LEFT(F222),★新聞!$A$4:$B$12,2,FALSE),VLOOKUP("X",★新聞!$A$4:$B$12,2,FALSE)))</f>
        <v>5</v>
      </c>
      <c r="AP222" s="460" t="str">
        <f t="shared" ca="1" si="29"/>
        <v>0</v>
      </c>
      <c r="AQ222" s="460" t="str">
        <f>IF(申込書!$C$38="","",申込書!$C$38)</f>
        <v/>
      </c>
    </row>
    <row r="223" spans="1:43">
      <c r="A223" s="463">
        <f t="shared" si="30"/>
        <v>222</v>
      </c>
      <c r="B223" s="463" t="str">
        <f t="shared" si="31"/>
        <v>東部</v>
      </c>
      <c r="C223" s="464" t="s">
        <v>1016</v>
      </c>
      <c r="D223" s="464" t="s">
        <v>1022</v>
      </c>
      <c r="E223" s="464">
        <f>VLOOKUP(D223,★折込地区!$A$2:$D$10,4,FALSE)</f>
        <v>1</v>
      </c>
      <c r="F223" s="464" t="s">
        <v>472</v>
      </c>
      <c r="G223" s="464" t="str">
        <f>INDEX(★新聞!$E$4:$I$12, MATCH(LEFT(F223),★新聞!$A$4:$A$12,0), MATCH(LEFT(W223),★新聞!$E$3:$I$3,0))</f>
        <v>AJ</v>
      </c>
      <c r="H223" s="555" t="s">
        <v>1105</v>
      </c>
      <c r="I223" s="464" cm="1">
        <f t="array" ref="I223">IFERROR(INDEX(★原価率!$A$2:$E$50,MATCH($C223&amp;$H223,★原価率!$A$2:$A$50&amp;★原価率!$B$2:$B$50,0),3),0)</f>
        <v>66</v>
      </c>
      <c r="J223" s="464" cm="1">
        <f t="array" ref="J223">IFERROR(INDEX(★原価率!$A$2:$E$50,MATCH($C223&amp;$H223,★原価率!$A$2:$A$50&amp;★原価率!$B$2:$B$50,0),4),0)</f>
        <v>76</v>
      </c>
      <c r="K223" s="464" cm="1">
        <f t="array" ref="K223">IFERROR(INDEX(★原価率!$A$2:$E$50,MATCH($C223&amp;$H223,★原価率!$A$2:$A$50&amp;★原価率!$B$2:$B$50,0),5),0)</f>
        <v>100</v>
      </c>
      <c r="L223" s="528">
        <f>IFERROR(VLOOKUP(W223,★商品!$A$1:$H$1231,8,FALSE),0)</f>
        <v>2.8</v>
      </c>
      <c r="M223" s="203" t="str">
        <f ca="1">CONCATENATE(VLOOKUP(B223,★営業所!$A$2:$B$5,2,FALSE),TEXT(NOW(),"yyyy"))</f>
        <v>T2023</v>
      </c>
      <c r="N223" s="203">
        <v>1</v>
      </c>
      <c r="O223" s="203">
        <v>0</v>
      </c>
      <c r="P223" s="213">
        <f>申込書!$B$6</f>
        <v>0</v>
      </c>
      <c r="Q223" s="203">
        <f>申込書!$C$34</f>
        <v>1000040</v>
      </c>
      <c r="R223" s="203">
        <v>0</v>
      </c>
      <c r="U223" s="203">
        <f>VLOOKUP(B223,★営業所!$A$2:$C$5,3,FALSE)</f>
        <v>8</v>
      </c>
      <c r="V223" s="203">
        <f>申込書!$B$9</f>
        <v>0</v>
      </c>
      <c r="W223" s="203" t="str">
        <f>CONCATENATE(VLOOKUP(B223,★営業所!$A$2:$B$5,2,FALSE),VLOOKUP(申込書!$C$32,★サイズ表記!$D$4:$E$55,2,FALSE),VLOOKUP(D223,★折込地区!$A$2:$B$11,2,FALSE))</f>
        <v>T1001Tot</v>
      </c>
      <c r="X223" s="203" t="str">
        <f>CONCATENATE(申込書!$B$9," ",VLOOKUP(RIGHT(W223,3),★折込地区!$B$2:$C$10,2,FALSE),"")</f>
        <v xml:space="preserve"> 鳥取</v>
      </c>
      <c r="Z223" s="206">
        <f t="shared" ca="1" si="24"/>
        <v>0</v>
      </c>
      <c r="AB223" s="383">
        <f t="shared" si="25"/>
        <v>2.8</v>
      </c>
      <c r="AC223" s="203" t="str">
        <f t="shared" si="26"/>
        <v>P1001</v>
      </c>
      <c r="AD223" s="203" t="str">
        <f>VLOOKUP(AC223,★原価商品!$E$6:$F$349,2,FALSE)</f>
        <v>産経/B4（折り無し）</v>
      </c>
      <c r="AE223" s="203">
        <f t="shared" ca="1" si="27"/>
        <v>0</v>
      </c>
      <c r="AF223" s="383">
        <f ca="1">IFERROR(IF(VLOOKUP(申込書!$C$32,★サイズ表記!$F$4:$H$55,3,FALSE)="切り捨て",ROUNDDOWN(L223*IF(AK223="◎",I223,J223)/100,2),IF(VLOOKUP(申込書!$C$32,★サイズ表記!$F$4:$H$55,3,FALSE)="切り上げ",ROUNDUP(L223*IF(AK223="◎",I223,J223)/100,2),ROUND(L223*IF(AK223="◎",I223,J223)/100,2))),0)</f>
        <v>1.84</v>
      </c>
      <c r="AG223" s="203">
        <f t="shared" ca="1" si="28"/>
        <v>10441</v>
      </c>
      <c r="AJ223" s="460" t="str">
        <f>IFERROR(VLOOKUP(申込書!$C$30,★業種!$D$2:$E$87,2,FALSE),"")</f>
        <v>1003</v>
      </c>
      <c r="AK223" s="460" t="str">
        <f ca="1">IF(申込書!$C$36="◎",IF(OR(D223="浜坂・温泉",D223="美方・村岡",D223="香住",D223="岡山",D223="大阪"),"",IF(LEFT(F223)="D","◎",IF(AG223=0,"",IFERROR(IF(VLOOKUP(AG223,★仕入先!$A$2:$C$211,3,FALSE)=0,"","◎"),"")))),"")</f>
        <v>◎</v>
      </c>
      <c r="AL223" s="460">
        <f>申込書!$H$14</f>
        <v>0</v>
      </c>
      <c r="AM223" s="460" t="str">
        <f>申込書!$C$32</f>
        <v>B4（折り無し）</v>
      </c>
      <c r="AN223" s="460" t="str">
        <f>VLOOKUP(AM223,★サイズ表記!$D$4:$E$55,2,FALSE)</f>
        <v>1001</v>
      </c>
      <c r="AO223" s="460">
        <f>IF(C223&lt;&gt;"⑧兵庫",VLOOKUP(LEFT(F223),★新聞!$A$4:$B$12,2,FALSE),IF(LEFT(F223)&lt;&gt;"S",VLOOKUP(LEFT(F223),★新聞!$A$4:$B$12,2,FALSE),VLOOKUP("X",★新聞!$A$4:$B$12,2,FALSE)))</f>
        <v>5</v>
      </c>
      <c r="AP223" s="460" t="str">
        <f t="shared" ca="1" si="29"/>
        <v>0</v>
      </c>
      <c r="AQ223" s="460" t="str">
        <f>IF(申込書!$C$38="","",申込書!$C$38)</f>
        <v/>
      </c>
    </row>
    <row r="224" spans="1:43">
      <c r="A224" s="463">
        <f t="shared" si="30"/>
        <v>223</v>
      </c>
      <c r="B224" s="463" t="str">
        <f t="shared" si="31"/>
        <v>東部</v>
      </c>
      <c r="C224" s="464" t="s">
        <v>1016</v>
      </c>
      <c r="D224" s="464" t="s">
        <v>1022</v>
      </c>
      <c r="E224" s="464">
        <f>VLOOKUP(D224,★折込地区!$A$2:$D$10,4,FALSE)</f>
        <v>1</v>
      </c>
      <c r="F224" s="464" t="s">
        <v>475</v>
      </c>
      <c r="G224" s="464" t="str">
        <f>INDEX(★新聞!$E$4:$I$12, MATCH(LEFT(F224),★新聞!$A$4:$A$12,0), MATCH(LEFT(W224),★新聞!$E$3:$I$3,0))</f>
        <v>AJ</v>
      </c>
      <c r="H224" s="555" t="s">
        <v>1105</v>
      </c>
      <c r="I224" s="464" cm="1">
        <f t="array" ref="I224">IFERROR(INDEX(★原価率!$A$2:$E$50,MATCH($C224&amp;$H224,★原価率!$A$2:$A$50&amp;★原価率!$B$2:$B$50,0),3),0)</f>
        <v>66</v>
      </c>
      <c r="J224" s="464" cm="1">
        <f t="array" ref="J224">IFERROR(INDEX(★原価率!$A$2:$E$50,MATCH($C224&amp;$H224,★原価率!$A$2:$A$50&amp;★原価率!$B$2:$B$50,0),4),0)</f>
        <v>76</v>
      </c>
      <c r="K224" s="464" cm="1">
        <f t="array" ref="K224">IFERROR(INDEX(★原価率!$A$2:$E$50,MATCH($C224&amp;$H224,★原価率!$A$2:$A$50&amp;★原価率!$B$2:$B$50,0),5),0)</f>
        <v>100</v>
      </c>
      <c r="L224" s="528">
        <f>IFERROR(VLOOKUP(W224,★商品!$A$1:$H$1231,8,FALSE),0)</f>
        <v>2.8</v>
      </c>
      <c r="M224" s="203" t="str">
        <f ca="1">CONCATENATE(VLOOKUP(B224,★営業所!$A$2:$B$5,2,FALSE),TEXT(NOW(),"yyyy"))</f>
        <v>T2023</v>
      </c>
      <c r="N224" s="203">
        <v>1</v>
      </c>
      <c r="O224" s="203">
        <v>0</v>
      </c>
      <c r="P224" s="213">
        <f>申込書!$B$6</f>
        <v>0</v>
      </c>
      <c r="Q224" s="203">
        <f>申込書!$C$34</f>
        <v>1000040</v>
      </c>
      <c r="R224" s="203">
        <v>0</v>
      </c>
      <c r="U224" s="203">
        <f>VLOOKUP(B224,★営業所!$A$2:$C$5,3,FALSE)</f>
        <v>8</v>
      </c>
      <c r="V224" s="203">
        <f>申込書!$B$9</f>
        <v>0</v>
      </c>
      <c r="W224" s="203" t="str">
        <f>CONCATENATE(VLOOKUP(B224,★営業所!$A$2:$B$5,2,FALSE),VLOOKUP(申込書!$C$32,★サイズ表記!$D$4:$E$55,2,FALSE),VLOOKUP(D224,★折込地区!$A$2:$B$11,2,FALSE))</f>
        <v>T1001Tot</v>
      </c>
      <c r="X224" s="203" t="str">
        <f>CONCATENATE(申込書!$B$9," ",VLOOKUP(RIGHT(W224,3),★折込地区!$B$2:$C$10,2,FALSE),"")</f>
        <v xml:space="preserve"> 鳥取</v>
      </c>
      <c r="Z224" s="206">
        <f t="shared" ca="1" si="24"/>
        <v>0</v>
      </c>
      <c r="AB224" s="383">
        <f t="shared" si="25"/>
        <v>2.8</v>
      </c>
      <c r="AC224" s="203" t="str">
        <f t="shared" si="26"/>
        <v>P1001</v>
      </c>
      <c r="AD224" s="203" t="str">
        <f>VLOOKUP(AC224,★原価商品!$E$6:$F$349,2,FALSE)</f>
        <v>産経/B4（折り無し）</v>
      </c>
      <c r="AE224" s="203">
        <f t="shared" ca="1" si="27"/>
        <v>0</v>
      </c>
      <c r="AF224" s="383">
        <f ca="1">IFERROR(IF(VLOOKUP(申込書!$C$32,★サイズ表記!$F$4:$H$55,3,FALSE)="切り捨て",ROUNDDOWN(L224*IF(AK224="◎",I224,J224)/100,2),IF(VLOOKUP(申込書!$C$32,★サイズ表記!$F$4:$H$55,3,FALSE)="切り上げ",ROUNDUP(L224*IF(AK224="◎",I224,J224)/100,2),ROUND(L224*IF(AK224="◎",I224,J224)/100,2))),0)</f>
        <v>1.84</v>
      </c>
      <c r="AG224" s="203">
        <f t="shared" ca="1" si="28"/>
        <v>10451</v>
      </c>
      <c r="AJ224" s="460" t="str">
        <f>IFERROR(VLOOKUP(申込書!$C$30,★業種!$D$2:$E$87,2,FALSE),"")</f>
        <v>1003</v>
      </c>
      <c r="AK224" s="460" t="str">
        <f ca="1">IF(申込書!$C$36="◎",IF(OR(D224="浜坂・温泉",D224="美方・村岡",D224="香住",D224="岡山",D224="大阪"),"",IF(LEFT(F224)="D","◎",IF(AG224=0,"",IFERROR(IF(VLOOKUP(AG224,★仕入先!$A$2:$C$211,3,FALSE)=0,"","◎"),"")))),"")</f>
        <v>◎</v>
      </c>
      <c r="AL224" s="460">
        <f>申込書!$H$14</f>
        <v>0</v>
      </c>
      <c r="AM224" s="460" t="str">
        <f>申込書!$C$32</f>
        <v>B4（折り無し）</v>
      </c>
      <c r="AN224" s="460" t="str">
        <f>VLOOKUP(AM224,★サイズ表記!$D$4:$E$55,2,FALSE)</f>
        <v>1001</v>
      </c>
      <c r="AO224" s="460">
        <f>IF(C224&lt;&gt;"⑧兵庫",VLOOKUP(LEFT(F224),★新聞!$A$4:$B$12,2,FALSE),IF(LEFT(F224)&lt;&gt;"S",VLOOKUP(LEFT(F224),★新聞!$A$4:$B$12,2,FALSE),VLOOKUP("X",★新聞!$A$4:$B$12,2,FALSE)))</f>
        <v>5</v>
      </c>
      <c r="AP224" s="460" t="str">
        <f t="shared" ca="1" si="29"/>
        <v>0</v>
      </c>
      <c r="AQ224" s="460" t="str">
        <f>IF(申込書!$C$38="","",申込書!$C$38)</f>
        <v/>
      </c>
    </row>
    <row r="225" spans="1:43">
      <c r="A225" s="463">
        <f t="shared" si="30"/>
        <v>224</v>
      </c>
      <c r="B225" s="463" t="str">
        <f t="shared" si="31"/>
        <v>東部</v>
      </c>
      <c r="C225" s="464" t="s">
        <v>1016</v>
      </c>
      <c r="D225" s="464" t="s">
        <v>1022</v>
      </c>
      <c r="E225" s="464">
        <f>VLOOKUP(D225,★折込地区!$A$2:$D$10,4,FALSE)</f>
        <v>1</v>
      </c>
      <c r="F225" s="464" t="s">
        <v>476</v>
      </c>
      <c r="G225" s="464" t="str">
        <f>INDEX(★新聞!$E$4:$I$12, MATCH(LEFT(F225),★新聞!$A$4:$A$12,0), MATCH(LEFT(W225),★新聞!$E$3:$I$3,0))</f>
        <v>AJ</v>
      </c>
      <c r="H225" s="555" t="s">
        <v>1105</v>
      </c>
      <c r="I225" s="464" cm="1">
        <f t="array" ref="I225">IFERROR(INDEX(★原価率!$A$2:$E$50,MATCH($C225&amp;$H225,★原価率!$A$2:$A$50&amp;★原価率!$B$2:$B$50,0),3),0)</f>
        <v>66</v>
      </c>
      <c r="J225" s="464" cm="1">
        <f t="array" ref="J225">IFERROR(INDEX(★原価率!$A$2:$E$50,MATCH($C225&amp;$H225,★原価率!$A$2:$A$50&amp;★原価率!$B$2:$B$50,0),4),0)</f>
        <v>76</v>
      </c>
      <c r="K225" s="464" cm="1">
        <f t="array" ref="K225">IFERROR(INDEX(★原価率!$A$2:$E$50,MATCH($C225&amp;$H225,★原価率!$A$2:$A$50&amp;★原価率!$B$2:$B$50,0),5),0)</f>
        <v>100</v>
      </c>
      <c r="L225" s="528">
        <f>IFERROR(VLOOKUP(W225,★商品!$A$1:$H$1231,8,FALSE),0)</f>
        <v>2.8</v>
      </c>
      <c r="M225" s="203" t="str">
        <f ca="1">CONCATENATE(VLOOKUP(B225,★営業所!$A$2:$B$5,2,FALSE),TEXT(NOW(),"yyyy"))</f>
        <v>T2023</v>
      </c>
      <c r="N225" s="203">
        <v>1</v>
      </c>
      <c r="O225" s="203">
        <v>0</v>
      </c>
      <c r="P225" s="213">
        <f>申込書!$B$6</f>
        <v>0</v>
      </c>
      <c r="Q225" s="203">
        <f>申込書!$C$34</f>
        <v>1000040</v>
      </c>
      <c r="R225" s="203">
        <v>0</v>
      </c>
      <c r="U225" s="203">
        <f>VLOOKUP(B225,★営業所!$A$2:$C$5,3,FALSE)</f>
        <v>8</v>
      </c>
      <c r="V225" s="203">
        <f>申込書!$B$9</f>
        <v>0</v>
      </c>
      <c r="W225" s="203" t="str">
        <f>CONCATENATE(VLOOKUP(B225,★営業所!$A$2:$B$5,2,FALSE),VLOOKUP(申込書!$C$32,★サイズ表記!$D$4:$E$55,2,FALSE),VLOOKUP(D225,★折込地区!$A$2:$B$11,2,FALSE))</f>
        <v>T1001Tot</v>
      </c>
      <c r="X225" s="203" t="str">
        <f>CONCATENATE(申込書!$B$9," ",VLOOKUP(RIGHT(W225,3),★折込地区!$B$2:$C$10,2,FALSE),"")</f>
        <v xml:space="preserve"> 鳥取</v>
      </c>
      <c r="Z225" s="206">
        <f t="shared" ca="1" si="24"/>
        <v>0</v>
      </c>
      <c r="AB225" s="383">
        <f t="shared" si="25"/>
        <v>2.8</v>
      </c>
      <c r="AC225" s="203" t="str">
        <f t="shared" si="26"/>
        <v>P1001</v>
      </c>
      <c r="AD225" s="203" t="str">
        <f>VLOOKUP(AC225,★原価商品!$E$6:$F$349,2,FALSE)</f>
        <v>産経/B4（折り無し）</v>
      </c>
      <c r="AE225" s="203">
        <f t="shared" ca="1" si="27"/>
        <v>0</v>
      </c>
      <c r="AF225" s="383">
        <f ca="1">IFERROR(IF(VLOOKUP(申込書!$C$32,★サイズ表記!$F$4:$H$55,3,FALSE)="切り捨て",ROUNDDOWN(L225*IF(AK225="◎",I225,J225)/100,2),IF(VLOOKUP(申込書!$C$32,★サイズ表記!$F$4:$H$55,3,FALSE)="切り上げ",ROUNDUP(L225*IF(AK225="◎",I225,J225)/100,2),ROUND(L225*IF(AK225="◎",I225,J225)/100,2))),0)</f>
        <v>1.84</v>
      </c>
      <c r="AG225" s="203">
        <f t="shared" ca="1" si="28"/>
        <v>10461</v>
      </c>
      <c r="AJ225" s="460" t="str">
        <f>IFERROR(VLOOKUP(申込書!$C$30,★業種!$D$2:$E$87,2,FALSE),"")</f>
        <v>1003</v>
      </c>
      <c r="AK225" s="460" t="str">
        <f ca="1">IF(申込書!$C$36="◎",IF(OR(D225="浜坂・温泉",D225="美方・村岡",D225="香住",D225="岡山",D225="大阪"),"",IF(LEFT(F225)="D","◎",IF(AG225=0,"",IFERROR(IF(VLOOKUP(AG225,★仕入先!$A$2:$C$211,3,FALSE)=0,"","◎"),"")))),"")</f>
        <v>◎</v>
      </c>
      <c r="AL225" s="460">
        <f>申込書!$H$14</f>
        <v>0</v>
      </c>
      <c r="AM225" s="460" t="str">
        <f>申込書!$C$32</f>
        <v>B4（折り無し）</v>
      </c>
      <c r="AN225" s="460" t="str">
        <f>VLOOKUP(AM225,★サイズ表記!$D$4:$E$55,2,FALSE)</f>
        <v>1001</v>
      </c>
      <c r="AO225" s="460">
        <f>IF(C225&lt;&gt;"⑧兵庫",VLOOKUP(LEFT(F225),★新聞!$A$4:$B$12,2,FALSE),IF(LEFT(F225)&lt;&gt;"S",VLOOKUP(LEFT(F225),★新聞!$A$4:$B$12,2,FALSE),VLOOKUP("X",★新聞!$A$4:$B$12,2,FALSE)))</f>
        <v>5</v>
      </c>
      <c r="AP225" s="460" t="str">
        <f t="shared" ca="1" si="29"/>
        <v>0</v>
      </c>
      <c r="AQ225" s="460" t="str">
        <f>IF(申込書!$C$38="","",申込書!$C$38)</f>
        <v/>
      </c>
    </row>
    <row r="226" spans="1:43">
      <c r="A226" s="463">
        <f t="shared" si="30"/>
        <v>225</v>
      </c>
      <c r="B226" s="463" t="str">
        <f t="shared" si="31"/>
        <v>東部</v>
      </c>
      <c r="C226" s="464" t="s">
        <v>1016</v>
      </c>
      <c r="D226" s="464" t="s">
        <v>1022</v>
      </c>
      <c r="E226" s="464">
        <f>VLOOKUP(D226,★折込地区!$A$2:$D$10,4,FALSE)</f>
        <v>1</v>
      </c>
      <c r="F226" s="464" t="s">
        <v>477</v>
      </c>
      <c r="G226" s="464" t="str">
        <f>INDEX(★新聞!$E$4:$I$12, MATCH(LEFT(F226),★新聞!$A$4:$A$12,0), MATCH(LEFT(W226),★新聞!$E$3:$I$3,0))</f>
        <v>AJ</v>
      </c>
      <c r="H226" s="555" t="s">
        <v>1105</v>
      </c>
      <c r="I226" s="464" cm="1">
        <f t="array" ref="I226">IFERROR(INDEX(★原価率!$A$2:$E$50,MATCH($C226&amp;$H226,★原価率!$A$2:$A$50&amp;★原価率!$B$2:$B$50,0),3),0)</f>
        <v>66</v>
      </c>
      <c r="J226" s="464" cm="1">
        <f t="array" ref="J226">IFERROR(INDEX(★原価率!$A$2:$E$50,MATCH($C226&amp;$H226,★原価率!$A$2:$A$50&amp;★原価率!$B$2:$B$50,0),4),0)</f>
        <v>76</v>
      </c>
      <c r="K226" s="464" cm="1">
        <f t="array" ref="K226">IFERROR(INDEX(★原価率!$A$2:$E$50,MATCH($C226&amp;$H226,★原価率!$A$2:$A$50&amp;★原価率!$B$2:$B$50,0),5),0)</f>
        <v>100</v>
      </c>
      <c r="L226" s="528">
        <f>IFERROR(VLOOKUP(W226,★商品!$A$1:$H$1231,8,FALSE),0)</f>
        <v>2.8</v>
      </c>
      <c r="M226" s="203" t="str">
        <f ca="1">CONCATENATE(VLOOKUP(B226,★営業所!$A$2:$B$5,2,FALSE),TEXT(NOW(),"yyyy"))</f>
        <v>T2023</v>
      </c>
      <c r="N226" s="203">
        <v>1</v>
      </c>
      <c r="O226" s="203">
        <v>0</v>
      </c>
      <c r="P226" s="213">
        <f>申込書!$B$6</f>
        <v>0</v>
      </c>
      <c r="Q226" s="203">
        <f>申込書!$C$34</f>
        <v>1000040</v>
      </c>
      <c r="R226" s="203">
        <v>0</v>
      </c>
      <c r="U226" s="203">
        <f>VLOOKUP(B226,★営業所!$A$2:$C$5,3,FALSE)</f>
        <v>8</v>
      </c>
      <c r="V226" s="203">
        <f>申込書!$B$9</f>
        <v>0</v>
      </c>
      <c r="W226" s="203" t="str">
        <f>CONCATENATE(VLOOKUP(B226,★営業所!$A$2:$B$5,2,FALSE),VLOOKUP(申込書!$C$32,★サイズ表記!$D$4:$E$55,2,FALSE),VLOOKUP(D226,★折込地区!$A$2:$B$11,2,FALSE))</f>
        <v>T1001Tot</v>
      </c>
      <c r="X226" s="203" t="str">
        <f>CONCATENATE(申込書!$B$9," ",VLOOKUP(RIGHT(W226,3),★折込地区!$B$2:$C$10,2,FALSE),"")</f>
        <v xml:space="preserve"> 鳥取</v>
      </c>
      <c r="Z226" s="206">
        <f t="shared" ca="1" si="24"/>
        <v>0</v>
      </c>
      <c r="AB226" s="383">
        <f t="shared" si="25"/>
        <v>2.8</v>
      </c>
      <c r="AC226" s="203" t="str">
        <f t="shared" si="26"/>
        <v>P1001</v>
      </c>
      <c r="AD226" s="203" t="str">
        <f>VLOOKUP(AC226,★原価商品!$E$6:$F$349,2,FALSE)</f>
        <v>産経/B4（折り無し）</v>
      </c>
      <c r="AE226" s="203">
        <f t="shared" ca="1" si="27"/>
        <v>0</v>
      </c>
      <c r="AF226" s="383">
        <f ca="1">IFERROR(IF(VLOOKUP(申込書!$C$32,★サイズ表記!$F$4:$H$55,3,FALSE)="切り捨て",ROUNDDOWN(L226*IF(AK226="◎",I226,J226)/100,2),IF(VLOOKUP(申込書!$C$32,★サイズ表記!$F$4:$H$55,3,FALSE)="切り上げ",ROUNDUP(L226*IF(AK226="◎",I226,J226)/100,2),ROUND(L226*IF(AK226="◎",I226,J226)/100,2))),0)</f>
        <v>1.84</v>
      </c>
      <c r="AG226" s="203">
        <f t="shared" ca="1" si="28"/>
        <v>10462</v>
      </c>
      <c r="AJ226" s="460" t="str">
        <f>IFERROR(VLOOKUP(申込書!$C$30,★業種!$D$2:$E$87,2,FALSE),"")</f>
        <v>1003</v>
      </c>
      <c r="AK226" s="460" t="str">
        <f ca="1">IF(申込書!$C$36="◎",IF(OR(D226="浜坂・温泉",D226="美方・村岡",D226="香住",D226="岡山",D226="大阪"),"",IF(LEFT(F226)="D","◎",IF(AG226=0,"",IFERROR(IF(VLOOKUP(AG226,★仕入先!$A$2:$C$211,3,FALSE)=0,"","◎"),"")))),"")</f>
        <v>◎</v>
      </c>
      <c r="AL226" s="460">
        <f>申込書!$H$14</f>
        <v>0</v>
      </c>
      <c r="AM226" s="460" t="str">
        <f>申込書!$C$32</f>
        <v>B4（折り無し）</v>
      </c>
      <c r="AN226" s="460" t="str">
        <f>VLOOKUP(AM226,★サイズ表記!$D$4:$E$55,2,FALSE)</f>
        <v>1001</v>
      </c>
      <c r="AO226" s="460">
        <f>IF(C226&lt;&gt;"⑧兵庫",VLOOKUP(LEFT(F226),★新聞!$A$4:$B$12,2,FALSE),IF(LEFT(F226)&lt;&gt;"S",VLOOKUP(LEFT(F226),★新聞!$A$4:$B$12,2,FALSE),VLOOKUP("X",★新聞!$A$4:$B$12,2,FALSE)))</f>
        <v>5</v>
      </c>
      <c r="AP226" s="460" t="str">
        <f t="shared" ca="1" si="29"/>
        <v>0</v>
      </c>
      <c r="AQ226" s="460" t="str">
        <f>IF(申込書!$C$38="","",申込書!$C$38)</f>
        <v/>
      </c>
    </row>
    <row r="227" spans="1:43">
      <c r="A227" s="463">
        <f t="shared" si="30"/>
        <v>226</v>
      </c>
      <c r="B227" s="463" t="str">
        <f t="shared" si="31"/>
        <v>東部</v>
      </c>
      <c r="C227" s="464" t="s">
        <v>1016</v>
      </c>
      <c r="D227" s="464" t="s">
        <v>1022</v>
      </c>
      <c r="E227" s="464">
        <f>VLOOKUP(D227,★折込地区!$A$2:$D$10,4,FALSE)</f>
        <v>1</v>
      </c>
      <c r="F227" s="464" t="s">
        <v>478</v>
      </c>
      <c r="G227" s="464" t="str">
        <f>INDEX(★新聞!$E$4:$I$12, MATCH(LEFT(F227),★新聞!$A$4:$A$12,0), MATCH(LEFT(W227),★新聞!$E$3:$I$3,0))</f>
        <v>AJ</v>
      </c>
      <c r="H227" s="555" t="s">
        <v>1105</v>
      </c>
      <c r="I227" s="464" cm="1">
        <f t="array" ref="I227">IFERROR(INDEX(★原価率!$A$2:$E$50,MATCH($C227&amp;$H227,★原価率!$A$2:$A$50&amp;★原価率!$B$2:$B$50,0),3),0)</f>
        <v>66</v>
      </c>
      <c r="J227" s="464" cm="1">
        <f t="array" ref="J227">IFERROR(INDEX(★原価率!$A$2:$E$50,MATCH($C227&amp;$H227,★原価率!$A$2:$A$50&amp;★原価率!$B$2:$B$50,0),4),0)</f>
        <v>76</v>
      </c>
      <c r="K227" s="464" cm="1">
        <f t="array" ref="K227">IFERROR(INDEX(★原価率!$A$2:$E$50,MATCH($C227&amp;$H227,★原価率!$A$2:$A$50&amp;★原価率!$B$2:$B$50,0),5),0)</f>
        <v>100</v>
      </c>
      <c r="L227" s="528">
        <f>IFERROR(VLOOKUP(W227,★商品!$A$1:$H$1231,8,FALSE),0)</f>
        <v>2.8</v>
      </c>
      <c r="M227" s="203" t="str">
        <f ca="1">CONCATENATE(VLOOKUP(B227,★営業所!$A$2:$B$5,2,FALSE),TEXT(NOW(),"yyyy"))</f>
        <v>T2023</v>
      </c>
      <c r="N227" s="203">
        <v>1</v>
      </c>
      <c r="O227" s="203">
        <v>0</v>
      </c>
      <c r="P227" s="213">
        <f>申込書!$B$6</f>
        <v>0</v>
      </c>
      <c r="Q227" s="203">
        <f>申込書!$C$34</f>
        <v>1000040</v>
      </c>
      <c r="R227" s="203">
        <v>0</v>
      </c>
      <c r="U227" s="203">
        <f>VLOOKUP(B227,★営業所!$A$2:$C$5,3,FALSE)</f>
        <v>8</v>
      </c>
      <c r="V227" s="203">
        <f>申込書!$B$9</f>
        <v>0</v>
      </c>
      <c r="W227" s="203" t="str">
        <f>CONCATENATE(VLOOKUP(B227,★営業所!$A$2:$B$5,2,FALSE),VLOOKUP(申込書!$C$32,★サイズ表記!$D$4:$E$55,2,FALSE),VLOOKUP(D227,★折込地区!$A$2:$B$11,2,FALSE))</f>
        <v>T1001Tot</v>
      </c>
      <c r="X227" s="203" t="str">
        <f>CONCATENATE(申込書!$B$9," ",VLOOKUP(RIGHT(W227,3),★折込地区!$B$2:$C$10,2,FALSE),"")</f>
        <v xml:space="preserve"> 鳥取</v>
      </c>
      <c r="Z227" s="206">
        <f t="shared" ca="1" si="24"/>
        <v>0</v>
      </c>
      <c r="AB227" s="383">
        <f t="shared" si="25"/>
        <v>2.8</v>
      </c>
      <c r="AC227" s="203" t="str">
        <f t="shared" si="26"/>
        <v>P1001</v>
      </c>
      <c r="AD227" s="203" t="str">
        <f>VLOOKUP(AC227,★原価商品!$E$6:$F$349,2,FALSE)</f>
        <v>産経/B4（折り無し）</v>
      </c>
      <c r="AE227" s="203">
        <f t="shared" ca="1" si="27"/>
        <v>0</v>
      </c>
      <c r="AF227" s="383">
        <f ca="1">IFERROR(IF(VLOOKUP(申込書!$C$32,★サイズ表記!$F$4:$H$55,3,FALSE)="切り捨て",ROUNDDOWN(L227*IF(AK227="◎",I227,J227)/100,2),IF(VLOOKUP(申込書!$C$32,★サイズ表記!$F$4:$H$55,3,FALSE)="切り上げ",ROUNDUP(L227*IF(AK227="◎",I227,J227)/100,2),ROUND(L227*IF(AK227="◎",I227,J227)/100,2))),0)</f>
        <v>1.84</v>
      </c>
      <c r="AG227" s="203">
        <f t="shared" ca="1" si="28"/>
        <v>10466</v>
      </c>
      <c r="AJ227" s="460" t="str">
        <f>IFERROR(VLOOKUP(申込書!$C$30,★業種!$D$2:$E$87,2,FALSE),"")</f>
        <v>1003</v>
      </c>
      <c r="AK227" s="460" t="str">
        <f ca="1">IF(申込書!$C$36="◎",IF(OR(D227="浜坂・温泉",D227="美方・村岡",D227="香住",D227="岡山",D227="大阪"),"",IF(LEFT(F227)="D","◎",IF(AG227=0,"",IFERROR(IF(VLOOKUP(AG227,★仕入先!$A$2:$C$211,3,FALSE)=0,"","◎"),"")))),"")</f>
        <v>◎</v>
      </c>
      <c r="AL227" s="460">
        <f>申込書!$H$14</f>
        <v>0</v>
      </c>
      <c r="AM227" s="460" t="str">
        <f>申込書!$C$32</f>
        <v>B4（折り無し）</v>
      </c>
      <c r="AN227" s="460" t="str">
        <f>VLOOKUP(AM227,★サイズ表記!$D$4:$E$55,2,FALSE)</f>
        <v>1001</v>
      </c>
      <c r="AO227" s="460">
        <f>IF(C227&lt;&gt;"⑧兵庫",VLOOKUP(LEFT(F227),★新聞!$A$4:$B$12,2,FALSE),IF(LEFT(F227)&lt;&gt;"S",VLOOKUP(LEFT(F227),★新聞!$A$4:$B$12,2,FALSE),VLOOKUP("X",★新聞!$A$4:$B$12,2,FALSE)))</f>
        <v>5</v>
      </c>
      <c r="AP227" s="460" t="str">
        <f t="shared" ca="1" si="29"/>
        <v>0</v>
      </c>
      <c r="AQ227" s="460" t="str">
        <f>IF(申込書!$C$38="","",申込書!$C$38)</f>
        <v/>
      </c>
    </row>
    <row r="228" spans="1:43">
      <c r="A228" s="463">
        <f t="shared" si="30"/>
        <v>227</v>
      </c>
      <c r="B228" s="463" t="str">
        <f t="shared" si="31"/>
        <v>東部</v>
      </c>
      <c r="C228" s="464" t="s">
        <v>1016</v>
      </c>
      <c r="D228" s="464" t="s">
        <v>1022</v>
      </c>
      <c r="E228" s="464">
        <f>VLOOKUP(D228,★折込地区!$A$2:$D$10,4,FALSE)</f>
        <v>1</v>
      </c>
      <c r="F228" s="464" t="s">
        <v>479</v>
      </c>
      <c r="G228" s="464" t="str">
        <f>INDEX(★新聞!$E$4:$I$12, MATCH(LEFT(F228),★新聞!$A$4:$A$12,0), MATCH(LEFT(W228),★新聞!$E$3:$I$3,0))</f>
        <v>AJ</v>
      </c>
      <c r="H228" s="475" t="s">
        <v>1107</v>
      </c>
      <c r="I228" s="464" cm="1">
        <f t="array" ref="I228">IFERROR(INDEX(★原価率!$A$2:$E$50,MATCH($C228&amp;$H228,★原価率!$A$2:$A$50&amp;★原価率!$B$2:$B$50,0),3),0)</f>
        <v>76</v>
      </c>
      <c r="J228" s="464" cm="1">
        <f t="array" ref="J228">IFERROR(INDEX(★原価率!$A$2:$E$50,MATCH($C228&amp;$H228,★原価率!$A$2:$A$50&amp;★原価率!$B$2:$B$50,0),4),0)</f>
        <v>76</v>
      </c>
      <c r="K228" s="464" cm="1">
        <f t="array" ref="K228">IFERROR(INDEX(★原価率!$A$2:$E$50,MATCH($C228&amp;$H228,★原価率!$A$2:$A$50&amp;★原価率!$B$2:$B$50,0),5),0)</f>
        <v>100</v>
      </c>
      <c r="L228" s="528">
        <f>IFERROR(VLOOKUP(W228,★商品!$A$1:$H$1231,8,FALSE),0)</f>
        <v>2.8</v>
      </c>
      <c r="M228" s="203" t="str">
        <f ca="1">CONCATENATE(VLOOKUP(B228,★営業所!$A$2:$B$5,2,FALSE),TEXT(NOW(),"yyyy"))</f>
        <v>T2023</v>
      </c>
      <c r="N228" s="203">
        <v>1</v>
      </c>
      <c r="O228" s="203">
        <v>0</v>
      </c>
      <c r="P228" s="213">
        <f>申込書!$B$6</f>
        <v>0</v>
      </c>
      <c r="Q228" s="203">
        <f>申込書!$C$34</f>
        <v>1000040</v>
      </c>
      <c r="R228" s="203">
        <v>0</v>
      </c>
      <c r="U228" s="203">
        <f>VLOOKUP(B228,★営業所!$A$2:$C$5,3,FALSE)</f>
        <v>8</v>
      </c>
      <c r="V228" s="203">
        <f>申込書!$B$9</f>
        <v>0</v>
      </c>
      <c r="W228" s="203" t="str">
        <f>CONCATENATE(VLOOKUP(B228,★営業所!$A$2:$B$5,2,FALSE),VLOOKUP(申込書!$C$32,★サイズ表記!$D$4:$E$55,2,FALSE),VLOOKUP(D228,★折込地区!$A$2:$B$11,2,FALSE))</f>
        <v>T1001Tot</v>
      </c>
      <c r="X228" s="203" t="str">
        <f>CONCATENATE(申込書!$B$9," ",VLOOKUP(RIGHT(W228,3),★折込地区!$B$2:$C$10,2,FALSE),"")</f>
        <v xml:space="preserve"> 鳥取</v>
      </c>
      <c r="Z228" s="206">
        <f t="shared" ca="1" si="24"/>
        <v>0</v>
      </c>
      <c r="AB228" s="383">
        <f t="shared" si="25"/>
        <v>2.8</v>
      </c>
      <c r="AC228" s="203" t="str">
        <f t="shared" si="26"/>
        <v>P1001</v>
      </c>
      <c r="AD228" s="203" t="str">
        <f>VLOOKUP(AC228,★原価商品!$E$6:$F$349,2,FALSE)</f>
        <v>産経/B4（折り無し）</v>
      </c>
      <c r="AE228" s="203">
        <f t="shared" ca="1" si="27"/>
        <v>0</v>
      </c>
      <c r="AF228" s="383">
        <f ca="1">IFERROR(IF(VLOOKUP(申込書!$C$32,★サイズ表記!$F$4:$H$55,3,FALSE)="切り捨て",ROUNDDOWN(L228*IF(AK228="◎",I228,J228)/100,2),IF(VLOOKUP(申込書!$C$32,★サイズ表記!$F$4:$H$55,3,FALSE)="切り上げ",ROUNDUP(L228*IF(AK228="◎",I228,J228)/100,2),ROUND(L228*IF(AK228="◎",I228,J228)/100,2))),0)</f>
        <v>2.12</v>
      </c>
      <c r="AG228" s="203">
        <f t="shared" ca="1" si="28"/>
        <v>10474</v>
      </c>
      <c r="AJ228" s="460" t="str">
        <f>IFERROR(VLOOKUP(申込書!$C$30,★業種!$D$2:$E$87,2,FALSE),"")</f>
        <v>1003</v>
      </c>
      <c r="AK228" s="460" t="str">
        <f ca="1">IF(申込書!$C$36="◎",IF(OR(D228="浜坂・温泉",D228="美方・村岡",D228="香住",D228="岡山",D228="大阪"),"",IF(LEFT(F228)="D","◎",IF(AG228=0,"",IFERROR(IF(VLOOKUP(AG228,★仕入先!$A$2:$C$211,3,FALSE)=0,"","◎"),"")))),"")</f>
        <v/>
      </c>
      <c r="AL228" s="460">
        <f>申込書!$H$14</f>
        <v>0</v>
      </c>
      <c r="AM228" s="460" t="str">
        <f>申込書!$C$32</f>
        <v>B4（折り無し）</v>
      </c>
      <c r="AN228" s="460" t="str">
        <f>VLOOKUP(AM228,★サイズ表記!$D$4:$E$55,2,FALSE)</f>
        <v>1001</v>
      </c>
      <c r="AO228" s="460">
        <f>IF(C228&lt;&gt;"⑧兵庫",VLOOKUP(LEFT(F228),★新聞!$A$4:$B$12,2,FALSE),IF(LEFT(F228)&lt;&gt;"S",VLOOKUP(LEFT(F228),★新聞!$A$4:$B$12,2,FALSE),VLOOKUP("X",★新聞!$A$4:$B$12,2,FALSE)))</f>
        <v>5</v>
      </c>
      <c r="AP228" s="460" t="str">
        <f t="shared" ca="1" si="29"/>
        <v>0</v>
      </c>
      <c r="AQ228" s="460" t="str">
        <f>IF(申込書!$C$38="","",申込書!$C$38)</f>
        <v/>
      </c>
    </row>
    <row r="229" spans="1:43">
      <c r="A229" s="463">
        <f t="shared" si="30"/>
        <v>228</v>
      </c>
      <c r="B229" s="463" t="str">
        <f t="shared" si="31"/>
        <v>東部</v>
      </c>
      <c r="C229" s="464" t="s">
        <v>1016</v>
      </c>
      <c r="D229" s="464" t="s">
        <v>1022</v>
      </c>
      <c r="E229" s="464">
        <f>VLOOKUP(D229,★折込地区!$A$2:$D$10,4,FALSE)</f>
        <v>1</v>
      </c>
      <c r="F229" s="464" t="s">
        <v>486</v>
      </c>
      <c r="G229" s="464" t="str">
        <f>INDEX(★新聞!$E$4:$I$12, MATCH(LEFT(F229),★新聞!$A$4:$A$12,0), MATCH(LEFT(W229),★新聞!$E$3:$I$3,0))</f>
        <v>AJ</v>
      </c>
      <c r="H229" s="555" t="s">
        <v>1105</v>
      </c>
      <c r="I229" s="464" cm="1">
        <f t="array" ref="I229">IFERROR(INDEX(★原価率!$A$2:$E$50,MATCH($C229&amp;$H229,★原価率!$A$2:$A$50&amp;★原価率!$B$2:$B$50,0),3),0)</f>
        <v>66</v>
      </c>
      <c r="J229" s="464" cm="1">
        <f t="array" ref="J229">IFERROR(INDEX(★原価率!$A$2:$E$50,MATCH($C229&amp;$H229,★原価率!$A$2:$A$50&amp;★原価率!$B$2:$B$50,0),4),0)</f>
        <v>76</v>
      </c>
      <c r="K229" s="464" cm="1">
        <f t="array" ref="K229">IFERROR(INDEX(★原価率!$A$2:$E$50,MATCH($C229&amp;$H229,★原価率!$A$2:$A$50&amp;★原価率!$B$2:$B$50,0),5),0)</f>
        <v>100</v>
      </c>
      <c r="L229" s="528">
        <f>IFERROR(VLOOKUP(W229,★商品!$A$1:$H$1231,8,FALSE),0)</f>
        <v>2.8</v>
      </c>
      <c r="M229" s="203" t="str">
        <f ca="1">CONCATENATE(VLOOKUP(B229,★営業所!$A$2:$B$5,2,FALSE),TEXT(NOW(),"yyyy"))</f>
        <v>T2023</v>
      </c>
      <c r="N229" s="203">
        <v>1</v>
      </c>
      <c r="O229" s="203">
        <v>0</v>
      </c>
      <c r="P229" s="213">
        <f>申込書!$B$6</f>
        <v>0</v>
      </c>
      <c r="Q229" s="203">
        <f>申込書!$C$34</f>
        <v>1000040</v>
      </c>
      <c r="R229" s="203">
        <v>0</v>
      </c>
      <c r="U229" s="203">
        <f>VLOOKUP(B229,★営業所!$A$2:$C$5,3,FALSE)</f>
        <v>8</v>
      </c>
      <c r="V229" s="203">
        <f>申込書!$B$9</f>
        <v>0</v>
      </c>
      <c r="W229" s="203" t="str">
        <f>CONCATENATE(VLOOKUP(B229,★営業所!$A$2:$B$5,2,FALSE),VLOOKUP(申込書!$C$32,★サイズ表記!$D$4:$E$55,2,FALSE),VLOOKUP(D229,★折込地区!$A$2:$B$11,2,FALSE))</f>
        <v>T1001Tot</v>
      </c>
      <c r="X229" s="203" t="str">
        <f>CONCATENATE(申込書!$B$9," ",VLOOKUP(RIGHT(W229,3),★折込地区!$B$2:$C$10,2,FALSE),"")</f>
        <v xml:space="preserve"> 鳥取</v>
      </c>
      <c r="Z229" s="206">
        <f t="shared" ca="1" si="24"/>
        <v>0</v>
      </c>
      <c r="AB229" s="383">
        <f t="shared" si="25"/>
        <v>2.8</v>
      </c>
      <c r="AC229" s="203" t="str">
        <f t="shared" si="26"/>
        <v>P1001</v>
      </c>
      <c r="AD229" s="203" t="str">
        <f>VLOOKUP(AC229,★原価商品!$E$6:$F$349,2,FALSE)</f>
        <v>産経/B4（折り無し）</v>
      </c>
      <c r="AE229" s="203">
        <f t="shared" ca="1" si="27"/>
        <v>0</v>
      </c>
      <c r="AF229" s="383">
        <f ca="1">IFERROR(IF(VLOOKUP(申込書!$C$32,★サイズ表記!$F$4:$H$55,3,FALSE)="切り捨て",ROUNDDOWN(L229*IF(AK229="◎",I229,J229)/100,2),IF(VLOOKUP(申込書!$C$32,★サイズ表記!$F$4:$H$55,3,FALSE)="切り上げ",ROUNDUP(L229*IF(AK229="◎",I229,J229)/100,2),ROUND(L229*IF(AK229="◎",I229,J229)/100,2))),0)</f>
        <v>1.84</v>
      </c>
      <c r="AG229" s="203">
        <f t="shared" ca="1" si="28"/>
        <v>10201</v>
      </c>
      <c r="AJ229" s="460" t="str">
        <f>IFERROR(VLOOKUP(申込書!$C$30,★業種!$D$2:$E$87,2,FALSE),"")</f>
        <v>1003</v>
      </c>
      <c r="AK229" s="460" t="str">
        <f ca="1">IF(申込書!$C$36="◎",IF(OR(D229="浜坂・温泉",D229="美方・村岡",D229="香住",D229="岡山",D229="大阪"),"",IF(LEFT(F229)="D","◎",IF(AG229=0,"",IFERROR(IF(VLOOKUP(AG229,★仕入先!$A$2:$C$211,3,FALSE)=0,"","◎"),"")))),"")</f>
        <v>◎</v>
      </c>
      <c r="AL229" s="460">
        <f>申込書!$H$14</f>
        <v>0</v>
      </c>
      <c r="AM229" s="460" t="str">
        <f>申込書!$C$32</f>
        <v>B4（折り無し）</v>
      </c>
      <c r="AN229" s="460" t="str">
        <f>VLOOKUP(AM229,★サイズ表記!$D$4:$E$55,2,FALSE)</f>
        <v>1001</v>
      </c>
      <c r="AO229" s="460">
        <f>IF(C229&lt;&gt;"⑧兵庫",VLOOKUP(LEFT(F229),★新聞!$A$4:$B$12,2,FALSE),IF(LEFT(F229)&lt;&gt;"S",VLOOKUP(LEFT(F229),★新聞!$A$4:$B$12,2,FALSE),VLOOKUP("X",★新聞!$A$4:$B$12,2,FALSE)))</f>
        <v>5</v>
      </c>
      <c r="AP229" s="460" t="str">
        <f t="shared" ca="1" si="29"/>
        <v>0</v>
      </c>
      <c r="AQ229" s="460" t="str">
        <f>IF(申込書!$C$38="","",申込書!$C$38)</f>
        <v/>
      </c>
    </row>
    <row r="230" spans="1:43">
      <c r="A230" s="463">
        <f t="shared" si="30"/>
        <v>229</v>
      </c>
      <c r="B230" s="463" t="str">
        <f t="shared" si="31"/>
        <v>東部</v>
      </c>
      <c r="C230" s="464" t="s">
        <v>1016</v>
      </c>
      <c r="D230" s="464" t="s">
        <v>1022</v>
      </c>
      <c r="E230" s="464">
        <f>VLOOKUP(D230,★折込地区!$A$2:$D$10,4,FALSE)</f>
        <v>1</v>
      </c>
      <c r="F230" s="464" t="s">
        <v>487</v>
      </c>
      <c r="G230" s="464" t="str">
        <f>INDEX(★新聞!$E$4:$I$12, MATCH(LEFT(F230),★新聞!$A$4:$A$12,0), MATCH(LEFT(W230),★新聞!$E$3:$I$3,0))</f>
        <v>AJ</v>
      </c>
      <c r="H230" s="555" t="s">
        <v>1105</v>
      </c>
      <c r="I230" s="464" cm="1">
        <f t="array" ref="I230">IFERROR(INDEX(★原価率!$A$2:$E$50,MATCH($C230&amp;$H230,★原価率!$A$2:$A$50&amp;★原価率!$B$2:$B$50,0),3),0)</f>
        <v>66</v>
      </c>
      <c r="J230" s="464" cm="1">
        <f t="array" ref="J230">IFERROR(INDEX(★原価率!$A$2:$E$50,MATCH($C230&amp;$H230,★原価率!$A$2:$A$50&amp;★原価率!$B$2:$B$50,0),4),0)</f>
        <v>76</v>
      </c>
      <c r="K230" s="464" cm="1">
        <f t="array" ref="K230">IFERROR(INDEX(★原価率!$A$2:$E$50,MATCH($C230&amp;$H230,★原価率!$A$2:$A$50&amp;★原価率!$B$2:$B$50,0),5),0)</f>
        <v>100</v>
      </c>
      <c r="L230" s="528">
        <f>IFERROR(VLOOKUP(W230,★商品!$A$1:$H$1231,8,FALSE),0)</f>
        <v>2.8</v>
      </c>
      <c r="M230" s="203" t="str">
        <f ca="1">CONCATENATE(VLOOKUP(B230,★営業所!$A$2:$B$5,2,FALSE),TEXT(NOW(),"yyyy"))</f>
        <v>T2023</v>
      </c>
      <c r="N230" s="203">
        <v>1</v>
      </c>
      <c r="O230" s="203">
        <v>0</v>
      </c>
      <c r="P230" s="213">
        <f>申込書!$B$6</f>
        <v>0</v>
      </c>
      <c r="Q230" s="203">
        <f>申込書!$C$34</f>
        <v>1000040</v>
      </c>
      <c r="R230" s="203">
        <v>0</v>
      </c>
      <c r="U230" s="203">
        <f>VLOOKUP(B230,★営業所!$A$2:$C$5,3,FALSE)</f>
        <v>8</v>
      </c>
      <c r="V230" s="203">
        <f>申込書!$B$9</f>
        <v>0</v>
      </c>
      <c r="W230" s="203" t="str">
        <f>CONCATENATE(VLOOKUP(B230,★営業所!$A$2:$B$5,2,FALSE),VLOOKUP(申込書!$C$32,★サイズ表記!$D$4:$E$55,2,FALSE),VLOOKUP(D230,★折込地区!$A$2:$B$11,2,FALSE))</f>
        <v>T1001Tot</v>
      </c>
      <c r="X230" s="203" t="str">
        <f>CONCATENATE(申込書!$B$9," ",VLOOKUP(RIGHT(W230,3),★折込地区!$B$2:$C$10,2,FALSE),"")</f>
        <v xml:space="preserve"> 鳥取</v>
      </c>
      <c r="Z230" s="206">
        <f t="shared" ca="1" si="24"/>
        <v>0</v>
      </c>
      <c r="AB230" s="383">
        <f t="shared" si="25"/>
        <v>2.8</v>
      </c>
      <c r="AC230" s="203" t="str">
        <f t="shared" si="26"/>
        <v>P1001</v>
      </c>
      <c r="AD230" s="203" t="str">
        <f>VLOOKUP(AC230,★原価商品!$E$6:$F$349,2,FALSE)</f>
        <v>産経/B4（折り無し）</v>
      </c>
      <c r="AE230" s="203">
        <f t="shared" ca="1" si="27"/>
        <v>0</v>
      </c>
      <c r="AF230" s="383">
        <f ca="1">IFERROR(IF(VLOOKUP(申込書!$C$32,★サイズ表記!$F$4:$H$55,3,FALSE)="切り捨て",ROUNDDOWN(L230*IF(AK230="◎",I230,J230)/100,2),IF(VLOOKUP(申込書!$C$32,★サイズ表記!$F$4:$H$55,3,FALSE)="切り上げ",ROUNDUP(L230*IF(AK230="◎",I230,J230)/100,2),ROUND(L230*IF(AK230="◎",I230,J230)/100,2))),0)</f>
        <v>1.84</v>
      </c>
      <c r="AG230" s="203">
        <f t="shared" ca="1" si="28"/>
        <v>10205</v>
      </c>
      <c r="AJ230" s="460" t="str">
        <f>IFERROR(VLOOKUP(申込書!$C$30,★業種!$D$2:$E$87,2,FALSE),"")</f>
        <v>1003</v>
      </c>
      <c r="AK230" s="460" t="str">
        <f ca="1">IF(申込書!$C$36="◎",IF(OR(D230="浜坂・温泉",D230="美方・村岡",D230="香住",D230="岡山",D230="大阪"),"",IF(LEFT(F230)="D","◎",IF(AG230=0,"",IFERROR(IF(VLOOKUP(AG230,★仕入先!$A$2:$C$211,3,FALSE)=0,"","◎"),"")))),"")</f>
        <v>◎</v>
      </c>
      <c r="AL230" s="460">
        <f>申込書!$H$14</f>
        <v>0</v>
      </c>
      <c r="AM230" s="460" t="str">
        <f>申込書!$C$32</f>
        <v>B4（折り無し）</v>
      </c>
      <c r="AN230" s="460" t="str">
        <f>VLOOKUP(AM230,★サイズ表記!$D$4:$E$55,2,FALSE)</f>
        <v>1001</v>
      </c>
      <c r="AO230" s="460">
        <f>IF(C230&lt;&gt;"⑧兵庫",VLOOKUP(LEFT(F230),★新聞!$A$4:$B$12,2,FALSE),IF(LEFT(F230)&lt;&gt;"S",VLOOKUP(LEFT(F230),★新聞!$A$4:$B$12,2,FALSE),VLOOKUP("X",★新聞!$A$4:$B$12,2,FALSE)))</f>
        <v>5</v>
      </c>
      <c r="AP230" s="460" t="str">
        <f t="shared" ca="1" si="29"/>
        <v>0</v>
      </c>
      <c r="AQ230" s="460" t="str">
        <f>IF(申込書!$C$38="","",申込書!$C$38)</f>
        <v/>
      </c>
    </row>
    <row r="231" spans="1:43">
      <c r="A231" s="463">
        <f t="shared" si="30"/>
        <v>230</v>
      </c>
      <c r="B231" s="463" t="str">
        <f t="shared" si="31"/>
        <v>東部</v>
      </c>
      <c r="C231" s="464" t="s">
        <v>1016</v>
      </c>
      <c r="D231" s="464" t="s">
        <v>1022</v>
      </c>
      <c r="E231" s="464">
        <f>VLOOKUP(D231,★折込地区!$A$2:$D$10,4,FALSE)</f>
        <v>1</v>
      </c>
      <c r="F231" s="464" t="s">
        <v>488</v>
      </c>
      <c r="G231" s="464" t="str">
        <f>INDEX(★新聞!$E$4:$I$12, MATCH(LEFT(F231),★新聞!$A$4:$A$12,0), MATCH(LEFT(W231),★新聞!$E$3:$I$3,0))</f>
        <v>AJ</v>
      </c>
      <c r="H231" s="555" t="s">
        <v>1105</v>
      </c>
      <c r="I231" s="464" cm="1">
        <f t="array" ref="I231">IFERROR(INDEX(★原価率!$A$2:$E$50,MATCH($C231&amp;$H231,★原価率!$A$2:$A$50&amp;★原価率!$B$2:$B$50,0),3),0)</f>
        <v>66</v>
      </c>
      <c r="J231" s="464" cm="1">
        <f t="array" ref="J231">IFERROR(INDEX(★原価率!$A$2:$E$50,MATCH($C231&amp;$H231,★原価率!$A$2:$A$50&amp;★原価率!$B$2:$B$50,0),4),0)</f>
        <v>76</v>
      </c>
      <c r="K231" s="464" cm="1">
        <f t="array" ref="K231">IFERROR(INDEX(★原価率!$A$2:$E$50,MATCH($C231&amp;$H231,★原価率!$A$2:$A$50&amp;★原価率!$B$2:$B$50,0),5),0)</f>
        <v>100</v>
      </c>
      <c r="L231" s="528">
        <f>IFERROR(VLOOKUP(W231,★商品!$A$1:$H$1231,8,FALSE),0)</f>
        <v>2.8</v>
      </c>
      <c r="M231" s="203" t="str">
        <f ca="1">CONCATENATE(VLOOKUP(B231,★営業所!$A$2:$B$5,2,FALSE),TEXT(NOW(),"yyyy"))</f>
        <v>T2023</v>
      </c>
      <c r="N231" s="203">
        <v>1</v>
      </c>
      <c r="O231" s="203">
        <v>0</v>
      </c>
      <c r="P231" s="213">
        <f>申込書!$B$6</f>
        <v>0</v>
      </c>
      <c r="Q231" s="203">
        <f>申込書!$C$34</f>
        <v>1000040</v>
      </c>
      <c r="R231" s="203">
        <v>0</v>
      </c>
      <c r="U231" s="203">
        <f>VLOOKUP(B231,★営業所!$A$2:$C$5,3,FALSE)</f>
        <v>8</v>
      </c>
      <c r="V231" s="203">
        <f>申込書!$B$9</f>
        <v>0</v>
      </c>
      <c r="W231" s="203" t="str">
        <f>CONCATENATE(VLOOKUP(B231,★営業所!$A$2:$B$5,2,FALSE),VLOOKUP(申込書!$C$32,★サイズ表記!$D$4:$E$55,2,FALSE),VLOOKUP(D231,★折込地区!$A$2:$B$11,2,FALSE))</f>
        <v>T1001Tot</v>
      </c>
      <c r="X231" s="203" t="str">
        <f>CONCATENATE(申込書!$B$9," ",VLOOKUP(RIGHT(W231,3),★折込地区!$B$2:$C$10,2,FALSE),"")</f>
        <v xml:space="preserve"> 鳥取</v>
      </c>
      <c r="Z231" s="206">
        <f t="shared" ca="1" si="24"/>
        <v>0</v>
      </c>
      <c r="AB231" s="383">
        <f t="shared" si="25"/>
        <v>2.8</v>
      </c>
      <c r="AC231" s="203" t="str">
        <f t="shared" si="26"/>
        <v>P1001</v>
      </c>
      <c r="AD231" s="203" t="str">
        <f>VLOOKUP(AC231,★原価商品!$E$6:$F$349,2,FALSE)</f>
        <v>産経/B4（折り無し）</v>
      </c>
      <c r="AE231" s="203">
        <f t="shared" ca="1" si="27"/>
        <v>0</v>
      </c>
      <c r="AF231" s="383">
        <f ca="1">IFERROR(IF(VLOOKUP(申込書!$C$32,★サイズ表記!$F$4:$H$55,3,FALSE)="切り捨て",ROUNDDOWN(L231*IF(AK231="◎",I231,J231)/100,2),IF(VLOOKUP(申込書!$C$32,★サイズ表記!$F$4:$H$55,3,FALSE)="切り上げ",ROUNDUP(L231*IF(AK231="◎",I231,J231)/100,2),ROUND(L231*IF(AK231="◎",I231,J231)/100,2))),0)</f>
        <v>1.84</v>
      </c>
      <c r="AG231" s="203">
        <f t="shared" ca="1" si="28"/>
        <v>10208</v>
      </c>
      <c r="AJ231" s="460" t="str">
        <f>IFERROR(VLOOKUP(申込書!$C$30,★業種!$D$2:$E$87,2,FALSE),"")</f>
        <v>1003</v>
      </c>
      <c r="AK231" s="460" t="str">
        <f ca="1">IF(申込書!$C$36="◎",IF(OR(D231="浜坂・温泉",D231="美方・村岡",D231="香住",D231="岡山",D231="大阪"),"",IF(LEFT(F231)="D","◎",IF(AG231=0,"",IFERROR(IF(VLOOKUP(AG231,★仕入先!$A$2:$C$211,3,FALSE)=0,"","◎"),"")))),"")</f>
        <v>◎</v>
      </c>
      <c r="AL231" s="460">
        <f>申込書!$H$14</f>
        <v>0</v>
      </c>
      <c r="AM231" s="460" t="str">
        <f>申込書!$C$32</f>
        <v>B4（折り無し）</v>
      </c>
      <c r="AN231" s="460" t="str">
        <f>VLOOKUP(AM231,★サイズ表記!$D$4:$E$55,2,FALSE)</f>
        <v>1001</v>
      </c>
      <c r="AO231" s="460">
        <f>IF(C231&lt;&gt;"⑧兵庫",VLOOKUP(LEFT(F231),★新聞!$A$4:$B$12,2,FALSE),IF(LEFT(F231)&lt;&gt;"S",VLOOKUP(LEFT(F231),★新聞!$A$4:$B$12,2,FALSE),VLOOKUP("X",★新聞!$A$4:$B$12,2,FALSE)))</f>
        <v>5</v>
      </c>
      <c r="AP231" s="460" t="str">
        <f t="shared" ca="1" si="29"/>
        <v>0</v>
      </c>
      <c r="AQ231" s="460" t="str">
        <f>IF(申込書!$C$38="","",申込書!$C$38)</f>
        <v/>
      </c>
    </row>
    <row r="232" spans="1:43">
      <c r="A232" s="463">
        <f t="shared" si="30"/>
        <v>231</v>
      </c>
      <c r="B232" s="463" t="str">
        <f t="shared" si="31"/>
        <v>東部</v>
      </c>
      <c r="C232" s="464" t="s">
        <v>1016</v>
      </c>
      <c r="D232" s="464" t="s">
        <v>1022</v>
      </c>
      <c r="E232" s="464">
        <f>VLOOKUP(D232,★折込地区!$A$2:$D$10,4,FALSE)</f>
        <v>1</v>
      </c>
      <c r="F232" s="464" t="s">
        <v>584</v>
      </c>
      <c r="G232" s="464" t="str">
        <f>INDEX(★新聞!$E$4:$I$12, MATCH(LEFT(F232),★新聞!$A$4:$A$12,0), MATCH(LEFT(W232),★新聞!$E$3:$I$3,0))</f>
        <v>AJ</v>
      </c>
      <c r="H232" s="555" t="s">
        <v>1105</v>
      </c>
      <c r="I232" s="464" cm="1">
        <f t="array" ref="I232">IFERROR(INDEX(★原価率!$A$2:$E$50,MATCH($C232&amp;$H232,★原価率!$A$2:$A$50&amp;★原価率!$B$2:$B$50,0),3),0)</f>
        <v>66</v>
      </c>
      <c r="J232" s="464" cm="1">
        <f t="array" ref="J232">IFERROR(INDEX(★原価率!$A$2:$E$50,MATCH($C232&amp;$H232,★原価率!$A$2:$A$50&amp;★原価率!$B$2:$B$50,0),4),0)</f>
        <v>76</v>
      </c>
      <c r="K232" s="464" cm="1">
        <f t="array" ref="K232">IFERROR(INDEX(★原価率!$A$2:$E$50,MATCH($C232&amp;$H232,★原価率!$A$2:$A$50&amp;★原価率!$B$2:$B$50,0),5),0)</f>
        <v>100</v>
      </c>
      <c r="L232" s="528">
        <f>IFERROR(VLOOKUP(W232,★商品!$A$1:$H$1231,8,FALSE),0)</f>
        <v>2.8</v>
      </c>
      <c r="M232" s="203" t="str">
        <f ca="1">CONCATENATE(VLOOKUP(B232,★営業所!$A$2:$B$5,2,FALSE),TEXT(NOW(),"yyyy"))</f>
        <v>T2023</v>
      </c>
      <c r="N232" s="203">
        <v>1</v>
      </c>
      <c r="O232" s="203">
        <v>0</v>
      </c>
      <c r="P232" s="213">
        <f>申込書!$B$6</f>
        <v>0</v>
      </c>
      <c r="Q232" s="203">
        <f>申込書!$C$34</f>
        <v>1000040</v>
      </c>
      <c r="R232" s="203">
        <v>0</v>
      </c>
      <c r="U232" s="203">
        <f>VLOOKUP(B232,★営業所!$A$2:$C$5,3,FALSE)</f>
        <v>8</v>
      </c>
      <c r="V232" s="203">
        <f>申込書!$B$9</f>
        <v>0</v>
      </c>
      <c r="W232" s="203" t="str">
        <f>CONCATENATE(VLOOKUP(B232,★営業所!$A$2:$B$5,2,FALSE),VLOOKUP(申込書!$C$32,★サイズ表記!$D$4:$E$55,2,FALSE),VLOOKUP(D232,★折込地区!$A$2:$B$11,2,FALSE))</f>
        <v>T1001Tot</v>
      </c>
      <c r="X232" s="203" t="str">
        <f>CONCATENATE(申込書!$B$9," ",VLOOKUP(RIGHT(W232,3),★折込地区!$B$2:$C$10,2,FALSE),"")</f>
        <v xml:space="preserve"> 鳥取</v>
      </c>
      <c r="Z232" s="206">
        <f t="shared" ca="1" si="24"/>
        <v>0</v>
      </c>
      <c r="AB232" s="383">
        <f t="shared" si="25"/>
        <v>2.8</v>
      </c>
      <c r="AC232" s="203" t="str">
        <f t="shared" si="26"/>
        <v>P1001</v>
      </c>
      <c r="AD232" s="203" t="str">
        <f>VLOOKUP(AC232,★原価商品!$E$6:$F$349,2,FALSE)</f>
        <v>産経/B4（折り無し）</v>
      </c>
      <c r="AE232" s="203">
        <f t="shared" ca="1" si="27"/>
        <v>0</v>
      </c>
      <c r="AF232" s="383">
        <f ca="1">IFERROR(IF(VLOOKUP(申込書!$C$32,★サイズ表記!$F$4:$H$55,3,FALSE)="切り捨て",ROUNDDOWN(L232*IF(AK232="◎",I232,J232)/100,2),IF(VLOOKUP(申込書!$C$32,★サイズ表記!$F$4:$H$55,3,FALSE)="切り上げ",ROUNDUP(L232*IF(AK232="◎",I232,J232)/100,2),ROUND(L232*IF(AK232="◎",I232,J232)/100,2))),0)</f>
        <v>1.84</v>
      </c>
      <c r="AG232" s="203">
        <f t="shared" ca="1" si="28"/>
        <v>10046</v>
      </c>
      <c r="AJ232" s="460" t="str">
        <f>IFERROR(VLOOKUP(申込書!$C$30,★業種!$D$2:$E$87,2,FALSE),"")</f>
        <v>1003</v>
      </c>
      <c r="AK232" s="460" t="str">
        <f ca="1">IF(申込書!$C$36="◎",IF(OR(D232="浜坂・温泉",D232="美方・村岡",D232="香住",D232="岡山",D232="大阪"),"",IF(LEFT(F232)="D","◎",IF(AG232=0,"",IFERROR(IF(VLOOKUP(AG232,★仕入先!$A$2:$C$211,3,FALSE)=0,"","◎"),"")))),"")</f>
        <v>◎</v>
      </c>
      <c r="AL232" s="460">
        <f>申込書!$H$14</f>
        <v>0</v>
      </c>
      <c r="AM232" s="460" t="str">
        <f>申込書!$C$32</f>
        <v>B4（折り無し）</v>
      </c>
      <c r="AN232" s="460" t="str">
        <f>VLOOKUP(AM232,★サイズ表記!$D$4:$E$55,2,FALSE)</f>
        <v>1001</v>
      </c>
      <c r="AO232" s="460">
        <f>IF(C232&lt;&gt;"⑧兵庫",VLOOKUP(LEFT(F232),★新聞!$A$4:$B$12,2,FALSE),IF(LEFT(F232)&lt;&gt;"S",VLOOKUP(LEFT(F232),★新聞!$A$4:$B$12,2,FALSE),VLOOKUP("X",★新聞!$A$4:$B$12,2,FALSE)))</f>
        <v>5</v>
      </c>
      <c r="AP232" s="460" t="str">
        <f t="shared" ca="1" si="29"/>
        <v>0</v>
      </c>
      <c r="AQ232" s="460" t="str">
        <f>IF(申込書!$C$38="","",申込書!$C$38)</f>
        <v/>
      </c>
    </row>
    <row r="233" spans="1:43">
      <c r="A233" s="463">
        <f t="shared" si="30"/>
        <v>232</v>
      </c>
      <c r="B233" s="463" t="str">
        <f t="shared" si="31"/>
        <v>東部</v>
      </c>
      <c r="C233" s="464" t="s">
        <v>1016</v>
      </c>
      <c r="D233" s="464" t="s">
        <v>1022</v>
      </c>
      <c r="E233" s="464">
        <f>VLOOKUP(D233,★折込地区!$A$2:$D$10,4,FALSE)</f>
        <v>1</v>
      </c>
      <c r="F233" s="464" t="s">
        <v>585</v>
      </c>
      <c r="G233" s="464" t="str">
        <f>INDEX(★新聞!$E$4:$I$12, MATCH(LEFT(F233),★新聞!$A$4:$A$12,0), MATCH(LEFT(W233),★新聞!$E$3:$I$3,0))</f>
        <v>AJ</v>
      </c>
      <c r="H233" s="475" t="s">
        <v>1107</v>
      </c>
      <c r="I233" s="464" cm="1">
        <f t="array" ref="I233">IFERROR(INDEX(★原価率!$A$2:$E$50,MATCH($C233&amp;$H233,★原価率!$A$2:$A$50&amp;★原価率!$B$2:$B$50,0),3),0)</f>
        <v>76</v>
      </c>
      <c r="J233" s="464" cm="1">
        <f t="array" ref="J233">IFERROR(INDEX(★原価率!$A$2:$E$50,MATCH($C233&amp;$H233,★原価率!$A$2:$A$50&amp;★原価率!$B$2:$B$50,0),4),0)</f>
        <v>76</v>
      </c>
      <c r="K233" s="464" cm="1">
        <f t="array" ref="K233">IFERROR(INDEX(★原価率!$A$2:$E$50,MATCH($C233&amp;$H233,★原価率!$A$2:$A$50&amp;★原価率!$B$2:$B$50,0),5),0)</f>
        <v>100</v>
      </c>
      <c r="L233" s="528">
        <f>IFERROR(VLOOKUP(W233,★商品!$A$1:$H$1231,8,FALSE),0)</f>
        <v>2.8</v>
      </c>
      <c r="M233" s="203" t="str">
        <f ca="1">CONCATENATE(VLOOKUP(B233,★営業所!$A$2:$B$5,2,FALSE),TEXT(NOW(),"yyyy"))</f>
        <v>T2023</v>
      </c>
      <c r="N233" s="203">
        <v>1</v>
      </c>
      <c r="O233" s="203">
        <v>0</v>
      </c>
      <c r="P233" s="213">
        <f>申込書!$B$6</f>
        <v>0</v>
      </c>
      <c r="Q233" s="203">
        <f>申込書!$C$34</f>
        <v>1000040</v>
      </c>
      <c r="R233" s="203">
        <v>0</v>
      </c>
      <c r="U233" s="203">
        <f>VLOOKUP(B233,★営業所!$A$2:$C$5,3,FALSE)</f>
        <v>8</v>
      </c>
      <c r="V233" s="203">
        <f>申込書!$B$9</f>
        <v>0</v>
      </c>
      <c r="W233" s="203" t="str">
        <f>CONCATENATE(VLOOKUP(B233,★営業所!$A$2:$B$5,2,FALSE),VLOOKUP(申込書!$C$32,★サイズ表記!$D$4:$E$55,2,FALSE),VLOOKUP(D233,★折込地区!$A$2:$B$11,2,FALSE))</f>
        <v>T1001Tot</v>
      </c>
      <c r="X233" s="203" t="str">
        <f>CONCATENATE(申込書!$B$9," ",VLOOKUP(RIGHT(W233,3),★折込地区!$B$2:$C$10,2,FALSE),"")</f>
        <v xml:space="preserve"> 鳥取</v>
      </c>
      <c r="Z233" s="206">
        <f t="shared" ca="1" si="24"/>
        <v>0</v>
      </c>
      <c r="AB233" s="383">
        <f t="shared" si="25"/>
        <v>2.8</v>
      </c>
      <c r="AC233" s="203" t="str">
        <f t="shared" si="26"/>
        <v>P1001</v>
      </c>
      <c r="AD233" s="203" t="str">
        <f>VLOOKUP(AC233,★原価商品!$E$6:$F$349,2,FALSE)</f>
        <v>産経/B4（折り無し）</v>
      </c>
      <c r="AE233" s="203">
        <f t="shared" ca="1" si="27"/>
        <v>0</v>
      </c>
      <c r="AF233" s="383">
        <f ca="1">IFERROR(IF(VLOOKUP(申込書!$C$32,★サイズ表記!$F$4:$H$55,3,FALSE)="切り捨て",ROUNDDOWN(L233*IF(AK233="◎",I233,J233)/100,2),IF(VLOOKUP(申込書!$C$32,★サイズ表記!$F$4:$H$55,3,FALSE)="切り上げ",ROUNDUP(L233*IF(AK233="◎",I233,J233)/100,2),ROUND(L233*IF(AK233="◎",I233,J233)/100,2))),0)</f>
        <v>2.12</v>
      </c>
      <c r="AG233" s="203">
        <f t="shared" ca="1" si="28"/>
        <v>10053</v>
      </c>
      <c r="AJ233" s="460" t="str">
        <f>IFERROR(VLOOKUP(申込書!$C$30,★業種!$D$2:$E$87,2,FALSE),"")</f>
        <v>1003</v>
      </c>
      <c r="AK233" s="460" t="str">
        <f ca="1">IF(申込書!$C$36="◎",IF(OR(D233="浜坂・温泉",D233="美方・村岡",D233="香住",D233="岡山",D233="大阪"),"",IF(LEFT(F233)="D","◎",IF(AG233=0,"",IFERROR(IF(VLOOKUP(AG233,★仕入先!$A$2:$C$211,3,FALSE)=0,"","◎"),"")))),"")</f>
        <v/>
      </c>
      <c r="AL233" s="460">
        <f>申込書!$H$14</f>
        <v>0</v>
      </c>
      <c r="AM233" s="460" t="str">
        <f>申込書!$C$32</f>
        <v>B4（折り無し）</v>
      </c>
      <c r="AN233" s="460" t="str">
        <f>VLOOKUP(AM233,★サイズ表記!$D$4:$E$55,2,FALSE)</f>
        <v>1001</v>
      </c>
      <c r="AO233" s="460">
        <f>IF(C233&lt;&gt;"⑧兵庫",VLOOKUP(LEFT(F233),★新聞!$A$4:$B$12,2,FALSE),IF(LEFT(F233)&lt;&gt;"S",VLOOKUP(LEFT(F233),★新聞!$A$4:$B$12,2,FALSE),VLOOKUP("X",★新聞!$A$4:$B$12,2,FALSE)))</f>
        <v>5</v>
      </c>
      <c r="AP233" s="460" t="str">
        <f t="shared" ca="1" si="29"/>
        <v>0</v>
      </c>
      <c r="AQ233" s="460" t="str">
        <f>IF(申込書!$C$38="","",申込書!$C$38)</f>
        <v/>
      </c>
    </row>
    <row r="234" spans="1:43">
      <c r="A234" s="463">
        <f t="shared" si="30"/>
        <v>233</v>
      </c>
      <c r="B234" s="463" t="str">
        <f t="shared" si="31"/>
        <v>東部</v>
      </c>
      <c r="C234" s="464" t="s">
        <v>1016</v>
      </c>
      <c r="D234" s="464" t="s">
        <v>1022</v>
      </c>
      <c r="E234" s="464">
        <f>VLOOKUP(D234,★折込地区!$A$2:$D$10,4,FALSE)</f>
        <v>1</v>
      </c>
      <c r="F234" s="464" t="s">
        <v>586</v>
      </c>
      <c r="G234" s="464" t="str">
        <f>INDEX(★新聞!$E$4:$I$12, MATCH(LEFT(F234),★新聞!$A$4:$A$12,0), MATCH(LEFT(W234),★新聞!$E$3:$I$3,0))</f>
        <v>AJ</v>
      </c>
      <c r="H234" s="555" t="s">
        <v>1105</v>
      </c>
      <c r="I234" s="464" cm="1">
        <f t="array" ref="I234">IFERROR(INDEX(★原価率!$A$2:$E$50,MATCH($C234&amp;$H234,★原価率!$A$2:$A$50&amp;★原価率!$B$2:$B$50,0),3),0)</f>
        <v>66</v>
      </c>
      <c r="J234" s="464" cm="1">
        <f t="array" ref="J234">IFERROR(INDEX(★原価率!$A$2:$E$50,MATCH($C234&amp;$H234,★原価率!$A$2:$A$50&amp;★原価率!$B$2:$B$50,0),4),0)</f>
        <v>76</v>
      </c>
      <c r="K234" s="464" cm="1">
        <f t="array" ref="K234">IFERROR(INDEX(★原価率!$A$2:$E$50,MATCH($C234&amp;$H234,★原価率!$A$2:$A$50&amp;★原価率!$B$2:$B$50,0),5),0)</f>
        <v>100</v>
      </c>
      <c r="L234" s="528">
        <f>IFERROR(VLOOKUP(W234,★商品!$A$1:$H$1231,8,FALSE),0)</f>
        <v>2.8</v>
      </c>
      <c r="M234" s="203" t="str">
        <f ca="1">CONCATENATE(VLOOKUP(B234,★営業所!$A$2:$B$5,2,FALSE),TEXT(NOW(),"yyyy"))</f>
        <v>T2023</v>
      </c>
      <c r="N234" s="203">
        <v>1</v>
      </c>
      <c r="O234" s="203">
        <v>0</v>
      </c>
      <c r="P234" s="213">
        <f>申込書!$B$6</f>
        <v>0</v>
      </c>
      <c r="Q234" s="203">
        <f>申込書!$C$34</f>
        <v>1000040</v>
      </c>
      <c r="R234" s="203">
        <v>0</v>
      </c>
      <c r="U234" s="203">
        <f>VLOOKUP(B234,★営業所!$A$2:$C$5,3,FALSE)</f>
        <v>8</v>
      </c>
      <c r="V234" s="203">
        <f>申込書!$B$9</f>
        <v>0</v>
      </c>
      <c r="W234" s="203" t="str">
        <f>CONCATENATE(VLOOKUP(B234,★営業所!$A$2:$B$5,2,FALSE),VLOOKUP(申込書!$C$32,★サイズ表記!$D$4:$E$55,2,FALSE),VLOOKUP(D234,★折込地区!$A$2:$B$11,2,FALSE))</f>
        <v>T1001Tot</v>
      </c>
      <c r="X234" s="203" t="str">
        <f>CONCATENATE(申込書!$B$9," ",VLOOKUP(RIGHT(W234,3),★折込地区!$B$2:$C$10,2,FALSE),"")</f>
        <v xml:space="preserve"> 鳥取</v>
      </c>
      <c r="Z234" s="206">
        <f t="shared" ca="1" si="24"/>
        <v>0</v>
      </c>
      <c r="AB234" s="383">
        <f t="shared" si="25"/>
        <v>2.8</v>
      </c>
      <c r="AC234" s="203" t="str">
        <f t="shared" si="26"/>
        <v>P1001</v>
      </c>
      <c r="AD234" s="203" t="str">
        <f>VLOOKUP(AC234,★原価商品!$E$6:$F$349,2,FALSE)</f>
        <v>産経/B4（折り無し）</v>
      </c>
      <c r="AE234" s="203">
        <f t="shared" ca="1" si="27"/>
        <v>0</v>
      </c>
      <c r="AF234" s="383">
        <f ca="1">IFERROR(IF(VLOOKUP(申込書!$C$32,★サイズ表記!$F$4:$H$55,3,FALSE)="切り捨て",ROUNDDOWN(L234*IF(AK234="◎",I234,J234)/100,2),IF(VLOOKUP(申込書!$C$32,★サイズ表記!$F$4:$H$55,3,FALSE)="切り上げ",ROUNDUP(L234*IF(AK234="◎",I234,J234)/100,2),ROUND(L234*IF(AK234="◎",I234,J234)/100,2))),0)</f>
        <v>1.84</v>
      </c>
      <c r="AG234" s="203">
        <f t="shared" ca="1" si="28"/>
        <v>10061</v>
      </c>
      <c r="AJ234" s="460" t="str">
        <f>IFERROR(VLOOKUP(申込書!$C$30,★業種!$D$2:$E$87,2,FALSE),"")</f>
        <v>1003</v>
      </c>
      <c r="AK234" s="460" t="str">
        <f ca="1">IF(申込書!$C$36="◎",IF(OR(D234="浜坂・温泉",D234="美方・村岡",D234="香住",D234="岡山",D234="大阪"),"",IF(LEFT(F234)="D","◎",IF(AG234=0,"",IFERROR(IF(VLOOKUP(AG234,★仕入先!$A$2:$C$211,3,FALSE)=0,"","◎"),"")))),"")</f>
        <v>◎</v>
      </c>
      <c r="AL234" s="460">
        <f>申込書!$H$14</f>
        <v>0</v>
      </c>
      <c r="AM234" s="460" t="str">
        <f>申込書!$C$32</f>
        <v>B4（折り無し）</v>
      </c>
      <c r="AN234" s="460" t="str">
        <f>VLOOKUP(AM234,★サイズ表記!$D$4:$E$55,2,FALSE)</f>
        <v>1001</v>
      </c>
      <c r="AO234" s="460">
        <f>IF(C234&lt;&gt;"⑧兵庫",VLOOKUP(LEFT(F234),★新聞!$A$4:$B$12,2,FALSE),IF(LEFT(F234)&lt;&gt;"S",VLOOKUP(LEFT(F234),★新聞!$A$4:$B$12,2,FALSE),VLOOKUP("X",★新聞!$A$4:$B$12,2,FALSE)))</f>
        <v>5</v>
      </c>
      <c r="AP234" s="460" t="str">
        <f t="shared" ca="1" si="29"/>
        <v>0</v>
      </c>
      <c r="AQ234" s="460" t="str">
        <f>IF(申込書!$C$38="","",申込書!$C$38)</f>
        <v/>
      </c>
    </row>
    <row r="235" spans="1:43">
      <c r="A235" s="463">
        <f t="shared" si="30"/>
        <v>234</v>
      </c>
      <c r="B235" s="463" t="str">
        <f t="shared" si="31"/>
        <v>東部</v>
      </c>
      <c r="C235" s="464" t="s">
        <v>1016</v>
      </c>
      <c r="D235" s="464" t="s">
        <v>1022</v>
      </c>
      <c r="E235" s="464">
        <f>VLOOKUP(D235,★折込地区!$A$2:$D$10,4,FALSE)</f>
        <v>1</v>
      </c>
      <c r="F235" s="464" t="s">
        <v>587</v>
      </c>
      <c r="G235" s="464" t="str">
        <f>INDEX(★新聞!$E$4:$I$12, MATCH(LEFT(F235),★新聞!$A$4:$A$12,0), MATCH(LEFT(W235),★新聞!$E$3:$I$3,0))</f>
        <v>AJ</v>
      </c>
      <c r="H235" s="475" t="s">
        <v>1107</v>
      </c>
      <c r="I235" s="464" cm="1">
        <f t="array" ref="I235">IFERROR(INDEX(★原価率!$A$2:$E$50,MATCH($C235&amp;$H235,★原価率!$A$2:$A$50&amp;★原価率!$B$2:$B$50,0),3),0)</f>
        <v>76</v>
      </c>
      <c r="J235" s="464" cm="1">
        <f t="array" ref="J235">IFERROR(INDEX(★原価率!$A$2:$E$50,MATCH($C235&amp;$H235,★原価率!$A$2:$A$50&amp;★原価率!$B$2:$B$50,0),4),0)</f>
        <v>76</v>
      </c>
      <c r="K235" s="464" cm="1">
        <f t="array" ref="K235">IFERROR(INDEX(★原価率!$A$2:$E$50,MATCH($C235&amp;$H235,★原価率!$A$2:$A$50&amp;★原価率!$B$2:$B$50,0),5),0)</f>
        <v>100</v>
      </c>
      <c r="L235" s="528">
        <f>IFERROR(VLOOKUP(W235,★商品!$A$1:$H$1231,8,FALSE),0)</f>
        <v>2.8</v>
      </c>
      <c r="M235" s="203" t="str">
        <f ca="1">CONCATENATE(VLOOKUP(B235,★営業所!$A$2:$B$5,2,FALSE),TEXT(NOW(),"yyyy"))</f>
        <v>T2023</v>
      </c>
      <c r="N235" s="203">
        <v>1</v>
      </c>
      <c r="O235" s="203">
        <v>0</v>
      </c>
      <c r="P235" s="213">
        <f>申込書!$B$6</f>
        <v>0</v>
      </c>
      <c r="Q235" s="203">
        <f>申込書!$C$34</f>
        <v>1000040</v>
      </c>
      <c r="R235" s="203">
        <v>0</v>
      </c>
      <c r="U235" s="203">
        <f>VLOOKUP(B235,★営業所!$A$2:$C$5,3,FALSE)</f>
        <v>8</v>
      </c>
      <c r="V235" s="203">
        <f>申込書!$B$9</f>
        <v>0</v>
      </c>
      <c r="W235" s="203" t="str">
        <f>CONCATENATE(VLOOKUP(B235,★営業所!$A$2:$B$5,2,FALSE),VLOOKUP(申込書!$C$32,★サイズ表記!$D$4:$E$55,2,FALSE),VLOOKUP(D235,★折込地区!$A$2:$B$11,2,FALSE))</f>
        <v>T1001Tot</v>
      </c>
      <c r="X235" s="203" t="str">
        <f>CONCATENATE(申込書!$B$9," ",VLOOKUP(RIGHT(W235,3),★折込地区!$B$2:$C$10,2,FALSE),"")</f>
        <v xml:space="preserve"> 鳥取</v>
      </c>
      <c r="Z235" s="206">
        <f t="shared" ca="1" si="24"/>
        <v>0</v>
      </c>
      <c r="AB235" s="383">
        <f t="shared" si="25"/>
        <v>2.8</v>
      </c>
      <c r="AC235" s="203" t="str">
        <f t="shared" si="26"/>
        <v>P1001</v>
      </c>
      <c r="AD235" s="203" t="str">
        <f>VLOOKUP(AC235,★原価商品!$E$6:$F$349,2,FALSE)</f>
        <v>産経/B4（折り無し）</v>
      </c>
      <c r="AE235" s="203">
        <f t="shared" ca="1" si="27"/>
        <v>0</v>
      </c>
      <c r="AF235" s="383">
        <f ca="1">IFERROR(IF(VLOOKUP(申込書!$C$32,★サイズ表記!$F$4:$H$55,3,FALSE)="切り捨て",ROUNDDOWN(L235*IF(AK235="◎",I235,J235)/100,2),IF(VLOOKUP(申込書!$C$32,★サイズ表記!$F$4:$H$55,3,FALSE)="切り上げ",ROUNDUP(L235*IF(AK235="◎",I235,J235)/100,2),ROUND(L235*IF(AK235="◎",I235,J235)/100,2))),0)</f>
        <v>2.12</v>
      </c>
      <c r="AG235" s="203">
        <f t="shared" ca="1" si="28"/>
        <v>10074</v>
      </c>
      <c r="AJ235" s="460" t="str">
        <f>IFERROR(VLOOKUP(申込書!$C$30,★業種!$D$2:$E$87,2,FALSE),"")</f>
        <v>1003</v>
      </c>
      <c r="AK235" s="460" t="str">
        <f ca="1">IF(申込書!$C$36="◎",IF(OR(D235="浜坂・温泉",D235="美方・村岡",D235="香住",D235="岡山",D235="大阪"),"",IF(LEFT(F235)="D","◎",IF(AG235=0,"",IFERROR(IF(VLOOKUP(AG235,★仕入先!$A$2:$C$211,3,FALSE)=0,"","◎"),"")))),"")</f>
        <v/>
      </c>
      <c r="AL235" s="460">
        <f>申込書!$H$14</f>
        <v>0</v>
      </c>
      <c r="AM235" s="460" t="str">
        <f>申込書!$C$32</f>
        <v>B4（折り無し）</v>
      </c>
      <c r="AN235" s="460" t="str">
        <f>VLOOKUP(AM235,★サイズ表記!$D$4:$E$55,2,FALSE)</f>
        <v>1001</v>
      </c>
      <c r="AO235" s="460">
        <f>IF(C235&lt;&gt;"⑧兵庫",VLOOKUP(LEFT(F235),★新聞!$A$4:$B$12,2,FALSE),IF(LEFT(F235)&lt;&gt;"S",VLOOKUP(LEFT(F235),★新聞!$A$4:$B$12,2,FALSE),VLOOKUP("X",★新聞!$A$4:$B$12,2,FALSE)))</f>
        <v>5</v>
      </c>
      <c r="AP235" s="460" t="str">
        <f t="shared" ca="1" si="29"/>
        <v>0</v>
      </c>
      <c r="AQ235" s="460" t="str">
        <f>IF(申込書!$C$38="","",申込書!$C$38)</f>
        <v/>
      </c>
    </row>
    <row r="236" spans="1:43">
      <c r="A236" s="463">
        <f t="shared" si="30"/>
        <v>235</v>
      </c>
      <c r="B236" s="463" t="str">
        <f t="shared" si="31"/>
        <v>東部</v>
      </c>
      <c r="C236" s="464" t="s">
        <v>1016</v>
      </c>
      <c r="D236" s="464" t="s">
        <v>1022</v>
      </c>
      <c r="E236" s="464">
        <f>VLOOKUP(D236,★折込地区!$A$2:$D$10,4,FALSE)</f>
        <v>1</v>
      </c>
      <c r="F236" s="464" t="s">
        <v>491</v>
      </c>
      <c r="G236" s="464" t="str">
        <f>INDEX(★新聞!$E$4:$I$12, MATCH(LEFT(F236),★新聞!$A$4:$A$12,0), MATCH(LEFT(W236),★新聞!$E$3:$I$3,0))</f>
        <v>AM</v>
      </c>
      <c r="H236" s="475" t="s">
        <v>1106</v>
      </c>
      <c r="I236" s="464" cm="1">
        <f t="array" ref="I236">IFERROR(INDEX(★原価率!$A$2:$E$50,MATCH($C236&amp;$H236,★原価率!$A$2:$A$50&amp;★原価率!$B$2:$B$50,0),3),0)</f>
        <v>76</v>
      </c>
      <c r="J236" s="464" cm="1">
        <f t="array" ref="J236">IFERROR(INDEX(★原価率!$A$2:$E$50,MATCH($C236&amp;$H236,★原価率!$A$2:$A$50&amp;★原価率!$B$2:$B$50,0),4),0)</f>
        <v>76</v>
      </c>
      <c r="K236" s="464" cm="1">
        <f t="array" ref="K236">IFERROR(INDEX(★原価率!$A$2:$E$50,MATCH($C236&amp;$H236,★原価率!$A$2:$A$50&amp;★原価率!$B$2:$B$50,0),5),0)</f>
        <v>100</v>
      </c>
      <c r="L236" s="528">
        <f>IFERROR(VLOOKUP(W236,★商品!$A$1:$H$1231,8,FALSE),0)</f>
        <v>2.8</v>
      </c>
      <c r="M236" s="203" t="str">
        <f ca="1">CONCATENATE(VLOOKUP(B236,★営業所!$A$2:$B$5,2,FALSE),TEXT(NOW(),"yyyy"))</f>
        <v>T2023</v>
      </c>
      <c r="N236" s="203">
        <v>1</v>
      </c>
      <c r="O236" s="203">
        <v>0</v>
      </c>
      <c r="P236" s="213">
        <f>申込書!$B$6</f>
        <v>0</v>
      </c>
      <c r="Q236" s="203">
        <f>申込書!$C$34</f>
        <v>1000040</v>
      </c>
      <c r="R236" s="203">
        <v>0</v>
      </c>
      <c r="U236" s="203">
        <f>VLOOKUP(B236,★営業所!$A$2:$C$5,3,FALSE)</f>
        <v>8</v>
      </c>
      <c r="V236" s="203">
        <f>申込書!$B$9</f>
        <v>0</v>
      </c>
      <c r="W236" s="203" t="str">
        <f>CONCATENATE(VLOOKUP(B236,★営業所!$A$2:$B$5,2,FALSE),VLOOKUP(申込書!$C$32,★サイズ表記!$D$4:$E$55,2,FALSE),VLOOKUP(D236,★折込地区!$A$2:$B$11,2,FALSE))</f>
        <v>T1001Tot</v>
      </c>
      <c r="X236" s="203" t="str">
        <f>CONCATENATE(申込書!$B$9," ",VLOOKUP(RIGHT(W236,3),★折込地区!$B$2:$C$10,2,FALSE),"")</f>
        <v xml:space="preserve"> 鳥取</v>
      </c>
      <c r="Z236" s="206">
        <f t="shared" ca="1" si="24"/>
        <v>0</v>
      </c>
      <c r="AB236" s="383">
        <f t="shared" si="25"/>
        <v>2.8</v>
      </c>
      <c r="AC236" s="203" t="str">
        <f t="shared" si="26"/>
        <v>S1001</v>
      </c>
      <c r="AD236" s="203" t="str">
        <f>VLOOKUP(AC236,★原価商品!$E$6:$F$349,2,FALSE)</f>
        <v>山陰中央/B4（折り無し）</v>
      </c>
      <c r="AE236" s="203">
        <f t="shared" ca="1" si="27"/>
        <v>0</v>
      </c>
      <c r="AF236" s="383">
        <f ca="1">IFERROR(IF(VLOOKUP(申込書!$C$32,★サイズ表記!$F$4:$H$55,3,FALSE)="切り捨て",ROUNDDOWN(L236*IF(AK236="◎",I236,J236)/100,2),IF(VLOOKUP(申込書!$C$32,★サイズ表記!$F$4:$H$55,3,FALSE)="切り上げ",ROUNDUP(L236*IF(AK236="◎",I236,J236)/100,2),ROUND(L236*IF(AK236="◎",I236,J236)/100,2))),0)</f>
        <v>2.12</v>
      </c>
      <c r="AG236" s="203">
        <f t="shared" ca="1" si="28"/>
        <v>10413</v>
      </c>
      <c r="AJ236" s="460" t="str">
        <f>IFERROR(VLOOKUP(申込書!$C$30,★業種!$D$2:$E$87,2,FALSE),"")</f>
        <v>1003</v>
      </c>
      <c r="AK236" s="460" t="str">
        <f ca="1">IF(申込書!$C$36="◎",IF(OR(D236="浜坂・温泉",D236="美方・村岡",D236="香住",D236="岡山",D236="大阪"),"",IF(LEFT(F236)="D","◎",IF(AG236=0,"",IFERROR(IF(VLOOKUP(AG236,★仕入先!$A$2:$C$211,3,FALSE)=0,"","◎"),"")))),"")</f>
        <v/>
      </c>
      <c r="AL236" s="460">
        <f>申込書!$H$14</f>
        <v>0</v>
      </c>
      <c r="AM236" s="460" t="str">
        <f>申込書!$C$32</f>
        <v>B4（折り無し）</v>
      </c>
      <c r="AN236" s="460" t="str">
        <f>VLOOKUP(AM236,★サイズ表記!$D$4:$E$55,2,FALSE)</f>
        <v>1001</v>
      </c>
      <c r="AO236" s="460">
        <f>IF(C236&lt;&gt;"⑧兵庫",VLOOKUP(LEFT(F236),★新聞!$A$4:$B$12,2,FALSE),IF(LEFT(F236)&lt;&gt;"S",VLOOKUP(LEFT(F236),★新聞!$A$4:$B$12,2,FALSE),VLOOKUP("X",★新聞!$A$4:$B$12,2,FALSE)))</f>
        <v>6</v>
      </c>
      <c r="AP236" s="460" t="str">
        <f t="shared" ca="1" si="29"/>
        <v>0</v>
      </c>
      <c r="AQ236" s="460" t="str">
        <f>IF(申込書!$C$38="","",申込書!$C$38)</f>
        <v/>
      </c>
    </row>
    <row r="237" spans="1:43">
      <c r="A237" s="463">
        <f t="shared" si="30"/>
        <v>236</v>
      </c>
      <c r="B237" s="463" t="str">
        <f t="shared" si="31"/>
        <v>東部</v>
      </c>
      <c r="C237" s="464" t="s">
        <v>1016</v>
      </c>
      <c r="D237" s="464" t="s">
        <v>1022</v>
      </c>
      <c r="E237" s="464">
        <f>VLOOKUP(D237,★折込地区!$A$2:$D$10,4,FALSE)</f>
        <v>1</v>
      </c>
      <c r="F237" s="464" t="s">
        <v>492</v>
      </c>
      <c r="G237" s="464" t="str">
        <f>INDEX(★新聞!$E$4:$I$12, MATCH(LEFT(F237),★新聞!$A$4:$A$12,0), MATCH(LEFT(W237),★新聞!$E$3:$I$3,0))</f>
        <v>AM</v>
      </c>
      <c r="H237" s="475" t="s">
        <v>1106</v>
      </c>
      <c r="I237" s="464" cm="1">
        <f t="array" ref="I237">IFERROR(INDEX(★原価率!$A$2:$E$50,MATCH($C237&amp;$H237,★原価率!$A$2:$A$50&amp;★原価率!$B$2:$B$50,0),3),0)</f>
        <v>76</v>
      </c>
      <c r="J237" s="464" cm="1">
        <f t="array" ref="J237">IFERROR(INDEX(★原価率!$A$2:$E$50,MATCH($C237&amp;$H237,★原価率!$A$2:$A$50&amp;★原価率!$B$2:$B$50,0),4),0)</f>
        <v>76</v>
      </c>
      <c r="K237" s="464" cm="1">
        <f t="array" ref="K237">IFERROR(INDEX(★原価率!$A$2:$E$50,MATCH($C237&amp;$H237,★原価率!$A$2:$A$50&amp;★原価率!$B$2:$B$50,0),5),0)</f>
        <v>100</v>
      </c>
      <c r="L237" s="528">
        <f>IFERROR(VLOOKUP(W237,★商品!$A$1:$H$1231,8,FALSE),0)</f>
        <v>2.8</v>
      </c>
      <c r="M237" s="203" t="str">
        <f ca="1">CONCATENATE(VLOOKUP(B237,★営業所!$A$2:$B$5,2,FALSE),TEXT(NOW(),"yyyy"))</f>
        <v>T2023</v>
      </c>
      <c r="N237" s="203">
        <v>1</v>
      </c>
      <c r="O237" s="203">
        <v>0</v>
      </c>
      <c r="P237" s="213">
        <f>申込書!$B$6</f>
        <v>0</v>
      </c>
      <c r="Q237" s="203">
        <f>申込書!$C$34</f>
        <v>1000040</v>
      </c>
      <c r="R237" s="203">
        <v>0</v>
      </c>
      <c r="U237" s="203">
        <f>VLOOKUP(B237,★営業所!$A$2:$C$5,3,FALSE)</f>
        <v>8</v>
      </c>
      <c r="V237" s="203">
        <f>申込書!$B$9</f>
        <v>0</v>
      </c>
      <c r="W237" s="203" t="str">
        <f>CONCATENATE(VLOOKUP(B237,★営業所!$A$2:$B$5,2,FALSE),VLOOKUP(申込書!$C$32,★サイズ表記!$D$4:$E$55,2,FALSE),VLOOKUP(D237,★折込地区!$A$2:$B$11,2,FALSE))</f>
        <v>T1001Tot</v>
      </c>
      <c r="X237" s="203" t="str">
        <f>CONCATENATE(申込書!$B$9," ",VLOOKUP(RIGHT(W237,3),★折込地区!$B$2:$C$10,2,FALSE),"")</f>
        <v xml:space="preserve"> 鳥取</v>
      </c>
      <c r="Z237" s="206">
        <f t="shared" ca="1" si="24"/>
        <v>0</v>
      </c>
      <c r="AB237" s="383">
        <f t="shared" si="25"/>
        <v>2.8</v>
      </c>
      <c r="AC237" s="203" t="str">
        <f t="shared" si="26"/>
        <v>S1001</v>
      </c>
      <c r="AD237" s="203" t="str">
        <f>VLOOKUP(AC237,★原価商品!$E$6:$F$349,2,FALSE)</f>
        <v>山陰中央/B4（折り無し）</v>
      </c>
      <c r="AE237" s="203">
        <f t="shared" ca="1" si="27"/>
        <v>0</v>
      </c>
      <c r="AF237" s="383">
        <f ca="1">IFERROR(IF(VLOOKUP(申込書!$C$32,★サイズ表記!$F$4:$H$55,3,FALSE)="切り捨て",ROUNDDOWN(L237*IF(AK237="◎",I237,J237)/100,2),IF(VLOOKUP(申込書!$C$32,★サイズ表記!$F$4:$H$55,3,FALSE)="切り上げ",ROUNDUP(L237*IF(AK237="◎",I237,J237)/100,2),ROUND(L237*IF(AK237="◎",I237,J237)/100,2))),0)</f>
        <v>2.12</v>
      </c>
      <c r="AG237" s="203">
        <f t="shared" ca="1" si="28"/>
        <v>0</v>
      </c>
      <c r="AJ237" s="460" t="str">
        <f>IFERROR(VLOOKUP(申込書!$C$30,★業種!$D$2:$E$87,2,FALSE),"")</f>
        <v>1003</v>
      </c>
      <c r="AK237" s="460" t="str">
        <f ca="1">IF(申込書!$C$36="◎",IF(OR(D237="浜坂・温泉",D237="美方・村岡",D237="香住",D237="岡山",D237="大阪"),"",IF(LEFT(F237)="D","◎",IF(AG237=0,"",IFERROR(IF(VLOOKUP(AG237,★仕入先!$A$2:$C$211,3,FALSE)=0,"","◎"),"")))),"")</f>
        <v/>
      </c>
      <c r="AL237" s="460">
        <f>申込書!$H$14</f>
        <v>0</v>
      </c>
      <c r="AM237" s="460" t="str">
        <f>申込書!$C$32</f>
        <v>B4（折り無し）</v>
      </c>
      <c r="AN237" s="460" t="str">
        <f>VLOOKUP(AM237,★サイズ表記!$D$4:$E$55,2,FALSE)</f>
        <v>1001</v>
      </c>
      <c r="AO237" s="460">
        <f>IF(C237&lt;&gt;"⑧兵庫",VLOOKUP(LEFT(F237),★新聞!$A$4:$B$12,2,FALSE),IF(LEFT(F237)&lt;&gt;"S",VLOOKUP(LEFT(F237),★新聞!$A$4:$B$12,2,FALSE),VLOOKUP("X",★新聞!$A$4:$B$12,2,FALSE)))</f>
        <v>6</v>
      </c>
      <c r="AP237" s="460" t="str">
        <f t="shared" ca="1" si="29"/>
        <v>0</v>
      </c>
      <c r="AQ237" s="460" t="str">
        <f>IF(申込書!$C$38="","",申込書!$C$38)</f>
        <v/>
      </c>
    </row>
    <row r="238" spans="1:43">
      <c r="A238" s="463">
        <f t="shared" si="30"/>
        <v>237</v>
      </c>
      <c r="B238" s="463" t="str">
        <f t="shared" si="31"/>
        <v>東部</v>
      </c>
      <c r="C238" s="464" t="s">
        <v>1016</v>
      </c>
      <c r="D238" s="464" t="s">
        <v>1022</v>
      </c>
      <c r="E238" s="464">
        <f>VLOOKUP(D238,★折込地区!$A$2:$D$10,4,FALSE)</f>
        <v>1</v>
      </c>
      <c r="F238" s="464" t="s">
        <v>493</v>
      </c>
      <c r="G238" s="464" t="str">
        <f>INDEX(★新聞!$E$4:$I$12, MATCH(LEFT(F238),★新聞!$A$4:$A$12,0), MATCH(LEFT(W238),★新聞!$E$3:$I$3,0))</f>
        <v>AM</v>
      </c>
      <c r="H238" s="475" t="s">
        <v>1106</v>
      </c>
      <c r="I238" s="464" cm="1">
        <f t="array" ref="I238">IFERROR(INDEX(★原価率!$A$2:$E$50,MATCH($C238&amp;$H238,★原価率!$A$2:$A$50&amp;★原価率!$B$2:$B$50,0),3),0)</f>
        <v>76</v>
      </c>
      <c r="J238" s="464" cm="1">
        <f t="array" ref="J238">IFERROR(INDEX(★原価率!$A$2:$E$50,MATCH($C238&amp;$H238,★原価率!$A$2:$A$50&amp;★原価率!$B$2:$B$50,0),4),0)</f>
        <v>76</v>
      </c>
      <c r="K238" s="464" cm="1">
        <f t="array" ref="K238">IFERROR(INDEX(★原価率!$A$2:$E$50,MATCH($C238&amp;$H238,★原価率!$A$2:$A$50&amp;★原価率!$B$2:$B$50,0),5),0)</f>
        <v>100</v>
      </c>
      <c r="L238" s="528">
        <f>IFERROR(VLOOKUP(W238,★商品!$A$1:$H$1231,8,FALSE),0)</f>
        <v>2.8</v>
      </c>
      <c r="M238" s="203" t="str">
        <f ca="1">CONCATENATE(VLOOKUP(B238,★営業所!$A$2:$B$5,2,FALSE),TEXT(NOW(),"yyyy"))</f>
        <v>T2023</v>
      </c>
      <c r="N238" s="203">
        <v>1</v>
      </c>
      <c r="O238" s="203">
        <v>0</v>
      </c>
      <c r="P238" s="213">
        <f>申込書!$B$6</f>
        <v>0</v>
      </c>
      <c r="Q238" s="203">
        <f>申込書!$C$34</f>
        <v>1000040</v>
      </c>
      <c r="R238" s="203">
        <v>0</v>
      </c>
      <c r="U238" s="203">
        <f>VLOOKUP(B238,★営業所!$A$2:$C$5,3,FALSE)</f>
        <v>8</v>
      </c>
      <c r="V238" s="203">
        <f>申込書!$B$9</f>
        <v>0</v>
      </c>
      <c r="W238" s="203" t="str">
        <f>CONCATENATE(VLOOKUP(B238,★営業所!$A$2:$B$5,2,FALSE),VLOOKUP(申込書!$C$32,★サイズ表記!$D$4:$E$55,2,FALSE),VLOOKUP(D238,★折込地区!$A$2:$B$11,2,FALSE))</f>
        <v>T1001Tot</v>
      </c>
      <c r="X238" s="203" t="str">
        <f>CONCATENATE(申込書!$B$9," ",VLOOKUP(RIGHT(W238,3),★折込地区!$B$2:$C$10,2,FALSE),"")</f>
        <v xml:space="preserve"> 鳥取</v>
      </c>
      <c r="Z238" s="206">
        <f t="shared" ca="1" si="24"/>
        <v>0</v>
      </c>
      <c r="AB238" s="383">
        <f t="shared" si="25"/>
        <v>2.8</v>
      </c>
      <c r="AC238" s="203" t="str">
        <f t="shared" si="26"/>
        <v>S1001</v>
      </c>
      <c r="AD238" s="203" t="str">
        <f>VLOOKUP(AC238,★原価商品!$E$6:$F$349,2,FALSE)</f>
        <v>山陰中央/B4（折り無し）</v>
      </c>
      <c r="AE238" s="203">
        <f t="shared" ca="1" si="27"/>
        <v>0</v>
      </c>
      <c r="AF238" s="383">
        <f ca="1">IFERROR(IF(VLOOKUP(申込書!$C$32,★サイズ表記!$F$4:$H$55,3,FALSE)="切り捨て",ROUNDDOWN(L238*IF(AK238="◎",I238,J238)/100,2),IF(VLOOKUP(申込書!$C$32,★サイズ表記!$F$4:$H$55,3,FALSE)="切り上げ",ROUNDUP(L238*IF(AK238="◎",I238,J238)/100,2),ROUND(L238*IF(AK238="◎",I238,J238)/100,2))),0)</f>
        <v>2.12</v>
      </c>
      <c r="AG238" s="203">
        <f t="shared" ca="1" si="28"/>
        <v>0</v>
      </c>
      <c r="AJ238" s="460" t="str">
        <f>IFERROR(VLOOKUP(申込書!$C$30,★業種!$D$2:$E$87,2,FALSE),"")</f>
        <v>1003</v>
      </c>
      <c r="AK238" s="460" t="str">
        <f ca="1">IF(申込書!$C$36="◎",IF(OR(D238="浜坂・温泉",D238="美方・村岡",D238="香住",D238="岡山",D238="大阪"),"",IF(LEFT(F238)="D","◎",IF(AG238=0,"",IFERROR(IF(VLOOKUP(AG238,★仕入先!$A$2:$C$211,3,FALSE)=0,"","◎"),"")))),"")</f>
        <v/>
      </c>
      <c r="AL238" s="460">
        <f>申込書!$H$14</f>
        <v>0</v>
      </c>
      <c r="AM238" s="460" t="str">
        <f>申込書!$C$32</f>
        <v>B4（折り無し）</v>
      </c>
      <c r="AN238" s="460" t="str">
        <f>VLOOKUP(AM238,★サイズ表記!$D$4:$E$55,2,FALSE)</f>
        <v>1001</v>
      </c>
      <c r="AO238" s="460">
        <f>IF(C238&lt;&gt;"⑧兵庫",VLOOKUP(LEFT(F238),★新聞!$A$4:$B$12,2,FALSE),IF(LEFT(F238)&lt;&gt;"S",VLOOKUP(LEFT(F238),★新聞!$A$4:$B$12,2,FALSE),VLOOKUP("X",★新聞!$A$4:$B$12,2,FALSE)))</f>
        <v>6</v>
      </c>
      <c r="AP238" s="460" t="str">
        <f t="shared" ca="1" si="29"/>
        <v>0</v>
      </c>
      <c r="AQ238" s="460" t="str">
        <f>IF(申込書!$C$38="","",申込書!$C$38)</f>
        <v/>
      </c>
    </row>
    <row r="239" spans="1:43">
      <c r="A239" s="463">
        <f t="shared" si="30"/>
        <v>238</v>
      </c>
      <c r="B239" s="463" t="str">
        <f t="shared" si="31"/>
        <v>東部</v>
      </c>
      <c r="C239" s="464" t="s">
        <v>1016</v>
      </c>
      <c r="D239" s="464" t="s">
        <v>1022</v>
      </c>
      <c r="E239" s="464">
        <f>VLOOKUP(D239,★折込地区!$A$2:$D$10,4,FALSE)</f>
        <v>1</v>
      </c>
      <c r="F239" s="464" t="s">
        <v>494</v>
      </c>
      <c r="G239" s="464" t="str">
        <f>INDEX(★新聞!$E$4:$I$12, MATCH(LEFT(F239),★新聞!$A$4:$A$12,0), MATCH(LEFT(W239),★新聞!$E$3:$I$3,0))</f>
        <v>AM</v>
      </c>
      <c r="H239" s="475" t="s">
        <v>1106</v>
      </c>
      <c r="I239" s="464" cm="1">
        <f t="array" ref="I239">IFERROR(INDEX(★原価率!$A$2:$E$50,MATCH($C239&amp;$H239,★原価率!$A$2:$A$50&amp;★原価率!$B$2:$B$50,0),3),0)</f>
        <v>76</v>
      </c>
      <c r="J239" s="464" cm="1">
        <f t="array" ref="J239">IFERROR(INDEX(★原価率!$A$2:$E$50,MATCH($C239&amp;$H239,★原価率!$A$2:$A$50&amp;★原価率!$B$2:$B$50,0),4),0)</f>
        <v>76</v>
      </c>
      <c r="K239" s="464" cm="1">
        <f t="array" ref="K239">IFERROR(INDEX(★原価率!$A$2:$E$50,MATCH($C239&amp;$H239,★原価率!$A$2:$A$50&amp;★原価率!$B$2:$B$50,0),5),0)</f>
        <v>100</v>
      </c>
      <c r="L239" s="528">
        <f>IFERROR(VLOOKUP(W239,★商品!$A$1:$H$1231,8,FALSE),0)</f>
        <v>2.8</v>
      </c>
      <c r="M239" s="203" t="str">
        <f ca="1">CONCATENATE(VLOOKUP(B239,★営業所!$A$2:$B$5,2,FALSE),TEXT(NOW(),"yyyy"))</f>
        <v>T2023</v>
      </c>
      <c r="N239" s="203">
        <v>1</v>
      </c>
      <c r="O239" s="203">
        <v>0</v>
      </c>
      <c r="P239" s="213">
        <f>申込書!$B$6</f>
        <v>0</v>
      </c>
      <c r="Q239" s="203">
        <f>申込書!$C$34</f>
        <v>1000040</v>
      </c>
      <c r="R239" s="203">
        <v>0</v>
      </c>
      <c r="U239" s="203">
        <f>VLOOKUP(B239,★営業所!$A$2:$C$5,3,FALSE)</f>
        <v>8</v>
      </c>
      <c r="V239" s="203">
        <f>申込書!$B$9</f>
        <v>0</v>
      </c>
      <c r="W239" s="203" t="str">
        <f>CONCATENATE(VLOOKUP(B239,★営業所!$A$2:$B$5,2,FALSE),VLOOKUP(申込書!$C$32,★サイズ表記!$D$4:$E$55,2,FALSE),VLOOKUP(D239,★折込地区!$A$2:$B$11,2,FALSE))</f>
        <v>T1001Tot</v>
      </c>
      <c r="X239" s="203" t="str">
        <f>CONCATENATE(申込書!$B$9," ",VLOOKUP(RIGHT(W239,3),★折込地区!$B$2:$C$10,2,FALSE),"")</f>
        <v xml:space="preserve"> 鳥取</v>
      </c>
      <c r="Z239" s="206">
        <f t="shared" ca="1" si="24"/>
        <v>0</v>
      </c>
      <c r="AB239" s="383">
        <f t="shared" si="25"/>
        <v>2.8</v>
      </c>
      <c r="AC239" s="203" t="str">
        <f t="shared" si="26"/>
        <v>S1001</v>
      </c>
      <c r="AD239" s="203" t="str">
        <f>VLOOKUP(AC239,★原価商品!$E$6:$F$349,2,FALSE)</f>
        <v>山陰中央/B4（折り無し）</v>
      </c>
      <c r="AE239" s="203">
        <f t="shared" ca="1" si="27"/>
        <v>0</v>
      </c>
      <c r="AF239" s="383">
        <f ca="1">IFERROR(IF(VLOOKUP(申込書!$C$32,★サイズ表記!$F$4:$H$55,3,FALSE)="切り捨て",ROUNDDOWN(L239*IF(AK239="◎",I239,J239)/100,2),IF(VLOOKUP(申込書!$C$32,★サイズ表記!$F$4:$H$55,3,FALSE)="切り上げ",ROUNDUP(L239*IF(AK239="◎",I239,J239)/100,2),ROUND(L239*IF(AK239="◎",I239,J239)/100,2))),0)</f>
        <v>2.12</v>
      </c>
      <c r="AG239" s="203">
        <f t="shared" ca="1" si="28"/>
        <v>0</v>
      </c>
      <c r="AJ239" s="460" t="str">
        <f>IFERROR(VLOOKUP(申込書!$C$30,★業種!$D$2:$E$87,2,FALSE),"")</f>
        <v>1003</v>
      </c>
      <c r="AK239" s="460" t="str">
        <f ca="1">IF(申込書!$C$36="◎",IF(OR(D239="浜坂・温泉",D239="美方・村岡",D239="香住",D239="岡山",D239="大阪"),"",IF(LEFT(F239)="D","◎",IF(AG239=0,"",IFERROR(IF(VLOOKUP(AG239,★仕入先!$A$2:$C$211,3,FALSE)=0,"","◎"),"")))),"")</f>
        <v/>
      </c>
      <c r="AL239" s="460">
        <f>申込書!$H$14</f>
        <v>0</v>
      </c>
      <c r="AM239" s="460" t="str">
        <f>申込書!$C$32</f>
        <v>B4（折り無し）</v>
      </c>
      <c r="AN239" s="460" t="str">
        <f>VLOOKUP(AM239,★サイズ表記!$D$4:$E$55,2,FALSE)</f>
        <v>1001</v>
      </c>
      <c r="AO239" s="460">
        <f>IF(C239&lt;&gt;"⑧兵庫",VLOOKUP(LEFT(F239),★新聞!$A$4:$B$12,2,FALSE),IF(LEFT(F239)&lt;&gt;"S",VLOOKUP(LEFT(F239),★新聞!$A$4:$B$12,2,FALSE),VLOOKUP("X",★新聞!$A$4:$B$12,2,FALSE)))</f>
        <v>6</v>
      </c>
      <c r="AP239" s="460" t="str">
        <f t="shared" ca="1" si="29"/>
        <v>0</v>
      </c>
      <c r="AQ239" s="460" t="str">
        <f>IF(申込書!$C$38="","",申込書!$C$38)</f>
        <v/>
      </c>
    </row>
    <row r="240" spans="1:43">
      <c r="A240" s="463">
        <f t="shared" si="30"/>
        <v>239</v>
      </c>
      <c r="B240" s="463" t="str">
        <f t="shared" si="31"/>
        <v>東部</v>
      </c>
      <c r="C240" s="464" t="s">
        <v>1016</v>
      </c>
      <c r="D240" s="464" t="s">
        <v>1022</v>
      </c>
      <c r="E240" s="464">
        <f>VLOOKUP(D240,★折込地区!$A$2:$D$10,4,FALSE)</f>
        <v>1</v>
      </c>
      <c r="F240" s="464" t="s">
        <v>497</v>
      </c>
      <c r="G240" s="464" t="str">
        <f>INDEX(★新聞!$E$4:$I$12, MATCH(LEFT(F240),★新聞!$A$4:$A$12,0), MATCH(LEFT(W240),★新聞!$E$3:$I$3,0))</f>
        <v>AM</v>
      </c>
      <c r="H240" s="475" t="s">
        <v>1106</v>
      </c>
      <c r="I240" s="464" cm="1">
        <f t="array" ref="I240">IFERROR(INDEX(★原価率!$A$2:$E$50,MATCH($C240&amp;$H240,★原価率!$A$2:$A$50&amp;★原価率!$B$2:$B$50,0),3),0)</f>
        <v>76</v>
      </c>
      <c r="J240" s="464" cm="1">
        <f t="array" ref="J240">IFERROR(INDEX(★原価率!$A$2:$E$50,MATCH($C240&amp;$H240,★原価率!$A$2:$A$50&amp;★原価率!$B$2:$B$50,0),4),0)</f>
        <v>76</v>
      </c>
      <c r="K240" s="464" cm="1">
        <f t="array" ref="K240">IFERROR(INDEX(★原価率!$A$2:$E$50,MATCH($C240&amp;$H240,★原価率!$A$2:$A$50&amp;★原価率!$B$2:$B$50,0),5),0)</f>
        <v>100</v>
      </c>
      <c r="L240" s="528">
        <f>IFERROR(VLOOKUP(W240,★商品!$A$1:$H$1231,8,FALSE),0)</f>
        <v>2.8</v>
      </c>
      <c r="M240" s="203" t="str">
        <f ca="1">CONCATENATE(VLOOKUP(B240,★営業所!$A$2:$B$5,2,FALSE),TEXT(NOW(),"yyyy"))</f>
        <v>T2023</v>
      </c>
      <c r="N240" s="203">
        <v>1</v>
      </c>
      <c r="O240" s="203">
        <v>0</v>
      </c>
      <c r="P240" s="213">
        <f>申込書!$B$6</f>
        <v>0</v>
      </c>
      <c r="Q240" s="203">
        <f>申込書!$C$34</f>
        <v>1000040</v>
      </c>
      <c r="R240" s="203">
        <v>0</v>
      </c>
      <c r="U240" s="203">
        <f>VLOOKUP(B240,★営業所!$A$2:$C$5,3,FALSE)</f>
        <v>8</v>
      </c>
      <c r="V240" s="203">
        <f>申込書!$B$9</f>
        <v>0</v>
      </c>
      <c r="W240" s="203" t="str">
        <f>CONCATENATE(VLOOKUP(B240,★営業所!$A$2:$B$5,2,FALSE),VLOOKUP(申込書!$C$32,★サイズ表記!$D$4:$E$55,2,FALSE),VLOOKUP(D240,★折込地区!$A$2:$B$11,2,FALSE))</f>
        <v>T1001Tot</v>
      </c>
      <c r="X240" s="203" t="str">
        <f>CONCATENATE(申込書!$B$9," ",VLOOKUP(RIGHT(W240,3),★折込地区!$B$2:$C$10,2,FALSE),"")</f>
        <v xml:space="preserve"> 鳥取</v>
      </c>
      <c r="Z240" s="206">
        <f t="shared" ca="1" si="24"/>
        <v>0</v>
      </c>
      <c r="AB240" s="383">
        <f t="shared" si="25"/>
        <v>2.8</v>
      </c>
      <c r="AC240" s="203" t="str">
        <f t="shared" si="26"/>
        <v>S1001</v>
      </c>
      <c r="AD240" s="203" t="str">
        <f>VLOOKUP(AC240,★原価商品!$E$6:$F$349,2,FALSE)</f>
        <v>山陰中央/B4（折り無し）</v>
      </c>
      <c r="AE240" s="203">
        <f t="shared" ca="1" si="27"/>
        <v>0</v>
      </c>
      <c r="AF240" s="383">
        <f ca="1">IFERROR(IF(VLOOKUP(申込書!$C$32,★サイズ表記!$F$4:$H$55,3,FALSE)="切り捨て",ROUNDDOWN(L240*IF(AK240="◎",I240,J240)/100,2),IF(VLOOKUP(申込書!$C$32,★サイズ表記!$F$4:$H$55,3,FALSE)="切り上げ",ROUNDUP(L240*IF(AK240="◎",I240,J240)/100,2),ROUND(L240*IF(AK240="◎",I240,J240)/100,2))),0)</f>
        <v>2.12</v>
      </c>
      <c r="AG240" s="203">
        <f t="shared" ca="1" si="28"/>
        <v>0</v>
      </c>
      <c r="AJ240" s="460" t="str">
        <f>IFERROR(VLOOKUP(申込書!$C$30,★業種!$D$2:$E$87,2,FALSE),"")</f>
        <v>1003</v>
      </c>
      <c r="AK240" s="460" t="str">
        <f ca="1">IF(申込書!$C$36="◎",IF(OR(D240="浜坂・温泉",D240="美方・村岡",D240="香住",D240="岡山",D240="大阪"),"",IF(LEFT(F240)="D","◎",IF(AG240=0,"",IFERROR(IF(VLOOKUP(AG240,★仕入先!$A$2:$C$211,3,FALSE)=0,"","◎"),"")))),"")</f>
        <v/>
      </c>
      <c r="AL240" s="460">
        <f>申込書!$H$14</f>
        <v>0</v>
      </c>
      <c r="AM240" s="460" t="str">
        <f>申込書!$C$32</f>
        <v>B4（折り無し）</v>
      </c>
      <c r="AN240" s="460" t="str">
        <f>VLOOKUP(AM240,★サイズ表記!$D$4:$E$55,2,FALSE)</f>
        <v>1001</v>
      </c>
      <c r="AO240" s="460">
        <f>IF(C240&lt;&gt;"⑧兵庫",VLOOKUP(LEFT(F240),★新聞!$A$4:$B$12,2,FALSE),IF(LEFT(F240)&lt;&gt;"S",VLOOKUP(LEFT(F240),★新聞!$A$4:$B$12,2,FALSE),VLOOKUP("X",★新聞!$A$4:$B$12,2,FALSE)))</f>
        <v>6</v>
      </c>
      <c r="AP240" s="460" t="str">
        <f t="shared" ca="1" si="29"/>
        <v>0</v>
      </c>
      <c r="AQ240" s="460" t="str">
        <f>IF(申込書!$C$38="","",申込書!$C$38)</f>
        <v/>
      </c>
    </row>
    <row r="241" spans="1:43">
      <c r="A241" s="463">
        <f t="shared" si="30"/>
        <v>240</v>
      </c>
      <c r="B241" s="463" t="str">
        <f t="shared" si="31"/>
        <v>東部</v>
      </c>
      <c r="C241" s="464" t="s">
        <v>1016</v>
      </c>
      <c r="D241" s="464" t="s">
        <v>1022</v>
      </c>
      <c r="E241" s="464">
        <f>VLOOKUP(D241,★折込地区!$A$2:$D$10,4,FALSE)</f>
        <v>1</v>
      </c>
      <c r="F241" s="464" t="s">
        <v>498</v>
      </c>
      <c r="G241" s="464" t="str">
        <f>INDEX(★新聞!$E$4:$I$12, MATCH(LEFT(F241),★新聞!$A$4:$A$12,0), MATCH(LEFT(W241),★新聞!$E$3:$I$3,0))</f>
        <v>AM</v>
      </c>
      <c r="H241" s="475" t="s">
        <v>1106</v>
      </c>
      <c r="I241" s="464" cm="1">
        <f t="array" ref="I241">IFERROR(INDEX(★原価率!$A$2:$E$50,MATCH($C241&amp;$H241,★原価率!$A$2:$A$50&amp;★原価率!$B$2:$B$50,0),3),0)</f>
        <v>76</v>
      </c>
      <c r="J241" s="464" cm="1">
        <f t="array" ref="J241">IFERROR(INDEX(★原価率!$A$2:$E$50,MATCH($C241&amp;$H241,★原価率!$A$2:$A$50&amp;★原価率!$B$2:$B$50,0),4),0)</f>
        <v>76</v>
      </c>
      <c r="K241" s="464" cm="1">
        <f t="array" ref="K241">IFERROR(INDEX(★原価率!$A$2:$E$50,MATCH($C241&amp;$H241,★原価率!$A$2:$A$50&amp;★原価率!$B$2:$B$50,0),5),0)</f>
        <v>100</v>
      </c>
      <c r="L241" s="528">
        <f>IFERROR(VLOOKUP(W241,★商品!$A$1:$H$1231,8,FALSE),0)</f>
        <v>2.8</v>
      </c>
      <c r="M241" s="203" t="str">
        <f ca="1">CONCATENATE(VLOOKUP(B241,★営業所!$A$2:$B$5,2,FALSE),TEXT(NOW(),"yyyy"))</f>
        <v>T2023</v>
      </c>
      <c r="N241" s="203">
        <v>1</v>
      </c>
      <c r="O241" s="203">
        <v>0</v>
      </c>
      <c r="P241" s="213">
        <f>申込書!$B$6</f>
        <v>0</v>
      </c>
      <c r="Q241" s="203">
        <f>申込書!$C$34</f>
        <v>1000040</v>
      </c>
      <c r="R241" s="203">
        <v>0</v>
      </c>
      <c r="U241" s="203">
        <f>VLOOKUP(B241,★営業所!$A$2:$C$5,3,FALSE)</f>
        <v>8</v>
      </c>
      <c r="V241" s="203">
        <f>申込書!$B$9</f>
        <v>0</v>
      </c>
      <c r="W241" s="203" t="str">
        <f>CONCATENATE(VLOOKUP(B241,★営業所!$A$2:$B$5,2,FALSE),VLOOKUP(申込書!$C$32,★サイズ表記!$D$4:$E$55,2,FALSE),VLOOKUP(D241,★折込地区!$A$2:$B$11,2,FALSE))</f>
        <v>T1001Tot</v>
      </c>
      <c r="X241" s="203" t="str">
        <f>CONCATENATE(申込書!$B$9," ",VLOOKUP(RIGHT(W241,3),★折込地区!$B$2:$C$10,2,FALSE),"")</f>
        <v xml:space="preserve"> 鳥取</v>
      </c>
      <c r="Z241" s="206">
        <f t="shared" ca="1" si="24"/>
        <v>0</v>
      </c>
      <c r="AB241" s="383">
        <f t="shared" si="25"/>
        <v>2.8</v>
      </c>
      <c r="AC241" s="203" t="str">
        <f t="shared" si="26"/>
        <v>S1001</v>
      </c>
      <c r="AD241" s="203" t="str">
        <f>VLOOKUP(AC241,★原価商品!$E$6:$F$349,2,FALSE)</f>
        <v>山陰中央/B4（折り無し）</v>
      </c>
      <c r="AE241" s="203">
        <f t="shared" ca="1" si="27"/>
        <v>0</v>
      </c>
      <c r="AF241" s="383">
        <f ca="1">IFERROR(IF(VLOOKUP(申込書!$C$32,★サイズ表記!$F$4:$H$55,3,FALSE)="切り捨て",ROUNDDOWN(L241*IF(AK241="◎",I241,J241)/100,2),IF(VLOOKUP(申込書!$C$32,★サイズ表記!$F$4:$H$55,3,FALSE)="切り上げ",ROUNDUP(L241*IF(AK241="◎",I241,J241)/100,2),ROUND(L241*IF(AK241="◎",I241,J241)/100,2))),0)</f>
        <v>2.12</v>
      </c>
      <c r="AG241" s="203">
        <f t="shared" ca="1" si="28"/>
        <v>0</v>
      </c>
      <c r="AJ241" s="460" t="str">
        <f>IFERROR(VLOOKUP(申込書!$C$30,★業種!$D$2:$E$87,2,FALSE),"")</f>
        <v>1003</v>
      </c>
      <c r="AK241" s="460" t="str">
        <f ca="1">IF(申込書!$C$36="◎",IF(OR(D241="浜坂・温泉",D241="美方・村岡",D241="香住",D241="岡山",D241="大阪"),"",IF(LEFT(F241)="D","◎",IF(AG241=0,"",IFERROR(IF(VLOOKUP(AG241,★仕入先!$A$2:$C$211,3,FALSE)=0,"","◎"),"")))),"")</f>
        <v/>
      </c>
      <c r="AL241" s="460">
        <f>申込書!$H$14</f>
        <v>0</v>
      </c>
      <c r="AM241" s="460" t="str">
        <f>申込書!$C$32</f>
        <v>B4（折り無し）</v>
      </c>
      <c r="AN241" s="460" t="str">
        <f>VLOOKUP(AM241,★サイズ表記!$D$4:$E$55,2,FALSE)</f>
        <v>1001</v>
      </c>
      <c r="AO241" s="460">
        <f>IF(C241&lt;&gt;"⑧兵庫",VLOOKUP(LEFT(F241),★新聞!$A$4:$B$12,2,FALSE),IF(LEFT(F241)&lt;&gt;"S",VLOOKUP(LEFT(F241),★新聞!$A$4:$B$12,2,FALSE),VLOOKUP("X",★新聞!$A$4:$B$12,2,FALSE)))</f>
        <v>6</v>
      </c>
      <c r="AP241" s="460" t="str">
        <f t="shared" ca="1" si="29"/>
        <v>0</v>
      </c>
      <c r="AQ241" s="460" t="str">
        <f>IF(申込書!$C$38="","",申込書!$C$38)</f>
        <v/>
      </c>
    </row>
    <row r="242" spans="1:43">
      <c r="A242" s="463">
        <f t="shared" si="30"/>
        <v>241</v>
      </c>
      <c r="B242" s="463" t="str">
        <f t="shared" si="31"/>
        <v>東部</v>
      </c>
      <c r="C242" s="464" t="s">
        <v>1016</v>
      </c>
      <c r="D242" s="464" t="s">
        <v>1022</v>
      </c>
      <c r="E242" s="464">
        <f>VLOOKUP(D242,★折込地区!$A$2:$D$10,4,FALSE)</f>
        <v>1</v>
      </c>
      <c r="F242" s="464" t="s">
        <v>499</v>
      </c>
      <c r="G242" s="464" t="str">
        <f>INDEX(★新聞!$E$4:$I$12, MATCH(LEFT(F242),★新聞!$A$4:$A$12,0), MATCH(LEFT(W242),★新聞!$E$3:$I$3,0))</f>
        <v>AM</v>
      </c>
      <c r="H242" s="475" t="s">
        <v>1106</v>
      </c>
      <c r="I242" s="464" cm="1">
        <f t="array" ref="I242">IFERROR(INDEX(★原価率!$A$2:$E$50,MATCH($C242&amp;$H242,★原価率!$A$2:$A$50&amp;★原価率!$B$2:$B$50,0),3),0)</f>
        <v>76</v>
      </c>
      <c r="J242" s="464" cm="1">
        <f t="array" ref="J242">IFERROR(INDEX(★原価率!$A$2:$E$50,MATCH($C242&amp;$H242,★原価率!$A$2:$A$50&amp;★原価率!$B$2:$B$50,0),4),0)</f>
        <v>76</v>
      </c>
      <c r="K242" s="464" cm="1">
        <f t="array" ref="K242">IFERROR(INDEX(★原価率!$A$2:$E$50,MATCH($C242&amp;$H242,★原価率!$A$2:$A$50&amp;★原価率!$B$2:$B$50,0),5),0)</f>
        <v>100</v>
      </c>
      <c r="L242" s="528">
        <f>IFERROR(VLOOKUP(W242,★商品!$A$1:$H$1231,8,FALSE),0)</f>
        <v>2.8</v>
      </c>
      <c r="M242" s="203" t="str">
        <f ca="1">CONCATENATE(VLOOKUP(B242,★営業所!$A$2:$B$5,2,FALSE),TEXT(NOW(),"yyyy"))</f>
        <v>T2023</v>
      </c>
      <c r="N242" s="203">
        <v>1</v>
      </c>
      <c r="O242" s="203">
        <v>0</v>
      </c>
      <c r="P242" s="213">
        <f>申込書!$B$6</f>
        <v>0</v>
      </c>
      <c r="Q242" s="203">
        <f>申込書!$C$34</f>
        <v>1000040</v>
      </c>
      <c r="R242" s="203">
        <v>0</v>
      </c>
      <c r="U242" s="203">
        <f>VLOOKUP(B242,★営業所!$A$2:$C$5,3,FALSE)</f>
        <v>8</v>
      </c>
      <c r="V242" s="203">
        <f>申込書!$B$9</f>
        <v>0</v>
      </c>
      <c r="W242" s="203" t="str">
        <f>CONCATENATE(VLOOKUP(B242,★営業所!$A$2:$B$5,2,FALSE),VLOOKUP(申込書!$C$32,★サイズ表記!$D$4:$E$55,2,FALSE),VLOOKUP(D242,★折込地区!$A$2:$B$11,2,FALSE))</f>
        <v>T1001Tot</v>
      </c>
      <c r="X242" s="203" t="str">
        <f>CONCATENATE(申込書!$B$9," ",VLOOKUP(RIGHT(W242,3),★折込地区!$B$2:$C$10,2,FALSE),"")</f>
        <v xml:space="preserve"> 鳥取</v>
      </c>
      <c r="Z242" s="206">
        <f t="shared" ca="1" si="24"/>
        <v>0</v>
      </c>
      <c r="AB242" s="383">
        <f t="shared" si="25"/>
        <v>2.8</v>
      </c>
      <c r="AC242" s="203" t="str">
        <f t="shared" si="26"/>
        <v>S1001</v>
      </c>
      <c r="AD242" s="203" t="str">
        <f>VLOOKUP(AC242,★原価商品!$E$6:$F$349,2,FALSE)</f>
        <v>山陰中央/B4（折り無し）</v>
      </c>
      <c r="AE242" s="203">
        <f t="shared" ca="1" si="27"/>
        <v>0</v>
      </c>
      <c r="AF242" s="383">
        <f ca="1">IFERROR(IF(VLOOKUP(申込書!$C$32,★サイズ表記!$F$4:$H$55,3,FALSE)="切り捨て",ROUNDDOWN(L242*IF(AK242="◎",I242,J242)/100,2),IF(VLOOKUP(申込書!$C$32,★サイズ表記!$F$4:$H$55,3,FALSE)="切り上げ",ROUNDUP(L242*IF(AK242="◎",I242,J242)/100,2),ROUND(L242*IF(AK242="◎",I242,J242)/100,2))),0)</f>
        <v>2.12</v>
      </c>
      <c r="AG242" s="203">
        <f t="shared" ca="1" si="28"/>
        <v>0</v>
      </c>
      <c r="AJ242" s="460" t="str">
        <f>IFERROR(VLOOKUP(申込書!$C$30,★業種!$D$2:$E$87,2,FALSE),"")</f>
        <v>1003</v>
      </c>
      <c r="AK242" s="460" t="str">
        <f ca="1">IF(申込書!$C$36="◎",IF(OR(D242="浜坂・温泉",D242="美方・村岡",D242="香住",D242="岡山",D242="大阪"),"",IF(LEFT(F242)="D","◎",IF(AG242=0,"",IFERROR(IF(VLOOKUP(AG242,★仕入先!$A$2:$C$211,3,FALSE)=0,"","◎"),"")))),"")</f>
        <v/>
      </c>
      <c r="AL242" s="460">
        <f>申込書!$H$14</f>
        <v>0</v>
      </c>
      <c r="AM242" s="460" t="str">
        <f>申込書!$C$32</f>
        <v>B4（折り無し）</v>
      </c>
      <c r="AN242" s="460" t="str">
        <f>VLOOKUP(AM242,★サイズ表記!$D$4:$E$55,2,FALSE)</f>
        <v>1001</v>
      </c>
      <c r="AO242" s="460">
        <f>IF(C242&lt;&gt;"⑧兵庫",VLOOKUP(LEFT(F242),★新聞!$A$4:$B$12,2,FALSE),IF(LEFT(F242)&lt;&gt;"S",VLOOKUP(LEFT(F242),★新聞!$A$4:$B$12,2,FALSE),VLOOKUP("X",★新聞!$A$4:$B$12,2,FALSE)))</f>
        <v>6</v>
      </c>
      <c r="AP242" s="460" t="str">
        <f t="shared" ca="1" si="29"/>
        <v>0</v>
      </c>
      <c r="AQ242" s="460" t="str">
        <f>IF(申込書!$C$38="","",申込書!$C$38)</f>
        <v/>
      </c>
    </row>
    <row r="243" spans="1:43">
      <c r="A243" s="463">
        <f t="shared" si="30"/>
        <v>242</v>
      </c>
      <c r="B243" s="463" t="str">
        <f t="shared" si="31"/>
        <v>東部</v>
      </c>
      <c r="C243" s="464" t="s">
        <v>1016</v>
      </c>
      <c r="D243" s="464" t="s">
        <v>1022</v>
      </c>
      <c r="E243" s="464">
        <f>VLOOKUP(D243,★折込地区!$A$2:$D$10,4,FALSE)</f>
        <v>1</v>
      </c>
      <c r="F243" s="464" t="s">
        <v>500</v>
      </c>
      <c r="G243" s="464" t="str">
        <f>INDEX(★新聞!$E$4:$I$12, MATCH(LEFT(F243),★新聞!$A$4:$A$12,0), MATCH(LEFT(W243),★新聞!$E$3:$I$3,0))</f>
        <v>AM</v>
      </c>
      <c r="H243" s="475" t="s">
        <v>1106</v>
      </c>
      <c r="I243" s="464" cm="1">
        <f t="array" ref="I243">IFERROR(INDEX(★原価率!$A$2:$E$50,MATCH($C243&amp;$H243,★原価率!$A$2:$A$50&amp;★原価率!$B$2:$B$50,0),3),0)</f>
        <v>76</v>
      </c>
      <c r="J243" s="464" cm="1">
        <f t="array" ref="J243">IFERROR(INDEX(★原価率!$A$2:$E$50,MATCH($C243&amp;$H243,★原価率!$A$2:$A$50&amp;★原価率!$B$2:$B$50,0),4),0)</f>
        <v>76</v>
      </c>
      <c r="K243" s="464" cm="1">
        <f t="array" ref="K243">IFERROR(INDEX(★原価率!$A$2:$E$50,MATCH($C243&amp;$H243,★原価率!$A$2:$A$50&amp;★原価率!$B$2:$B$50,0),5),0)</f>
        <v>100</v>
      </c>
      <c r="L243" s="528">
        <f>IFERROR(VLOOKUP(W243,★商品!$A$1:$H$1231,8,FALSE),0)</f>
        <v>2.8</v>
      </c>
      <c r="M243" s="203" t="str">
        <f ca="1">CONCATENATE(VLOOKUP(B243,★営業所!$A$2:$B$5,2,FALSE),TEXT(NOW(),"yyyy"))</f>
        <v>T2023</v>
      </c>
      <c r="N243" s="203">
        <v>1</v>
      </c>
      <c r="O243" s="203">
        <v>0</v>
      </c>
      <c r="P243" s="213">
        <f>申込書!$B$6</f>
        <v>0</v>
      </c>
      <c r="Q243" s="203">
        <f>申込書!$C$34</f>
        <v>1000040</v>
      </c>
      <c r="R243" s="203">
        <v>0</v>
      </c>
      <c r="U243" s="203">
        <f>VLOOKUP(B243,★営業所!$A$2:$C$5,3,FALSE)</f>
        <v>8</v>
      </c>
      <c r="V243" s="203">
        <f>申込書!$B$9</f>
        <v>0</v>
      </c>
      <c r="W243" s="203" t="str">
        <f>CONCATENATE(VLOOKUP(B243,★営業所!$A$2:$B$5,2,FALSE),VLOOKUP(申込書!$C$32,★サイズ表記!$D$4:$E$55,2,FALSE),VLOOKUP(D243,★折込地区!$A$2:$B$11,2,FALSE))</f>
        <v>T1001Tot</v>
      </c>
      <c r="X243" s="203" t="str">
        <f>CONCATENATE(申込書!$B$9," ",VLOOKUP(RIGHT(W243,3),★折込地区!$B$2:$C$10,2,FALSE),"")</f>
        <v xml:space="preserve"> 鳥取</v>
      </c>
      <c r="Z243" s="206">
        <f t="shared" ca="1" si="24"/>
        <v>0</v>
      </c>
      <c r="AB243" s="383">
        <f t="shared" si="25"/>
        <v>2.8</v>
      </c>
      <c r="AC243" s="203" t="str">
        <f t="shared" si="26"/>
        <v>S1001</v>
      </c>
      <c r="AD243" s="203" t="str">
        <f>VLOOKUP(AC243,★原価商品!$E$6:$F$349,2,FALSE)</f>
        <v>山陰中央/B4（折り無し）</v>
      </c>
      <c r="AE243" s="203">
        <f t="shared" ca="1" si="27"/>
        <v>0</v>
      </c>
      <c r="AF243" s="383">
        <f ca="1">IFERROR(IF(VLOOKUP(申込書!$C$32,★サイズ表記!$F$4:$H$55,3,FALSE)="切り捨て",ROUNDDOWN(L243*IF(AK243="◎",I243,J243)/100,2),IF(VLOOKUP(申込書!$C$32,★サイズ表記!$F$4:$H$55,3,FALSE)="切り上げ",ROUNDUP(L243*IF(AK243="◎",I243,J243)/100,2),ROUND(L243*IF(AK243="◎",I243,J243)/100,2))),0)</f>
        <v>2.12</v>
      </c>
      <c r="AG243" s="203">
        <f t="shared" ca="1" si="28"/>
        <v>0</v>
      </c>
      <c r="AJ243" s="460" t="str">
        <f>IFERROR(VLOOKUP(申込書!$C$30,★業種!$D$2:$E$87,2,FALSE),"")</f>
        <v>1003</v>
      </c>
      <c r="AK243" s="460" t="str">
        <f ca="1">IF(申込書!$C$36="◎",IF(OR(D243="浜坂・温泉",D243="美方・村岡",D243="香住",D243="岡山",D243="大阪"),"",IF(LEFT(F243)="D","◎",IF(AG243=0,"",IFERROR(IF(VLOOKUP(AG243,★仕入先!$A$2:$C$211,3,FALSE)=0,"","◎"),"")))),"")</f>
        <v/>
      </c>
      <c r="AL243" s="460">
        <f>申込書!$H$14</f>
        <v>0</v>
      </c>
      <c r="AM243" s="460" t="str">
        <f>申込書!$C$32</f>
        <v>B4（折り無し）</v>
      </c>
      <c r="AN243" s="460" t="str">
        <f>VLOOKUP(AM243,★サイズ表記!$D$4:$E$55,2,FALSE)</f>
        <v>1001</v>
      </c>
      <c r="AO243" s="460">
        <f>IF(C243&lt;&gt;"⑧兵庫",VLOOKUP(LEFT(F243),★新聞!$A$4:$B$12,2,FALSE),IF(LEFT(F243)&lt;&gt;"S",VLOOKUP(LEFT(F243),★新聞!$A$4:$B$12,2,FALSE),VLOOKUP("X",★新聞!$A$4:$B$12,2,FALSE)))</f>
        <v>6</v>
      </c>
      <c r="AP243" s="460" t="str">
        <f t="shared" ca="1" si="29"/>
        <v>0</v>
      </c>
      <c r="AQ243" s="460" t="str">
        <f>IF(申込書!$C$38="","",申込書!$C$38)</f>
        <v/>
      </c>
    </row>
    <row r="244" spans="1:43">
      <c r="A244" s="463">
        <f t="shared" si="30"/>
        <v>243</v>
      </c>
      <c r="B244" s="463" t="str">
        <f t="shared" si="31"/>
        <v>東部</v>
      </c>
      <c r="C244" s="464" t="s">
        <v>1016</v>
      </c>
      <c r="D244" s="464" t="s">
        <v>1022</v>
      </c>
      <c r="E244" s="464">
        <f>VLOOKUP(D244,★折込地区!$A$2:$D$10,4,FALSE)</f>
        <v>1</v>
      </c>
      <c r="F244" s="464" t="s">
        <v>501</v>
      </c>
      <c r="G244" s="464" t="str">
        <f>INDEX(★新聞!$E$4:$I$12, MATCH(LEFT(F244),★新聞!$A$4:$A$12,0), MATCH(LEFT(W244),★新聞!$E$3:$I$3,0))</f>
        <v>AM</v>
      </c>
      <c r="H244" s="475" t="s">
        <v>1106</v>
      </c>
      <c r="I244" s="464" cm="1">
        <f t="array" ref="I244">IFERROR(INDEX(★原価率!$A$2:$E$50,MATCH($C244&amp;$H244,★原価率!$A$2:$A$50&amp;★原価率!$B$2:$B$50,0),3),0)</f>
        <v>76</v>
      </c>
      <c r="J244" s="464" cm="1">
        <f t="array" ref="J244">IFERROR(INDEX(★原価率!$A$2:$E$50,MATCH($C244&amp;$H244,★原価率!$A$2:$A$50&amp;★原価率!$B$2:$B$50,0),4),0)</f>
        <v>76</v>
      </c>
      <c r="K244" s="464" cm="1">
        <f t="array" ref="K244">IFERROR(INDEX(★原価率!$A$2:$E$50,MATCH($C244&amp;$H244,★原価率!$A$2:$A$50&amp;★原価率!$B$2:$B$50,0),5),0)</f>
        <v>100</v>
      </c>
      <c r="L244" s="528">
        <f>IFERROR(VLOOKUP(W244,★商品!$A$1:$H$1231,8,FALSE),0)</f>
        <v>2.8</v>
      </c>
      <c r="M244" s="203" t="str">
        <f ca="1">CONCATENATE(VLOOKUP(B244,★営業所!$A$2:$B$5,2,FALSE),TEXT(NOW(),"yyyy"))</f>
        <v>T2023</v>
      </c>
      <c r="N244" s="203">
        <v>1</v>
      </c>
      <c r="O244" s="203">
        <v>0</v>
      </c>
      <c r="P244" s="213">
        <f>申込書!$B$6</f>
        <v>0</v>
      </c>
      <c r="Q244" s="203">
        <f>申込書!$C$34</f>
        <v>1000040</v>
      </c>
      <c r="R244" s="203">
        <v>0</v>
      </c>
      <c r="U244" s="203">
        <f>VLOOKUP(B244,★営業所!$A$2:$C$5,3,FALSE)</f>
        <v>8</v>
      </c>
      <c r="V244" s="203">
        <f>申込書!$B$9</f>
        <v>0</v>
      </c>
      <c r="W244" s="203" t="str">
        <f>CONCATENATE(VLOOKUP(B244,★営業所!$A$2:$B$5,2,FALSE),VLOOKUP(申込書!$C$32,★サイズ表記!$D$4:$E$55,2,FALSE),VLOOKUP(D244,★折込地区!$A$2:$B$11,2,FALSE))</f>
        <v>T1001Tot</v>
      </c>
      <c r="X244" s="203" t="str">
        <f>CONCATENATE(申込書!$B$9," ",VLOOKUP(RIGHT(W244,3),★折込地区!$B$2:$C$10,2,FALSE),"")</f>
        <v xml:space="preserve"> 鳥取</v>
      </c>
      <c r="Z244" s="206">
        <f t="shared" ca="1" si="24"/>
        <v>0</v>
      </c>
      <c r="AB244" s="383">
        <f t="shared" si="25"/>
        <v>2.8</v>
      </c>
      <c r="AC244" s="203" t="str">
        <f t="shared" si="26"/>
        <v>S1001</v>
      </c>
      <c r="AD244" s="203" t="str">
        <f>VLOOKUP(AC244,★原価商品!$E$6:$F$349,2,FALSE)</f>
        <v>山陰中央/B4（折り無し）</v>
      </c>
      <c r="AE244" s="203">
        <f t="shared" ca="1" si="27"/>
        <v>0</v>
      </c>
      <c r="AF244" s="383">
        <f ca="1">IFERROR(IF(VLOOKUP(申込書!$C$32,★サイズ表記!$F$4:$H$55,3,FALSE)="切り捨て",ROUNDDOWN(L244*IF(AK244="◎",I244,J244)/100,2),IF(VLOOKUP(申込書!$C$32,★サイズ表記!$F$4:$H$55,3,FALSE)="切り上げ",ROUNDUP(L244*IF(AK244="◎",I244,J244)/100,2),ROUND(L244*IF(AK244="◎",I244,J244)/100,2))),0)</f>
        <v>2.12</v>
      </c>
      <c r="AG244" s="203">
        <f t="shared" ca="1" si="28"/>
        <v>0</v>
      </c>
      <c r="AJ244" s="460" t="str">
        <f>IFERROR(VLOOKUP(申込書!$C$30,★業種!$D$2:$E$87,2,FALSE),"")</f>
        <v>1003</v>
      </c>
      <c r="AK244" s="460" t="str">
        <f ca="1">IF(申込書!$C$36="◎",IF(OR(D244="浜坂・温泉",D244="美方・村岡",D244="香住",D244="岡山",D244="大阪"),"",IF(LEFT(F244)="D","◎",IF(AG244=0,"",IFERROR(IF(VLOOKUP(AG244,★仕入先!$A$2:$C$211,3,FALSE)=0,"","◎"),"")))),"")</f>
        <v/>
      </c>
      <c r="AL244" s="460">
        <f>申込書!$H$14</f>
        <v>0</v>
      </c>
      <c r="AM244" s="460" t="str">
        <f>申込書!$C$32</f>
        <v>B4（折り無し）</v>
      </c>
      <c r="AN244" s="460" t="str">
        <f>VLOOKUP(AM244,★サイズ表記!$D$4:$E$55,2,FALSE)</f>
        <v>1001</v>
      </c>
      <c r="AO244" s="460">
        <f>IF(C244&lt;&gt;"⑧兵庫",VLOOKUP(LEFT(F244),★新聞!$A$4:$B$12,2,FALSE),IF(LEFT(F244)&lt;&gt;"S",VLOOKUP(LEFT(F244),★新聞!$A$4:$B$12,2,FALSE),VLOOKUP("X",★新聞!$A$4:$B$12,2,FALSE)))</f>
        <v>6</v>
      </c>
      <c r="AP244" s="460" t="str">
        <f t="shared" ca="1" si="29"/>
        <v>0</v>
      </c>
      <c r="AQ244" s="460" t="str">
        <f>IF(申込書!$C$38="","",申込書!$C$38)</f>
        <v/>
      </c>
    </row>
    <row r="245" spans="1:43">
      <c r="A245" s="463">
        <f t="shared" si="30"/>
        <v>244</v>
      </c>
      <c r="B245" s="463" t="str">
        <f t="shared" si="31"/>
        <v>東部</v>
      </c>
      <c r="C245" s="464" t="s">
        <v>1016</v>
      </c>
      <c r="D245" s="464" t="s">
        <v>1022</v>
      </c>
      <c r="E245" s="464">
        <f>VLOOKUP(D245,★折込地区!$A$2:$D$10,4,FALSE)</f>
        <v>1</v>
      </c>
      <c r="F245" s="464" t="s">
        <v>508</v>
      </c>
      <c r="G245" s="464" t="str">
        <f>INDEX(★新聞!$E$4:$I$12, MATCH(LEFT(F245),★新聞!$A$4:$A$12,0), MATCH(LEFT(W245),★新聞!$E$3:$I$3,0))</f>
        <v>AM</v>
      </c>
      <c r="H245" s="475" t="s">
        <v>1106</v>
      </c>
      <c r="I245" s="464" cm="1">
        <f t="array" ref="I245">IFERROR(INDEX(★原価率!$A$2:$E$50,MATCH($C245&amp;$H245,★原価率!$A$2:$A$50&amp;★原価率!$B$2:$B$50,0),3),0)</f>
        <v>76</v>
      </c>
      <c r="J245" s="464" cm="1">
        <f t="array" ref="J245">IFERROR(INDEX(★原価率!$A$2:$E$50,MATCH($C245&amp;$H245,★原価率!$A$2:$A$50&amp;★原価率!$B$2:$B$50,0),4),0)</f>
        <v>76</v>
      </c>
      <c r="K245" s="464" cm="1">
        <f t="array" ref="K245">IFERROR(INDEX(★原価率!$A$2:$E$50,MATCH($C245&amp;$H245,★原価率!$A$2:$A$50&amp;★原価率!$B$2:$B$50,0),5),0)</f>
        <v>100</v>
      </c>
      <c r="L245" s="528">
        <f>IFERROR(VLOOKUP(W245,★商品!$A$1:$H$1231,8,FALSE),0)</f>
        <v>2.8</v>
      </c>
      <c r="M245" s="203" t="str">
        <f ca="1">CONCATENATE(VLOOKUP(B245,★営業所!$A$2:$B$5,2,FALSE),TEXT(NOW(),"yyyy"))</f>
        <v>T2023</v>
      </c>
      <c r="N245" s="203">
        <v>1</v>
      </c>
      <c r="O245" s="203">
        <v>0</v>
      </c>
      <c r="P245" s="213">
        <f>申込書!$B$6</f>
        <v>0</v>
      </c>
      <c r="Q245" s="203">
        <f>申込書!$C$34</f>
        <v>1000040</v>
      </c>
      <c r="R245" s="203">
        <v>0</v>
      </c>
      <c r="U245" s="203">
        <f>VLOOKUP(B245,★営業所!$A$2:$C$5,3,FALSE)</f>
        <v>8</v>
      </c>
      <c r="V245" s="203">
        <f>申込書!$B$9</f>
        <v>0</v>
      </c>
      <c r="W245" s="203" t="str">
        <f>CONCATENATE(VLOOKUP(B245,★営業所!$A$2:$B$5,2,FALSE),VLOOKUP(申込書!$C$32,★サイズ表記!$D$4:$E$55,2,FALSE),VLOOKUP(D245,★折込地区!$A$2:$B$11,2,FALSE))</f>
        <v>T1001Tot</v>
      </c>
      <c r="X245" s="203" t="str">
        <f>CONCATENATE(申込書!$B$9," ",VLOOKUP(RIGHT(W245,3),★折込地区!$B$2:$C$10,2,FALSE),"")</f>
        <v xml:space="preserve"> 鳥取</v>
      </c>
      <c r="Z245" s="206">
        <f t="shared" ca="1" si="24"/>
        <v>0</v>
      </c>
      <c r="AB245" s="383">
        <f t="shared" si="25"/>
        <v>2.8</v>
      </c>
      <c r="AC245" s="203" t="str">
        <f t="shared" si="26"/>
        <v>S1001</v>
      </c>
      <c r="AD245" s="203" t="str">
        <f>VLOOKUP(AC245,★原価商品!$E$6:$F$349,2,FALSE)</f>
        <v>山陰中央/B4（折り無し）</v>
      </c>
      <c r="AE245" s="203">
        <f t="shared" ca="1" si="27"/>
        <v>0</v>
      </c>
      <c r="AF245" s="383">
        <f ca="1">IFERROR(IF(VLOOKUP(申込書!$C$32,★サイズ表記!$F$4:$H$55,3,FALSE)="切り捨て",ROUNDDOWN(L245*IF(AK245="◎",I245,J245)/100,2),IF(VLOOKUP(申込書!$C$32,★サイズ表記!$F$4:$H$55,3,FALSE)="切り上げ",ROUNDUP(L245*IF(AK245="◎",I245,J245)/100,2),ROUND(L245*IF(AK245="◎",I245,J245)/100,2))),0)</f>
        <v>2.12</v>
      </c>
      <c r="AG245" s="203">
        <f t="shared" ca="1" si="28"/>
        <v>0</v>
      </c>
      <c r="AJ245" s="460" t="str">
        <f>IFERROR(VLOOKUP(申込書!$C$30,★業種!$D$2:$E$87,2,FALSE),"")</f>
        <v>1003</v>
      </c>
      <c r="AK245" s="460" t="str">
        <f ca="1">IF(申込書!$C$36="◎",IF(OR(D245="浜坂・温泉",D245="美方・村岡",D245="香住",D245="岡山",D245="大阪"),"",IF(LEFT(F245)="D","◎",IF(AG245=0,"",IFERROR(IF(VLOOKUP(AG245,★仕入先!$A$2:$C$211,3,FALSE)=0,"","◎"),"")))),"")</f>
        <v/>
      </c>
      <c r="AL245" s="460">
        <f>申込書!$H$14</f>
        <v>0</v>
      </c>
      <c r="AM245" s="460" t="str">
        <f>申込書!$C$32</f>
        <v>B4（折り無し）</v>
      </c>
      <c r="AN245" s="460" t="str">
        <f>VLOOKUP(AM245,★サイズ表記!$D$4:$E$55,2,FALSE)</f>
        <v>1001</v>
      </c>
      <c r="AO245" s="460">
        <f>IF(C245&lt;&gt;"⑧兵庫",VLOOKUP(LEFT(F245),★新聞!$A$4:$B$12,2,FALSE),IF(LEFT(F245)&lt;&gt;"S",VLOOKUP(LEFT(F245),★新聞!$A$4:$B$12,2,FALSE),VLOOKUP("X",★新聞!$A$4:$B$12,2,FALSE)))</f>
        <v>6</v>
      </c>
      <c r="AP245" s="460" t="str">
        <f t="shared" ca="1" si="29"/>
        <v>0</v>
      </c>
      <c r="AQ245" s="460" t="str">
        <f>IF(申込書!$C$38="","",申込書!$C$38)</f>
        <v/>
      </c>
    </row>
    <row r="246" spans="1:43">
      <c r="A246" s="463">
        <f t="shared" si="30"/>
        <v>245</v>
      </c>
      <c r="B246" s="463" t="str">
        <f t="shared" si="31"/>
        <v>東部</v>
      </c>
      <c r="C246" s="464" t="s">
        <v>1016</v>
      </c>
      <c r="D246" s="464" t="s">
        <v>1022</v>
      </c>
      <c r="E246" s="464">
        <f>VLOOKUP(D246,★折込地区!$A$2:$D$10,4,FALSE)</f>
        <v>1</v>
      </c>
      <c r="F246" s="464" t="s">
        <v>509</v>
      </c>
      <c r="G246" s="464" t="str">
        <f>INDEX(★新聞!$E$4:$I$12, MATCH(LEFT(F246),★新聞!$A$4:$A$12,0), MATCH(LEFT(W246),★新聞!$E$3:$I$3,0))</f>
        <v>AM</v>
      </c>
      <c r="H246" s="475" t="s">
        <v>1106</v>
      </c>
      <c r="I246" s="464" cm="1">
        <f t="array" ref="I246">IFERROR(INDEX(★原価率!$A$2:$E$50,MATCH($C246&amp;$H246,★原価率!$A$2:$A$50&amp;★原価率!$B$2:$B$50,0),3),0)</f>
        <v>76</v>
      </c>
      <c r="J246" s="464" cm="1">
        <f t="array" ref="J246">IFERROR(INDEX(★原価率!$A$2:$E$50,MATCH($C246&amp;$H246,★原価率!$A$2:$A$50&amp;★原価率!$B$2:$B$50,0),4),0)</f>
        <v>76</v>
      </c>
      <c r="K246" s="464" cm="1">
        <f t="array" ref="K246">IFERROR(INDEX(★原価率!$A$2:$E$50,MATCH($C246&amp;$H246,★原価率!$A$2:$A$50&amp;★原価率!$B$2:$B$50,0),5),0)</f>
        <v>100</v>
      </c>
      <c r="L246" s="528">
        <f>IFERROR(VLOOKUP(W246,★商品!$A$1:$H$1231,8,FALSE),0)</f>
        <v>2.8</v>
      </c>
      <c r="M246" s="203" t="str">
        <f ca="1">CONCATENATE(VLOOKUP(B246,★営業所!$A$2:$B$5,2,FALSE),TEXT(NOW(),"yyyy"))</f>
        <v>T2023</v>
      </c>
      <c r="N246" s="203">
        <v>1</v>
      </c>
      <c r="O246" s="203">
        <v>0</v>
      </c>
      <c r="P246" s="213">
        <f>申込書!$B$6</f>
        <v>0</v>
      </c>
      <c r="Q246" s="203">
        <f>申込書!$C$34</f>
        <v>1000040</v>
      </c>
      <c r="R246" s="203">
        <v>0</v>
      </c>
      <c r="U246" s="203">
        <f>VLOOKUP(B246,★営業所!$A$2:$C$5,3,FALSE)</f>
        <v>8</v>
      </c>
      <c r="V246" s="203">
        <f>申込書!$B$9</f>
        <v>0</v>
      </c>
      <c r="W246" s="203" t="str">
        <f>CONCATENATE(VLOOKUP(B246,★営業所!$A$2:$B$5,2,FALSE),VLOOKUP(申込書!$C$32,★サイズ表記!$D$4:$E$55,2,FALSE),VLOOKUP(D246,★折込地区!$A$2:$B$11,2,FALSE))</f>
        <v>T1001Tot</v>
      </c>
      <c r="X246" s="203" t="str">
        <f>CONCATENATE(申込書!$B$9," ",VLOOKUP(RIGHT(W246,3),★折込地区!$B$2:$C$10,2,FALSE),"")</f>
        <v xml:space="preserve"> 鳥取</v>
      </c>
      <c r="Z246" s="206">
        <f t="shared" ca="1" si="24"/>
        <v>0</v>
      </c>
      <c r="AB246" s="383">
        <f t="shared" si="25"/>
        <v>2.8</v>
      </c>
      <c r="AC246" s="203" t="str">
        <f t="shared" si="26"/>
        <v>S1001</v>
      </c>
      <c r="AD246" s="203" t="str">
        <f>VLOOKUP(AC246,★原価商品!$E$6:$F$349,2,FALSE)</f>
        <v>山陰中央/B4（折り無し）</v>
      </c>
      <c r="AE246" s="203">
        <f t="shared" ca="1" si="27"/>
        <v>0</v>
      </c>
      <c r="AF246" s="383">
        <f ca="1">IFERROR(IF(VLOOKUP(申込書!$C$32,★サイズ表記!$F$4:$H$55,3,FALSE)="切り捨て",ROUNDDOWN(L246*IF(AK246="◎",I246,J246)/100,2),IF(VLOOKUP(申込書!$C$32,★サイズ表記!$F$4:$H$55,3,FALSE)="切り上げ",ROUNDUP(L246*IF(AK246="◎",I246,J246)/100,2),ROUND(L246*IF(AK246="◎",I246,J246)/100,2))),0)</f>
        <v>2.12</v>
      </c>
      <c r="AG246" s="203">
        <f t="shared" ca="1" si="28"/>
        <v>0</v>
      </c>
      <c r="AJ246" s="460" t="str">
        <f>IFERROR(VLOOKUP(申込書!$C$30,★業種!$D$2:$E$87,2,FALSE),"")</f>
        <v>1003</v>
      </c>
      <c r="AK246" s="460" t="str">
        <f ca="1">IF(申込書!$C$36="◎",IF(OR(D246="浜坂・温泉",D246="美方・村岡",D246="香住",D246="岡山",D246="大阪"),"",IF(LEFT(F246)="D","◎",IF(AG246=0,"",IFERROR(IF(VLOOKUP(AG246,★仕入先!$A$2:$C$211,3,FALSE)=0,"","◎"),"")))),"")</f>
        <v/>
      </c>
      <c r="AL246" s="460">
        <f>申込書!$H$14</f>
        <v>0</v>
      </c>
      <c r="AM246" s="460" t="str">
        <f>申込書!$C$32</f>
        <v>B4（折り無し）</v>
      </c>
      <c r="AN246" s="460" t="str">
        <f>VLOOKUP(AM246,★サイズ表記!$D$4:$E$55,2,FALSE)</f>
        <v>1001</v>
      </c>
      <c r="AO246" s="460">
        <f>IF(C246&lt;&gt;"⑧兵庫",VLOOKUP(LEFT(F246),★新聞!$A$4:$B$12,2,FALSE),IF(LEFT(F246)&lt;&gt;"S",VLOOKUP(LEFT(F246),★新聞!$A$4:$B$12,2,FALSE),VLOOKUP("X",★新聞!$A$4:$B$12,2,FALSE)))</f>
        <v>6</v>
      </c>
      <c r="AP246" s="460" t="str">
        <f t="shared" ca="1" si="29"/>
        <v>0</v>
      </c>
      <c r="AQ246" s="460" t="str">
        <f>IF(申込書!$C$38="","",申込書!$C$38)</f>
        <v/>
      </c>
    </row>
    <row r="247" spans="1:43">
      <c r="A247" s="463">
        <f t="shared" si="30"/>
        <v>246</v>
      </c>
      <c r="B247" s="463" t="str">
        <f t="shared" si="31"/>
        <v>東部</v>
      </c>
      <c r="C247" s="464" t="s">
        <v>1016</v>
      </c>
      <c r="D247" s="464" t="s">
        <v>1022</v>
      </c>
      <c r="E247" s="464">
        <f>VLOOKUP(D247,★折込地区!$A$2:$D$10,4,FALSE)</f>
        <v>1</v>
      </c>
      <c r="F247" s="464" t="s">
        <v>510</v>
      </c>
      <c r="G247" s="464" t="str">
        <f>INDEX(★新聞!$E$4:$I$12, MATCH(LEFT(F247),★新聞!$A$4:$A$12,0), MATCH(LEFT(W247),★新聞!$E$3:$I$3,0))</f>
        <v>AM</v>
      </c>
      <c r="H247" s="475" t="s">
        <v>1106</v>
      </c>
      <c r="I247" s="464" cm="1">
        <f t="array" ref="I247">IFERROR(INDEX(★原価率!$A$2:$E$50,MATCH($C247&amp;$H247,★原価率!$A$2:$A$50&amp;★原価率!$B$2:$B$50,0),3),0)</f>
        <v>76</v>
      </c>
      <c r="J247" s="464" cm="1">
        <f t="array" ref="J247">IFERROR(INDEX(★原価率!$A$2:$E$50,MATCH($C247&amp;$H247,★原価率!$A$2:$A$50&amp;★原価率!$B$2:$B$50,0),4),0)</f>
        <v>76</v>
      </c>
      <c r="K247" s="464" cm="1">
        <f t="array" ref="K247">IFERROR(INDEX(★原価率!$A$2:$E$50,MATCH($C247&amp;$H247,★原価率!$A$2:$A$50&amp;★原価率!$B$2:$B$50,0),5),0)</f>
        <v>100</v>
      </c>
      <c r="L247" s="528">
        <f>IFERROR(VLOOKUP(W247,★商品!$A$1:$H$1231,8,FALSE),0)</f>
        <v>2.8</v>
      </c>
      <c r="M247" s="203" t="str">
        <f ca="1">CONCATENATE(VLOOKUP(B247,★営業所!$A$2:$B$5,2,FALSE),TEXT(NOW(),"yyyy"))</f>
        <v>T2023</v>
      </c>
      <c r="N247" s="203">
        <v>1</v>
      </c>
      <c r="O247" s="203">
        <v>0</v>
      </c>
      <c r="P247" s="213">
        <f>申込書!$B$6</f>
        <v>0</v>
      </c>
      <c r="Q247" s="203">
        <f>申込書!$C$34</f>
        <v>1000040</v>
      </c>
      <c r="R247" s="203">
        <v>0</v>
      </c>
      <c r="U247" s="203">
        <f>VLOOKUP(B247,★営業所!$A$2:$C$5,3,FALSE)</f>
        <v>8</v>
      </c>
      <c r="V247" s="203">
        <f>申込書!$B$9</f>
        <v>0</v>
      </c>
      <c r="W247" s="203" t="str">
        <f>CONCATENATE(VLOOKUP(B247,★営業所!$A$2:$B$5,2,FALSE),VLOOKUP(申込書!$C$32,★サイズ表記!$D$4:$E$55,2,FALSE),VLOOKUP(D247,★折込地区!$A$2:$B$11,2,FALSE))</f>
        <v>T1001Tot</v>
      </c>
      <c r="X247" s="203" t="str">
        <f>CONCATENATE(申込書!$B$9," ",VLOOKUP(RIGHT(W247,3),★折込地区!$B$2:$C$10,2,FALSE),"")</f>
        <v xml:space="preserve"> 鳥取</v>
      </c>
      <c r="Z247" s="206">
        <f t="shared" ca="1" si="24"/>
        <v>0</v>
      </c>
      <c r="AB247" s="383">
        <f t="shared" si="25"/>
        <v>2.8</v>
      </c>
      <c r="AC247" s="203" t="str">
        <f t="shared" si="26"/>
        <v>S1001</v>
      </c>
      <c r="AD247" s="203" t="str">
        <f>VLOOKUP(AC247,★原価商品!$E$6:$F$349,2,FALSE)</f>
        <v>山陰中央/B4（折り無し）</v>
      </c>
      <c r="AE247" s="203">
        <f t="shared" ca="1" si="27"/>
        <v>0</v>
      </c>
      <c r="AF247" s="383">
        <f ca="1">IFERROR(IF(VLOOKUP(申込書!$C$32,★サイズ表記!$F$4:$H$55,3,FALSE)="切り捨て",ROUNDDOWN(L247*IF(AK247="◎",I247,J247)/100,2),IF(VLOOKUP(申込書!$C$32,★サイズ表記!$F$4:$H$55,3,FALSE)="切り上げ",ROUNDUP(L247*IF(AK247="◎",I247,J247)/100,2),ROUND(L247*IF(AK247="◎",I247,J247)/100,2))),0)</f>
        <v>2.12</v>
      </c>
      <c r="AG247" s="203">
        <f t="shared" ca="1" si="28"/>
        <v>0</v>
      </c>
      <c r="AJ247" s="460" t="str">
        <f>IFERROR(VLOOKUP(申込書!$C$30,★業種!$D$2:$E$87,2,FALSE),"")</f>
        <v>1003</v>
      </c>
      <c r="AK247" s="460" t="str">
        <f ca="1">IF(申込書!$C$36="◎",IF(OR(D247="浜坂・温泉",D247="美方・村岡",D247="香住",D247="岡山",D247="大阪"),"",IF(LEFT(F247)="D","◎",IF(AG247=0,"",IFERROR(IF(VLOOKUP(AG247,★仕入先!$A$2:$C$211,3,FALSE)=0,"","◎"),"")))),"")</f>
        <v/>
      </c>
      <c r="AL247" s="460">
        <f>申込書!$H$14</f>
        <v>0</v>
      </c>
      <c r="AM247" s="460" t="str">
        <f>申込書!$C$32</f>
        <v>B4（折り無し）</v>
      </c>
      <c r="AN247" s="460" t="str">
        <f>VLOOKUP(AM247,★サイズ表記!$D$4:$E$55,2,FALSE)</f>
        <v>1001</v>
      </c>
      <c r="AO247" s="460">
        <f>IF(C247&lt;&gt;"⑧兵庫",VLOOKUP(LEFT(F247),★新聞!$A$4:$B$12,2,FALSE),IF(LEFT(F247)&lt;&gt;"S",VLOOKUP(LEFT(F247),★新聞!$A$4:$B$12,2,FALSE),VLOOKUP("X",★新聞!$A$4:$B$12,2,FALSE)))</f>
        <v>6</v>
      </c>
      <c r="AP247" s="460" t="str">
        <f t="shared" ca="1" si="29"/>
        <v>0</v>
      </c>
      <c r="AQ247" s="460" t="str">
        <f>IF(申込書!$C$38="","",申込書!$C$38)</f>
        <v/>
      </c>
    </row>
    <row r="248" spans="1:43">
      <c r="A248" s="463">
        <f t="shared" si="30"/>
        <v>247</v>
      </c>
      <c r="B248" s="463" t="str">
        <f t="shared" si="31"/>
        <v>東部</v>
      </c>
      <c r="C248" s="464" t="s">
        <v>1016</v>
      </c>
      <c r="D248" s="464" t="s">
        <v>1022</v>
      </c>
      <c r="E248" s="464">
        <f>VLOOKUP(D248,★折込地区!$A$2:$D$10,4,FALSE)</f>
        <v>1</v>
      </c>
      <c r="F248" s="464" t="s">
        <v>588</v>
      </c>
      <c r="G248" s="464" t="str">
        <f>INDEX(★新聞!$E$4:$I$12, MATCH(LEFT(F248),★新聞!$A$4:$A$12,0), MATCH(LEFT(W248),★新聞!$E$3:$I$3,0))</f>
        <v>AM</v>
      </c>
      <c r="H248" s="555" t="s">
        <v>1105</v>
      </c>
      <c r="I248" s="464" cm="1">
        <f t="array" ref="I248">IFERROR(INDEX(★原価率!$A$2:$E$50,MATCH($C248&amp;$H248,★原価率!$A$2:$A$50&amp;★原価率!$B$2:$B$50,0),3),0)</f>
        <v>66</v>
      </c>
      <c r="J248" s="464" cm="1">
        <f t="array" ref="J248">IFERROR(INDEX(★原価率!$A$2:$E$50,MATCH($C248&amp;$H248,★原価率!$A$2:$A$50&amp;★原価率!$B$2:$B$50,0),4),0)</f>
        <v>76</v>
      </c>
      <c r="K248" s="464" cm="1">
        <f t="array" ref="K248">IFERROR(INDEX(★原価率!$A$2:$E$50,MATCH($C248&amp;$H248,★原価率!$A$2:$A$50&amp;★原価率!$B$2:$B$50,0),5),0)</f>
        <v>100</v>
      </c>
      <c r="L248" s="528">
        <f>IFERROR(VLOOKUP(W248,★商品!$A$1:$H$1231,8,FALSE),0)</f>
        <v>2.8</v>
      </c>
      <c r="M248" s="203" t="str">
        <f ca="1">CONCATENATE(VLOOKUP(B248,★営業所!$A$2:$B$5,2,FALSE),TEXT(NOW(),"yyyy"))</f>
        <v>T2023</v>
      </c>
      <c r="N248" s="203">
        <v>1</v>
      </c>
      <c r="O248" s="203">
        <v>0</v>
      </c>
      <c r="P248" s="213">
        <f>申込書!$B$6</f>
        <v>0</v>
      </c>
      <c r="Q248" s="203">
        <f>申込書!$C$34</f>
        <v>1000040</v>
      </c>
      <c r="R248" s="203">
        <v>0</v>
      </c>
      <c r="U248" s="203">
        <f>VLOOKUP(B248,★営業所!$A$2:$C$5,3,FALSE)</f>
        <v>8</v>
      </c>
      <c r="V248" s="203">
        <f>申込書!$B$9</f>
        <v>0</v>
      </c>
      <c r="W248" s="203" t="str">
        <f>CONCATENATE(VLOOKUP(B248,★営業所!$A$2:$B$5,2,FALSE),VLOOKUP(申込書!$C$32,★サイズ表記!$D$4:$E$55,2,FALSE),VLOOKUP(D248,★折込地区!$A$2:$B$11,2,FALSE))</f>
        <v>T1001Tot</v>
      </c>
      <c r="X248" s="203" t="str">
        <f>CONCATENATE(申込書!$B$9," ",VLOOKUP(RIGHT(W248,3),★折込地区!$B$2:$C$10,2,FALSE),"")</f>
        <v xml:space="preserve"> 鳥取</v>
      </c>
      <c r="Z248" s="206">
        <f t="shared" ca="1" si="24"/>
        <v>0</v>
      </c>
      <c r="AB248" s="383">
        <f t="shared" si="25"/>
        <v>2.8</v>
      </c>
      <c r="AC248" s="203" t="str">
        <f t="shared" si="26"/>
        <v>S1001</v>
      </c>
      <c r="AD248" s="203" t="str">
        <f>VLOOKUP(AC248,★原価商品!$E$6:$F$349,2,FALSE)</f>
        <v>山陰中央/B4（折り無し）</v>
      </c>
      <c r="AE248" s="203">
        <f t="shared" ca="1" si="27"/>
        <v>0</v>
      </c>
      <c r="AF248" s="383">
        <f ca="1">IFERROR(IF(VLOOKUP(申込書!$C$32,★サイズ表記!$F$4:$H$55,3,FALSE)="切り捨て",ROUNDDOWN(L248*IF(AK248="◎",I248,J248)/100,2),IF(VLOOKUP(申込書!$C$32,★サイズ表記!$F$4:$H$55,3,FALSE)="切り上げ",ROUNDUP(L248*IF(AK248="◎",I248,J248)/100,2),ROUND(L248*IF(AK248="◎",I248,J248)/100,2))),0)</f>
        <v>1.84</v>
      </c>
      <c r="AG248" s="203">
        <f t="shared" ca="1" si="28"/>
        <v>10046</v>
      </c>
      <c r="AJ248" s="460" t="str">
        <f>IFERROR(VLOOKUP(申込書!$C$30,★業種!$D$2:$E$87,2,FALSE),"")</f>
        <v>1003</v>
      </c>
      <c r="AK248" s="460" t="str">
        <f ca="1">IF(申込書!$C$36="◎",IF(OR(D248="浜坂・温泉",D248="美方・村岡",D248="香住",D248="岡山",D248="大阪"),"",IF(LEFT(F248)="D","◎",IF(AG248=0,"",IFERROR(IF(VLOOKUP(AG248,★仕入先!$A$2:$C$211,3,FALSE)=0,"","◎"),"")))),"")</f>
        <v>◎</v>
      </c>
      <c r="AL248" s="460">
        <f>申込書!$H$14</f>
        <v>0</v>
      </c>
      <c r="AM248" s="460" t="str">
        <f>申込書!$C$32</f>
        <v>B4（折り無し）</v>
      </c>
      <c r="AN248" s="460" t="str">
        <f>VLOOKUP(AM248,★サイズ表記!$D$4:$E$55,2,FALSE)</f>
        <v>1001</v>
      </c>
      <c r="AO248" s="460">
        <f>IF(C248&lt;&gt;"⑧兵庫",VLOOKUP(LEFT(F248),★新聞!$A$4:$B$12,2,FALSE),IF(LEFT(F248)&lt;&gt;"S",VLOOKUP(LEFT(F248),★新聞!$A$4:$B$12,2,FALSE),VLOOKUP("X",★新聞!$A$4:$B$12,2,FALSE)))</f>
        <v>6</v>
      </c>
      <c r="AP248" s="460" t="str">
        <f t="shared" ca="1" si="29"/>
        <v>0</v>
      </c>
      <c r="AQ248" s="460" t="str">
        <f>IF(申込書!$C$38="","",申込書!$C$38)</f>
        <v/>
      </c>
    </row>
    <row r="249" spans="1:43">
      <c r="A249" s="463">
        <f t="shared" si="30"/>
        <v>248</v>
      </c>
      <c r="B249" s="463" t="str">
        <f t="shared" si="31"/>
        <v>東部</v>
      </c>
      <c r="C249" s="464" t="s">
        <v>1016</v>
      </c>
      <c r="D249" s="464" t="s">
        <v>1022</v>
      </c>
      <c r="E249" s="464">
        <f>VLOOKUP(D249,★折込地区!$A$2:$D$10,4,FALSE)</f>
        <v>1</v>
      </c>
      <c r="F249" s="464" t="s">
        <v>589</v>
      </c>
      <c r="G249" s="464" t="str">
        <f>INDEX(★新聞!$E$4:$I$12, MATCH(LEFT(F249),★新聞!$A$4:$A$12,0), MATCH(LEFT(W249),★新聞!$E$3:$I$3,0))</f>
        <v>AM</v>
      </c>
      <c r="H249" s="475" t="s">
        <v>1106</v>
      </c>
      <c r="I249" s="464" cm="1">
        <f t="array" ref="I249">IFERROR(INDEX(★原価率!$A$2:$E$50,MATCH($C249&amp;$H249,★原価率!$A$2:$A$50&amp;★原価率!$B$2:$B$50,0),3),0)</f>
        <v>76</v>
      </c>
      <c r="J249" s="464" cm="1">
        <f t="array" ref="J249">IFERROR(INDEX(★原価率!$A$2:$E$50,MATCH($C249&amp;$H249,★原価率!$A$2:$A$50&amp;★原価率!$B$2:$B$50,0),4),0)</f>
        <v>76</v>
      </c>
      <c r="K249" s="464" cm="1">
        <f t="array" ref="K249">IFERROR(INDEX(★原価率!$A$2:$E$50,MATCH($C249&amp;$H249,★原価率!$A$2:$A$50&amp;★原価率!$B$2:$B$50,0),5),0)</f>
        <v>100</v>
      </c>
      <c r="L249" s="528">
        <f>IFERROR(VLOOKUP(W249,★商品!$A$1:$H$1231,8,FALSE),0)</f>
        <v>2.8</v>
      </c>
      <c r="M249" s="203" t="str">
        <f ca="1">CONCATENATE(VLOOKUP(B249,★営業所!$A$2:$B$5,2,FALSE),TEXT(NOW(),"yyyy"))</f>
        <v>T2023</v>
      </c>
      <c r="N249" s="203">
        <v>1</v>
      </c>
      <c r="O249" s="203">
        <v>0</v>
      </c>
      <c r="P249" s="213">
        <f>申込書!$B$6</f>
        <v>0</v>
      </c>
      <c r="Q249" s="203">
        <f>申込書!$C$34</f>
        <v>1000040</v>
      </c>
      <c r="R249" s="203">
        <v>0</v>
      </c>
      <c r="U249" s="203">
        <f>VLOOKUP(B249,★営業所!$A$2:$C$5,3,FALSE)</f>
        <v>8</v>
      </c>
      <c r="V249" s="203">
        <f>申込書!$B$9</f>
        <v>0</v>
      </c>
      <c r="W249" s="203" t="str">
        <f>CONCATENATE(VLOOKUP(B249,★営業所!$A$2:$B$5,2,FALSE),VLOOKUP(申込書!$C$32,★サイズ表記!$D$4:$E$55,2,FALSE),VLOOKUP(D249,★折込地区!$A$2:$B$11,2,FALSE))</f>
        <v>T1001Tot</v>
      </c>
      <c r="X249" s="203" t="str">
        <f>CONCATENATE(申込書!$B$9," ",VLOOKUP(RIGHT(W249,3),★折込地区!$B$2:$C$10,2,FALSE),"")</f>
        <v xml:space="preserve"> 鳥取</v>
      </c>
      <c r="Z249" s="206">
        <f t="shared" ca="1" si="24"/>
        <v>0</v>
      </c>
      <c r="AB249" s="383">
        <f t="shared" si="25"/>
        <v>2.8</v>
      </c>
      <c r="AC249" s="203" t="str">
        <f t="shared" si="26"/>
        <v>S1001</v>
      </c>
      <c r="AD249" s="203" t="str">
        <f>VLOOKUP(AC249,★原価商品!$E$6:$F$349,2,FALSE)</f>
        <v>山陰中央/B4（折り無し）</v>
      </c>
      <c r="AE249" s="203">
        <f t="shared" ca="1" si="27"/>
        <v>0</v>
      </c>
      <c r="AF249" s="383">
        <f ca="1">IFERROR(IF(VLOOKUP(申込書!$C$32,★サイズ表記!$F$4:$H$55,3,FALSE)="切り捨て",ROUNDDOWN(L249*IF(AK249="◎",I249,J249)/100,2),IF(VLOOKUP(申込書!$C$32,★サイズ表記!$F$4:$H$55,3,FALSE)="切り上げ",ROUNDUP(L249*IF(AK249="◎",I249,J249)/100,2),ROUND(L249*IF(AK249="◎",I249,J249)/100,2))),0)</f>
        <v>2.12</v>
      </c>
      <c r="AG249" s="203">
        <f t="shared" ca="1" si="28"/>
        <v>10053</v>
      </c>
      <c r="AJ249" s="460" t="str">
        <f>IFERROR(VLOOKUP(申込書!$C$30,★業種!$D$2:$E$87,2,FALSE),"")</f>
        <v>1003</v>
      </c>
      <c r="AK249" s="460" t="str">
        <f ca="1">IF(申込書!$C$36="◎",IF(OR(D249="浜坂・温泉",D249="美方・村岡",D249="香住",D249="岡山",D249="大阪"),"",IF(LEFT(F249)="D","◎",IF(AG249=0,"",IFERROR(IF(VLOOKUP(AG249,★仕入先!$A$2:$C$211,3,FALSE)=0,"","◎"),"")))),"")</f>
        <v/>
      </c>
      <c r="AL249" s="460">
        <f>申込書!$H$14</f>
        <v>0</v>
      </c>
      <c r="AM249" s="460" t="str">
        <f>申込書!$C$32</f>
        <v>B4（折り無し）</v>
      </c>
      <c r="AN249" s="460" t="str">
        <f>VLOOKUP(AM249,★サイズ表記!$D$4:$E$55,2,FALSE)</f>
        <v>1001</v>
      </c>
      <c r="AO249" s="460">
        <f>IF(C249&lt;&gt;"⑧兵庫",VLOOKUP(LEFT(F249),★新聞!$A$4:$B$12,2,FALSE),IF(LEFT(F249)&lt;&gt;"S",VLOOKUP(LEFT(F249),★新聞!$A$4:$B$12,2,FALSE),VLOOKUP("X",★新聞!$A$4:$B$12,2,FALSE)))</f>
        <v>6</v>
      </c>
      <c r="AP249" s="460" t="str">
        <f t="shared" ca="1" si="29"/>
        <v>0</v>
      </c>
      <c r="AQ249" s="460" t="str">
        <f>IF(申込書!$C$38="","",申込書!$C$38)</f>
        <v/>
      </c>
    </row>
    <row r="250" spans="1:43">
      <c r="A250" s="463">
        <f t="shared" si="30"/>
        <v>249</v>
      </c>
      <c r="B250" s="463" t="str">
        <f t="shared" si="31"/>
        <v>東部</v>
      </c>
      <c r="C250" s="464" t="s">
        <v>1016</v>
      </c>
      <c r="D250" s="464" t="s">
        <v>1022</v>
      </c>
      <c r="E250" s="464">
        <f>VLOOKUP(D250,★折込地区!$A$2:$D$10,4,FALSE)</f>
        <v>1</v>
      </c>
      <c r="F250" s="464" t="s">
        <v>590</v>
      </c>
      <c r="G250" s="464" t="str">
        <f>INDEX(★新聞!$E$4:$I$12, MATCH(LEFT(F250),★新聞!$A$4:$A$12,0), MATCH(LEFT(W250),★新聞!$E$3:$I$3,0))</f>
        <v>AM</v>
      </c>
      <c r="H250" s="475" t="s">
        <v>1106</v>
      </c>
      <c r="I250" s="464" cm="1">
        <f t="array" ref="I250">IFERROR(INDEX(★原価率!$A$2:$E$50,MATCH($C250&amp;$H250,★原価率!$A$2:$A$50&amp;★原価率!$B$2:$B$50,0),3),0)</f>
        <v>76</v>
      </c>
      <c r="J250" s="464" cm="1">
        <f t="array" ref="J250">IFERROR(INDEX(★原価率!$A$2:$E$50,MATCH($C250&amp;$H250,★原価率!$A$2:$A$50&amp;★原価率!$B$2:$B$50,0),4),0)</f>
        <v>76</v>
      </c>
      <c r="K250" s="464" cm="1">
        <f t="array" ref="K250">IFERROR(INDEX(★原価率!$A$2:$E$50,MATCH($C250&amp;$H250,★原価率!$A$2:$A$50&amp;★原価率!$B$2:$B$50,0),5),0)</f>
        <v>100</v>
      </c>
      <c r="L250" s="528">
        <f>IFERROR(VLOOKUP(W250,★商品!$A$1:$H$1231,8,FALSE),0)</f>
        <v>2.8</v>
      </c>
      <c r="M250" s="203" t="str">
        <f ca="1">CONCATENATE(VLOOKUP(B250,★営業所!$A$2:$B$5,2,FALSE),TEXT(NOW(),"yyyy"))</f>
        <v>T2023</v>
      </c>
      <c r="N250" s="203">
        <v>1</v>
      </c>
      <c r="O250" s="203">
        <v>0</v>
      </c>
      <c r="P250" s="213">
        <f>申込書!$B$6</f>
        <v>0</v>
      </c>
      <c r="Q250" s="203">
        <f>申込書!$C$34</f>
        <v>1000040</v>
      </c>
      <c r="R250" s="203">
        <v>0</v>
      </c>
      <c r="U250" s="203">
        <f>VLOOKUP(B250,★営業所!$A$2:$C$5,3,FALSE)</f>
        <v>8</v>
      </c>
      <c r="V250" s="203">
        <f>申込書!$B$9</f>
        <v>0</v>
      </c>
      <c r="W250" s="203" t="str">
        <f>CONCATENATE(VLOOKUP(B250,★営業所!$A$2:$B$5,2,FALSE),VLOOKUP(申込書!$C$32,★サイズ表記!$D$4:$E$55,2,FALSE),VLOOKUP(D250,★折込地区!$A$2:$B$11,2,FALSE))</f>
        <v>T1001Tot</v>
      </c>
      <c r="X250" s="203" t="str">
        <f>CONCATENATE(申込書!$B$9," ",VLOOKUP(RIGHT(W250,3),★折込地区!$B$2:$C$10,2,FALSE),"")</f>
        <v xml:space="preserve"> 鳥取</v>
      </c>
      <c r="Z250" s="206">
        <f t="shared" ca="1" si="24"/>
        <v>0</v>
      </c>
      <c r="AB250" s="383">
        <f t="shared" si="25"/>
        <v>2.8</v>
      </c>
      <c r="AC250" s="203" t="str">
        <f t="shared" si="26"/>
        <v>S1001</v>
      </c>
      <c r="AD250" s="203" t="str">
        <f>VLOOKUP(AC250,★原価商品!$E$6:$F$349,2,FALSE)</f>
        <v>山陰中央/B4（折り無し）</v>
      </c>
      <c r="AE250" s="203">
        <f t="shared" ca="1" si="27"/>
        <v>0</v>
      </c>
      <c r="AF250" s="383">
        <f ca="1">IFERROR(IF(VLOOKUP(申込書!$C$32,★サイズ表記!$F$4:$H$55,3,FALSE)="切り捨て",ROUNDDOWN(L250*IF(AK250="◎",I250,J250)/100,2),IF(VLOOKUP(申込書!$C$32,★サイズ表記!$F$4:$H$55,3,FALSE)="切り上げ",ROUNDUP(L250*IF(AK250="◎",I250,J250)/100,2),ROUND(L250*IF(AK250="◎",I250,J250)/100,2))),0)</f>
        <v>2.12</v>
      </c>
      <c r="AG250" s="203">
        <f t="shared" ca="1" si="28"/>
        <v>10064</v>
      </c>
      <c r="AJ250" s="460" t="str">
        <f>IFERROR(VLOOKUP(申込書!$C$30,★業種!$D$2:$E$87,2,FALSE),"")</f>
        <v>1003</v>
      </c>
      <c r="AK250" s="460" t="str">
        <f ca="1">IF(申込書!$C$36="◎",IF(OR(D250="浜坂・温泉",D250="美方・村岡",D250="香住",D250="岡山",D250="大阪"),"",IF(LEFT(F250)="D","◎",IF(AG250=0,"",IFERROR(IF(VLOOKUP(AG250,★仕入先!$A$2:$C$211,3,FALSE)=0,"","◎"),"")))),"")</f>
        <v/>
      </c>
      <c r="AL250" s="460">
        <f>申込書!$H$14</f>
        <v>0</v>
      </c>
      <c r="AM250" s="460" t="str">
        <f>申込書!$C$32</f>
        <v>B4（折り無し）</v>
      </c>
      <c r="AN250" s="460" t="str">
        <f>VLOOKUP(AM250,★サイズ表記!$D$4:$E$55,2,FALSE)</f>
        <v>1001</v>
      </c>
      <c r="AO250" s="460">
        <f>IF(C250&lt;&gt;"⑧兵庫",VLOOKUP(LEFT(F250),★新聞!$A$4:$B$12,2,FALSE),IF(LEFT(F250)&lt;&gt;"S",VLOOKUP(LEFT(F250),★新聞!$A$4:$B$12,2,FALSE),VLOOKUP("X",★新聞!$A$4:$B$12,2,FALSE)))</f>
        <v>6</v>
      </c>
      <c r="AP250" s="460" t="str">
        <f t="shared" ca="1" si="29"/>
        <v>0</v>
      </c>
      <c r="AQ250" s="460" t="str">
        <f>IF(申込書!$C$38="","",申込書!$C$38)</f>
        <v/>
      </c>
    </row>
    <row r="251" spans="1:43">
      <c r="A251" s="463">
        <f t="shared" si="30"/>
        <v>250</v>
      </c>
      <c r="B251" s="463" t="str">
        <f t="shared" si="31"/>
        <v>東部</v>
      </c>
      <c r="C251" s="464" t="s">
        <v>1016</v>
      </c>
      <c r="D251" s="464" t="s">
        <v>1022</v>
      </c>
      <c r="E251" s="464">
        <f>VLOOKUP(D251,★折込地区!$A$2:$D$10,4,FALSE)</f>
        <v>1</v>
      </c>
      <c r="F251" s="464" t="s">
        <v>591</v>
      </c>
      <c r="G251" s="464" t="str">
        <f>INDEX(★新聞!$E$4:$I$12, MATCH(LEFT(F251),★新聞!$A$4:$A$12,0), MATCH(LEFT(W251),★新聞!$E$3:$I$3,0))</f>
        <v>AM</v>
      </c>
      <c r="H251" s="475" t="s">
        <v>1106</v>
      </c>
      <c r="I251" s="464" cm="1">
        <f t="array" ref="I251">IFERROR(INDEX(★原価率!$A$2:$E$50,MATCH($C251&amp;$H251,★原価率!$A$2:$A$50&amp;★原価率!$B$2:$B$50,0),3),0)</f>
        <v>76</v>
      </c>
      <c r="J251" s="464" cm="1">
        <f t="array" ref="J251">IFERROR(INDEX(★原価率!$A$2:$E$50,MATCH($C251&amp;$H251,★原価率!$A$2:$A$50&amp;★原価率!$B$2:$B$50,0),4),0)</f>
        <v>76</v>
      </c>
      <c r="K251" s="464" cm="1">
        <f t="array" ref="K251">IFERROR(INDEX(★原価率!$A$2:$E$50,MATCH($C251&amp;$H251,★原価率!$A$2:$A$50&amp;★原価率!$B$2:$B$50,0),5),0)</f>
        <v>100</v>
      </c>
      <c r="L251" s="528">
        <f>IFERROR(VLOOKUP(W251,★商品!$A$1:$H$1231,8,FALSE),0)</f>
        <v>2.8</v>
      </c>
      <c r="M251" s="203" t="str">
        <f ca="1">CONCATENATE(VLOOKUP(B251,★営業所!$A$2:$B$5,2,FALSE),TEXT(NOW(),"yyyy"))</f>
        <v>T2023</v>
      </c>
      <c r="N251" s="203">
        <v>1</v>
      </c>
      <c r="O251" s="203">
        <v>0</v>
      </c>
      <c r="P251" s="213">
        <f>申込書!$B$6</f>
        <v>0</v>
      </c>
      <c r="Q251" s="203">
        <f>申込書!$C$34</f>
        <v>1000040</v>
      </c>
      <c r="R251" s="203">
        <v>0</v>
      </c>
      <c r="U251" s="203">
        <f>VLOOKUP(B251,★営業所!$A$2:$C$5,3,FALSE)</f>
        <v>8</v>
      </c>
      <c r="V251" s="203">
        <f>申込書!$B$9</f>
        <v>0</v>
      </c>
      <c r="W251" s="203" t="str">
        <f>CONCATENATE(VLOOKUP(B251,★営業所!$A$2:$B$5,2,FALSE),VLOOKUP(申込書!$C$32,★サイズ表記!$D$4:$E$55,2,FALSE),VLOOKUP(D251,★折込地区!$A$2:$B$11,2,FALSE))</f>
        <v>T1001Tot</v>
      </c>
      <c r="X251" s="203" t="str">
        <f>CONCATENATE(申込書!$B$9," ",VLOOKUP(RIGHT(W251,3),★折込地区!$B$2:$C$10,2,FALSE),"")</f>
        <v xml:space="preserve"> 鳥取</v>
      </c>
      <c r="Z251" s="206">
        <f t="shared" ca="1" si="24"/>
        <v>0</v>
      </c>
      <c r="AB251" s="383">
        <f t="shared" si="25"/>
        <v>2.8</v>
      </c>
      <c r="AC251" s="203" t="str">
        <f t="shared" si="26"/>
        <v>S1001</v>
      </c>
      <c r="AD251" s="203" t="str">
        <f>VLOOKUP(AC251,★原価商品!$E$6:$F$349,2,FALSE)</f>
        <v>山陰中央/B4（折り無し）</v>
      </c>
      <c r="AE251" s="203">
        <f t="shared" ca="1" si="27"/>
        <v>0</v>
      </c>
      <c r="AF251" s="383">
        <f ca="1">IFERROR(IF(VLOOKUP(申込書!$C$32,★サイズ表記!$F$4:$H$55,3,FALSE)="切り捨て",ROUNDDOWN(L251*IF(AK251="◎",I251,J251)/100,2),IF(VLOOKUP(申込書!$C$32,★サイズ表記!$F$4:$H$55,3,FALSE)="切り上げ",ROUNDUP(L251*IF(AK251="◎",I251,J251)/100,2),ROUND(L251*IF(AK251="◎",I251,J251)/100,2))),0)</f>
        <v>2.12</v>
      </c>
      <c r="AG251" s="203">
        <f t="shared" ca="1" si="28"/>
        <v>10074</v>
      </c>
      <c r="AJ251" s="460" t="str">
        <f>IFERROR(VLOOKUP(申込書!$C$30,★業種!$D$2:$E$87,2,FALSE),"")</f>
        <v>1003</v>
      </c>
      <c r="AK251" s="460" t="str">
        <f ca="1">IF(申込書!$C$36="◎",IF(OR(D251="浜坂・温泉",D251="美方・村岡",D251="香住",D251="岡山",D251="大阪"),"",IF(LEFT(F251)="D","◎",IF(AG251=0,"",IFERROR(IF(VLOOKUP(AG251,★仕入先!$A$2:$C$211,3,FALSE)=0,"","◎"),"")))),"")</f>
        <v/>
      </c>
      <c r="AL251" s="460">
        <f>申込書!$H$14</f>
        <v>0</v>
      </c>
      <c r="AM251" s="460" t="str">
        <f>申込書!$C$32</f>
        <v>B4（折り無し）</v>
      </c>
      <c r="AN251" s="460" t="str">
        <f>VLOOKUP(AM251,★サイズ表記!$D$4:$E$55,2,FALSE)</f>
        <v>1001</v>
      </c>
      <c r="AO251" s="460">
        <f>IF(C251&lt;&gt;"⑧兵庫",VLOOKUP(LEFT(F251),★新聞!$A$4:$B$12,2,FALSE),IF(LEFT(F251)&lt;&gt;"S",VLOOKUP(LEFT(F251),★新聞!$A$4:$B$12,2,FALSE),VLOOKUP("X",★新聞!$A$4:$B$12,2,FALSE)))</f>
        <v>6</v>
      </c>
      <c r="AP251" s="460" t="str">
        <f t="shared" ca="1" si="29"/>
        <v>0</v>
      </c>
      <c r="AQ251" s="460" t="str">
        <f>IF(申込書!$C$38="","",申込書!$C$38)</f>
        <v/>
      </c>
    </row>
    <row r="252" spans="1:43">
      <c r="A252" s="463">
        <f t="shared" si="30"/>
        <v>251</v>
      </c>
      <c r="B252" s="463" t="str">
        <f t="shared" si="31"/>
        <v>東部</v>
      </c>
      <c r="C252" s="464" t="s">
        <v>1016</v>
      </c>
      <c r="D252" s="464" t="s">
        <v>1022</v>
      </c>
      <c r="E252" s="464">
        <f>VLOOKUP(D252,★折込地区!$A$2:$D$10,4,FALSE)</f>
        <v>1</v>
      </c>
      <c r="F252" s="464" t="s">
        <v>513</v>
      </c>
      <c r="G252" s="464" t="str">
        <f>INDEX(★新聞!$E$4:$I$12, MATCH(LEFT(F252),★新聞!$A$4:$A$12,0), MATCH(LEFT(W252),★新聞!$E$3:$I$3,0))</f>
        <v>AP</v>
      </c>
      <c r="H252" s="475" t="s">
        <v>1107</v>
      </c>
      <c r="I252" s="464" cm="1">
        <f t="array" ref="I252">IFERROR(INDEX(★原価率!$A$2:$E$50,MATCH($C252&amp;$H252,★原価率!$A$2:$A$50&amp;★原価率!$B$2:$B$50,0),3),0)</f>
        <v>76</v>
      </c>
      <c r="J252" s="464" cm="1">
        <f t="array" ref="J252">IFERROR(INDEX(★原価率!$A$2:$E$50,MATCH($C252&amp;$H252,★原価率!$A$2:$A$50&amp;★原価率!$B$2:$B$50,0),4),0)</f>
        <v>76</v>
      </c>
      <c r="K252" s="464" cm="1">
        <f t="array" ref="K252">IFERROR(INDEX(★原価率!$A$2:$E$50,MATCH($C252&amp;$H252,★原価率!$A$2:$A$50&amp;★原価率!$B$2:$B$50,0),5),0)</f>
        <v>100</v>
      </c>
      <c r="L252" s="528">
        <f>IFERROR(VLOOKUP(W252,★商品!$A$1:$H$1231,8,FALSE),0)</f>
        <v>2.8</v>
      </c>
      <c r="M252" s="203" t="str">
        <f ca="1">CONCATENATE(VLOOKUP(B252,★営業所!$A$2:$B$5,2,FALSE),TEXT(NOW(),"yyyy"))</f>
        <v>T2023</v>
      </c>
      <c r="N252" s="203">
        <v>1</v>
      </c>
      <c r="O252" s="203">
        <v>0</v>
      </c>
      <c r="P252" s="213">
        <f>申込書!$B$6</f>
        <v>0</v>
      </c>
      <c r="Q252" s="203">
        <f>申込書!$C$34</f>
        <v>1000040</v>
      </c>
      <c r="R252" s="203">
        <v>0</v>
      </c>
      <c r="U252" s="203">
        <f>VLOOKUP(B252,★営業所!$A$2:$C$5,3,FALSE)</f>
        <v>8</v>
      </c>
      <c r="V252" s="203">
        <f>申込書!$B$9</f>
        <v>0</v>
      </c>
      <c r="W252" s="203" t="str">
        <f>CONCATENATE(VLOOKUP(B252,★営業所!$A$2:$B$5,2,FALSE),VLOOKUP(申込書!$C$32,★サイズ表記!$D$4:$E$55,2,FALSE),VLOOKUP(D252,★折込地区!$A$2:$B$11,2,FALSE))</f>
        <v>T1001Tot</v>
      </c>
      <c r="X252" s="203" t="str">
        <f>CONCATENATE(申込書!$B$9," ",VLOOKUP(RIGHT(W252,3),★折込地区!$B$2:$C$10,2,FALSE),"")</f>
        <v xml:space="preserve"> 鳥取</v>
      </c>
      <c r="Z252" s="206">
        <f t="shared" ca="1" si="24"/>
        <v>0</v>
      </c>
      <c r="AB252" s="383">
        <f t="shared" si="25"/>
        <v>2.8</v>
      </c>
      <c r="AC252" s="203" t="str">
        <f t="shared" si="26"/>
        <v>V1001</v>
      </c>
      <c r="AD252" s="203" t="str">
        <f>VLOOKUP(AC252,★原価商品!$E$6:$F$349,2,FALSE)</f>
        <v>日経/B4（折り無し）</v>
      </c>
      <c r="AE252" s="203">
        <f t="shared" ca="1" si="27"/>
        <v>0</v>
      </c>
      <c r="AF252" s="383">
        <f ca="1">IFERROR(IF(VLOOKUP(申込書!$C$32,★サイズ表記!$F$4:$H$55,3,FALSE)="切り捨て",ROUNDDOWN(L252*IF(AK252="◎",I252,J252)/100,2),IF(VLOOKUP(申込書!$C$32,★サイズ表記!$F$4:$H$55,3,FALSE)="切り上げ",ROUNDUP(L252*IF(AK252="◎",I252,J252)/100,2),ROUND(L252*IF(AK252="◎",I252,J252)/100,2))),0)</f>
        <v>2.12</v>
      </c>
      <c r="AG252" s="203">
        <f t="shared" ca="1" si="28"/>
        <v>10412</v>
      </c>
      <c r="AJ252" s="460" t="str">
        <f>IFERROR(VLOOKUP(申込書!$C$30,★業種!$D$2:$E$87,2,FALSE),"")</f>
        <v>1003</v>
      </c>
      <c r="AK252" s="460" t="str">
        <f ca="1">IF(申込書!$C$36="◎",IF(OR(D252="浜坂・温泉",D252="美方・村岡",D252="香住",D252="岡山",D252="大阪"),"",IF(LEFT(F252)="D","◎",IF(AG252=0,"",IFERROR(IF(VLOOKUP(AG252,★仕入先!$A$2:$C$211,3,FALSE)=0,"","◎"),"")))),"")</f>
        <v/>
      </c>
      <c r="AL252" s="460">
        <f>申込書!$H$14</f>
        <v>0</v>
      </c>
      <c r="AM252" s="460" t="str">
        <f>申込書!$C$32</f>
        <v>B4（折り無し）</v>
      </c>
      <c r="AN252" s="460" t="str">
        <f>VLOOKUP(AM252,★サイズ表記!$D$4:$E$55,2,FALSE)</f>
        <v>1001</v>
      </c>
      <c r="AO252" s="460">
        <f>IF(C252&lt;&gt;"⑧兵庫",VLOOKUP(LEFT(F252),★新聞!$A$4:$B$12,2,FALSE),IF(LEFT(F252)&lt;&gt;"S",VLOOKUP(LEFT(F252),★新聞!$A$4:$B$12,2,FALSE),VLOOKUP("X",★新聞!$A$4:$B$12,2,FALSE)))</f>
        <v>7</v>
      </c>
      <c r="AP252" s="460" t="str">
        <f t="shared" ca="1" si="29"/>
        <v>0</v>
      </c>
      <c r="AQ252" s="460" t="str">
        <f>IF(申込書!$C$38="","",申込書!$C$38)</f>
        <v/>
      </c>
    </row>
    <row r="253" spans="1:43">
      <c r="A253" s="463">
        <f t="shared" si="30"/>
        <v>252</v>
      </c>
      <c r="B253" s="463" t="str">
        <f t="shared" si="31"/>
        <v>東部</v>
      </c>
      <c r="C253" s="464" t="s">
        <v>1016</v>
      </c>
      <c r="D253" s="464" t="s">
        <v>1022</v>
      </c>
      <c r="E253" s="464">
        <f>VLOOKUP(D253,★折込地区!$A$2:$D$10,4,FALSE)</f>
        <v>1</v>
      </c>
      <c r="F253" s="464" t="s">
        <v>514</v>
      </c>
      <c r="G253" s="464" t="str">
        <f>INDEX(★新聞!$E$4:$I$12, MATCH(LEFT(F253),★新聞!$A$4:$A$12,0), MATCH(LEFT(W253),★新聞!$E$3:$I$3,0))</f>
        <v>AP</v>
      </c>
      <c r="H253" s="475" t="s">
        <v>1107</v>
      </c>
      <c r="I253" s="464" cm="1">
        <f t="array" ref="I253">IFERROR(INDEX(★原価率!$A$2:$E$50,MATCH($C253&amp;$H253,★原価率!$A$2:$A$50&amp;★原価率!$B$2:$B$50,0),3),0)</f>
        <v>76</v>
      </c>
      <c r="J253" s="464" cm="1">
        <f t="array" ref="J253">IFERROR(INDEX(★原価率!$A$2:$E$50,MATCH($C253&amp;$H253,★原価率!$A$2:$A$50&amp;★原価率!$B$2:$B$50,0),4),0)</f>
        <v>76</v>
      </c>
      <c r="K253" s="464" cm="1">
        <f t="array" ref="K253">IFERROR(INDEX(★原価率!$A$2:$E$50,MATCH($C253&amp;$H253,★原価率!$A$2:$A$50&amp;★原価率!$B$2:$B$50,0),5),0)</f>
        <v>100</v>
      </c>
      <c r="L253" s="528">
        <f>IFERROR(VLOOKUP(W253,★商品!$A$1:$H$1231,8,FALSE),0)</f>
        <v>2.8</v>
      </c>
      <c r="M253" s="203" t="str">
        <f ca="1">CONCATENATE(VLOOKUP(B253,★営業所!$A$2:$B$5,2,FALSE),TEXT(NOW(),"yyyy"))</f>
        <v>T2023</v>
      </c>
      <c r="N253" s="203">
        <v>1</v>
      </c>
      <c r="O253" s="203">
        <v>0</v>
      </c>
      <c r="P253" s="213">
        <f>申込書!$B$6</f>
        <v>0</v>
      </c>
      <c r="Q253" s="203">
        <f>申込書!$C$34</f>
        <v>1000040</v>
      </c>
      <c r="R253" s="203">
        <v>0</v>
      </c>
      <c r="U253" s="203">
        <f>VLOOKUP(B253,★営業所!$A$2:$C$5,3,FALSE)</f>
        <v>8</v>
      </c>
      <c r="V253" s="203">
        <f>申込書!$B$9</f>
        <v>0</v>
      </c>
      <c r="W253" s="203" t="str">
        <f>CONCATENATE(VLOOKUP(B253,★営業所!$A$2:$B$5,2,FALSE),VLOOKUP(申込書!$C$32,★サイズ表記!$D$4:$E$55,2,FALSE),VLOOKUP(D253,★折込地区!$A$2:$B$11,2,FALSE))</f>
        <v>T1001Tot</v>
      </c>
      <c r="X253" s="203" t="str">
        <f>CONCATENATE(申込書!$B$9," ",VLOOKUP(RIGHT(W253,3),★折込地区!$B$2:$C$10,2,FALSE),"")</f>
        <v xml:space="preserve"> 鳥取</v>
      </c>
      <c r="Z253" s="206">
        <f t="shared" ca="1" si="24"/>
        <v>0</v>
      </c>
      <c r="AB253" s="383">
        <f t="shared" si="25"/>
        <v>2.8</v>
      </c>
      <c r="AC253" s="203" t="str">
        <f t="shared" si="26"/>
        <v>V1001</v>
      </c>
      <c r="AD253" s="203" t="str">
        <f>VLOOKUP(AC253,★原価商品!$E$6:$F$349,2,FALSE)</f>
        <v>日経/B4（折り無し）</v>
      </c>
      <c r="AE253" s="203">
        <f t="shared" ca="1" si="27"/>
        <v>0</v>
      </c>
      <c r="AF253" s="383">
        <f ca="1">IFERROR(IF(VLOOKUP(申込書!$C$32,★サイズ表記!$F$4:$H$55,3,FALSE)="切り捨て",ROUNDDOWN(L253*IF(AK253="◎",I253,J253)/100,2),IF(VLOOKUP(申込書!$C$32,★サイズ表記!$F$4:$H$55,3,FALSE)="切り上げ",ROUNDUP(L253*IF(AK253="◎",I253,J253)/100,2),ROUND(L253*IF(AK253="◎",I253,J253)/100,2))),0)</f>
        <v>2.12</v>
      </c>
      <c r="AG253" s="203">
        <f t="shared" ca="1" si="28"/>
        <v>10422</v>
      </c>
      <c r="AJ253" s="460" t="str">
        <f>IFERROR(VLOOKUP(申込書!$C$30,★業種!$D$2:$E$87,2,FALSE),"")</f>
        <v>1003</v>
      </c>
      <c r="AK253" s="460" t="str">
        <f ca="1">IF(申込書!$C$36="◎",IF(OR(D253="浜坂・温泉",D253="美方・村岡",D253="香住",D253="岡山",D253="大阪"),"",IF(LEFT(F253)="D","◎",IF(AG253=0,"",IFERROR(IF(VLOOKUP(AG253,★仕入先!$A$2:$C$211,3,FALSE)=0,"","◎"),"")))),"")</f>
        <v/>
      </c>
      <c r="AL253" s="460">
        <f>申込書!$H$14</f>
        <v>0</v>
      </c>
      <c r="AM253" s="460" t="str">
        <f>申込書!$C$32</f>
        <v>B4（折り無し）</v>
      </c>
      <c r="AN253" s="460" t="str">
        <f>VLOOKUP(AM253,★サイズ表記!$D$4:$E$55,2,FALSE)</f>
        <v>1001</v>
      </c>
      <c r="AO253" s="460">
        <f>IF(C253&lt;&gt;"⑧兵庫",VLOOKUP(LEFT(F253),★新聞!$A$4:$B$12,2,FALSE),IF(LEFT(F253)&lt;&gt;"S",VLOOKUP(LEFT(F253),★新聞!$A$4:$B$12,2,FALSE),VLOOKUP("X",★新聞!$A$4:$B$12,2,FALSE)))</f>
        <v>7</v>
      </c>
      <c r="AP253" s="460" t="str">
        <f t="shared" ca="1" si="29"/>
        <v>0</v>
      </c>
      <c r="AQ253" s="460" t="str">
        <f>IF(申込書!$C$38="","",申込書!$C$38)</f>
        <v/>
      </c>
    </row>
    <row r="254" spans="1:43">
      <c r="A254" s="463">
        <f t="shared" si="30"/>
        <v>253</v>
      </c>
      <c r="B254" s="463" t="str">
        <f t="shared" si="31"/>
        <v>東部</v>
      </c>
      <c r="C254" s="464" t="s">
        <v>1016</v>
      </c>
      <c r="D254" s="464" t="s">
        <v>1022</v>
      </c>
      <c r="E254" s="464">
        <f>VLOOKUP(D254,★折込地区!$A$2:$D$10,4,FALSE)</f>
        <v>1</v>
      </c>
      <c r="F254" s="464" t="s">
        <v>515</v>
      </c>
      <c r="G254" s="464" t="str">
        <f>INDEX(★新聞!$E$4:$I$12, MATCH(LEFT(F254),★新聞!$A$4:$A$12,0), MATCH(LEFT(W254),★新聞!$E$3:$I$3,0))</f>
        <v>AP</v>
      </c>
      <c r="H254" s="475" t="s">
        <v>1107</v>
      </c>
      <c r="I254" s="464" cm="1">
        <f t="array" ref="I254">IFERROR(INDEX(★原価率!$A$2:$E$50,MATCH($C254&amp;$H254,★原価率!$A$2:$A$50&amp;★原価率!$B$2:$B$50,0),3),0)</f>
        <v>76</v>
      </c>
      <c r="J254" s="464" cm="1">
        <f t="array" ref="J254">IFERROR(INDEX(★原価率!$A$2:$E$50,MATCH($C254&amp;$H254,★原価率!$A$2:$A$50&amp;★原価率!$B$2:$B$50,0),4),0)</f>
        <v>76</v>
      </c>
      <c r="K254" s="464" cm="1">
        <f t="array" ref="K254">IFERROR(INDEX(★原価率!$A$2:$E$50,MATCH($C254&amp;$H254,★原価率!$A$2:$A$50&amp;★原価率!$B$2:$B$50,0),5),0)</f>
        <v>100</v>
      </c>
      <c r="L254" s="528">
        <f>IFERROR(VLOOKUP(W254,★商品!$A$1:$H$1231,8,FALSE),0)</f>
        <v>2.8</v>
      </c>
      <c r="M254" s="203" t="str">
        <f ca="1">CONCATENATE(VLOOKUP(B254,★営業所!$A$2:$B$5,2,FALSE),TEXT(NOW(),"yyyy"))</f>
        <v>T2023</v>
      </c>
      <c r="N254" s="203">
        <v>1</v>
      </c>
      <c r="O254" s="203">
        <v>0</v>
      </c>
      <c r="P254" s="213">
        <f>申込書!$B$6</f>
        <v>0</v>
      </c>
      <c r="Q254" s="203">
        <f>申込書!$C$34</f>
        <v>1000040</v>
      </c>
      <c r="R254" s="203">
        <v>0</v>
      </c>
      <c r="U254" s="203">
        <f>VLOOKUP(B254,★営業所!$A$2:$C$5,3,FALSE)</f>
        <v>8</v>
      </c>
      <c r="V254" s="203">
        <f>申込書!$B$9</f>
        <v>0</v>
      </c>
      <c r="W254" s="203" t="str">
        <f>CONCATENATE(VLOOKUP(B254,★営業所!$A$2:$B$5,2,FALSE),VLOOKUP(申込書!$C$32,★サイズ表記!$D$4:$E$55,2,FALSE),VLOOKUP(D254,★折込地区!$A$2:$B$11,2,FALSE))</f>
        <v>T1001Tot</v>
      </c>
      <c r="X254" s="203" t="str">
        <f>CONCATENATE(申込書!$B$9," ",VLOOKUP(RIGHT(W254,3),★折込地区!$B$2:$C$10,2,FALSE),"")</f>
        <v xml:space="preserve"> 鳥取</v>
      </c>
      <c r="Z254" s="206">
        <f t="shared" ca="1" si="24"/>
        <v>0</v>
      </c>
      <c r="AB254" s="383">
        <f t="shared" si="25"/>
        <v>2.8</v>
      </c>
      <c r="AC254" s="203" t="str">
        <f t="shared" si="26"/>
        <v>V1001</v>
      </c>
      <c r="AD254" s="203" t="str">
        <f>VLOOKUP(AC254,★原価商品!$E$6:$F$349,2,FALSE)</f>
        <v>日経/B4（折り無し）</v>
      </c>
      <c r="AE254" s="203">
        <f t="shared" ca="1" si="27"/>
        <v>0</v>
      </c>
      <c r="AF254" s="383">
        <f ca="1">IFERROR(IF(VLOOKUP(申込書!$C$32,★サイズ表記!$F$4:$H$55,3,FALSE)="切り捨て",ROUNDDOWN(L254*IF(AK254="◎",I254,J254)/100,2),IF(VLOOKUP(申込書!$C$32,★サイズ表記!$F$4:$H$55,3,FALSE)="切り上げ",ROUNDUP(L254*IF(AK254="◎",I254,J254)/100,2),ROUND(L254*IF(AK254="◎",I254,J254)/100,2))),0)</f>
        <v>2.12</v>
      </c>
      <c r="AG254" s="203">
        <f t="shared" ca="1" si="28"/>
        <v>10432</v>
      </c>
      <c r="AJ254" s="460" t="str">
        <f>IFERROR(VLOOKUP(申込書!$C$30,★業種!$D$2:$E$87,2,FALSE),"")</f>
        <v>1003</v>
      </c>
      <c r="AK254" s="460" t="str">
        <f ca="1">IF(申込書!$C$36="◎",IF(OR(D254="浜坂・温泉",D254="美方・村岡",D254="香住",D254="岡山",D254="大阪"),"",IF(LEFT(F254)="D","◎",IF(AG254=0,"",IFERROR(IF(VLOOKUP(AG254,★仕入先!$A$2:$C$211,3,FALSE)=0,"","◎"),"")))),"")</f>
        <v/>
      </c>
      <c r="AL254" s="460">
        <f>申込書!$H$14</f>
        <v>0</v>
      </c>
      <c r="AM254" s="460" t="str">
        <f>申込書!$C$32</f>
        <v>B4（折り無し）</v>
      </c>
      <c r="AN254" s="460" t="str">
        <f>VLOOKUP(AM254,★サイズ表記!$D$4:$E$55,2,FALSE)</f>
        <v>1001</v>
      </c>
      <c r="AO254" s="460">
        <f>IF(C254&lt;&gt;"⑧兵庫",VLOOKUP(LEFT(F254),★新聞!$A$4:$B$12,2,FALSE),IF(LEFT(F254)&lt;&gt;"S",VLOOKUP(LEFT(F254),★新聞!$A$4:$B$12,2,FALSE),VLOOKUP("X",★新聞!$A$4:$B$12,2,FALSE)))</f>
        <v>7</v>
      </c>
      <c r="AP254" s="460" t="str">
        <f t="shared" ca="1" si="29"/>
        <v>0</v>
      </c>
      <c r="AQ254" s="460" t="str">
        <f>IF(申込書!$C$38="","",申込書!$C$38)</f>
        <v/>
      </c>
    </row>
    <row r="255" spans="1:43">
      <c r="A255" s="463">
        <f t="shared" si="30"/>
        <v>254</v>
      </c>
      <c r="B255" s="463" t="str">
        <f t="shared" si="31"/>
        <v>東部</v>
      </c>
      <c r="C255" s="464" t="s">
        <v>1016</v>
      </c>
      <c r="D255" s="464" t="s">
        <v>1022</v>
      </c>
      <c r="E255" s="464">
        <f>VLOOKUP(D255,★折込地区!$A$2:$D$10,4,FALSE)</f>
        <v>1</v>
      </c>
      <c r="F255" s="464" t="s">
        <v>516</v>
      </c>
      <c r="G255" s="464" t="str">
        <f>INDEX(★新聞!$E$4:$I$12, MATCH(LEFT(F255),★新聞!$A$4:$A$12,0), MATCH(LEFT(W255),★新聞!$E$3:$I$3,0))</f>
        <v>AP</v>
      </c>
      <c r="H255" s="475" t="s">
        <v>1107</v>
      </c>
      <c r="I255" s="464" cm="1">
        <f t="array" ref="I255">IFERROR(INDEX(★原価率!$A$2:$E$50,MATCH($C255&amp;$H255,★原価率!$A$2:$A$50&amp;★原価率!$B$2:$B$50,0),3),0)</f>
        <v>76</v>
      </c>
      <c r="J255" s="464" cm="1">
        <f t="array" ref="J255">IFERROR(INDEX(★原価率!$A$2:$E$50,MATCH($C255&amp;$H255,★原価率!$A$2:$A$50&amp;★原価率!$B$2:$B$50,0),4),0)</f>
        <v>76</v>
      </c>
      <c r="K255" s="464" cm="1">
        <f t="array" ref="K255">IFERROR(INDEX(★原価率!$A$2:$E$50,MATCH($C255&amp;$H255,★原価率!$A$2:$A$50&amp;★原価率!$B$2:$B$50,0),5),0)</f>
        <v>100</v>
      </c>
      <c r="L255" s="528">
        <f>IFERROR(VLOOKUP(W255,★商品!$A$1:$H$1231,8,FALSE),0)</f>
        <v>2.8</v>
      </c>
      <c r="M255" s="203" t="str">
        <f ca="1">CONCATENATE(VLOOKUP(B255,★営業所!$A$2:$B$5,2,FALSE),TEXT(NOW(),"yyyy"))</f>
        <v>T2023</v>
      </c>
      <c r="N255" s="203">
        <v>1</v>
      </c>
      <c r="O255" s="203">
        <v>0</v>
      </c>
      <c r="P255" s="213">
        <f>申込書!$B$6</f>
        <v>0</v>
      </c>
      <c r="Q255" s="203">
        <f>申込書!$C$34</f>
        <v>1000040</v>
      </c>
      <c r="R255" s="203">
        <v>0</v>
      </c>
      <c r="U255" s="203">
        <f>VLOOKUP(B255,★営業所!$A$2:$C$5,3,FALSE)</f>
        <v>8</v>
      </c>
      <c r="V255" s="203">
        <f>申込書!$B$9</f>
        <v>0</v>
      </c>
      <c r="W255" s="203" t="str">
        <f>CONCATENATE(VLOOKUP(B255,★営業所!$A$2:$B$5,2,FALSE),VLOOKUP(申込書!$C$32,★サイズ表記!$D$4:$E$55,2,FALSE),VLOOKUP(D255,★折込地区!$A$2:$B$11,2,FALSE))</f>
        <v>T1001Tot</v>
      </c>
      <c r="X255" s="203" t="str">
        <f>CONCATENATE(申込書!$B$9," ",VLOOKUP(RIGHT(W255,3),★折込地区!$B$2:$C$10,2,FALSE),"")</f>
        <v xml:space="preserve"> 鳥取</v>
      </c>
      <c r="Z255" s="206">
        <f t="shared" ca="1" si="24"/>
        <v>0</v>
      </c>
      <c r="AB255" s="383">
        <f t="shared" si="25"/>
        <v>2.8</v>
      </c>
      <c r="AC255" s="203" t="str">
        <f t="shared" si="26"/>
        <v>V1001</v>
      </c>
      <c r="AD255" s="203" t="str">
        <f>VLOOKUP(AC255,★原価商品!$E$6:$F$349,2,FALSE)</f>
        <v>日経/B4（折り無し）</v>
      </c>
      <c r="AE255" s="203">
        <f t="shared" ca="1" si="27"/>
        <v>0</v>
      </c>
      <c r="AF255" s="383">
        <f ca="1">IFERROR(IF(VLOOKUP(申込書!$C$32,★サイズ表記!$F$4:$H$55,3,FALSE)="切り捨て",ROUNDDOWN(L255*IF(AK255="◎",I255,J255)/100,2),IF(VLOOKUP(申込書!$C$32,★サイズ表記!$F$4:$H$55,3,FALSE)="切り上げ",ROUNDUP(L255*IF(AK255="◎",I255,J255)/100,2),ROUND(L255*IF(AK255="◎",I255,J255)/100,2))),0)</f>
        <v>2.12</v>
      </c>
      <c r="AG255" s="203">
        <f t="shared" ca="1" si="28"/>
        <v>10443</v>
      </c>
      <c r="AJ255" s="460" t="str">
        <f>IFERROR(VLOOKUP(申込書!$C$30,★業種!$D$2:$E$87,2,FALSE),"")</f>
        <v>1003</v>
      </c>
      <c r="AK255" s="460" t="str">
        <f ca="1">IF(申込書!$C$36="◎",IF(OR(D255="浜坂・温泉",D255="美方・村岡",D255="香住",D255="岡山",D255="大阪"),"",IF(LEFT(F255)="D","◎",IF(AG255=0,"",IFERROR(IF(VLOOKUP(AG255,★仕入先!$A$2:$C$211,3,FALSE)=0,"","◎"),"")))),"")</f>
        <v/>
      </c>
      <c r="AL255" s="460">
        <f>申込書!$H$14</f>
        <v>0</v>
      </c>
      <c r="AM255" s="460" t="str">
        <f>申込書!$C$32</f>
        <v>B4（折り無し）</v>
      </c>
      <c r="AN255" s="460" t="str">
        <f>VLOOKUP(AM255,★サイズ表記!$D$4:$E$55,2,FALSE)</f>
        <v>1001</v>
      </c>
      <c r="AO255" s="460">
        <f>IF(C255&lt;&gt;"⑧兵庫",VLOOKUP(LEFT(F255),★新聞!$A$4:$B$12,2,FALSE),IF(LEFT(F255)&lt;&gt;"S",VLOOKUP(LEFT(F255),★新聞!$A$4:$B$12,2,FALSE),VLOOKUP("X",★新聞!$A$4:$B$12,2,FALSE)))</f>
        <v>7</v>
      </c>
      <c r="AP255" s="460" t="str">
        <f t="shared" ca="1" si="29"/>
        <v>0</v>
      </c>
      <c r="AQ255" s="460" t="str">
        <f>IF(申込書!$C$38="","",申込書!$C$38)</f>
        <v/>
      </c>
    </row>
    <row r="256" spans="1:43">
      <c r="A256" s="463">
        <f t="shared" si="30"/>
        <v>255</v>
      </c>
      <c r="B256" s="463" t="str">
        <f t="shared" si="31"/>
        <v>東部</v>
      </c>
      <c r="C256" s="464" t="s">
        <v>1016</v>
      </c>
      <c r="D256" s="464" t="s">
        <v>1022</v>
      </c>
      <c r="E256" s="464">
        <f>VLOOKUP(D256,★折込地区!$A$2:$D$10,4,FALSE)</f>
        <v>1</v>
      </c>
      <c r="F256" s="464" t="s">
        <v>519</v>
      </c>
      <c r="G256" s="464" t="str">
        <f>INDEX(★新聞!$E$4:$I$12, MATCH(LEFT(F256),★新聞!$A$4:$A$12,0), MATCH(LEFT(W256),★新聞!$E$3:$I$3,0))</f>
        <v>AP</v>
      </c>
      <c r="H256" s="475" t="s">
        <v>1107</v>
      </c>
      <c r="I256" s="464" cm="1">
        <f t="array" ref="I256">IFERROR(INDEX(★原価率!$A$2:$E$50,MATCH($C256&amp;$H256,★原価率!$A$2:$A$50&amp;★原価率!$B$2:$B$50,0),3),0)</f>
        <v>76</v>
      </c>
      <c r="J256" s="464" cm="1">
        <f t="array" ref="J256">IFERROR(INDEX(★原価率!$A$2:$E$50,MATCH($C256&amp;$H256,★原価率!$A$2:$A$50&amp;★原価率!$B$2:$B$50,0),4),0)</f>
        <v>76</v>
      </c>
      <c r="K256" s="464" cm="1">
        <f t="array" ref="K256">IFERROR(INDEX(★原価率!$A$2:$E$50,MATCH($C256&amp;$H256,★原価率!$A$2:$A$50&amp;★原価率!$B$2:$B$50,0),5),0)</f>
        <v>100</v>
      </c>
      <c r="L256" s="528">
        <f>IFERROR(VLOOKUP(W256,★商品!$A$1:$H$1231,8,FALSE),0)</f>
        <v>2.8</v>
      </c>
      <c r="M256" s="203" t="str">
        <f ca="1">CONCATENATE(VLOOKUP(B256,★営業所!$A$2:$B$5,2,FALSE),TEXT(NOW(),"yyyy"))</f>
        <v>T2023</v>
      </c>
      <c r="N256" s="203">
        <v>1</v>
      </c>
      <c r="O256" s="203">
        <v>0</v>
      </c>
      <c r="P256" s="213">
        <f>申込書!$B$6</f>
        <v>0</v>
      </c>
      <c r="Q256" s="203">
        <f>申込書!$C$34</f>
        <v>1000040</v>
      </c>
      <c r="R256" s="203">
        <v>0</v>
      </c>
      <c r="U256" s="203">
        <f>VLOOKUP(B256,★営業所!$A$2:$C$5,3,FALSE)</f>
        <v>8</v>
      </c>
      <c r="V256" s="203">
        <f>申込書!$B$9</f>
        <v>0</v>
      </c>
      <c r="W256" s="203" t="str">
        <f>CONCATENATE(VLOOKUP(B256,★営業所!$A$2:$B$5,2,FALSE),VLOOKUP(申込書!$C$32,★サイズ表記!$D$4:$E$55,2,FALSE),VLOOKUP(D256,★折込地区!$A$2:$B$11,2,FALSE))</f>
        <v>T1001Tot</v>
      </c>
      <c r="X256" s="203" t="str">
        <f>CONCATENATE(申込書!$B$9," ",VLOOKUP(RIGHT(W256,3),★折込地区!$B$2:$C$10,2,FALSE),"")</f>
        <v xml:space="preserve"> 鳥取</v>
      </c>
      <c r="Z256" s="206">
        <f t="shared" ca="1" si="24"/>
        <v>0</v>
      </c>
      <c r="AB256" s="383">
        <f t="shared" si="25"/>
        <v>2.8</v>
      </c>
      <c r="AC256" s="203" t="str">
        <f t="shared" si="26"/>
        <v>V1001</v>
      </c>
      <c r="AD256" s="203" t="str">
        <f>VLOOKUP(AC256,★原価商品!$E$6:$F$349,2,FALSE)</f>
        <v>日経/B4（折り無し）</v>
      </c>
      <c r="AE256" s="203">
        <f t="shared" ca="1" si="27"/>
        <v>0</v>
      </c>
      <c r="AF256" s="383">
        <f ca="1">IFERROR(IF(VLOOKUP(申込書!$C$32,★サイズ表記!$F$4:$H$55,3,FALSE)="切り捨て",ROUNDDOWN(L256*IF(AK256="◎",I256,J256)/100,2),IF(VLOOKUP(申込書!$C$32,★サイズ表記!$F$4:$H$55,3,FALSE)="切り上げ",ROUNDUP(L256*IF(AK256="◎",I256,J256)/100,2),ROUND(L256*IF(AK256="◎",I256,J256)/100,2))),0)</f>
        <v>2.12</v>
      </c>
      <c r="AG256" s="203">
        <f t="shared" ca="1" si="28"/>
        <v>10452</v>
      </c>
      <c r="AJ256" s="460" t="str">
        <f>IFERROR(VLOOKUP(申込書!$C$30,★業種!$D$2:$E$87,2,FALSE),"")</f>
        <v>1003</v>
      </c>
      <c r="AK256" s="460" t="str">
        <f ca="1">IF(申込書!$C$36="◎",IF(OR(D256="浜坂・温泉",D256="美方・村岡",D256="香住",D256="岡山",D256="大阪"),"",IF(LEFT(F256)="D","◎",IF(AG256=0,"",IFERROR(IF(VLOOKUP(AG256,★仕入先!$A$2:$C$211,3,FALSE)=0,"","◎"),"")))),"")</f>
        <v/>
      </c>
      <c r="AL256" s="460">
        <f>申込書!$H$14</f>
        <v>0</v>
      </c>
      <c r="AM256" s="460" t="str">
        <f>申込書!$C$32</f>
        <v>B4（折り無し）</v>
      </c>
      <c r="AN256" s="460" t="str">
        <f>VLOOKUP(AM256,★サイズ表記!$D$4:$E$55,2,FALSE)</f>
        <v>1001</v>
      </c>
      <c r="AO256" s="460">
        <f>IF(C256&lt;&gt;"⑧兵庫",VLOOKUP(LEFT(F256),★新聞!$A$4:$B$12,2,FALSE),IF(LEFT(F256)&lt;&gt;"S",VLOOKUP(LEFT(F256),★新聞!$A$4:$B$12,2,FALSE),VLOOKUP("X",★新聞!$A$4:$B$12,2,FALSE)))</f>
        <v>7</v>
      </c>
      <c r="AP256" s="460" t="str">
        <f t="shared" ca="1" si="29"/>
        <v>0</v>
      </c>
      <c r="AQ256" s="460" t="str">
        <f>IF(申込書!$C$38="","",申込書!$C$38)</f>
        <v/>
      </c>
    </row>
    <row r="257" spans="1:43">
      <c r="A257" s="463">
        <f t="shared" si="30"/>
        <v>256</v>
      </c>
      <c r="B257" s="463" t="str">
        <f t="shared" si="31"/>
        <v>東部</v>
      </c>
      <c r="C257" s="464" t="s">
        <v>1016</v>
      </c>
      <c r="D257" s="464" t="s">
        <v>1022</v>
      </c>
      <c r="E257" s="464">
        <f>VLOOKUP(D257,★折込地区!$A$2:$D$10,4,FALSE)</f>
        <v>1</v>
      </c>
      <c r="F257" s="464" t="s">
        <v>520</v>
      </c>
      <c r="G257" s="464" t="str">
        <f>INDEX(★新聞!$E$4:$I$12, MATCH(LEFT(F257),★新聞!$A$4:$A$12,0), MATCH(LEFT(W257),★新聞!$E$3:$I$3,0))</f>
        <v>AP</v>
      </c>
      <c r="H257" s="475" t="s">
        <v>1107</v>
      </c>
      <c r="I257" s="464" cm="1">
        <f t="array" ref="I257">IFERROR(INDEX(★原価率!$A$2:$E$50,MATCH($C257&amp;$H257,★原価率!$A$2:$A$50&amp;★原価率!$B$2:$B$50,0),3),0)</f>
        <v>76</v>
      </c>
      <c r="J257" s="464" cm="1">
        <f t="array" ref="J257">IFERROR(INDEX(★原価率!$A$2:$E$50,MATCH($C257&amp;$H257,★原価率!$A$2:$A$50&amp;★原価率!$B$2:$B$50,0),4),0)</f>
        <v>76</v>
      </c>
      <c r="K257" s="464" cm="1">
        <f t="array" ref="K257">IFERROR(INDEX(★原価率!$A$2:$E$50,MATCH($C257&amp;$H257,★原価率!$A$2:$A$50&amp;★原価率!$B$2:$B$50,0),5),0)</f>
        <v>100</v>
      </c>
      <c r="L257" s="528">
        <f>IFERROR(VLOOKUP(W257,★商品!$A$1:$H$1231,8,FALSE),0)</f>
        <v>2.8</v>
      </c>
      <c r="M257" s="203" t="str">
        <f ca="1">CONCATENATE(VLOOKUP(B257,★営業所!$A$2:$B$5,2,FALSE),TEXT(NOW(),"yyyy"))</f>
        <v>T2023</v>
      </c>
      <c r="N257" s="203">
        <v>1</v>
      </c>
      <c r="O257" s="203">
        <v>0</v>
      </c>
      <c r="P257" s="213">
        <f>申込書!$B$6</f>
        <v>0</v>
      </c>
      <c r="Q257" s="203">
        <f>申込書!$C$34</f>
        <v>1000040</v>
      </c>
      <c r="R257" s="203">
        <v>0</v>
      </c>
      <c r="U257" s="203">
        <f>VLOOKUP(B257,★営業所!$A$2:$C$5,3,FALSE)</f>
        <v>8</v>
      </c>
      <c r="V257" s="203">
        <f>申込書!$B$9</f>
        <v>0</v>
      </c>
      <c r="W257" s="203" t="str">
        <f>CONCATENATE(VLOOKUP(B257,★営業所!$A$2:$B$5,2,FALSE),VLOOKUP(申込書!$C$32,★サイズ表記!$D$4:$E$55,2,FALSE),VLOOKUP(D257,★折込地区!$A$2:$B$11,2,FALSE))</f>
        <v>T1001Tot</v>
      </c>
      <c r="X257" s="203" t="str">
        <f>CONCATENATE(申込書!$B$9," ",VLOOKUP(RIGHT(W257,3),★折込地区!$B$2:$C$10,2,FALSE),"")</f>
        <v xml:space="preserve"> 鳥取</v>
      </c>
      <c r="Z257" s="206">
        <f t="shared" ca="1" si="24"/>
        <v>0</v>
      </c>
      <c r="AB257" s="383">
        <f t="shared" si="25"/>
        <v>2.8</v>
      </c>
      <c r="AC257" s="203" t="str">
        <f t="shared" si="26"/>
        <v>V1001</v>
      </c>
      <c r="AD257" s="203" t="str">
        <f>VLOOKUP(AC257,★原価商品!$E$6:$F$349,2,FALSE)</f>
        <v>日経/B4（折り無し）</v>
      </c>
      <c r="AE257" s="203">
        <f t="shared" ca="1" si="27"/>
        <v>0</v>
      </c>
      <c r="AF257" s="383">
        <f ca="1">IFERROR(IF(VLOOKUP(申込書!$C$32,★サイズ表記!$F$4:$H$55,3,FALSE)="切り捨て",ROUNDDOWN(L257*IF(AK257="◎",I257,J257)/100,2),IF(VLOOKUP(申込書!$C$32,★サイズ表記!$F$4:$H$55,3,FALSE)="切り上げ",ROUNDUP(L257*IF(AK257="◎",I257,J257)/100,2),ROUND(L257*IF(AK257="◎",I257,J257)/100,2))),0)</f>
        <v>2.12</v>
      </c>
      <c r="AG257" s="203">
        <f t="shared" ca="1" si="28"/>
        <v>10452</v>
      </c>
      <c r="AJ257" s="460" t="str">
        <f>IFERROR(VLOOKUP(申込書!$C$30,★業種!$D$2:$E$87,2,FALSE),"")</f>
        <v>1003</v>
      </c>
      <c r="AK257" s="460" t="str">
        <f ca="1">IF(申込書!$C$36="◎",IF(OR(D257="浜坂・温泉",D257="美方・村岡",D257="香住",D257="岡山",D257="大阪"),"",IF(LEFT(F257)="D","◎",IF(AG257=0,"",IFERROR(IF(VLOOKUP(AG257,★仕入先!$A$2:$C$211,3,FALSE)=0,"","◎"),"")))),"")</f>
        <v/>
      </c>
      <c r="AL257" s="460">
        <f>申込書!$H$14</f>
        <v>0</v>
      </c>
      <c r="AM257" s="460" t="str">
        <f>申込書!$C$32</f>
        <v>B4（折り無し）</v>
      </c>
      <c r="AN257" s="460" t="str">
        <f>VLOOKUP(AM257,★サイズ表記!$D$4:$E$55,2,FALSE)</f>
        <v>1001</v>
      </c>
      <c r="AO257" s="460">
        <f>IF(C257&lt;&gt;"⑧兵庫",VLOOKUP(LEFT(F257),★新聞!$A$4:$B$12,2,FALSE),IF(LEFT(F257)&lt;&gt;"S",VLOOKUP(LEFT(F257),★新聞!$A$4:$B$12,2,FALSE),VLOOKUP("X",★新聞!$A$4:$B$12,2,FALSE)))</f>
        <v>7</v>
      </c>
      <c r="AP257" s="460" t="str">
        <f t="shared" ca="1" si="29"/>
        <v>0</v>
      </c>
      <c r="AQ257" s="460" t="str">
        <f>IF(申込書!$C$38="","",申込書!$C$38)</f>
        <v/>
      </c>
    </row>
    <row r="258" spans="1:43">
      <c r="A258" s="463">
        <f t="shared" si="30"/>
        <v>257</v>
      </c>
      <c r="B258" s="463" t="str">
        <f t="shared" si="31"/>
        <v>東部</v>
      </c>
      <c r="C258" s="464" t="s">
        <v>1016</v>
      </c>
      <c r="D258" s="464" t="s">
        <v>1022</v>
      </c>
      <c r="E258" s="464">
        <f>VLOOKUP(D258,★折込地区!$A$2:$D$10,4,FALSE)</f>
        <v>1</v>
      </c>
      <c r="F258" s="464" t="s">
        <v>521</v>
      </c>
      <c r="G258" s="464" t="str">
        <f>INDEX(★新聞!$E$4:$I$12, MATCH(LEFT(F258),★新聞!$A$4:$A$12,0), MATCH(LEFT(W258),★新聞!$E$3:$I$3,0))</f>
        <v>AP</v>
      </c>
      <c r="H258" s="555" t="s">
        <v>1105</v>
      </c>
      <c r="I258" s="464" cm="1">
        <f t="array" ref="I258">IFERROR(INDEX(★原価率!$A$2:$E$50,MATCH($C258&amp;$H258,★原価率!$A$2:$A$50&amp;★原価率!$B$2:$B$50,0),3),0)</f>
        <v>66</v>
      </c>
      <c r="J258" s="464" cm="1">
        <f t="array" ref="J258">IFERROR(INDEX(★原価率!$A$2:$E$50,MATCH($C258&amp;$H258,★原価率!$A$2:$A$50&amp;★原価率!$B$2:$B$50,0),4),0)</f>
        <v>76</v>
      </c>
      <c r="K258" s="464" cm="1">
        <f t="array" ref="K258">IFERROR(INDEX(★原価率!$A$2:$E$50,MATCH($C258&amp;$H258,★原価率!$A$2:$A$50&amp;★原価率!$B$2:$B$50,0),5),0)</f>
        <v>100</v>
      </c>
      <c r="L258" s="528">
        <f>IFERROR(VLOOKUP(W258,★商品!$A$1:$H$1231,8,FALSE),0)</f>
        <v>2.8</v>
      </c>
      <c r="M258" s="203" t="str">
        <f ca="1">CONCATENATE(VLOOKUP(B258,★営業所!$A$2:$B$5,2,FALSE),TEXT(NOW(),"yyyy"))</f>
        <v>T2023</v>
      </c>
      <c r="N258" s="203">
        <v>1</v>
      </c>
      <c r="O258" s="203">
        <v>0</v>
      </c>
      <c r="P258" s="213">
        <f>申込書!$B$6</f>
        <v>0</v>
      </c>
      <c r="Q258" s="203">
        <f>申込書!$C$34</f>
        <v>1000040</v>
      </c>
      <c r="R258" s="203">
        <v>0</v>
      </c>
      <c r="U258" s="203">
        <f>VLOOKUP(B258,★営業所!$A$2:$C$5,3,FALSE)</f>
        <v>8</v>
      </c>
      <c r="V258" s="203">
        <f>申込書!$B$9</f>
        <v>0</v>
      </c>
      <c r="W258" s="203" t="str">
        <f>CONCATENATE(VLOOKUP(B258,★営業所!$A$2:$B$5,2,FALSE),VLOOKUP(申込書!$C$32,★サイズ表記!$D$4:$E$55,2,FALSE),VLOOKUP(D258,★折込地区!$A$2:$B$11,2,FALSE))</f>
        <v>T1001Tot</v>
      </c>
      <c r="X258" s="203" t="str">
        <f>CONCATENATE(申込書!$B$9," ",VLOOKUP(RIGHT(W258,3),★折込地区!$B$2:$C$10,2,FALSE),"")</f>
        <v xml:space="preserve"> 鳥取</v>
      </c>
      <c r="Z258" s="206">
        <f t="shared" ref="Z258:Z321" ca="1" si="32">SUMIFS($AE$2:$AE$977,$W$2:$W$977,W258,$AG$2:$AG$977,"&lt;&gt;0")</f>
        <v>0</v>
      </c>
      <c r="AB258" s="383">
        <f t="shared" ref="AB258:AB321" si="33">IFERROR(L258*K258/100,0)</f>
        <v>2.8</v>
      </c>
      <c r="AC258" s="203" t="str">
        <f t="shared" ref="AC258:AC321" si="34">CONCATENATE(LEFT(F258),AN258)</f>
        <v>V1001</v>
      </c>
      <c r="AD258" s="203" t="str">
        <f>VLOOKUP(AC258,★原価商品!$E$6:$F$349,2,FALSE)</f>
        <v>日経/B4（折り無し）</v>
      </c>
      <c r="AE258" s="203">
        <f t="shared" ref="AE258:AE321" ca="1" si="35">INDIRECT(C258 &amp; "!" &amp; F258)</f>
        <v>0</v>
      </c>
      <c r="AF258" s="383">
        <f ca="1">IFERROR(IF(VLOOKUP(申込書!$C$32,★サイズ表記!$F$4:$H$55,3,FALSE)="切り捨て",ROUNDDOWN(L258*IF(AK258="◎",I258,J258)/100,2),IF(VLOOKUP(申込書!$C$32,★サイズ表記!$F$4:$H$55,3,FALSE)="切り上げ",ROUNDUP(L258*IF(AK258="◎",I258,J258)/100,2),ROUND(L258*IF(AK258="◎",I258,J258)/100,2))),0)</f>
        <v>1.84</v>
      </c>
      <c r="AG258" s="203">
        <f t="shared" ref="AG258:AG321" ca="1" si="36">IFERROR(INDIRECT(C258 &amp; "!" &amp; G258 &amp; MID(F258,2,1000)),0)</f>
        <v>10462</v>
      </c>
      <c r="AJ258" s="460" t="str">
        <f>IFERROR(VLOOKUP(申込書!$C$30,★業種!$D$2:$E$87,2,FALSE),"")</f>
        <v>1003</v>
      </c>
      <c r="AK258" s="460" t="str">
        <f ca="1">IF(申込書!$C$36="◎",IF(OR(D258="浜坂・温泉",D258="美方・村岡",D258="香住",D258="岡山",D258="大阪"),"",IF(LEFT(F258)="D","◎",IF(AG258=0,"",IFERROR(IF(VLOOKUP(AG258,★仕入先!$A$2:$C$211,3,FALSE)=0,"","◎"),"")))),"")</f>
        <v>◎</v>
      </c>
      <c r="AL258" s="460">
        <f>申込書!$H$14</f>
        <v>0</v>
      </c>
      <c r="AM258" s="460" t="str">
        <f>申込書!$C$32</f>
        <v>B4（折り無し）</v>
      </c>
      <c r="AN258" s="460" t="str">
        <f>VLOOKUP(AM258,★サイズ表記!$D$4:$E$55,2,FALSE)</f>
        <v>1001</v>
      </c>
      <c r="AO258" s="460">
        <f>IF(C258&lt;&gt;"⑧兵庫",VLOOKUP(LEFT(F258),★新聞!$A$4:$B$12,2,FALSE),IF(LEFT(F258)&lt;&gt;"S",VLOOKUP(LEFT(F258),★新聞!$A$4:$B$12,2,FALSE),VLOOKUP("X",★新聞!$A$4:$B$12,2,FALSE)))</f>
        <v>7</v>
      </c>
      <c r="AP258" s="460" t="str">
        <f t="shared" ref="AP258:AP321" ca="1" si="37">FIXED(SUM($AE$2:$AE$977),0,FALSE)</f>
        <v>0</v>
      </c>
      <c r="AQ258" s="460" t="str">
        <f>IF(申込書!$C$38="","",申込書!$C$38)</f>
        <v/>
      </c>
    </row>
    <row r="259" spans="1:43">
      <c r="A259" s="463">
        <f t="shared" si="30"/>
        <v>258</v>
      </c>
      <c r="B259" s="463" t="str">
        <f t="shared" si="31"/>
        <v>東部</v>
      </c>
      <c r="C259" s="464" t="s">
        <v>1016</v>
      </c>
      <c r="D259" s="464" t="s">
        <v>1022</v>
      </c>
      <c r="E259" s="464">
        <f>VLOOKUP(D259,★折込地区!$A$2:$D$10,4,FALSE)</f>
        <v>1</v>
      </c>
      <c r="F259" s="464" t="s">
        <v>522</v>
      </c>
      <c r="G259" s="464" t="str">
        <f>INDEX(★新聞!$E$4:$I$12, MATCH(LEFT(F259),★新聞!$A$4:$A$12,0), MATCH(LEFT(W259),★新聞!$E$3:$I$3,0))</f>
        <v>AP</v>
      </c>
      <c r="H259" s="555" t="s">
        <v>1105</v>
      </c>
      <c r="I259" s="464" cm="1">
        <f t="array" ref="I259">IFERROR(INDEX(★原価率!$A$2:$E$50,MATCH($C259&amp;$H259,★原価率!$A$2:$A$50&amp;★原価率!$B$2:$B$50,0),3),0)</f>
        <v>66</v>
      </c>
      <c r="J259" s="464" cm="1">
        <f t="array" ref="J259">IFERROR(INDEX(★原価率!$A$2:$E$50,MATCH($C259&amp;$H259,★原価率!$A$2:$A$50&amp;★原価率!$B$2:$B$50,0),4),0)</f>
        <v>76</v>
      </c>
      <c r="K259" s="464" cm="1">
        <f t="array" ref="K259">IFERROR(INDEX(★原価率!$A$2:$E$50,MATCH($C259&amp;$H259,★原価率!$A$2:$A$50&amp;★原価率!$B$2:$B$50,0),5),0)</f>
        <v>100</v>
      </c>
      <c r="L259" s="528">
        <f>IFERROR(VLOOKUP(W259,★商品!$A$1:$H$1231,8,FALSE),0)</f>
        <v>2.8</v>
      </c>
      <c r="M259" s="203" t="str">
        <f ca="1">CONCATENATE(VLOOKUP(B259,★営業所!$A$2:$B$5,2,FALSE),TEXT(NOW(),"yyyy"))</f>
        <v>T2023</v>
      </c>
      <c r="N259" s="203">
        <v>1</v>
      </c>
      <c r="O259" s="203">
        <v>0</v>
      </c>
      <c r="P259" s="213">
        <f>申込書!$B$6</f>
        <v>0</v>
      </c>
      <c r="Q259" s="203">
        <f>申込書!$C$34</f>
        <v>1000040</v>
      </c>
      <c r="R259" s="203">
        <v>0</v>
      </c>
      <c r="U259" s="203">
        <f>VLOOKUP(B259,★営業所!$A$2:$C$5,3,FALSE)</f>
        <v>8</v>
      </c>
      <c r="V259" s="203">
        <f>申込書!$B$9</f>
        <v>0</v>
      </c>
      <c r="W259" s="203" t="str">
        <f>CONCATENATE(VLOOKUP(B259,★営業所!$A$2:$B$5,2,FALSE),VLOOKUP(申込書!$C$32,★サイズ表記!$D$4:$E$55,2,FALSE),VLOOKUP(D259,★折込地区!$A$2:$B$11,2,FALSE))</f>
        <v>T1001Tot</v>
      </c>
      <c r="X259" s="203" t="str">
        <f>CONCATENATE(申込書!$B$9," ",VLOOKUP(RIGHT(W259,3),★折込地区!$B$2:$C$10,2,FALSE),"")</f>
        <v xml:space="preserve"> 鳥取</v>
      </c>
      <c r="Z259" s="206">
        <f t="shared" ca="1" si="32"/>
        <v>0</v>
      </c>
      <c r="AB259" s="383">
        <f t="shared" si="33"/>
        <v>2.8</v>
      </c>
      <c r="AC259" s="203" t="str">
        <f t="shared" si="34"/>
        <v>V1001</v>
      </c>
      <c r="AD259" s="203" t="str">
        <f>VLOOKUP(AC259,★原価商品!$E$6:$F$349,2,FALSE)</f>
        <v>日経/B4（折り無し）</v>
      </c>
      <c r="AE259" s="203">
        <f t="shared" ca="1" si="35"/>
        <v>0</v>
      </c>
      <c r="AF259" s="383">
        <f ca="1">IFERROR(IF(VLOOKUP(申込書!$C$32,★サイズ表記!$F$4:$H$55,3,FALSE)="切り捨て",ROUNDDOWN(L259*IF(AK259="◎",I259,J259)/100,2),IF(VLOOKUP(申込書!$C$32,★サイズ表記!$F$4:$H$55,3,FALSE)="切り上げ",ROUNDUP(L259*IF(AK259="◎",I259,J259)/100,2),ROUND(L259*IF(AK259="◎",I259,J259)/100,2))),0)</f>
        <v>1.84</v>
      </c>
      <c r="AG259" s="203">
        <f t="shared" ca="1" si="36"/>
        <v>10466</v>
      </c>
      <c r="AJ259" s="460" t="str">
        <f>IFERROR(VLOOKUP(申込書!$C$30,★業種!$D$2:$E$87,2,FALSE),"")</f>
        <v>1003</v>
      </c>
      <c r="AK259" s="460" t="str">
        <f ca="1">IF(申込書!$C$36="◎",IF(OR(D259="浜坂・温泉",D259="美方・村岡",D259="香住",D259="岡山",D259="大阪"),"",IF(LEFT(F259)="D","◎",IF(AG259=0,"",IFERROR(IF(VLOOKUP(AG259,★仕入先!$A$2:$C$211,3,FALSE)=0,"","◎"),"")))),"")</f>
        <v>◎</v>
      </c>
      <c r="AL259" s="460">
        <f>申込書!$H$14</f>
        <v>0</v>
      </c>
      <c r="AM259" s="460" t="str">
        <f>申込書!$C$32</f>
        <v>B4（折り無し）</v>
      </c>
      <c r="AN259" s="460" t="str">
        <f>VLOOKUP(AM259,★サイズ表記!$D$4:$E$55,2,FALSE)</f>
        <v>1001</v>
      </c>
      <c r="AO259" s="460">
        <f>IF(C259&lt;&gt;"⑧兵庫",VLOOKUP(LEFT(F259),★新聞!$A$4:$B$12,2,FALSE),IF(LEFT(F259)&lt;&gt;"S",VLOOKUP(LEFT(F259),★新聞!$A$4:$B$12,2,FALSE),VLOOKUP("X",★新聞!$A$4:$B$12,2,FALSE)))</f>
        <v>7</v>
      </c>
      <c r="AP259" s="460" t="str">
        <f t="shared" ca="1" si="37"/>
        <v>0</v>
      </c>
      <c r="AQ259" s="460" t="str">
        <f>IF(申込書!$C$38="","",申込書!$C$38)</f>
        <v/>
      </c>
    </row>
    <row r="260" spans="1:43">
      <c r="A260" s="463">
        <f t="shared" ref="A260:A323" si="38">A259+1</f>
        <v>259</v>
      </c>
      <c r="B260" s="463" t="str">
        <f t="shared" ref="B260:B323" si="39">$B$2</f>
        <v>東部</v>
      </c>
      <c r="C260" s="464" t="s">
        <v>1016</v>
      </c>
      <c r="D260" s="464" t="s">
        <v>1022</v>
      </c>
      <c r="E260" s="464">
        <f>VLOOKUP(D260,★折込地区!$A$2:$D$10,4,FALSE)</f>
        <v>1</v>
      </c>
      <c r="F260" s="464" t="s">
        <v>523</v>
      </c>
      <c r="G260" s="464" t="str">
        <f>INDEX(★新聞!$E$4:$I$12, MATCH(LEFT(F260),★新聞!$A$4:$A$12,0), MATCH(LEFT(W260),★新聞!$E$3:$I$3,0))</f>
        <v>AP</v>
      </c>
      <c r="H260" s="475" t="s">
        <v>1107</v>
      </c>
      <c r="I260" s="464" cm="1">
        <f t="array" ref="I260">IFERROR(INDEX(★原価率!$A$2:$E$50,MATCH($C260&amp;$H260,★原価率!$A$2:$A$50&amp;★原価率!$B$2:$B$50,0),3),0)</f>
        <v>76</v>
      </c>
      <c r="J260" s="464" cm="1">
        <f t="array" ref="J260">IFERROR(INDEX(★原価率!$A$2:$E$50,MATCH($C260&amp;$H260,★原価率!$A$2:$A$50&amp;★原価率!$B$2:$B$50,0),4),0)</f>
        <v>76</v>
      </c>
      <c r="K260" s="464" cm="1">
        <f t="array" ref="K260">IFERROR(INDEX(★原価率!$A$2:$E$50,MATCH($C260&amp;$H260,★原価率!$A$2:$A$50&amp;★原価率!$B$2:$B$50,0),5),0)</f>
        <v>100</v>
      </c>
      <c r="L260" s="528">
        <f>IFERROR(VLOOKUP(W260,★商品!$A$1:$H$1231,8,FALSE),0)</f>
        <v>2.8</v>
      </c>
      <c r="M260" s="203" t="str">
        <f ca="1">CONCATENATE(VLOOKUP(B260,★営業所!$A$2:$B$5,2,FALSE),TEXT(NOW(),"yyyy"))</f>
        <v>T2023</v>
      </c>
      <c r="N260" s="203">
        <v>1</v>
      </c>
      <c r="O260" s="203">
        <v>0</v>
      </c>
      <c r="P260" s="213">
        <f>申込書!$B$6</f>
        <v>0</v>
      </c>
      <c r="Q260" s="203">
        <f>申込書!$C$34</f>
        <v>1000040</v>
      </c>
      <c r="R260" s="203">
        <v>0</v>
      </c>
      <c r="U260" s="203">
        <f>VLOOKUP(B260,★営業所!$A$2:$C$5,3,FALSE)</f>
        <v>8</v>
      </c>
      <c r="V260" s="203">
        <f>申込書!$B$9</f>
        <v>0</v>
      </c>
      <c r="W260" s="203" t="str">
        <f>CONCATENATE(VLOOKUP(B260,★営業所!$A$2:$B$5,2,FALSE),VLOOKUP(申込書!$C$32,★サイズ表記!$D$4:$E$55,2,FALSE),VLOOKUP(D260,★折込地区!$A$2:$B$11,2,FALSE))</f>
        <v>T1001Tot</v>
      </c>
      <c r="X260" s="203" t="str">
        <f>CONCATENATE(申込書!$B$9," ",VLOOKUP(RIGHT(W260,3),★折込地区!$B$2:$C$10,2,FALSE),"")</f>
        <v xml:space="preserve"> 鳥取</v>
      </c>
      <c r="Z260" s="206">
        <f t="shared" ca="1" si="32"/>
        <v>0</v>
      </c>
      <c r="AB260" s="383">
        <f t="shared" si="33"/>
        <v>2.8</v>
      </c>
      <c r="AC260" s="203" t="str">
        <f t="shared" si="34"/>
        <v>V1001</v>
      </c>
      <c r="AD260" s="203" t="str">
        <f>VLOOKUP(AC260,★原価商品!$E$6:$F$349,2,FALSE)</f>
        <v>日経/B4（折り無し）</v>
      </c>
      <c r="AE260" s="203">
        <f t="shared" ca="1" si="35"/>
        <v>0</v>
      </c>
      <c r="AF260" s="383">
        <f ca="1">IFERROR(IF(VLOOKUP(申込書!$C$32,★サイズ表記!$F$4:$H$55,3,FALSE)="切り捨て",ROUNDDOWN(L260*IF(AK260="◎",I260,J260)/100,2),IF(VLOOKUP(申込書!$C$32,★サイズ表記!$F$4:$H$55,3,FALSE)="切り上げ",ROUNDUP(L260*IF(AK260="◎",I260,J260)/100,2),ROUND(L260*IF(AK260="◎",I260,J260)/100,2))),0)</f>
        <v>2.12</v>
      </c>
      <c r="AG260" s="203">
        <f t="shared" ca="1" si="36"/>
        <v>10473</v>
      </c>
      <c r="AJ260" s="460" t="str">
        <f>IFERROR(VLOOKUP(申込書!$C$30,★業種!$D$2:$E$87,2,FALSE),"")</f>
        <v>1003</v>
      </c>
      <c r="AK260" s="460" t="str">
        <f ca="1">IF(申込書!$C$36="◎",IF(OR(D260="浜坂・温泉",D260="美方・村岡",D260="香住",D260="岡山",D260="大阪"),"",IF(LEFT(F260)="D","◎",IF(AG260=0,"",IFERROR(IF(VLOOKUP(AG260,★仕入先!$A$2:$C$211,3,FALSE)=0,"","◎"),"")))),"")</f>
        <v/>
      </c>
      <c r="AL260" s="460">
        <f>申込書!$H$14</f>
        <v>0</v>
      </c>
      <c r="AM260" s="460" t="str">
        <f>申込書!$C$32</f>
        <v>B4（折り無し）</v>
      </c>
      <c r="AN260" s="460" t="str">
        <f>VLOOKUP(AM260,★サイズ表記!$D$4:$E$55,2,FALSE)</f>
        <v>1001</v>
      </c>
      <c r="AO260" s="460">
        <f>IF(C260&lt;&gt;"⑧兵庫",VLOOKUP(LEFT(F260),★新聞!$A$4:$B$12,2,FALSE),IF(LEFT(F260)&lt;&gt;"S",VLOOKUP(LEFT(F260),★新聞!$A$4:$B$12,2,FALSE),VLOOKUP("X",★新聞!$A$4:$B$12,2,FALSE)))</f>
        <v>7</v>
      </c>
      <c r="AP260" s="460" t="str">
        <f t="shared" ca="1" si="37"/>
        <v>0</v>
      </c>
      <c r="AQ260" s="460" t="str">
        <f>IF(申込書!$C$38="","",申込書!$C$38)</f>
        <v/>
      </c>
    </row>
    <row r="261" spans="1:43">
      <c r="A261" s="463">
        <f t="shared" si="38"/>
        <v>260</v>
      </c>
      <c r="B261" s="463" t="str">
        <f t="shared" si="39"/>
        <v>東部</v>
      </c>
      <c r="C261" s="464" t="s">
        <v>1016</v>
      </c>
      <c r="D261" s="464" t="s">
        <v>1022</v>
      </c>
      <c r="E261" s="464">
        <f>VLOOKUP(D261,★折込地区!$A$2:$D$10,4,FALSE)</f>
        <v>1</v>
      </c>
      <c r="F261" s="464" t="s">
        <v>530</v>
      </c>
      <c r="G261" s="464" t="str">
        <f>INDEX(★新聞!$E$4:$I$12, MATCH(LEFT(F261),★新聞!$A$4:$A$12,0), MATCH(LEFT(W261),★新聞!$E$3:$I$3,0))</f>
        <v>AP</v>
      </c>
      <c r="H261" s="555" t="s">
        <v>1105</v>
      </c>
      <c r="I261" s="464" cm="1">
        <f t="array" ref="I261">IFERROR(INDEX(★原価率!$A$2:$E$50,MATCH($C261&amp;$H261,★原価率!$A$2:$A$50&amp;★原価率!$B$2:$B$50,0),3),0)</f>
        <v>66</v>
      </c>
      <c r="J261" s="464" cm="1">
        <f t="array" ref="J261">IFERROR(INDEX(★原価率!$A$2:$E$50,MATCH($C261&amp;$H261,★原価率!$A$2:$A$50&amp;★原価率!$B$2:$B$50,0),4),0)</f>
        <v>76</v>
      </c>
      <c r="K261" s="464" cm="1">
        <f t="array" ref="K261">IFERROR(INDEX(★原価率!$A$2:$E$50,MATCH($C261&amp;$H261,★原価率!$A$2:$A$50&amp;★原価率!$B$2:$B$50,0),5),0)</f>
        <v>100</v>
      </c>
      <c r="L261" s="528">
        <f>IFERROR(VLOOKUP(W261,★商品!$A$1:$H$1231,8,FALSE),0)</f>
        <v>2.8</v>
      </c>
      <c r="M261" s="203" t="str">
        <f ca="1">CONCATENATE(VLOOKUP(B261,★営業所!$A$2:$B$5,2,FALSE),TEXT(NOW(),"yyyy"))</f>
        <v>T2023</v>
      </c>
      <c r="N261" s="203">
        <v>1</v>
      </c>
      <c r="O261" s="203">
        <v>0</v>
      </c>
      <c r="P261" s="213">
        <f>申込書!$B$6</f>
        <v>0</v>
      </c>
      <c r="Q261" s="203">
        <f>申込書!$C$34</f>
        <v>1000040</v>
      </c>
      <c r="R261" s="203">
        <v>0</v>
      </c>
      <c r="U261" s="203">
        <f>VLOOKUP(B261,★営業所!$A$2:$C$5,3,FALSE)</f>
        <v>8</v>
      </c>
      <c r="V261" s="203">
        <f>申込書!$B$9</f>
        <v>0</v>
      </c>
      <c r="W261" s="203" t="str">
        <f>CONCATENATE(VLOOKUP(B261,★営業所!$A$2:$B$5,2,FALSE),VLOOKUP(申込書!$C$32,★サイズ表記!$D$4:$E$55,2,FALSE),VLOOKUP(D261,★折込地区!$A$2:$B$11,2,FALSE))</f>
        <v>T1001Tot</v>
      </c>
      <c r="X261" s="203" t="str">
        <f>CONCATENATE(申込書!$B$9," ",VLOOKUP(RIGHT(W261,3),★折込地区!$B$2:$C$10,2,FALSE),"")</f>
        <v xml:space="preserve"> 鳥取</v>
      </c>
      <c r="Z261" s="206">
        <f t="shared" ca="1" si="32"/>
        <v>0</v>
      </c>
      <c r="AB261" s="383">
        <f t="shared" si="33"/>
        <v>2.8</v>
      </c>
      <c r="AC261" s="203" t="str">
        <f t="shared" si="34"/>
        <v>V1001</v>
      </c>
      <c r="AD261" s="203" t="str">
        <f>VLOOKUP(AC261,★原価商品!$E$6:$F$349,2,FALSE)</f>
        <v>日経/B4（折り無し）</v>
      </c>
      <c r="AE261" s="203">
        <f t="shared" ca="1" si="35"/>
        <v>0</v>
      </c>
      <c r="AF261" s="383">
        <f ca="1">IFERROR(IF(VLOOKUP(申込書!$C$32,★サイズ表記!$F$4:$H$55,3,FALSE)="切り捨て",ROUNDDOWN(L261*IF(AK261="◎",I261,J261)/100,2),IF(VLOOKUP(申込書!$C$32,★サイズ表記!$F$4:$H$55,3,FALSE)="切り上げ",ROUNDUP(L261*IF(AK261="◎",I261,J261)/100,2),ROUND(L261*IF(AK261="◎",I261,J261)/100,2))),0)</f>
        <v>1.84</v>
      </c>
      <c r="AG261" s="203">
        <f t="shared" ca="1" si="36"/>
        <v>10201</v>
      </c>
      <c r="AJ261" s="460" t="str">
        <f>IFERROR(VLOOKUP(申込書!$C$30,★業種!$D$2:$E$87,2,FALSE),"")</f>
        <v>1003</v>
      </c>
      <c r="AK261" s="460" t="str">
        <f ca="1">IF(申込書!$C$36="◎",IF(OR(D261="浜坂・温泉",D261="美方・村岡",D261="香住",D261="岡山",D261="大阪"),"",IF(LEFT(F261)="D","◎",IF(AG261=0,"",IFERROR(IF(VLOOKUP(AG261,★仕入先!$A$2:$C$211,3,FALSE)=0,"","◎"),"")))),"")</f>
        <v>◎</v>
      </c>
      <c r="AL261" s="460">
        <f>申込書!$H$14</f>
        <v>0</v>
      </c>
      <c r="AM261" s="460" t="str">
        <f>申込書!$C$32</f>
        <v>B4（折り無し）</v>
      </c>
      <c r="AN261" s="460" t="str">
        <f>VLOOKUP(AM261,★サイズ表記!$D$4:$E$55,2,FALSE)</f>
        <v>1001</v>
      </c>
      <c r="AO261" s="460">
        <f>IF(C261&lt;&gt;"⑧兵庫",VLOOKUP(LEFT(F261),★新聞!$A$4:$B$12,2,FALSE),IF(LEFT(F261)&lt;&gt;"S",VLOOKUP(LEFT(F261),★新聞!$A$4:$B$12,2,FALSE),VLOOKUP("X",★新聞!$A$4:$B$12,2,FALSE)))</f>
        <v>7</v>
      </c>
      <c r="AP261" s="460" t="str">
        <f t="shared" ca="1" si="37"/>
        <v>0</v>
      </c>
      <c r="AQ261" s="460" t="str">
        <f>IF(申込書!$C$38="","",申込書!$C$38)</f>
        <v/>
      </c>
    </row>
    <row r="262" spans="1:43">
      <c r="A262" s="463">
        <f t="shared" si="38"/>
        <v>261</v>
      </c>
      <c r="B262" s="463" t="str">
        <f t="shared" si="39"/>
        <v>東部</v>
      </c>
      <c r="C262" s="464" t="s">
        <v>1016</v>
      </c>
      <c r="D262" s="464" t="s">
        <v>1022</v>
      </c>
      <c r="E262" s="464">
        <f>VLOOKUP(D262,★折込地区!$A$2:$D$10,4,FALSE)</f>
        <v>1</v>
      </c>
      <c r="F262" s="464" t="s">
        <v>531</v>
      </c>
      <c r="G262" s="464" t="str">
        <f>INDEX(★新聞!$E$4:$I$12, MATCH(LEFT(F262),★新聞!$A$4:$A$12,0), MATCH(LEFT(W262),★新聞!$E$3:$I$3,0))</f>
        <v>AP</v>
      </c>
      <c r="H262" s="555" t="s">
        <v>1105</v>
      </c>
      <c r="I262" s="464" cm="1">
        <f t="array" ref="I262">IFERROR(INDEX(★原価率!$A$2:$E$50,MATCH($C262&amp;$H262,★原価率!$A$2:$A$50&amp;★原価率!$B$2:$B$50,0),3),0)</f>
        <v>66</v>
      </c>
      <c r="J262" s="464" cm="1">
        <f t="array" ref="J262">IFERROR(INDEX(★原価率!$A$2:$E$50,MATCH($C262&amp;$H262,★原価率!$A$2:$A$50&amp;★原価率!$B$2:$B$50,0),4),0)</f>
        <v>76</v>
      </c>
      <c r="K262" s="464" cm="1">
        <f t="array" ref="K262">IFERROR(INDEX(★原価率!$A$2:$E$50,MATCH($C262&amp;$H262,★原価率!$A$2:$A$50&amp;★原価率!$B$2:$B$50,0),5),0)</f>
        <v>100</v>
      </c>
      <c r="L262" s="528">
        <f>IFERROR(VLOOKUP(W262,★商品!$A$1:$H$1231,8,FALSE),0)</f>
        <v>2.8</v>
      </c>
      <c r="M262" s="203" t="str">
        <f ca="1">CONCATENATE(VLOOKUP(B262,★営業所!$A$2:$B$5,2,FALSE),TEXT(NOW(),"yyyy"))</f>
        <v>T2023</v>
      </c>
      <c r="N262" s="203">
        <v>1</v>
      </c>
      <c r="O262" s="203">
        <v>0</v>
      </c>
      <c r="P262" s="213">
        <f>申込書!$B$6</f>
        <v>0</v>
      </c>
      <c r="Q262" s="203">
        <f>申込書!$C$34</f>
        <v>1000040</v>
      </c>
      <c r="R262" s="203">
        <v>0</v>
      </c>
      <c r="U262" s="203">
        <f>VLOOKUP(B262,★営業所!$A$2:$C$5,3,FALSE)</f>
        <v>8</v>
      </c>
      <c r="V262" s="203">
        <f>申込書!$B$9</f>
        <v>0</v>
      </c>
      <c r="W262" s="203" t="str">
        <f>CONCATENATE(VLOOKUP(B262,★営業所!$A$2:$B$5,2,FALSE),VLOOKUP(申込書!$C$32,★サイズ表記!$D$4:$E$55,2,FALSE),VLOOKUP(D262,★折込地区!$A$2:$B$11,2,FALSE))</f>
        <v>T1001Tot</v>
      </c>
      <c r="X262" s="203" t="str">
        <f>CONCATENATE(申込書!$B$9," ",VLOOKUP(RIGHT(W262,3),★折込地区!$B$2:$C$10,2,FALSE),"")</f>
        <v xml:space="preserve"> 鳥取</v>
      </c>
      <c r="Z262" s="206">
        <f t="shared" ca="1" si="32"/>
        <v>0</v>
      </c>
      <c r="AB262" s="383">
        <f t="shared" si="33"/>
        <v>2.8</v>
      </c>
      <c r="AC262" s="203" t="str">
        <f t="shared" si="34"/>
        <v>V1001</v>
      </c>
      <c r="AD262" s="203" t="str">
        <f>VLOOKUP(AC262,★原価商品!$E$6:$F$349,2,FALSE)</f>
        <v>日経/B4（折り無し）</v>
      </c>
      <c r="AE262" s="203">
        <f t="shared" ca="1" si="35"/>
        <v>0</v>
      </c>
      <c r="AF262" s="383">
        <f ca="1">IFERROR(IF(VLOOKUP(申込書!$C$32,★サイズ表記!$F$4:$H$55,3,FALSE)="切り捨て",ROUNDDOWN(L262*IF(AK262="◎",I262,J262)/100,2),IF(VLOOKUP(申込書!$C$32,★サイズ表記!$F$4:$H$55,3,FALSE)="切り上げ",ROUNDUP(L262*IF(AK262="◎",I262,J262)/100,2),ROUND(L262*IF(AK262="◎",I262,J262)/100,2))),0)</f>
        <v>1.84</v>
      </c>
      <c r="AG262" s="203">
        <f t="shared" ca="1" si="36"/>
        <v>10205</v>
      </c>
      <c r="AJ262" s="460" t="str">
        <f>IFERROR(VLOOKUP(申込書!$C$30,★業種!$D$2:$E$87,2,FALSE),"")</f>
        <v>1003</v>
      </c>
      <c r="AK262" s="460" t="str">
        <f ca="1">IF(申込書!$C$36="◎",IF(OR(D262="浜坂・温泉",D262="美方・村岡",D262="香住",D262="岡山",D262="大阪"),"",IF(LEFT(F262)="D","◎",IF(AG262=0,"",IFERROR(IF(VLOOKUP(AG262,★仕入先!$A$2:$C$211,3,FALSE)=0,"","◎"),"")))),"")</f>
        <v>◎</v>
      </c>
      <c r="AL262" s="460">
        <f>申込書!$H$14</f>
        <v>0</v>
      </c>
      <c r="AM262" s="460" t="str">
        <f>申込書!$C$32</f>
        <v>B4（折り無し）</v>
      </c>
      <c r="AN262" s="460" t="str">
        <f>VLOOKUP(AM262,★サイズ表記!$D$4:$E$55,2,FALSE)</f>
        <v>1001</v>
      </c>
      <c r="AO262" s="460">
        <f>IF(C262&lt;&gt;"⑧兵庫",VLOOKUP(LEFT(F262),★新聞!$A$4:$B$12,2,FALSE),IF(LEFT(F262)&lt;&gt;"S",VLOOKUP(LEFT(F262),★新聞!$A$4:$B$12,2,FALSE),VLOOKUP("X",★新聞!$A$4:$B$12,2,FALSE)))</f>
        <v>7</v>
      </c>
      <c r="AP262" s="460" t="str">
        <f t="shared" ca="1" si="37"/>
        <v>0</v>
      </c>
      <c r="AQ262" s="460" t="str">
        <f>IF(申込書!$C$38="","",申込書!$C$38)</f>
        <v/>
      </c>
    </row>
    <row r="263" spans="1:43">
      <c r="A263" s="463">
        <f t="shared" si="38"/>
        <v>262</v>
      </c>
      <c r="B263" s="463" t="str">
        <f t="shared" si="39"/>
        <v>東部</v>
      </c>
      <c r="C263" s="464" t="s">
        <v>1016</v>
      </c>
      <c r="D263" s="464" t="s">
        <v>1022</v>
      </c>
      <c r="E263" s="464">
        <f>VLOOKUP(D263,★折込地区!$A$2:$D$10,4,FALSE)</f>
        <v>1</v>
      </c>
      <c r="F263" s="464" t="s">
        <v>532</v>
      </c>
      <c r="G263" s="464" t="str">
        <f>INDEX(★新聞!$E$4:$I$12, MATCH(LEFT(F263),★新聞!$A$4:$A$12,0), MATCH(LEFT(W263),★新聞!$E$3:$I$3,0))</f>
        <v>AP</v>
      </c>
      <c r="H263" s="555" t="s">
        <v>1105</v>
      </c>
      <c r="I263" s="464" cm="1">
        <f t="array" ref="I263">IFERROR(INDEX(★原価率!$A$2:$E$50,MATCH($C263&amp;$H263,★原価率!$A$2:$A$50&amp;★原価率!$B$2:$B$50,0),3),0)</f>
        <v>66</v>
      </c>
      <c r="J263" s="464" cm="1">
        <f t="array" ref="J263">IFERROR(INDEX(★原価率!$A$2:$E$50,MATCH($C263&amp;$H263,★原価率!$A$2:$A$50&amp;★原価率!$B$2:$B$50,0),4),0)</f>
        <v>76</v>
      </c>
      <c r="K263" s="464" cm="1">
        <f t="array" ref="K263">IFERROR(INDEX(★原価率!$A$2:$E$50,MATCH($C263&amp;$H263,★原価率!$A$2:$A$50&amp;★原価率!$B$2:$B$50,0),5),0)</f>
        <v>100</v>
      </c>
      <c r="L263" s="528">
        <f>IFERROR(VLOOKUP(W263,★商品!$A$1:$H$1231,8,FALSE),0)</f>
        <v>2.8</v>
      </c>
      <c r="M263" s="203" t="str">
        <f ca="1">CONCATENATE(VLOOKUP(B263,★営業所!$A$2:$B$5,2,FALSE),TEXT(NOW(),"yyyy"))</f>
        <v>T2023</v>
      </c>
      <c r="N263" s="203">
        <v>1</v>
      </c>
      <c r="O263" s="203">
        <v>0</v>
      </c>
      <c r="P263" s="213">
        <f>申込書!$B$6</f>
        <v>0</v>
      </c>
      <c r="Q263" s="203">
        <f>申込書!$C$34</f>
        <v>1000040</v>
      </c>
      <c r="R263" s="203">
        <v>0</v>
      </c>
      <c r="U263" s="203">
        <f>VLOOKUP(B263,★営業所!$A$2:$C$5,3,FALSE)</f>
        <v>8</v>
      </c>
      <c r="V263" s="203">
        <f>申込書!$B$9</f>
        <v>0</v>
      </c>
      <c r="W263" s="203" t="str">
        <f>CONCATENATE(VLOOKUP(B263,★営業所!$A$2:$B$5,2,FALSE),VLOOKUP(申込書!$C$32,★サイズ表記!$D$4:$E$55,2,FALSE),VLOOKUP(D263,★折込地区!$A$2:$B$11,2,FALSE))</f>
        <v>T1001Tot</v>
      </c>
      <c r="X263" s="203" t="str">
        <f>CONCATENATE(申込書!$B$9," ",VLOOKUP(RIGHT(W263,3),★折込地区!$B$2:$C$10,2,FALSE),"")</f>
        <v xml:space="preserve"> 鳥取</v>
      </c>
      <c r="Z263" s="206">
        <f t="shared" ca="1" si="32"/>
        <v>0</v>
      </c>
      <c r="AB263" s="383">
        <f t="shared" si="33"/>
        <v>2.8</v>
      </c>
      <c r="AC263" s="203" t="str">
        <f t="shared" si="34"/>
        <v>V1001</v>
      </c>
      <c r="AD263" s="203" t="str">
        <f>VLOOKUP(AC263,★原価商品!$E$6:$F$349,2,FALSE)</f>
        <v>日経/B4（折り無し）</v>
      </c>
      <c r="AE263" s="203">
        <f t="shared" ca="1" si="35"/>
        <v>0</v>
      </c>
      <c r="AF263" s="383">
        <f ca="1">IFERROR(IF(VLOOKUP(申込書!$C$32,★サイズ表記!$F$4:$H$55,3,FALSE)="切り捨て",ROUNDDOWN(L263*IF(AK263="◎",I263,J263)/100,2),IF(VLOOKUP(申込書!$C$32,★サイズ表記!$F$4:$H$55,3,FALSE)="切り上げ",ROUNDUP(L263*IF(AK263="◎",I263,J263)/100,2),ROUND(L263*IF(AK263="◎",I263,J263)/100,2))),0)</f>
        <v>1.84</v>
      </c>
      <c r="AG263" s="203">
        <f t="shared" ca="1" si="36"/>
        <v>10208</v>
      </c>
      <c r="AJ263" s="460" t="str">
        <f>IFERROR(VLOOKUP(申込書!$C$30,★業種!$D$2:$E$87,2,FALSE),"")</f>
        <v>1003</v>
      </c>
      <c r="AK263" s="460" t="str">
        <f ca="1">IF(申込書!$C$36="◎",IF(OR(D263="浜坂・温泉",D263="美方・村岡",D263="香住",D263="岡山",D263="大阪"),"",IF(LEFT(F263)="D","◎",IF(AG263=0,"",IFERROR(IF(VLOOKUP(AG263,★仕入先!$A$2:$C$211,3,FALSE)=0,"","◎"),"")))),"")</f>
        <v>◎</v>
      </c>
      <c r="AL263" s="460">
        <f>申込書!$H$14</f>
        <v>0</v>
      </c>
      <c r="AM263" s="460" t="str">
        <f>申込書!$C$32</f>
        <v>B4（折り無し）</v>
      </c>
      <c r="AN263" s="460" t="str">
        <f>VLOOKUP(AM263,★サイズ表記!$D$4:$E$55,2,FALSE)</f>
        <v>1001</v>
      </c>
      <c r="AO263" s="460">
        <f>IF(C263&lt;&gt;"⑧兵庫",VLOOKUP(LEFT(F263),★新聞!$A$4:$B$12,2,FALSE),IF(LEFT(F263)&lt;&gt;"S",VLOOKUP(LEFT(F263),★新聞!$A$4:$B$12,2,FALSE),VLOOKUP("X",★新聞!$A$4:$B$12,2,FALSE)))</f>
        <v>7</v>
      </c>
      <c r="AP263" s="460" t="str">
        <f t="shared" ca="1" si="37"/>
        <v>0</v>
      </c>
      <c r="AQ263" s="460" t="str">
        <f>IF(申込書!$C$38="","",申込書!$C$38)</f>
        <v/>
      </c>
    </row>
    <row r="264" spans="1:43">
      <c r="A264" s="463">
        <f t="shared" si="38"/>
        <v>263</v>
      </c>
      <c r="B264" s="463" t="str">
        <f t="shared" si="39"/>
        <v>東部</v>
      </c>
      <c r="C264" s="464" t="s">
        <v>1016</v>
      </c>
      <c r="D264" s="464" t="s">
        <v>1022</v>
      </c>
      <c r="E264" s="464">
        <f>VLOOKUP(D264,★折込地区!$A$2:$D$10,4,FALSE)</f>
        <v>1</v>
      </c>
      <c r="F264" s="464" t="s">
        <v>592</v>
      </c>
      <c r="G264" s="464" t="str">
        <f>INDEX(★新聞!$E$4:$I$12, MATCH(LEFT(F264),★新聞!$A$4:$A$12,0), MATCH(LEFT(W264),★新聞!$E$3:$I$3,0))</f>
        <v>AP</v>
      </c>
      <c r="H264" s="555" t="s">
        <v>1105</v>
      </c>
      <c r="I264" s="464" cm="1">
        <f t="array" ref="I264">IFERROR(INDEX(★原価率!$A$2:$E$50,MATCH($C264&amp;$H264,★原価率!$A$2:$A$50&amp;★原価率!$B$2:$B$50,0),3),0)</f>
        <v>66</v>
      </c>
      <c r="J264" s="464" cm="1">
        <f t="array" ref="J264">IFERROR(INDEX(★原価率!$A$2:$E$50,MATCH($C264&amp;$H264,★原価率!$A$2:$A$50&amp;★原価率!$B$2:$B$50,0),4),0)</f>
        <v>76</v>
      </c>
      <c r="K264" s="464" cm="1">
        <f t="array" ref="K264">IFERROR(INDEX(★原価率!$A$2:$E$50,MATCH($C264&amp;$H264,★原価率!$A$2:$A$50&amp;★原価率!$B$2:$B$50,0),5),0)</f>
        <v>100</v>
      </c>
      <c r="L264" s="528">
        <f>IFERROR(VLOOKUP(W264,★商品!$A$1:$H$1231,8,FALSE),0)</f>
        <v>2.8</v>
      </c>
      <c r="M264" s="203" t="str">
        <f ca="1">CONCATENATE(VLOOKUP(B264,★営業所!$A$2:$B$5,2,FALSE),TEXT(NOW(),"yyyy"))</f>
        <v>T2023</v>
      </c>
      <c r="N264" s="203">
        <v>1</v>
      </c>
      <c r="O264" s="203">
        <v>0</v>
      </c>
      <c r="P264" s="213">
        <f>申込書!$B$6</f>
        <v>0</v>
      </c>
      <c r="Q264" s="203">
        <f>申込書!$C$34</f>
        <v>1000040</v>
      </c>
      <c r="R264" s="203">
        <v>0</v>
      </c>
      <c r="U264" s="203">
        <f>VLOOKUP(B264,★営業所!$A$2:$C$5,3,FALSE)</f>
        <v>8</v>
      </c>
      <c r="V264" s="203">
        <f>申込書!$B$9</f>
        <v>0</v>
      </c>
      <c r="W264" s="203" t="str">
        <f>CONCATENATE(VLOOKUP(B264,★営業所!$A$2:$B$5,2,FALSE),VLOOKUP(申込書!$C$32,★サイズ表記!$D$4:$E$55,2,FALSE),VLOOKUP(D264,★折込地区!$A$2:$B$11,2,FALSE))</f>
        <v>T1001Tot</v>
      </c>
      <c r="X264" s="203" t="str">
        <f>CONCATENATE(申込書!$B$9," ",VLOOKUP(RIGHT(W264,3),★折込地区!$B$2:$C$10,2,FALSE),"")</f>
        <v xml:space="preserve"> 鳥取</v>
      </c>
      <c r="Z264" s="206">
        <f t="shared" ca="1" si="32"/>
        <v>0</v>
      </c>
      <c r="AB264" s="383">
        <f t="shared" si="33"/>
        <v>2.8</v>
      </c>
      <c r="AC264" s="203" t="str">
        <f t="shared" si="34"/>
        <v>V1001</v>
      </c>
      <c r="AD264" s="203" t="str">
        <f>VLOOKUP(AC264,★原価商品!$E$6:$F$349,2,FALSE)</f>
        <v>日経/B4（折り無し）</v>
      </c>
      <c r="AE264" s="203">
        <f t="shared" ca="1" si="35"/>
        <v>0</v>
      </c>
      <c r="AF264" s="383">
        <f ca="1">IFERROR(IF(VLOOKUP(申込書!$C$32,★サイズ表記!$F$4:$H$55,3,FALSE)="切り捨て",ROUNDDOWN(L264*IF(AK264="◎",I264,J264)/100,2),IF(VLOOKUP(申込書!$C$32,★サイズ表記!$F$4:$H$55,3,FALSE)="切り上げ",ROUNDUP(L264*IF(AK264="◎",I264,J264)/100,2),ROUND(L264*IF(AK264="◎",I264,J264)/100,2))),0)</f>
        <v>1.84</v>
      </c>
      <c r="AG264" s="203">
        <f t="shared" ca="1" si="36"/>
        <v>10046</v>
      </c>
      <c r="AJ264" s="460" t="str">
        <f>IFERROR(VLOOKUP(申込書!$C$30,★業種!$D$2:$E$87,2,FALSE),"")</f>
        <v>1003</v>
      </c>
      <c r="AK264" s="460" t="str">
        <f ca="1">IF(申込書!$C$36="◎",IF(OR(D264="浜坂・温泉",D264="美方・村岡",D264="香住",D264="岡山",D264="大阪"),"",IF(LEFT(F264)="D","◎",IF(AG264=0,"",IFERROR(IF(VLOOKUP(AG264,★仕入先!$A$2:$C$211,3,FALSE)=0,"","◎"),"")))),"")</f>
        <v>◎</v>
      </c>
      <c r="AL264" s="460">
        <f>申込書!$H$14</f>
        <v>0</v>
      </c>
      <c r="AM264" s="460" t="str">
        <f>申込書!$C$32</f>
        <v>B4（折り無し）</v>
      </c>
      <c r="AN264" s="460" t="str">
        <f>VLOOKUP(AM264,★サイズ表記!$D$4:$E$55,2,FALSE)</f>
        <v>1001</v>
      </c>
      <c r="AO264" s="460">
        <f>IF(C264&lt;&gt;"⑧兵庫",VLOOKUP(LEFT(F264),★新聞!$A$4:$B$12,2,FALSE),IF(LEFT(F264)&lt;&gt;"S",VLOOKUP(LEFT(F264),★新聞!$A$4:$B$12,2,FALSE),VLOOKUP("X",★新聞!$A$4:$B$12,2,FALSE)))</f>
        <v>7</v>
      </c>
      <c r="AP264" s="460" t="str">
        <f t="shared" ca="1" si="37"/>
        <v>0</v>
      </c>
      <c r="AQ264" s="460" t="str">
        <f>IF(申込書!$C$38="","",申込書!$C$38)</f>
        <v/>
      </c>
    </row>
    <row r="265" spans="1:43">
      <c r="A265" s="463">
        <f t="shared" si="38"/>
        <v>264</v>
      </c>
      <c r="B265" s="463" t="str">
        <f t="shared" si="39"/>
        <v>東部</v>
      </c>
      <c r="C265" s="464" t="s">
        <v>1016</v>
      </c>
      <c r="D265" s="464" t="s">
        <v>1022</v>
      </c>
      <c r="E265" s="464">
        <f>VLOOKUP(D265,★折込地区!$A$2:$D$10,4,FALSE)</f>
        <v>1</v>
      </c>
      <c r="F265" s="464" t="s">
        <v>593</v>
      </c>
      <c r="G265" s="464" t="str">
        <f>INDEX(★新聞!$E$4:$I$12, MATCH(LEFT(F265),★新聞!$A$4:$A$12,0), MATCH(LEFT(W265),★新聞!$E$3:$I$3,0))</f>
        <v>AP</v>
      </c>
      <c r="H265" s="555" t="s">
        <v>1105</v>
      </c>
      <c r="I265" s="464" cm="1">
        <f t="array" ref="I265">IFERROR(INDEX(★原価率!$A$2:$E$50,MATCH($C265&amp;$H265,★原価率!$A$2:$A$50&amp;★原価率!$B$2:$B$50,0),3),0)</f>
        <v>66</v>
      </c>
      <c r="J265" s="464" cm="1">
        <f t="array" ref="J265">IFERROR(INDEX(★原価率!$A$2:$E$50,MATCH($C265&amp;$H265,★原価率!$A$2:$A$50&amp;★原価率!$B$2:$B$50,0),4),0)</f>
        <v>76</v>
      </c>
      <c r="K265" s="464" cm="1">
        <f t="array" ref="K265">IFERROR(INDEX(★原価率!$A$2:$E$50,MATCH($C265&amp;$H265,★原価率!$A$2:$A$50&amp;★原価率!$B$2:$B$50,0),5),0)</f>
        <v>100</v>
      </c>
      <c r="L265" s="528">
        <f>IFERROR(VLOOKUP(W265,★商品!$A$1:$H$1231,8,FALSE),0)</f>
        <v>2.8</v>
      </c>
      <c r="M265" s="203" t="str">
        <f ca="1">CONCATENATE(VLOOKUP(B265,★営業所!$A$2:$B$5,2,FALSE),TEXT(NOW(),"yyyy"))</f>
        <v>T2023</v>
      </c>
      <c r="N265" s="203">
        <v>1</v>
      </c>
      <c r="O265" s="203">
        <v>0</v>
      </c>
      <c r="P265" s="213">
        <f>申込書!$B$6</f>
        <v>0</v>
      </c>
      <c r="Q265" s="203">
        <f>申込書!$C$34</f>
        <v>1000040</v>
      </c>
      <c r="R265" s="203">
        <v>0</v>
      </c>
      <c r="U265" s="203">
        <f>VLOOKUP(B265,★営業所!$A$2:$C$5,3,FALSE)</f>
        <v>8</v>
      </c>
      <c r="V265" s="203">
        <f>申込書!$B$9</f>
        <v>0</v>
      </c>
      <c r="W265" s="203" t="str">
        <f>CONCATENATE(VLOOKUP(B265,★営業所!$A$2:$B$5,2,FALSE),VLOOKUP(申込書!$C$32,★サイズ表記!$D$4:$E$55,2,FALSE),VLOOKUP(D265,★折込地区!$A$2:$B$11,2,FALSE))</f>
        <v>T1001Tot</v>
      </c>
      <c r="X265" s="203" t="str">
        <f>CONCATENATE(申込書!$B$9," ",VLOOKUP(RIGHT(W265,3),★折込地区!$B$2:$C$10,2,FALSE),"")</f>
        <v xml:space="preserve"> 鳥取</v>
      </c>
      <c r="Z265" s="206">
        <f t="shared" ca="1" si="32"/>
        <v>0</v>
      </c>
      <c r="AB265" s="383">
        <f t="shared" si="33"/>
        <v>2.8</v>
      </c>
      <c r="AC265" s="203" t="str">
        <f t="shared" si="34"/>
        <v>V1001</v>
      </c>
      <c r="AD265" s="203" t="str">
        <f>VLOOKUP(AC265,★原価商品!$E$6:$F$349,2,FALSE)</f>
        <v>日経/B4（折り無し）</v>
      </c>
      <c r="AE265" s="203">
        <f t="shared" ca="1" si="35"/>
        <v>0</v>
      </c>
      <c r="AF265" s="383">
        <f ca="1">IFERROR(IF(VLOOKUP(申込書!$C$32,★サイズ表記!$F$4:$H$55,3,FALSE)="切り捨て",ROUNDDOWN(L265*IF(AK265="◎",I265,J265)/100,2),IF(VLOOKUP(申込書!$C$32,★サイズ表記!$F$4:$H$55,3,FALSE)="切り上げ",ROUNDUP(L265*IF(AK265="◎",I265,J265)/100,2),ROUND(L265*IF(AK265="◎",I265,J265)/100,2))),0)</f>
        <v>1.84</v>
      </c>
      <c r="AG265" s="203">
        <f t="shared" ca="1" si="36"/>
        <v>10051</v>
      </c>
      <c r="AJ265" s="460" t="str">
        <f>IFERROR(VLOOKUP(申込書!$C$30,★業種!$D$2:$E$87,2,FALSE),"")</f>
        <v>1003</v>
      </c>
      <c r="AK265" s="460" t="str">
        <f ca="1">IF(申込書!$C$36="◎",IF(OR(D265="浜坂・温泉",D265="美方・村岡",D265="香住",D265="岡山",D265="大阪"),"",IF(LEFT(F265)="D","◎",IF(AG265=0,"",IFERROR(IF(VLOOKUP(AG265,★仕入先!$A$2:$C$211,3,FALSE)=0,"","◎"),"")))),"")</f>
        <v>◎</v>
      </c>
      <c r="AL265" s="460">
        <f>申込書!$H$14</f>
        <v>0</v>
      </c>
      <c r="AM265" s="460" t="str">
        <f>申込書!$C$32</f>
        <v>B4（折り無し）</v>
      </c>
      <c r="AN265" s="460" t="str">
        <f>VLOOKUP(AM265,★サイズ表記!$D$4:$E$55,2,FALSE)</f>
        <v>1001</v>
      </c>
      <c r="AO265" s="460">
        <f>IF(C265&lt;&gt;"⑧兵庫",VLOOKUP(LEFT(F265),★新聞!$A$4:$B$12,2,FALSE),IF(LEFT(F265)&lt;&gt;"S",VLOOKUP(LEFT(F265),★新聞!$A$4:$B$12,2,FALSE),VLOOKUP("X",★新聞!$A$4:$B$12,2,FALSE)))</f>
        <v>7</v>
      </c>
      <c r="AP265" s="460" t="str">
        <f t="shared" ca="1" si="37"/>
        <v>0</v>
      </c>
      <c r="AQ265" s="460" t="str">
        <f>IF(申込書!$C$38="","",申込書!$C$38)</f>
        <v/>
      </c>
    </row>
    <row r="266" spans="1:43">
      <c r="A266" s="463">
        <f t="shared" si="38"/>
        <v>265</v>
      </c>
      <c r="B266" s="463" t="str">
        <f t="shared" si="39"/>
        <v>東部</v>
      </c>
      <c r="C266" s="464" t="s">
        <v>1016</v>
      </c>
      <c r="D266" s="464" t="s">
        <v>1022</v>
      </c>
      <c r="E266" s="464">
        <f>VLOOKUP(D266,★折込地区!$A$2:$D$10,4,FALSE)</f>
        <v>1</v>
      </c>
      <c r="F266" s="464" t="s">
        <v>594</v>
      </c>
      <c r="G266" s="464" t="str">
        <f>INDEX(★新聞!$E$4:$I$12, MATCH(LEFT(F266),★新聞!$A$4:$A$12,0), MATCH(LEFT(W266),★新聞!$E$3:$I$3,0))</f>
        <v>AP</v>
      </c>
      <c r="H266" s="555" t="s">
        <v>1105</v>
      </c>
      <c r="I266" s="464" cm="1">
        <f t="array" ref="I266">IFERROR(INDEX(★原価率!$A$2:$E$50,MATCH($C266&amp;$H266,★原価率!$A$2:$A$50&amp;★原価率!$B$2:$B$50,0),3),0)</f>
        <v>66</v>
      </c>
      <c r="J266" s="464" cm="1">
        <f t="array" ref="J266">IFERROR(INDEX(★原価率!$A$2:$E$50,MATCH($C266&amp;$H266,★原価率!$A$2:$A$50&amp;★原価率!$B$2:$B$50,0),4),0)</f>
        <v>76</v>
      </c>
      <c r="K266" s="464" cm="1">
        <f t="array" ref="K266">IFERROR(INDEX(★原価率!$A$2:$E$50,MATCH($C266&amp;$H266,★原価率!$A$2:$A$50&amp;★原価率!$B$2:$B$50,0),5),0)</f>
        <v>100</v>
      </c>
      <c r="L266" s="528">
        <f>IFERROR(VLOOKUP(W266,★商品!$A$1:$H$1231,8,FALSE),0)</f>
        <v>2.8</v>
      </c>
      <c r="M266" s="203" t="str">
        <f ca="1">CONCATENATE(VLOOKUP(B266,★営業所!$A$2:$B$5,2,FALSE),TEXT(NOW(),"yyyy"))</f>
        <v>T2023</v>
      </c>
      <c r="N266" s="203">
        <v>1</v>
      </c>
      <c r="O266" s="203">
        <v>0</v>
      </c>
      <c r="P266" s="213">
        <f>申込書!$B$6</f>
        <v>0</v>
      </c>
      <c r="Q266" s="203">
        <f>申込書!$C$34</f>
        <v>1000040</v>
      </c>
      <c r="R266" s="203">
        <v>0</v>
      </c>
      <c r="U266" s="203">
        <f>VLOOKUP(B266,★営業所!$A$2:$C$5,3,FALSE)</f>
        <v>8</v>
      </c>
      <c r="V266" s="203">
        <f>申込書!$B$9</f>
        <v>0</v>
      </c>
      <c r="W266" s="203" t="str">
        <f>CONCATENATE(VLOOKUP(B266,★営業所!$A$2:$B$5,2,FALSE),VLOOKUP(申込書!$C$32,★サイズ表記!$D$4:$E$55,2,FALSE),VLOOKUP(D266,★折込地区!$A$2:$B$11,2,FALSE))</f>
        <v>T1001Tot</v>
      </c>
      <c r="X266" s="203" t="str">
        <f>CONCATENATE(申込書!$B$9," ",VLOOKUP(RIGHT(W266,3),★折込地区!$B$2:$C$10,2,FALSE),"")</f>
        <v xml:space="preserve"> 鳥取</v>
      </c>
      <c r="Z266" s="206">
        <f t="shared" ca="1" si="32"/>
        <v>0</v>
      </c>
      <c r="AB266" s="383">
        <f t="shared" si="33"/>
        <v>2.8</v>
      </c>
      <c r="AC266" s="203" t="str">
        <f t="shared" si="34"/>
        <v>V1001</v>
      </c>
      <c r="AD266" s="203" t="str">
        <f>VLOOKUP(AC266,★原価商品!$E$6:$F$349,2,FALSE)</f>
        <v>日経/B4（折り無し）</v>
      </c>
      <c r="AE266" s="203">
        <f t="shared" ca="1" si="35"/>
        <v>0</v>
      </c>
      <c r="AF266" s="383">
        <f ca="1">IFERROR(IF(VLOOKUP(申込書!$C$32,★サイズ表記!$F$4:$H$55,3,FALSE)="切り捨て",ROUNDDOWN(L266*IF(AK266="◎",I266,J266)/100,2),IF(VLOOKUP(申込書!$C$32,★サイズ表記!$F$4:$H$55,3,FALSE)="切り上げ",ROUNDUP(L266*IF(AK266="◎",I266,J266)/100,2),ROUND(L266*IF(AK266="◎",I266,J266)/100,2))),0)</f>
        <v>1.84</v>
      </c>
      <c r="AG266" s="203">
        <f t="shared" ca="1" si="36"/>
        <v>10061</v>
      </c>
      <c r="AJ266" s="460" t="str">
        <f>IFERROR(VLOOKUP(申込書!$C$30,★業種!$D$2:$E$87,2,FALSE),"")</f>
        <v>1003</v>
      </c>
      <c r="AK266" s="460" t="str">
        <f ca="1">IF(申込書!$C$36="◎",IF(OR(D266="浜坂・温泉",D266="美方・村岡",D266="香住",D266="岡山",D266="大阪"),"",IF(LEFT(F266)="D","◎",IF(AG266=0,"",IFERROR(IF(VLOOKUP(AG266,★仕入先!$A$2:$C$211,3,FALSE)=0,"","◎"),"")))),"")</f>
        <v>◎</v>
      </c>
      <c r="AL266" s="460">
        <f>申込書!$H$14</f>
        <v>0</v>
      </c>
      <c r="AM266" s="460" t="str">
        <f>申込書!$C$32</f>
        <v>B4（折り無し）</v>
      </c>
      <c r="AN266" s="460" t="str">
        <f>VLOOKUP(AM266,★サイズ表記!$D$4:$E$55,2,FALSE)</f>
        <v>1001</v>
      </c>
      <c r="AO266" s="460">
        <f>IF(C266&lt;&gt;"⑧兵庫",VLOOKUP(LEFT(F266),★新聞!$A$4:$B$12,2,FALSE),IF(LEFT(F266)&lt;&gt;"S",VLOOKUP(LEFT(F266),★新聞!$A$4:$B$12,2,FALSE),VLOOKUP("X",★新聞!$A$4:$B$12,2,FALSE)))</f>
        <v>7</v>
      </c>
      <c r="AP266" s="460" t="str">
        <f t="shared" ca="1" si="37"/>
        <v>0</v>
      </c>
      <c r="AQ266" s="460" t="str">
        <f>IF(申込書!$C$38="","",申込書!$C$38)</f>
        <v/>
      </c>
    </row>
    <row r="267" spans="1:43">
      <c r="A267" s="463">
        <f t="shared" si="38"/>
        <v>266</v>
      </c>
      <c r="B267" s="463" t="str">
        <f t="shared" si="39"/>
        <v>東部</v>
      </c>
      <c r="C267" s="464" t="s">
        <v>1016</v>
      </c>
      <c r="D267" s="464" t="s">
        <v>1022</v>
      </c>
      <c r="E267" s="464">
        <f>VLOOKUP(D267,★折込地区!$A$2:$D$10,4,FALSE)</f>
        <v>1</v>
      </c>
      <c r="F267" s="464" t="s">
        <v>595</v>
      </c>
      <c r="G267" s="464" t="str">
        <f>INDEX(★新聞!$E$4:$I$12, MATCH(LEFT(F267),★新聞!$A$4:$A$12,0), MATCH(LEFT(W267),★新聞!$E$3:$I$3,0))</f>
        <v>AP</v>
      </c>
      <c r="H267" s="475" t="s">
        <v>1107</v>
      </c>
      <c r="I267" s="464" cm="1">
        <f t="array" ref="I267">IFERROR(INDEX(★原価率!$A$2:$E$50,MATCH($C267&amp;$H267,★原価率!$A$2:$A$50&amp;★原価率!$B$2:$B$50,0),3),0)</f>
        <v>76</v>
      </c>
      <c r="J267" s="464" cm="1">
        <f t="array" ref="J267">IFERROR(INDEX(★原価率!$A$2:$E$50,MATCH($C267&amp;$H267,★原価率!$A$2:$A$50&amp;★原価率!$B$2:$B$50,0),4),0)</f>
        <v>76</v>
      </c>
      <c r="K267" s="464" cm="1">
        <f t="array" ref="K267">IFERROR(INDEX(★原価率!$A$2:$E$50,MATCH($C267&amp;$H267,★原価率!$A$2:$A$50&amp;★原価率!$B$2:$B$50,0),5),0)</f>
        <v>100</v>
      </c>
      <c r="L267" s="528">
        <f>IFERROR(VLOOKUP(W267,★商品!$A$1:$H$1231,8,FALSE),0)</f>
        <v>2.8</v>
      </c>
      <c r="M267" s="203" t="str">
        <f ca="1">CONCATENATE(VLOOKUP(B267,★営業所!$A$2:$B$5,2,FALSE),TEXT(NOW(),"yyyy"))</f>
        <v>T2023</v>
      </c>
      <c r="N267" s="203">
        <v>1</v>
      </c>
      <c r="O267" s="203">
        <v>0</v>
      </c>
      <c r="P267" s="213">
        <f>申込書!$B$6</f>
        <v>0</v>
      </c>
      <c r="Q267" s="203">
        <f>申込書!$C$34</f>
        <v>1000040</v>
      </c>
      <c r="R267" s="203">
        <v>0</v>
      </c>
      <c r="U267" s="203">
        <f>VLOOKUP(B267,★営業所!$A$2:$C$5,3,FALSE)</f>
        <v>8</v>
      </c>
      <c r="V267" s="203">
        <f>申込書!$B$9</f>
        <v>0</v>
      </c>
      <c r="W267" s="203" t="str">
        <f>CONCATENATE(VLOOKUP(B267,★営業所!$A$2:$B$5,2,FALSE),VLOOKUP(申込書!$C$32,★サイズ表記!$D$4:$E$55,2,FALSE),VLOOKUP(D267,★折込地区!$A$2:$B$11,2,FALSE))</f>
        <v>T1001Tot</v>
      </c>
      <c r="X267" s="203" t="str">
        <f>CONCATENATE(申込書!$B$9," ",VLOOKUP(RIGHT(W267,3),★折込地区!$B$2:$C$10,2,FALSE),"")</f>
        <v xml:space="preserve"> 鳥取</v>
      </c>
      <c r="Z267" s="206">
        <f t="shared" ca="1" si="32"/>
        <v>0</v>
      </c>
      <c r="AB267" s="383">
        <f t="shared" si="33"/>
        <v>2.8</v>
      </c>
      <c r="AC267" s="203" t="str">
        <f t="shared" si="34"/>
        <v>V1001</v>
      </c>
      <c r="AD267" s="203" t="str">
        <f>VLOOKUP(AC267,★原価商品!$E$6:$F$349,2,FALSE)</f>
        <v>日経/B4（折り無し）</v>
      </c>
      <c r="AE267" s="203">
        <f t="shared" ca="1" si="35"/>
        <v>0</v>
      </c>
      <c r="AF267" s="383">
        <f ca="1">IFERROR(IF(VLOOKUP(申込書!$C$32,★サイズ表記!$F$4:$H$55,3,FALSE)="切り捨て",ROUNDDOWN(L267*IF(AK267="◎",I267,J267)/100,2),IF(VLOOKUP(申込書!$C$32,★サイズ表記!$F$4:$H$55,3,FALSE)="切り上げ",ROUNDUP(L267*IF(AK267="◎",I267,J267)/100,2),ROUND(L267*IF(AK267="◎",I267,J267)/100,2))),0)</f>
        <v>2.12</v>
      </c>
      <c r="AG267" s="203">
        <f t="shared" ca="1" si="36"/>
        <v>10074</v>
      </c>
      <c r="AJ267" s="460" t="str">
        <f>IFERROR(VLOOKUP(申込書!$C$30,★業種!$D$2:$E$87,2,FALSE),"")</f>
        <v>1003</v>
      </c>
      <c r="AK267" s="460" t="str">
        <f ca="1">IF(申込書!$C$36="◎",IF(OR(D267="浜坂・温泉",D267="美方・村岡",D267="香住",D267="岡山",D267="大阪"),"",IF(LEFT(F267)="D","◎",IF(AG267=0,"",IFERROR(IF(VLOOKUP(AG267,★仕入先!$A$2:$C$211,3,FALSE)=0,"","◎"),"")))),"")</f>
        <v/>
      </c>
      <c r="AL267" s="460">
        <f>申込書!$H$14</f>
        <v>0</v>
      </c>
      <c r="AM267" s="460" t="str">
        <f>申込書!$C$32</f>
        <v>B4（折り無し）</v>
      </c>
      <c r="AN267" s="460" t="str">
        <f>VLOOKUP(AM267,★サイズ表記!$D$4:$E$55,2,FALSE)</f>
        <v>1001</v>
      </c>
      <c r="AO267" s="460">
        <f>IF(C267&lt;&gt;"⑧兵庫",VLOOKUP(LEFT(F267),★新聞!$A$4:$B$12,2,FALSE),IF(LEFT(F267)&lt;&gt;"S",VLOOKUP(LEFT(F267),★新聞!$A$4:$B$12,2,FALSE),VLOOKUP("X",★新聞!$A$4:$B$12,2,FALSE)))</f>
        <v>7</v>
      </c>
      <c r="AP267" s="460" t="str">
        <f t="shared" ca="1" si="37"/>
        <v>0</v>
      </c>
      <c r="AQ267" s="460" t="str">
        <f>IF(申込書!$C$38="","",申込書!$C$38)</f>
        <v/>
      </c>
    </row>
    <row r="268" spans="1:43">
      <c r="A268" s="463">
        <f t="shared" si="38"/>
        <v>267</v>
      </c>
      <c r="B268" s="463" t="str">
        <f t="shared" si="39"/>
        <v>東部</v>
      </c>
      <c r="C268" s="464" t="s">
        <v>1017</v>
      </c>
      <c r="D268" s="464" t="s">
        <v>1602</v>
      </c>
      <c r="E268" s="464">
        <f>VLOOKUP(D268,★折込地区!$A$2:$D$10,4,FALSE)</f>
        <v>2</v>
      </c>
      <c r="F268" s="464" t="s">
        <v>362</v>
      </c>
      <c r="G268" s="464" t="str">
        <f>INDEX(★新聞!$E$4:$I$12, MATCH(LEFT(F268),★新聞!$A$4:$A$12,0), MATCH(LEFT(W268),★新聞!$E$3:$I$3,0))</f>
        <v>X</v>
      </c>
      <c r="H268" s="475" t="s">
        <v>1108</v>
      </c>
      <c r="I268" s="464" cm="1">
        <f t="array" ref="I268">IFERROR(INDEX(★原価率!$A$2:$E$50,MATCH($C268&amp;$H268,★原価率!$A$2:$A$50&amp;★原価率!$B$2:$B$50,0),3),0)</f>
        <v>82</v>
      </c>
      <c r="J268" s="464" cm="1">
        <f t="array" ref="J268">IFERROR(INDEX(★原価率!$A$2:$E$50,MATCH($C268&amp;$H268,★原価率!$A$2:$A$50&amp;★原価率!$B$2:$B$50,0),4),0)</f>
        <v>86</v>
      </c>
      <c r="K268" s="464" cm="1">
        <f t="array" ref="K268">IFERROR(INDEX(★原価率!$A$2:$E$50,MATCH($C268&amp;$H268,★原価率!$A$2:$A$50&amp;★原価率!$B$2:$B$50,0),5),0)</f>
        <v>100</v>
      </c>
      <c r="L268" s="528">
        <f>IFERROR(VLOOKUP(W268,★商品!$A$1:$H$1231,8,FALSE),0)</f>
        <v>2.8</v>
      </c>
      <c r="M268" s="203" t="str">
        <f ca="1">CONCATENATE(VLOOKUP(B268,★営業所!$A$2:$B$5,2,FALSE),TEXT(NOW(),"yyyy"))</f>
        <v>T2023</v>
      </c>
      <c r="N268" s="203">
        <v>1</v>
      </c>
      <c r="O268" s="203">
        <v>0</v>
      </c>
      <c r="P268" s="213">
        <f>申込書!$B$6</f>
        <v>0</v>
      </c>
      <c r="Q268" s="203">
        <f>申込書!$C$34</f>
        <v>1000040</v>
      </c>
      <c r="R268" s="203">
        <v>0</v>
      </c>
      <c r="U268" s="203">
        <f>VLOOKUP(B268,★営業所!$A$2:$C$5,3,FALSE)</f>
        <v>8</v>
      </c>
      <c r="V268" s="203">
        <f>申込書!$B$9</f>
        <v>0</v>
      </c>
      <c r="W268" s="203" t="str">
        <f>CONCATENATE(VLOOKUP(B268,★営業所!$A$2:$B$5,2,FALSE),VLOOKUP(申込書!$C$32,★サイズ表記!$D$4:$E$55,2,FALSE),VLOOKUP(D268,★折込地区!$A$2:$B$11,2,FALSE))</f>
        <v>T1001Kry</v>
      </c>
      <c r="X268" s="203" t="str">
        <f>CONCATENATE(申込書!$B$9," ",VLOOKUP(RIGHT(W268,3),★折込地区!$B$2:$C$10,2,FALSE),"")</f>
        <v xml:space="preserve"> 倉吉</v>
      </c>
      <c r="Z268" s="206">
        <f t="shared" ca="1" si="32"/>
        <v>0</v>
      </c>
      <c r="AB268" s="383">
        <f t="shared" si="33"/>
        <v>2.8</v>
      </c>
      <c r="AC268" s="203" t="str">
        <f t="shared" si="34"/>
        <v>D1001</v>
      </c>
      <c r="AD268" s="203" t="str">
        <f>VLOOKUP(AC268,★原価商品!$E$6:$F$349,2,FALSE)</f>
        <v>日本海/B4（折り無し）</v>
      </c>
      <c r="AE268" s="203">
        <f t="shared" ca="1" si="35"/>
        <v>0</v>
      </c>
      <c r="AF268" s="383">
        <f>IFERROR(IF(VLOOKUP(申込書!$C$32,★サイズ表記!$F$4:$H$55,3,FALSE)="切り捨て",ROUNDDOWN(L268*IF(AK268="◎",I268,J268)/100,2),IF(VLOOKUP(申込書!$C$32,★サイズ表記!$F$4:$H$55,3,FALSE)="切り上げ",ROUNDUP(L268*IF(AK268="◎",I268,J268)/100,2),ROUND(L268*IF(AK268="◎",I268,J268)/100,2))),0)</f>
        <v>2.29</v>
      </c>
      <c r="AG268" s="203">
        <f t="shared" ca="1" si="36"/>
        <v>10303</v>
      </c>
      <c r="AJ268" s="460" t="str">
        <f>IFERROR(VLOOKUP(申込書!$C$30,★業種!$D$2:$E$87,2,FALSE),"")</f>
        <v>1003</v>
      </c>
      <c r="AK268" s="460" t="str">
        <f>IF(申込書!$C$36="◎",IF(OR(D268="浜坂・温泉",D268="美方・村岡",D268="香住",D268="岡山",D268="大阪"),"",IF(LEFT(F268)="D","◎",IF(AG268=0,"",IFERROR(IF(VLOOKUP(AG268,★仕入先!$A$2:$C$211,3,FALSE)=0,"","◎"),"")))),"")</f>
        <v>◎</v>
      </c>
      <c r="AL268" s="460">
        <f>申込書!$H$14</f>
        <v>0</v>
      </c>
      <c r="AM268" s="460" t="str">
        <f>申込書!$C$32</f>
        <v>B4（折り無し）</v>
      </c>
      <c r="AN268" s="460" t="str">
        <f>VLOOKUP(AM268,★サイズ表記!$D$4:$E$55,2,FALSE)</f>
        <v>1001</v>
      </c>
      <c r="AO268" s="460">
        <f>IF(C268&lt;&gt;"⑧兵庫",VLOOKUP(LEFT(F268),★新聞!$A$4:$B$12,2,FALSE),IF(LEFT(F268)&lt;&gt;"S",VLOOKUP(LEFT(F268),★新聞!$A$4:$B$12,2,FALSE),VLOOKUP("X",★新聞!$A$4:$B$12,2,FALSE)))</f>
        <v>1</v>
      </c>
      <c r="AP268" s="460" t="str">
        <f t="shared" ca="1" si="37"/>
        <v>0</v>
      </c>
      <c r="AQ268" s="460" t="str">
        <f>IF(申込書!$C$38="","",申込書!$C$38)</f>
        <v/>
      </c>
    </row>
    <row r="269" spans="1:43">
      <c r="A269" s="463">
        <f t="shared" si="38"/>
        <v>268</v>
      </c>
      <c r="B269" s="463" t="str">
        <f t="shared" si="39"/>
        <v>東部</v>
      </c>
      <c r="C269" s="464" t="s">
        <v>1017</v>
      </c>
      <c r="D269" s="464" t="s">
        <v>1602</v>
      </c>
      <c r="E269" s="464">
        <f>VLOOKUP(D269,★折込地区!$A$2:$D$10,4,FALSE)</f>
        <v>2</v>
      </c>
      <c r="F269" s="464" t="s">
        <v>385</v>
      </c>
      <c r="G269" s="464" t="str">
        <f>INDEX(★新聞!$E$4:$I$12, MATCH(LEFT(F269),★新聞!$A$4:$A$12,0), MATCH(LEFT(W269),★新聞!$E$3:$I$3,0))</f>
        <v>X</v>
      </c>
      <c r="H269" s="475" t="s">
        <v>1108</v>
      </c>
      <c r="I269" s="464" cm="1">
        <f t="array" ref="I269">IFERROR(INDEX(★原価率!$A$2:$E$50,MATCH($C269&amp;$H269,★原価率!$A$2:$A$50&amp;★原価率!$B$2:$B$50,0),3),0)</f>
        <v>82</v>
      </c>
      <c r="J269" s="464" cm="1">
        <f t="array" ref="J269">IFERROR(INDEX(★原価率!$A$2:$E$50,MATCH($C269&amp;$H269,★原価率!$A$2:$A$50&amp;★原価率!$B$2:$B$50,0),4),0)</f>
        <v>86</v>
      </c>
      <c r="K269" s="464" cm="1">
        <f t="array" ref="K269">IFERROR(INDEX(★原価率!$A$2:$E$50,MATCH($C269&amp;$H269,★原価率!$A$2:$A$50&amp;★原価率!$B$2:$B$50,0),5),0)</f>
        <v>100</v>
      </c>
      <c r="L269" s="528">
        <f>IFERROR(VLOOKUP(W269,★商品!$A$1:$H$1231,8,FALSE),0)</f>
        <v>2.8</v>
      </c>
      <c r="M269" s="203" t="str">
        <f ca="1">CONCATENATE(VLOOKUP(B269,★営業所!$A$2:$B$5,2,FALSE),TEXT(NOW(),"yyyy"))</f>
        <v>T2023</v>
      </c>
      <c r="N269" s="203">
        <v>1</v>
      </c>
      <c r="O269" s="203">
        <v>0</v>
      </c>
      <c r="P269" s="213">
        <f>申込書!$B$6</f>
        <v>0</v>
      </c>
      <c r="Q269" s="203">
        <f>申込書!$C$34</f>
        <v>1000040</v>
      </c>
      <c r="R269" s="203">
        <v>0</v>
      </c>
      <c r="U269" s="203">
        <f>VLOOKUP(B269,★営業所!$A$2:$C$5,3,FALSE)</f>
        <v>8</v>
      </c>
      <c r="V269" s="203">
        <f>申込書!$B$9</f>
        <v>0</v>
      </c>
      <c r="W269" s="203" t="str">
        <f>CONCATENATE(VLOOKUP(B269,★営業所!$A$2:$B$5,2,FALSE),VLOOKUP(申込書!$C$32,★サイズ表記!$D$4:$E$55,2,FALSE),VLOOKUP(D269,★折込地区!$A$2:$B$11,2,FALSE))</f>
        <v>T1001Kry</v>
      </c>
      <c r="X269" s="203" t="str">
        <f>CONCATENATE(申込書!$B$9," ",VLOOKUP(RIGHT(W269,3),★折込地区!$B$2:$C$10,2,FALSE),"")</f>
        <v xml:space="preserve"> 倉吉</v>
      </c>
      <c r="Z269" s="206">
        <f t="shared" ca="1" si="32"/>
        <v>0</v>
      </c>
      <c r="AB269" s="383">
        <f t="shared" si="33"/>
        <v>2.8</v>
      </c>
      <c r="AC269" s="203" t="str">
        <f t="shared" si="34"/>
        <v>D1001</v>
      </c>
      <c r="AD269" s="203" t="str">
        <f>VLOOKUP(AC269,★原価商品!$E$6:$F$349,2,FALSE)</f>
        <v>日本海/B4（折り無し）</v>
      </c>
      <c r="AE269" s="203">
        <f t="shared" ca="1" si="35"/>
        <v>0</v>
      </c>
      <c r="AF269" s="383">
        <f>IFERROR(IF(VLOOKUP(申込書!$C$32,★サイズ表記!$F$4:$H$55,3,FALSE)="切り捨て",ROUNDDOWN(L269*IF(AK269="◎",I269,J269)/100,2),IF(VLOOKUP(申込書!$C$32,★サイズ表記!$F$4:$H$55,3,FALSE)="切り上げ",ROUNDUP(L269*IF(AK269="◎",I269,J269)/100,2),ROUND(L269*IF(AK269="◎",I269,J269)/100,2))),0)</f>
        <v>2.29</v>
      </c>
      <c r="AG269" s="203">
        <f t="shared" ca="1" si="36"/>
        <v>10303</v>
      </c>
      <c r="AJ269" s="460" t="str">
        <f>IFERROR(VLOOKUP(申込書!$C$30,★業種!$D$2:$E$87,2,FALSE),"")</f>
        <v>1003</v>
      </c>
      <c r="AK269" s="460" t="str">
        <f>IF(申込書!$C$36="◎",IF(OR(D269="浜坂・温泉",D269="美方・村岡",D269="香住",D269="岡山",D269="大阪"),"",IF(LEFT(F269)="D","◎",IF(AG269=0,"",IFERROR(IF(VLOOKUP(AG269,★仕入先!$A$2:$C$211,3,FALSE)=0,"","◎"),"")))),"")</f>
        <v>◎</v>
      </c>
      <c r="AL269" s="460">
        <f>申込書!$H$14</f>
        <v>0</v>
      </c>
      <c r="AM269" s="460" t="str">
        <f>申込書!$C$32</f>
        <v>B4（折り無し）</v>
      </c>
      <c r="AN269" s="460" t="str">
        <f>VLOOKUP(AM269,★サイズ表記!$D$4:$E$55,2,FALSE)</f>
        <v>1001</v>
      </c>
      <c r="AO269" s="460">
        <f>IF(C269&lt;&gt;"⑧兵庫",VLOOKUP(LEFT(F269),★新聞!$A$4:$B$12,2,FALSE),IF(LEFT(F269)&lt;&gt;"S",VLOOKUP(LEFT(F269),★新聞!$A$4:$B$12,2,FALSE),VLOOKUP("X",★新聞!$A$4:$B$12,2,FALSE)))</f>
        <v>1</v>
      </c>
      <c r="AP269" s="460" t="str">
        <f t="shared" ca="1" si="37"/>
        <v>0</v>
      </c>
      <c r="AQ269" s="460" t="str">
        <f>IF(申込書!$C$38="","",申込書!$C$38)</f>
        <v/>
      </c>
    </row>
    <row r="270" spans="1:43">
      <c r="A270" s="463">
        <f t="shared" si="38"/>
        <v>269</v>
      </c>
      <c r="B270" s="463" t="str">
        <f t="shared" si="39"/>
        <v>東部</v>
      </c>
      <c r="C270" s="464" t="s">
        <v>1017</v>
      </c>
      <c r="D270" s="464" t="s">
        <v>1602</v>
      </c>
      <c r="E270" s="464">
        <f>VLOOKUP(D270,★折込地区!$A$2:$D$10,4,FALSE)</f>
        <v>2</v>
      </c>
      <c r="F270" s="464" t="s">
        <v>386</v>
      </c>
      <c r="G270" s="464" t="str">
        <f>INDEX(★新聞!$E$4:$I$12, MATCH(LEFT(F270),★新聞!$A$4:$A$12,0), MATCH(LEFT(W270),★新聞!$E$3:$I$3,0))</f>
        <v>X</v>
      </c>
      <c r="H270" s="475" t="s">
        <v>1108</v>
      </c>
      <c r="I270" s="464" cm="1">
        <f t="array" ref="I270">IFERROR(INDEX(★原価率!$A$2:$E$50,MATCH($C270&amp;$H270,★原価率!$A$2:$A$50&amp;★原価率!$B$2:$B$50,0),3),0)</f>
        <v>82</v>
      </c>
      <c r="J270" s="464" cm="1">
        <f t="array" ref="J270">IFERROR(INDEX(★原価率!$A$2:$E$50,MATCH($C270&amp;$H270,★原価率!$A$2:$A$50&amp;★原価率!$B$2:$B$50,0),4),0)</f>
        <v>86</v>
      </c>
      <c r="K270" s="464" cm="1">
        <f t="array" ref="K270">IFERROR(INDEX(★原価率!$A$2:$E$50,MATCH($C270&amp;$H270,★原価率!$A$2:$A$50&amp;★原価率!$B$2:$B$50,0),5),0)</f>
        <v>100</v>
      </c>
      <c r="L270" s="528">
        <f>IFERROR(VLOOKUP(W270,★商品!$A$1:$H$1231,8,FALSE),0)</f>
        <v>2.8</v>
      </c>
      <c r="M270" s="203" t="str">
        <f ca="1">CONCATENATE(VLOOKUP(B270,★営業所!$A$2:$B$5,2,FALSE),TEXT(NOW(),"yyyy"))</f>
        <v>T2023</v>
      </c>
      <c r="N270" s="203">
        <v>1</v>
      </c>
      <c r="O270" s="203">
        <v>0</v>
      </c>
      <c r="P270" s="213">
        <f>申込書!$B$6</f>
        <v>0</v>
      </c>
      <c r="Q270" s="203">
        <f>申込書!$C$34</f>
        <v>1000040</v>
      </c>
      <c r="R270" s="203">
        <v>0</v>
      </c>
      <c r="U270" s="203">
        <f>VLOOKUP(B270,★営業所!$A$2:$C$5,3,FALSE)</f>
        <v>8</v>
      </c>
      <c r="V270" s="203">
        <f>申込書!$B$9</f>
        <v>0</v>
      </c>
      <c r="W270" s="203" t="str">
        <f>CONCATENATE(VLOOKUP(B270,★営業所!$A$2:$B$5,2,FALSE),VLOOKUP(申込書!$C$32,★サイズ表記!$D$4:$E$55,2,FALSE),VLOOKUP(D270,★折込地区!$A$2:$B$11,2,FALSE))</f>
        <v>T1001Kry</v>
      </c>
      <c r="X270" s="203" t="str">
        <f>CONCATENATE(申込書!$B$9," ",VLOOKUP(RIGHT(W270,3),★折込地区!$B$2:$C$10,2,FALSE),"")</f>
        <v xml:space="preserve"> 倉吉</v>
      </c>
      <c r="Z270" s="206">
        <f t="shared" ca="1" si="32"/>
        <v>0</v>
      </c>
      <c r="AB270" s="383">
        <f t="shared" si="33"/>
        <v>2.8</v>
      </c>
      <c r="AC270" s="203" t="str">
        <f t="shared" si="34"/>
        <v>D1001</v>
      </c>
      <c r="AD270" s="203" t="str">
        <f>VLOOKUP(AC270,★原価商品!$E$6:$F$349,2,FALSE)</f>
        <v>日本海/B4（折り無し）</v>
      </c>
      <c r="AE270" s="203">
        <f t="shared" ca="1" si="35"/>
        <v>0</v>
      </c>
      <c r="AF270" s="383">
        <f>IFERROR(IF(VLOOKUP(申込書!$C$32,★サイズ表記!$F$4:$H$55,3,FALSE)="切り捨て",ROUNDDOWN(L270*IF(AK270="◎",I270,J270)/100,2),IF(VLOOKUP(申込書!$C$32,★サイズ表記!$F$4:$H$55,3,FALSE)="切り上げ",ROUNDUP(L270*IF(AK270="◎",I270,J270)/100,2),ROUND(L270*IF(AK270="◎",I270,J270)/100,2))),0)</f>
        <v>2.29</v>
      </c>
      <c r="AG270" s="203">
        <f t="shared" ca="1" si="36"/>
        <v>10303</v>
      </c>
      <c r="AJ270" s="460" t="str">
        <f>IFERROR(VLOOKUP(申込書!$C$30,★業種!$D$2:$E$87,2,FALSE),"")</f>
        <v>1003</v>
      </c>
      <c r="AK270" s="460" t="str">
        <f>IF(申込書!$C$36="◎",IF(OR(D270="浜坂・温泉",D270="美方・村岡",D270="香住",D270="岡山",D270="大阪"),"",IF(LEFT(F270)="D","◎",IF(AG270=0,"",IFERROR(IF(VLOOKUP(AG270,★仕入先!$A$2:$C$211,3,FALSE)=0,"","◎"),"")))),"")</f>
        <v>◎</v>
      </c>
      <c r="AL270" s="460">
        <f>申込書!$H$14</f>
        <v>0</v>
      </c>
      <c r="AM270" s="460" t="str">
        <f>申込書!$C$32</f>
        <v>B4（折り無し）</v>
      </c>
      <c r="AN270" s="460" t="str">
        <f>VLOOKUP(AM270,★サイズ表記!$D$4:$E$55,2,FALSE)</f>
        <v>1001</v>
      </c>
      <c r="AO270" s="460">
        <f>IF(C270&lt;&gt;"⑧兵庫",VLOOKUP(LEFT(F270),★新聞!$A$4:$B$12,2,FALSE),IF(LEFT(F270)&lt;&gt;"S",VLOOKUP(LEFT(F270),★新聞!$A$4:$B$12,2,FALSE),VLOOKUP("X",★新聞!$A$4:$B$12,2,FALSE)))</f>
        <v>1</v>
      </c>
      <c r="AP270" s="460" t="str">
        <f t="shared" ca="1" si="37"/>
        <v>0</v>
      </c>
      <c r="AQ270" s="460" t="str">
        <f>IF(申込書!$C$38="","",申込書!$C$38)</f>
        <v/>
      </c>
    </row>
    <row r="271" spans="1:43">
      <c r="A271" s="463">
        <f t="shared" si="38"/>
        <v>270</v>
      </c>
      <c r="B271" s="463" t="str">
        <f t="shared" si="39"/>
        <v>東部</v>
      </c>
      <c r="C271" s="464" t="s">
        <v>1017</v>
      </c>
      <c r="D271" s="464" t="s">
        <v>1602</v>
      </c>
      <c r="E271" s="464">
        <f>VLOOKUP(D271,★折込地区!$A$2:$D$10,4,FALSE)</f>
        <v>2</v>
      </c>
      <c r="F271" s="464" t="s">
        <v>387</v>
      </c>
      <c r="G271" s="464" t="str">
        <f>INDEX(★新聞!$E$4:$I$12, MATCH(LEFT(F271),★新聞!$A$4:$A$12,0), MATCH(LEFT(W271),★新聞!$E$3:$I$3,0))</f>
        <v>X</v>
      </c>
      <c r="H271" s="475" t="s">
        <v>1108</v>
      </c>
      <c r="I271" s="464" cm="1">
        <f t="array" ref="I271">IFERROR(INDEX(★原価率!$A$2:$E$50,MATCH($C271&amp;$H271,★原価率!$A$2:$A$50&amp;★原価率!$B$2:$B$50,0),3),0)</f>
        <v>82</v>
      </c>
      <c r="J271" s="464" cm="1">
        <f t="array" ref="J271">IFERROR(INDEX(★原価率!$A$2:$E$50,MATCH($C271&amp;$H271,★原価率!$A$2:$A$50&amp;★原価率!$B$2:$B$50,0),4),0)</f>
        <v>86</v>
      </c>
      <c r="K271" s="464" cm="1">
        <f t="array" ref="K271">IFERROR(INDEX(★原価率!$A$2:$E$50,MATCH($C271&amp;$H271,★原価率!$A$2:$A$50&amp;★原価率!$B$2:$B$50,0),5),0)</f>
        <v>100</v>
      </c>
      <c r="L271" s="528">
        <f>IFERROR(VLOOKUP(W271,★商品!$A$1:$H$1231,8,FALSE),0)</f>
        <v>2.8</v>
      </c>
      <c r="M271" s="203" t="str">
        <f ca="1">CONCATENATE(VLOOKUP(B271,★営業所!$A$2:$B$5,2,FALSE),TEXT(NOW(),"yyyy"))</f>
        <v>T2023</v>
      </c>
      <c r="N271" s="203">
        <v>1</v>
      </c>
      <c r="O271" s="203">
        <v>0</v>
      </c>
      <c r="P271" s="213">
        <f>申込書!$B$6</f>
        <v>0</v>
      </c>
      <c r="Q271" s="203">
        <f>申込書!$C$34</f>
        <v>1000040</v>
      </c>
      <c r="R271" s="203">
        <v>0</v>
      </c>
      <c r="U271" s="203">
        <f>VLOOKUP(B271,★営業所!$A$2:$C$5,3,FALSE)</f>
        <v>8</v>
      </c>
      <c r="V271" s="203">
        <f>申込書!$B$9</f>
        <v>0</v>
      </c>
      <c r="W271" s="203" t="str">
        <f>CONCATENATE(VLOOKUP(B271,★営業所!$A$2:$B$5,2,FALSE),VLOOKUP(申込書!$C$32,★サイズ表記!$D$4:$E$55,2,FALSE),VLOOKUP(D271,★折込地区!$A$2:$B$11,2,FALSE))</f>
        <v>T1001Kry</v>
      </c>
      <c r="X271" s="203" t="str">
        <f>CONCATENATE(申込書!$B$9," ",VLOOKUP(RIGHT(W271,3),★折込地区!$B$2:$C$10,2,FALSE),"")</f>
        <v xml:space="preserve"> 倉吉</v>
      </c>
      <c r="Z271" s="206">
        <f t="shared" ca="1" si="32"/>
        <v>0</v>
      </c>
      <c r="AB271" s="383">
        <f t="shared" si="33"/>
        <v>2.8</v>
      </c>
      <c r="AC271" s="203" t="str">
        <f t="shared" si="34"/>
        <v>D1001</v>
      </c>
      <c r="AD271" s="203" t="str">
        <f>VLOOKUP(AC271,★原価商品!$E$6:$F$349,2,FALSE)</f>
        <v>日本海/B4（折り無し）</v>
      </c>
      <c r="AE271" s="203">
        <f t="shared" ca="1" si="35"/>
        <v>0</v>
      </c>
      <c r="AF271" s="383">
        <f>IFERROR(IF(VLOOKUP(申込書!$C$32,★サイズ表記!$F$4:$H$55,3,FALSE)="切り捨て",ROUNDDOWN(L271*IF(AK271="◎",I271,J271)/100,2),IF(VLOOKUP(申込書!$C$32,★サイズ表記!$F$4:$H$55,3,FALSE)="切り上げ",ROUNDUP(L271*IF(AK271="◎",I271,J271)/100,2),ROUND(L271*IF(AK271="◎",I271,J271)/100,2))),0)</f>
        <v>2.29</v>
      </c>
      <c r="AG271" s="203">
        <f t="shared" ca="1" si="36"/>
        <v>10303</v>
      </c>
      <c r="AJ271" s="460" t="str">
        <f>IFERROR(VLOOKUP(申込書!$C$30,★業種!$D$2:$E$87,2,FALSE),"")</f>
        <v>1003</v>
      </c>
      <c r="AK271" s="460" t="str">
        <f>IF(申込書!$C$36="◎",IF(OR(D271="浜坂・温泉",D271="美方・村岡",D271="香住",D271="岡山",D271="大阪"),"",IF(LEFT(F271)="D","◎",IF(AG271=0,"",IFERROR(IF(VLOOKUP(AG271,★仕入先!$A$2:$C$211,3,FALSE)=0,"","◎"),"")))),"")</f>
        <v>◎</v>
      </c>
      <c r="AL271" s="460">
        <f>申込書!$H$14</f>
        <v>0</v>
      </c>
      <c r="AM271" s="460" t="str">
        <f>申込書!$C$32</f>
        <v>B4（折り無し）</v>
      </c>
      <c r="AN271" s="460" t="str">
        <f>VLOOKUP(AM271,★サイズ表記!$D$4:$E$55,2,FALSE)</f>
        <v>1001</v>
      </c>
      <c r="AO271" s="460">
        <f>IF(C271&lt;&gt;"⑧兵庫",VLOOKUP(LEFT(F271),★新聞!$A$4:$B$12,2,FALSE),IF(LEFT(F271)&lt;&gt;"S",VLOOKUP(LEFT(F271),★新聞!$A$4:$B$12,2,FALSE),VLOOKUP("X",★新聞!$A$4:$B$12,2,FALSE)))</f>
        <v>1</v>
      </c>
      <c r="AP271" s="460" t="str">
        <f t="shared" ca="1" si="37"/>
        <v>0</v>
      </c>
      <c r="AQ271" s="460" t="str">
        <f>IF(申込書!$C$38="","",申込書!$C$38)</f>
        <v/>
      </c>
    </row>
    <row r="272" spans="1:43">
      <c r="A272" s="463">
        <f t="shared" si="38"/>
        <v>271</v>
      </c>
      <c r="B272" s="463" t="str">
        <f t="shared" si="39"/>
        <v>東部</v>
      </c>
      <c r="C272" s="464" t="s">
        <v>1017</v>
      </c>
      <c r="D272" s="464" t="s">
        <v>1602</v>
      </c>
      <c r="E272" s="464">
        <f>VLOOKUP(D272,★折込地区!$A$2:$D$10,4,FALSE)</f>
        <v>2</v>
      </c>
      <c r="F272" s="464" t="s">
        <v>388</v>
      </c>
      <c r="G272" s="464" t="str">
        <f>INDEX(★新聞!$E$4:$I$12, MATCH(LEFT(F272),★新聞!$A$4:$A$12,0), MATCH(LEFT(W272),★新聞!$E$3:$I$3,0))</f>
        <v>X</v>
      </c>
      <c r="H272" s="475" t="s">
        <v>1108</v>
      </c>
      <c r="I272" s="464" cm="1">
        <f t="array" ref="I272">IFERROR(INDEX(★原価率!$A$2:$E$50,MATCH($C272&amp;$H272,★原価率!$A$2:$A$50&amp;★原価率!$B$2:$B$50,0),3),0)</f>
        <v>82</v>
      </c>
      <c r="J272" s="464" cm="1">
        <f t="array" ref="J272">IFERROR(INDEX(★原価率!$A$2:$E$50,MATCH($C272&amp;$H272,★原価率!$A$2:$A$50&amp;★原価率!$B$2:$B$50,0),4),0)</f>
        <v>86</v>
      </c>
      <c r="K272" s="464" cm="1">
        <f t="array" ref="K272">IFERROR(INDEX(★原価率!$A$2:$E$50,MATCH($C272&amp;$H272,★原価率!$A$2:$A$50&amp;★原価率!$B$2:$B$50,0),5),0)</f>
        <v>100</v>
      </c>
      <c r="L272" s="528">
        <f>IFERROR(VLOOKUP(W272,★商品!$A$1:$H$1231,8,FALSE),0)</f>
        <v>2.8</v>
      </c>
      <c r="M272" s="203" t="str">
        <f ca="1">CONCATENATE(VLOOKUP(B272,★営業所!$A$2:$B$5,2,FALSE),TEXT(NOW(),"yyyy"))</f>
        <v>T2023</v>
      </c>
      <c r="N272" s="203">
        <v>1</v>
      </c>
      <c r="O272" s="203">
        <v>0</v>
      </c>
      <c r="P272" s="213">
        <f>申込書!$B$6</f>
        <v>0</v>
      </c>
      <c r="Q272" s="203">
        <f>申込書!$C$34</f>
        <v>1000040</v>
      </c>
      <c r="R272" s="203">
        <v>0</v>
      </c>
      <c r="U272" s="203">
        <f>VLOOKUP(B272,★営業所!$A$2:$C$5,3,FALSE)</f>
        <v>8</v>
      </c>
      <c r="V272" s="203">
        <f>申込書!$B$9</f>
        <v>0</v>
      </c>
      <c r="W272" s="203" t="str">
        <f>CONCATENATE(VLOOKUP(B272,★営業所!$A$2:$B$5,2,FALSE),VLOOKUP(申込書!$C$32,★サイズ表記!$D$4:$E$55,2,FALSE),VLOOKUP(D272,★折込地区!$A$2:$B$11,2,FALSE))</f>
        <v>T1001Kry</v>
      </c>
      <c r="X272" s="203" t="str">
        <f>CONCATENATE(申込書!$B$9," ",VLOOKUP(RIGHT(W272,3),★折込地区!$B$2:$C$10,2,FALSE),"")</f>
        <v xml:space="preserve"> 倉吉</v>
      </c>
      <c r="Z272" s="206">
        <f t="shared" ca="1" si="32"/>
        <v>0</v>
      </c>
      <c r="AB272" s="383">
        <f t="shared" si="33"/>
        <v>2.8</v>
      </c>
      <c r="AC272" s="203" t="str">
        <f t="shared" si="34"/>
        <v>D1001</v>
      </c>
      <c r="AD272" s="203" t="str">
        <f>VLOOKUP(AC272,★原価商品!$E$6:$F$349,2,FALSE)</f>
        <v>日本海/B4（折り無し）</v>
      </c>
      <c r="AE272" s="203">
        <f t="shared" ca="1" si="35"/>
        <v>0</v>
      </c>
      <c r="AF272" s="383">
        <f>IFERROR(IF(VLOOKUP(申込書!$C$32,★サイズ表記!$F$4:$H$55,3,FALSE)="切り捨て",ROUNDDOWN(L272*IF(AK272="◎",I272,J272)/100,2),IF(VLOOKUP(申込書!$C$32,★サイズ表記!$F$4:$H$55,3,FALSE)="切り上げ",ROUNDUP(L272*IF(AK272="◎",I272,J272)/100,2),ROUND(L272*IF(AK272="◎",I272,J272)/100,2))),0)</f>
        <v>2.29</v>
      </c>
      <c r="AG272" s="203">
        <f t="shared" ca="1" si="36"/>
        <v>10303</v>
      </c>
      <c r="AJ272" s="460" t="str">
        <f>IFERROR(VLOOKUP(申込書!$C$30,★業種!$D$2:$E$87,2,FALSE),"")</f>
        <v>1003</v>
      </c>
      <c r="AK272" s="460" t="str">
        <f>IF(申込書!$C$36="◎",IF(OR(D272="浜坂・温泉",D272="美方・村岡",D272="香住",D272="岡山",D272="大阪"),"",IF(LEFT(F272)="D","◎",IF(AG272=0,"",IFERROR(IF(VLOOKUP(AG272,★仕入先!$A$2:$C$211,3,FALSE)=0,"","◎"),"")))),"")</f>
        <v>◎</v>
      </c>
      <c r="AL272" s="460">
        <f>申込書!$H$14</f>
        <v>0</v>
      </c>
      <c r="AM272" s="460" t="str">
        <f>申込書!$C$32</f>
        <v>B4（折り無し）</v>
      </c>
      <c r="AN272" s="460" t="str">
        <f>VLOOKUP(AM272,★サイズ表記!$D$4:$E$55,2,FALSE)</f>
        <v>1001</v>
      </c>
      <c r="AO272" s="460">
        <f>IF(C272&lt;&gt;"⑧兵庫",VLOOKUP(LEFT(F272),★新聞!$A$4:$B$12,2,FALSE),IF(LEFT(F272)&lt;&gt;"S",VLOOKUP(LEFT(F272),★新聞!$A$4:$B$12,2,FALSE),VLOOKUP("X",★新聞!$A$4:$B$12,2,FALSE)))</f>
        <v>1</v>
      </c>
      <c r="AP272" s="460" t="str">
        <f t="shared" ca="1" si="37"/>
        <v>0</v>
      </c>
      <c r="AQ272" s="460" t="str">
        <f>IF(申込書!$C$38="","",申込書!$C$38)</f>
        <v/>
      </c>
    </row>
    <row r="273" spans="1:43">
      <c r="A273" s="463">
        <f t="shared" si="38"/>
        <v>272</v>
      </c>
      <c r="B273" s="463" t="str">
        <f t="shared" si="39"/>
        <v>東部</v>
      </c>
      <c r="C273" s="464" t="s">
        <v>1017</v>
      </c>
      <c r="D273" s="464" t="s">
        <v>1602</v>
      </c>
      <c r="E273" s="464">
        <f>VLOOKUP(D273,★折込地区!$A$2:$D$10,4,FALSE)</f>
        <v>2</v>
      </c>
      <c r="F273" s="464" t="s">
        <v>389</v>
      </c>
      <c r="G273" s="464" t="str">
        <f>INDEX(★新聞!$E$4:$I$12, MATCH(LEFT(F273),★新聞!$A$4:$A$12,0), MATCH(LEFT(W273),★新聞!$E$3:$I$3,0))</f>
        <v>X</v>
      </c>
      <c r="H273" s="475" t="s">
        <v>1105</v>
      </c>
      <c r="I273" s="464" cm="1">
        <f t="array" ref="I273">IFERROR(INDEX(★原価率!$A$2:$E$50,MATCH($C273&amp;$H273,★原価率!$A$2:$A$50&amp;★原価率!$B$2:$B$50,0),3),0)</f>
        <v>78</v>
      </c>
      <c r="J273" s="464" cm="1">
        <f t="array" ref="J273">IFERROR(INDEX(★原価率!$A$2:$E$50,MATCH($C273&amp;$H273,★原価率!$A$2:$A$50&amp;★原価率!$B$2:$B$50,0),4),0)</f>
        <v>82</v>
      </c>
      <c r="K273" s="464" cm="1">
        <f t="array" ref="K273">IFERROR(INDEX(★原価率!$A$2:$E$50,MATCH($C273&amp;$H273,★原価率!$A$2:$A$50&amp;★原価率!$B$2:$B$50,0),5),0)</f>
        <v>100</v>
      </c>
      <c r="L273" s="528">
        <f>IFERROR(VLOOKUP(W273,★商品!$A$1:$H$1231,8,FALSE),0)</f>
        <v>2.8</v>
      </c>
      <c r="M273" s="203" t="str">
        <f ca="1">CONCATENATE(VLOOKUP(B273,★営業所!$A$2:$B$5,2,FALSE),TEXT(NOW(),"yyyy"))</f>
        <v>T2023</v>
      </c>
      <c r="N273" s="203">
        <v>1</v>
      </c>
      <c r="O273" s="203">
        <v>0</v>
      </c>
      <c r="P273" s="213">
        <f>申込書!$B$6</f>
        <v>0</v>
      </c>
      <c r="Q273" s="203">
        <f>申込書!$C$34</f>
        <v>1000040</v>
      </c>
      <c r="R273" s="203">
        <v>0</v>
      </c>
      <c r="U273" s="203">
        <f>VLOOKUP(B273,★営業所!$A$2:$C$5,3,FALSE)</f>
        <v>8</v>
      </c>
      <c r="V273" s="203">
        <f>申込書!$B$9</f>
        <v>0</v>
      </c>
      <c r="W273" s="203" t="str">
        <f>CONCATENATE(VLOOKUP(B273,★営業所!$A$2:$B$5,2,FALSE),VLOOKUP(申込書!$C$32,★サイズ表記!$D$4:$E$55,2,FALSE),VLOOKUP(D273,★折込地区!$A$2:$B$11,2,FALSE))</f>
        <v>T1001Kry</v>
      </c>
      <c r="X273" s="203" t="str">
        <f>CONCATENATE(申込書!$B$9," ",VLOOKUP(RIGHT(W273,3),★折込地区!$B$2:$C$10,2,FALSE),"")</f>
        <v xml:space="preserve"> 倉吉</v>
      </c>
      <c r="Z273" s="206">
        <f t="shared" ca="1" si="32"/>
        <v>0</v>
      </c>
      <c r="AB273" s="383">
        <f t="shared" si="33"/>
        <v>2.8</v>
      </c>
      <c r="AC273" s="203" t="str">
        <f t="shared" si="34"/>
        <v>D1001</v>
      </c>
      <c r="AD273" s="203" t="str">
        <f>VLOOKUP(AC273,★原価商品!$E$6:$F$349,2,FALSE)</f>
        <v>日本海/B4（折り無し）</v>
      </c>
      <c r="AE273" s="203">
        <f t="shared" ca="1" si="35"/>
        <v>0</v>
      </c>
      <c r="AF273" s="383">
        <f>IFERROR(IF(VLOOKUP(申込書!$C$32,★サイズ表記!$F$4:$H$55,3,FALSE)="切り捨て",ROUNDDOWN(L273*IF(AK273="◎",I273,J273)/100,2),IF(VLOOKUP(申込書!$C$32,★サイズ表記!$F$4:$H$55,3,FALSE)="切り上げ",ROUNDUP(L273*IF(AK273="◎",I273,J273)/100,2),ROUND(L273*IF(AK273="◎",I273,J273)/100,2))),0)</f>
        <v>2.1800000000000002</v>
      </c>
      <c r="AG273" s="203">
        <f t="shared" ca="1" si="36"/>
        <v>10303</v>
      </c>
      <c r="AJ273" s="460" t="str">
        <f>IFERROR(VLOOKUP(申込書!$C$30,★業種!$D$2:$E$87,2,FALSE),"")</f>
        <v>1003</v>
      </c>
      <c r="AK273" s="460" t="str">
        <f>IF(申込書!$C$36="◎",IF(OR(D273="浜坂・温泉",D273="美方・村岡",D273="香住",D273="岡山",D273="大阪"),"",IF(LEFT(F273)="D","◎",IF(AG273=0,"",IFERROR(IF(VLOOKUP(AG273,★仕入先!$A$2:$C$211,3,FALSE)=0,"","◎"),"")))),"")</f>
        <v>◎</v>
      </c>
      <c r="AL273" s="460">
        <f>申込書!$H$14</f>
        <v>0</v>
      </c>
      <c r="AM273" s="460" t="str">
        <f>申込書!$C$32</f>
        <v>B4（折り無し）</v>
      </c>
      <c r="AN273" s="460" t="str">
        <f>VLOOKUP(AM273,★サイズ表記!$D$4:$E$55,2,FALSE)</f>
        <v>1001</v>
      </c>
      <c r="AO273" s="460">
        <f>IF(C273&lt;&gt;"⑧兵庫",VLOOKUP(LEFT(F273),★新聞!$A$4:$B$12,2,FALSE),IF(LEFT(F273)&lt;&gt;"S",VLOOKUP(LEFT(F273),★新聞!$A$4:$B$12,2,FALSE),VLOOKUP("X",★新聞!$A$4:$B$12,2,FALSE)))</f>
        <v>1</v>
      </c>
      <c r="AP273" s="460" t="str">
        <f t="shared" ca="1" si="37"/>
        <v>0</v>
      </c>
      <c r="AQ273" s="460" t="str">
        <f>IF(申込書!$C$38="","",申込書!$C$38)</f>
        <v/>
      </c>
    </row>
    <row r="274" spans="1:43">
      <c r="A274" s="463">
        <f t="shared" si="38"/>
        <v>273</v>
      </c>
      <c r="B274" s="463" t="str">
        <f t="shared" si="39"/>
        <v>東部</v>
      </c>
      <c r="C274" s="464" t="s">
        <v>1017</v>
      </c>
      <c r="D274" s="464" t="s">
        <v>1602</v>
      </c>
      <c r="E274" s="464">
        <f>VLOOKUP(D274,★折込地区!$A$2:$D$10,4,FALSE)</f>
        <v>2</v>
      </c>
      <c r="F274" s="464" t="s">
        <v>390</v>
      </c>
      <c r="G274" s="464" t="str">
        <f>INDEX(★新聞!$E$4:$I$12, MATCH(LEFT(F274),★新聞!$A$4:$A$12,0), MATCH(LEFT(W274),★新聞!$E$3:$I$3,0))</f>
        <v>X</v>
      </c>
      <c r="H274" s="475" t="s">
        <v>1105</v>
      </c>
      <c r="I274" s="464" cm="1">
        <f t="array" ref="I274">IFERROR(INDEX(★原価率!$A$2:$E$50,MATCH($C274&amp;$H274,★原価率!$A$2:$A$50&amp;★原価率!$B$2:$B$50,0),3),0)</f>
        <v>78</v>
      </c>
      <c r="J274" s="464" cm="1">
        <f t="array" ref="J274">IFERROR(INDEX(★原価率!$A$2:$E$50,MATCH($C274&amp;$H274,★原価率!$A$2:$A$50&amp;★原価率!$B$2:$B$50,0),4),0)</f>
        <v>82</v>
      </c>
      <c r="K274" s="464" cm="1">
        <f t="array" ref="K274">IFERROR(INDEX(★原価率!$A$2:$E$50,MATCH($C274&amp;$H274,★原価率!$A$2:$A$50&amp;★原価率!$B$2:$B$50,0),5),0)</f>
        <v>100</v>
      </c>
      <c r="L274" s="528">
        <f>IFERROR(VLOOKUP(W274,★商品!$A$1:$H$1231,8,FALSE),0)</f>
        <v>2.8</v>
      </c>
      <c r="M274" s="203" t="str">
        <f ca="1">CONCATENATE(VLOOKUP(B274,★営業所!$A$2:$B$5,2,FALSE),TEXT(NOW(),"yyyy"))</f>
        <v>T2023</v>
      </c>
      <c r="N274" s="203">
        <v>1</v>
      </c>
      <c r="O274" s="203">
        <v>0</v>
      </c>
      <c r="P274" s="213">
        <f>申込書!$B$6</f>
        <v>0</v>
      </c>
      <c r="Q274" s="203">
        <f>申込書!$C$34</f>
        <v>1000040</v>
      </c>
      <c r="R274" s="203">
        <v>0</v>
      </c>
      <c r="U274" s="203">
        <f>VLOOKUP(B274,★営業所!$A$2:$C$5,3,FALSE)</f>
        <v>8</v>
      </c>
      <c r="V274" s="203">
        <f>申込書!$B$9</f>
        <v>0</v>
      </c>
      <c r="W274" s="203" t="str">
        <f>CONCATENATE(VLOOKUP(B274,★営業所!$A$2:$B$5,2,FALSE),VLOOKUP(申込書!$C$32,★サイズ表記!$D$4:$E$55,2,FALSE),VLOOKUP(D274,★折込地区!$A$2:$B$11,2,FALSE))</f>
        <v>T1001Kry</v>
      </c>
      <c r="X274" s="203" t="str">
        <f>CONCATENATE(申込書!$B$9," ",VLOOKUP(RIGHT(W274,3),★折込地区!$B$2:$C$10,2,FALSE),"")</f>
        <v xml:space="preserve"> 倉吉</v>
      </c>
      <c r="Z274" s="206">
        <f t="shared" ca="1" si="32"/>
        <v>0</v>
      </c>
      <c r="AB274" s="383">
        <f t="shared" si="33"/>
        <v>2.8</v>
      </c>
      <c r="AC274" s="203" t="str">
        <f t="shared" si="34"/>
        <v>D1001</v>
      </c>
      <c r="AD274" s="203" t="str">
        <f>VLOOKUP(AC274,★原価商品!$E$6:$F$349,2,FALSE)</f>
        <v>日本海/B4（折り無し）</v>
      </c>
      <c r="AE274" s="203">
        <f t="shared" ca="1" si="35"/>
        <v>0</v>
      </c>
      <c r="AF274" s="383">
        <f>IFERROR(IF(VLOOKUP(申込書!$C$32,★サイズ表記!$F$4:$H$55,3,FALSE)="切り捨て",ROUNDDOWN(L274*IF(AK274="◎",I274,J274)/100,2),IF(VLOOKUP(申込書!$C$32,★サイズ表記!$F$4:$H$55,3,FALSE)="切り上げ",ROUNDUP(L274*IF(AK274="◎",I274,J274)/100,2),ROUND(L274*IF(AK274="◎",I274,J274)/100,2))),0)</f>
        <v>2.1800000000000002</v>
      </c>
      <c r="AG274" s="203">
        <f t="shared" ca="1" si="36"/>
        <v>10303</v>
      </c>
      <c r="AJ274" s="460" t="str">
        <f>IFERROR(VLOOKUP(申込書!$C$30,★業種!$D$2:$E$87,2,FALSE),"")</f>
        <v>1003</v>
      </c>
      <c r="AK274" s="460" t="str">
        <f>IF(申込書!$C$36="◎",IF(OR(D274="浜坂・温泉",D274="美方・村岡",D274="香住",D274="岡山",D274="大阪"),"",IF(LEFT(F274)="D","◎",IF(AG274=0,"",IFERROR(IF(VLOOKUP(AG274,★仕入先!$A$2:$C$211,3,FALSE)=0,"","◎"),"")))),"")</f>
        <v>◎</v>
      </c>
      <c r="AL274" s="460">
        <f>申込書!$H$14</f>
        <v>0</v>
      </c>
      <c r="AM274" s="460" t="str">
        <f>申込書!$C$32</f>
        <v>B4（折り無し）</v>
      </c>
      <c r="AN274" s="460" t="str">
        <f>VLOOKUP(AM274,★サイズ表記!$D$4:$E$55,2,FALSE)</f>
        <v>1001</v>
      </c>
      <c r="AO274" s="460">
        <f>IF(C274&lt;&gt;"⑧兵庫",VLOOKUP(LEFT(F274),★新聞!$A$4:$B$12,2,FALSE),IF(LEFT(F274)&lt;&gt;"S",VLOOKUP(LEFT(F274),★新聞!$A$4:$B$12,2,FALSE),VLOOKUP("X",★新聞!$A$4:$B$12,2,FALSE)))</f>
        <v>1</v>
      </c>
      <c r="AP274" s="460" t="str">
        <f t="shared" ca="1" si="37"/>
        <v>0</v>
      </c>
      <c r="AQ274" s="460" t="str">
        <f>IF(申込書!$C$38="","",申込書!$C$38)</f>
        <v/>
      </c>
    </row>
    <row r="275" spans="1:43">
      <c r="A275" s="463">
        <f t="shared" si="38"/>
        <v>274</v>
      </c>
      <c r="B275" s="463" t="str">
        <f t="shared" si="39"/>
        <v>東部</v>
      </c>
      <c r="C275" s="464" t="s">
        <v>1017</v>
      </c>
      <c r="D275" s="464" t="s">
        <v>1602</v>
      </c>
      <c r="E275" s="464">
        <f>VLOOKUP(D275,★折込地区!$A$2:$D$10,4,FALSE)</f>
        <v>2</v>
      </c>
      <c r="F275" s="464" t="s">
        <v>394</v>
      </c>
      <c r="G275" s="464" t="str">
        <f>INDEX(★新聞!$E$4:$I$12, MATCH(LEFT(F275),★新聞!$A$4:$A$12,0), MATCH(LEFT(W275),★新聞!$E$3:$I$3,0))</f>
        <v>X</v>
      </c>
      <c r="H275" s="475" t="s">
        <v>1105</v>
      </c>
      <c r="I275" s="464" cm="1">
        <f t="array" ref="I275">IFERROR(INDEX(★原価率!$A$2:$E$50,MATCH($C275&amp;$H275,★原価率!$A$2:$A$50&amp;★原価率!$B$2:$B$50,0),3),0)</f>
        <v>78</v>
      </c>
      <c r="J275" s="464" cm="1">
        <f t="array" ref="J275">IFERROR(INDEX(★原価率!$A$2:$E$50,MATCH($C275&amp;$H275,★原価率!$A$2:$A$50&amp;★原価率!$B$2:$B$50,0),4),0)</f>
        <v>82</v>
      </c>
      <c r="K275" s="464" cm="1">
        <f t="array" ref="K275">IFERROR(INDEX(★原価率!$A$2:$E$50,MATCH($C275&amp;$H275,★原価率!$A$2:$A$50&amp;★原価率!$B$2:$B$50,0),5),0)</f>
        <v>100</v>
      </c>
      <c r="L275" s="528">
        <f>IFERROR(VLOOKUP(W275,★商品!$A$1:$H$1231,8,FALSE),0)</f>
        <v>2.8</v>
      </c>
      <c r="M275" s="203" t="str">
        <f ca="1">CONCATENATE(VLOOKUP(B275,★営業所!$A$2:$B$5,2,FALSE),TEXT(NOW(),"yyyy"))</f>
        <v>T2023</v>
      </c>
      <c r="N275" s="203">
        <v>1</v>
      </c>
      <c r="O275" s="203">
        <v>0</v>
      </c>
      <c r="P275" s="213">
        <f>申込書!$B$6</f>
        <v>0</v>
      </c>
      <c r="Q275" s="203">
        <f>申込書!$C$34</f>
        <v>1000040</v>
      </c>
      <c r="R275" s="203">
        <v>0</v>
      </c>
      <c r="U275" s="203">
        <f>VLOOKUP(B275,★営業所!$A$2:$C$5,3,FALSE)</f>
        <v>8</v>
      </c>
      <c r="V275" s="203">
        <f>申込書!$B$9</f>
        <v>0</v>
      </c>
      <c r="W275" s="203" t="str">
        <f>CONCATENATE(VLOOKUP(B275,★営業所!$A$2:$B$5,2,FALSE),VLOOKUP(申込書!$C$32,★サイズ表記!$D$4:$E$55,2,FALSE),VLOOKUP(D275,★折込地区!$A$2:$B$11,2,FALSE))</f>
        <v>T1001Kry</v>
      </c>
      <c r="X275" s="203" t="str">
        <f>CONCATENATE(申込書!$B$9," ",VLOOKUP(RIGHT(W275,3),★折込地区!$B$2:$C$10,2,FALSE),"")</f>
        <v xml:space="preserve"> 倉吉</v>
      </c>
      <c r="Z275" s="206">
        <f t="shared" ca="1" si="32"/>
        <v>0</v>
      </c>
      <c r="AB275" s="383">
        <f t="shared" si="33"/>
        <v>2.8</v>
      </c>
      <c r="AC275" s="203" t="str">
        <f t="shared" si="34"/>
        <v>D1001</v>
      </c>
      <c r="AD275" s="203" t="str">
        <f>VLOOKUP(AC275,★原価商品!$E$6:$F$349,2,FALSE)</f>
        <v>日本海/B4（折り無し）</v>
      </c>
      <c r="AE275" s="203">
        <f t="shared" ca="1" si="35"/>
        <v>0</v>
      </c>
      <c r="AF275" s="383">
        <f>IFERROR(IF(VLOOKUP(申込書!$C$32,★サイズ表記!$F$4:$H$55,3,FALSE)="切り捨て",ROUNDDOWN(L275*IF(AK275="◎",I275,J275)/100,2),IF(VLOOKUP(申込書!$C$32,★サイズ表記!$F$4:$H$55,3,FALSE)="切り上げ",ROUNDUP(L275*IF(AK275="◎",I275,J275)/100,2),ROUND(L275*IF(AK275="◎",I275,J275)/100,2))),0)</f>
        <v>2.1800000000000002</v>
      </c>
      <c r="AG275" s="203">
        <f t="shared" ca="1" si="36"/>
        <v>10303</v>
      </c>
      <c r="AJ275" s="460" t="str">
        <f>IFERROR(VLOOKUP(申込書!$C$30,★業種!$D$2:$E$87,2,FALSE),"")</f>
        <v>1003</v>
      </c>
      <c r="AK275" s="460" t="str">
        <f>IF(申込書!$C$36="◎",IF(OR(D275="浜坂・温泉",D275="美方・村岡",D275="香住",D275="岡山",D275="大阪"),"",IF(LEFT(F275)="D","◎",IF(AG275=0,"",IFERROR(IF(VLOOKUP(AG275,★仕入先!$A$2:$C$211,3,FALSE)=0,"","◎"),"")))),"")</f>
        <v>◎</v>
      </c>
      <c r="AL275" s="460">
        <f>申込書!$H$14</f>
        <v>0</v>
      </c>
      <c r="AM275" s="460" t="str">
        <f>申込書!$C$32</f>
        <v>B4（折り無し）</v>
      </c>
      <c r="AN275" s="460" t="str">
        <f>VLOOKUP(AM275,★サイズ表記!$D$4:$E$55,2,FALSE)</f>
        <v>1001</v>
      </c>
      <c r="AO275" s="460">
        <f>IF(C275&lt;&gt;"⑧兵庫",VLOOKUP(LEFT(F275),★新聞!$A$4:$B$12,2,FALSE),IF(LEFT(F275)&lt;&gt;"S",VLOOKUP(LEFT(F275),★新聞!$A$4:$B$12,2,FALSE),VLOOKUP("X",★新聞!$A$4:$B$12,2,FALSE)))</f>
        <v>1</v>
      </c>
      <c r="AP275" s="460" t="str">
        <f t="shared" ca="1" si="37"/>
        <v>0</v>
      </c>
      <c r="AQ275" s="460" t="str">
        <f>IF(申込書!$C$38="","",申込書!$C$38)</f>
        <v/>
      </c>
    </row>
    <row r="276" spans="1:43">
      <c r="A276" s="463">
        <f t="shared" si="38"/>
        <v>275</v>
      </c>
      <c r="B276" s="463" t="str">
        <f t="shared" si="39"/>
        <v>東部</v>
      </c>
      <c r="C276" s="464" t="s">
        <v>1017</v>
      </c>
      <c r="D276" s="464" t="s">
        <v>1602</v>
      </c>
      <c r="E276" s="464">
        <f>VLOOKUP(D276,★折込地区!$A$2:$D$10,4,FALSE)</f>
        <v>2</v>
      </c>
      <c r="F276" s="464" t="s">
        <v>395</v>
      </c>
      <c r="G276" s="464" t="str">
        <f>INDEX(★新聞!$E$4:$I$12, MATCH(LEFT(F276),★新聞!$A$4:$A$12,0), MATCH(LEFT(W276),★新聞!$E$3:$I$3,0))</f>
        <v>X</v>
      </c>
      <c r="H276" s="475" t="s">
        <v>1105</v>
      </c>
      <c r="I276" s="464" cm="1">
        <f t="array" ref="I276">IFERROR(INDEX(★原価率!$A$2:$E$50,MATCH($C276&amp;$H276,★原価率!$A$2:$A$50&amp;★原価率!$B$2:$B$50,0),3),0)</f>
        <v>78</v>
      </c>
      <c r="J276" s="464" cm="1">
        <f t="array" ref="J276">IFERROR(INDEX(★原価率!$A$2:$E$50,MATCH($C276&amp;$H276,★原価率!$A$2:$A$50&amp;★原価率!$B$2:$B$50,0),4),0)</f>
        <v>82</v>
      </c>
      <c r="K276" s="464" cm="1">
        <f t="array" ref="K276">IFERROR(INDEX(★原価率!$A$2:$E$50,MATCH($C276&amp;$H276,★原価率!$A$2:$A$50&amp;★原価率!$B$2:$B$50,0),5),0)</f>
        <v>100</v>
      </c>
      <c r="L276" s="528">
        <f>IFERROR(VLOOKUP(W276,★商品!$A$1:$H$1231,8,FALSE),0)</f>
        <v>2.8</v>
      </c>
      <c r="M276" s="203" t="str">
        <f ca="1">CONCATENATE(VLOOKUP(B276,★営業所!$A$2:$B$5,2,FALSE),TEXT(NOW(),"yyyy"))</f>
        <v>T2023</v>
      </c>
      <c r="N276" s="203">
        <v>1</v>
      </c>
      <c r="O276" s="203">
        <v>0</v>
      </c>
      <c r="P276" s="213">
        <f>申込書!$B$6</f>
        <v>0</v>
      </c>
      <c r="Q276" s="203">
        <f>申込書!$C$34</f>
        <v>1000040</v>
      </c>
      <c r="R276" s="203">
        <v>0</v>
      </c>
      <c r="U276" s="203">
        <f>VLOOKUP(B276,★営業所!$A$2:$C$5,3,FALSE)</f>
        <v>8</v>
      </c>
      <c r="V276" s="203">
        <f>申込書!$B$9</f>
        <v>0</v>
      </c>
      <c r="W276" s="203" t="str">
        <f>CONCATENATE(VLOOKUP(B276,★営業所!$A$2:$B$5,2,FALSE),VLOOKUP(申込書!$C$32,★サイズ表記!$D$4:$E$55,2,FALSE),VLOOKUP(D276,★折込地区!$A$2:$B$11,2,FALSE))</f>
        <v>T1001Kry</v>
      </c>
      <c r="X276" s="203" t="str">
        <f>CONCATENATE(申込書!$B$9," ",VLOOKUP(RIGHT(W276,3),★折込地区!$B$2:$C$10,2,FALSE),"")</f>
        <v xml:space="preserve"> 倉吉</v>
      </c>
      <c r="Z276" s="206">
        <f t="shared" ca="1" si="32"/>
        <v>0</v>
      </c>
      <c r="AB276" s="383">
        <f t="shared" si="33"/>
        <v>2.8</v>
      </c>
      <c r="AC276" s="203" t="str">
        <f t="shared" si="34"/>
        <v>D1001</v>
      </c>
      <c r="AD276" s="203" t="str">
        <f>VLOOKUP(AC276,★原価商品!$E$6:$F$349,2,FALSE)</f>
        <v>日本海/B4（折り無し）</v>
      </c>
      <c r="AE276" s="203">
        <f t="shared" ca="1" si="35"/>
        <v>0</v>
      </c>
      <c r="AF276" s="383">
        <f>IFERROR(IF(VLOOKUP(申込書!$C$32,★サイズ表記!$F$4:$H$55,3,FALSE)="切り捨て",ROUNDDOWN(L276*IF(AK276="◎",I276,J276)/100,2),IF(VLOOKUP(申込書!$C$32,★サイズ表記!$F$4:$H$55,3,FALSE)="切り上げ",ROUNDUP(L276*IF(AK276="◎",I276,J276)/100,2),ROUND(L276*IF(AK276="◎",I276,J276)/100,2))),0)</f>
        <v>2.1800000000000002</v>
      </c>
      <c r="AG276" s="203">
        <f t="shared" ca="1" si="36"/>
        <v>10303</v>
      </c>
      <c r="AJ276" s="460" t="str">
        <f>IFERROR(VLOOKUP(申込書!$C$30,★業種!$D$2:$E$87,2,FALSE),"")</f>
        <v>1003</v>
      </c>
      <c r="AK276" s="460" t="str">
        <f>IF(申込書!$C$36="◎",IF(OR(D276="浜坂・温泉",D276="美方・村岡",D276="香住",D276="岡山",D276="大阪"),"",IF(LEFT(F276)="D","◎",IF(AG276=0,"",IFERROR(IF(VLOOKUP(AG276,★仕入先!$A$2:$C$211,3,FALSE)=0,"","◎"),"")))),"")</f>
        <v>◎</v>
      </c>
      <c r="AL276" s="460">
        <f>申込書!$H$14</f>
        <v>0</v>
      </c>
      <c r="AM276" s="460" t="str">
        <f>申込書!$C$32</f>
        <v>B4（折り無し）</v>
      </c>
      <c r="AN276" s="460" t="str">
        <f>VLOOKUP(AM276,★サイズ表記!$D$4:$E$55,2,FALSE)</f>
        <v>1001</v>
      </c>
      <c r="AO276" s="460">
        <f>IF(C276&lt;&gt;"⑧兵庫",VLOOKUP(LEFT(F276),★新聞!$A$4:$B$12,2,FALSE),IF(LEFT(F276)&lt;&gt;"S",VLOOKUP(LEFT(F276),★新聞!$A$4:$B$12,2,FALSE),VLOOKUP("X",★新聞!$A$4:$B$12,2,FALSE)))</f>
        <v>1</v>
      </c>
      <c r="AP276" s="460" t="str">
        <f t="shared" ca="1" si="37"/>
        <v>0</v>
      </c>
      <c r="AQ276" s="460" t="str">
        <f>IF(申込書!$C$38="","",申込書!$C$38)</f>
        <v/>
      </c>
    </row>
    <row r="277" spans="1:43">
      <c r="A277" s="463">
        <f t="shared" si="38"/>
        <v>276</v>
      </c>
      <c r="B277" s="463" t="str">
        <f t="shared" si="39"/>
        <v>東部</v>
      </c>
      <c r="C277" s="464" t="s">
        <v>1017</v>
      </c>
      <c r="D277" s="464" t="s">
        <v>1602</v>
      </c>
      <c r="E277" s="464">
        <f>VLOOKUP(D277,★折込地区!$A$2:$D$10,4,FALSE)</f>
        <v>2</v>
      </c>
      <c r="F277" s="464" t="s">
        <v>396</v>
      </c>
      <c r="G277" s="464" t="str">
        <f>INDEX(★新聞!$E$4:$I$12, MATCH(LEFT(F277),★新聞!$A$4:$A$12,0), MATCH(LEFT(W277),★新聞!$E$3:$I$3,0))</f>
        <v>X</v>
      </c>
      <c r="H277" s="475" t="s">
        <v>1105</v>
      </c>
      <c r="I277" s="464" cm="1">
        <f t="array" ref="I277">IFERROR(INDEX(★原価率!$A$2:$E$50,MATCH($C277&amp;$H277,★原価率!$A$2:$A$50&amp;★原価率!$B$2:$B$50,0),3),0)</f>
        <v>78</v>
      </c>
      <c r="J277" s="464" cm="1">
        <f t="array" ref="J277">IFERROR(INDEX(★原価率!$A$2:$E$50,MATCH($C277&amp;$H277,★原価率!$A$2:$A$50&amp;★原価率!$B$2:$B$50,0),4),0)</f>
        <v>82</v>
      </c>
      <c r="K277" s="464" cm="1">
        <f t="array" ref="K277">IFERROR(INDEX(★原価率!$A$2:$E$50,MATCH($C277&amp;$H277,★原価率!$A$2:$A$50&amp;★原価率!$B$2:$B$50,0),5),0)</f>
        <v>100</v>
      </c>
      <c r="L277" s="528">
        <f>IFERROR(VLOOKUP(W277,★商品!$A$1:$H$1231,8,FALSE),0)</f>
        <v>2.8</v>
      </c>
      <c r="M277" s="203" t="str">
        <f ca="1">CONCATENATE(VLOOKUP(B277,★営業所!$A$2:$B$5,2,FALSE),TEXT(NOW(),"yyyy"))</f>
        <v>T2023</v>
      </c>
      <c r="N277" s="203">
        <v>1</v>
      </c>
      <c r="O277" s="203">
        <v>0</v>
      </c>
      <c r="P277" s="213">
        <f>申込書!$B$6</f>
        <v>0</v>
      </c>
      <c r="Q277" s="203">
        <f>申込書!$C$34</f>
        <v>1000040</v>
      </c>
      <c r="R277" s="203">
        <v>0</v>
      </c>
      <c r="U277" s="203">
        <f>VLOOKUP(B277,★営業所!$A$2:$C$5,3,FALSE)</f>
        <v>8</v>
      </c>
      <c r="V277" s="203">
        <f>申込書!$B$9</f>
        <v>0</v>
      </c>
      <c r="W277" s="203" t="str">
        <f>CONCATENATE(VLOOKUP(B277,★営業所!$A$2:$B$5,2,FALSE),VLOOKUP(申込書!$C$32,★サイズ表記!$D$4:$E$55,2,FALSE),VLOOKUP(D277,★折込地区!$A$2:$B$11,2,FALSE))</f>
        <v>T1001Kry</v>
      </c>
      <c r="X277" s="203" t="str">
        <f>CONCATENATE(申込書!$B$9," ",VLOOKUP(RIGHT(W277,3),★折込地区!$B$2:$C$10,2,FALSE),"")</f>
        <v xml:space="preserve"> 倉吉</v>
      </c>
      <c r="Z277" s="206">
        <f t="shared" ca="1" si="32"/>
        <v>0</v>
      </c>
      <c r="AB277" s="383">
        <f t="shared" si="33"/>
        <v>2.8</v>
      </c>
      <c r="AC277" s="203" t="str">
        <f t="shared" si="34"/>
        <v>D1001</v>
      </c>
      <c r="AD277" s="203" t="str">
        <f>VLOOKUP(AC277,★原価商品!$E$6:$F$349,2,FALSE)</f>
        <v>日本海/B4（折り無し）</v>
      </c>
      <c r="AE277" s="203">
        <f t="shared" ca="1" si="35"/>
        <v>0</v>
      </c>
      <c r="AF277" s="383">
        <f>IFERROR(IF(VLOOKUP(申込書!$C$32,★サイズ表記!$F$4:$H$55,3,FALSE)="切り捨て",ROUNDDOWN(L277*IF(AK277="◎",I277,J277)/100,2),IF(VLOOKUP(申込書!$C$32,★サイズ表記!$F$4:$H$55,3,FALSE)="切り上げ",ROUNDUP(L277*IF(AK277="◎",I277,J277)/100,2),ROUND(L277*IF(AK277="◎",I277,J277)/100,2))),0)</f>
        <v>2.1800000000000002</v>
      </c>
      <c r="AG277" s="203">
        <f t="shared" ca="1" si="36"/>
        <v>10303</v>
      </c>
      <c r="AJ277" s="460" t="str">
        <f>IFERROR(VLOOKUP(申込書!$C$30,★業種!$D$2:$E$87,2,FALSE),"")</f>
        <v>1003</v>
      </c>
      <c r="AK277" s="460" t="str">
        <f>IF(申込書!$C$36="◎",IF(OR(D277="浜坂・温泉",D277="美方・村岡",D277="香住",D277="岡山",D277="大阪"),"",IF(LEFT(F277)="D","◎",IF(AG277=0,"",IFERROR(IF(VLOOKUP(AG277,★仕入先!$A$2:$C$211,3,FALSE)=0,"","◎"),"")))),"")</f>
        <v>◎</v>
      </c>
      <c r="AL277" s="460">
        <f>申込書!$H$14</f>
        <v>0</v>
      </c>
      <c r="AM277" s="460" t="str">
        <f>申込書!$C$32</f>
        <v>B4（折り無し）</v>
      </c>
      <c r="AN277" s="460" t="str">
        <f>VLOOKUP(AM277,★サイズ表記!$D$4:$E$55,2,FALSE)</f>
        <v>1001</v>
      </c>
      <c r="AO277" s="460">
        <f>IF(C277&lt;&gt;"⑧兵庫",VLOOKUP(LEFT(F277),★新聞!$A$4:$B$12,2,FALSE),IF(LEFT(F277)&lt;&gt;"S",VLOOKUP(LEFT(F277),★新聞!$A$4:$B$12,2,FALSE),VLOOKUP("X",★新聞!$A$4:$B$12,2,FALSE)))</f>
        <v>1</v>
      </c>
      <c r="AP277" s="460" t="str">
        <f t="shared" ca="1" si="37"/>
        <v>0</v>
      </c>
      <c r="AQ277" s="460" t="str">
        <f>IF(申込書!$C$38="","",申込書!$C$38)</f>
        <v/>
      </c>
    </row>
    <row r="278" spans="1:43">
      <c r="A278" s="463">
        <f t="shared" si="38"/>
        <v>277</v>
      </c>
      <c r="B278" s="463" t="str">
        <f t="shared" si="39"/>
        <v>東部</v>
      </c>
      <c r="C278" s="464" t="s">
        <v>1017</v>
      </c>
      <c r="D278" s="464" t="s">
        <v>1602</v>
      </c>
      <c r="E278" s="464">
        <f>VLOOKUP(D278,★折込地区!$A$2:$D$10,4,FALSE)</f>
        <v>2</v>
      </c>
      <c r="F278" s="464" t="s">
        <v>397</v>
      </c>
      <c r="G278" s="464" t="str">
        <f>INDEX(★新聞!$E$4:$I$12, MATCH(LEFT(F278),★新聞!$A$4:$A$12,0), MATCH(LEFT(W278),★新聞!$E$3:$I$3,0))</f>
        <v>X</v>
      </c>
      <c r="H278" s="475" t="s">
        <v>1105</v>
      </c>
      <c r="I278" s="464" cm="1">
        <f t="array" ref="I278">IFERROR(INDEX(★原価率!$A$2:$E$50,MATCH($C278&amp;$H278,★原価率!$A$2:$A$50&amp;★原価率!$B$2:$B$50,0),3),0)</f>
        <v>78</v>
      </c>
      <c r="J278" s="464" cm="1">
        <f t="array" ref="J278">IFERROR(INDEX(★原価率!$A$2:$E$50,MATCH($C278&amp;$H278,★原価率!$A$2:$A$50&amp;★原価率!$B$2:$B$50,0),4),0)</f>
        <v>82</v>
      </c>
      <c r="K278" s="464" cm="1">
        <f t="array" ref="K278">IFERROR(INDEX(★原価率!$A$2:$E$50,MATCH($C278&amp;$H278,★原価率!$A$2:$A$50&amp;★原価率!$B$2:$B$50,0),5),0)</f>
        <v>100</v>
      </c>
      <c r="L278" s="528">
        <f>IFERROR(VLOOKUP(W278,★商品!$A$1:$H$1231,8,FALSE),0)</f>
        <v>2.8</v>
      </c>
      <c r="M278" s="203" t="str">
        <f ca="1">CONCATENATE(VLOOKUP(B278,★営業所!$A$2:$B$5,2,FALSE),TEXT(NOW(),"yyyy"))</f>
        <v>T2023</v>
      </c>
      <c r="N278" s="203">
        <v>1</v>
      </c>
      <c r="O278" s="203">
        <v>0</v>
      </c>
      <c r="P278" s="213">
        <f>申込書!$B$6</f>
        <v>0</v>
      </c>
      <c r="Q278" s="203">
        <f>申込書!$C$34</f>
        <v>1000040</v>
      </c>
      <c r="R278" s="203">
        <v>0</v>
      </c>
      <c r="U278" s="203">
        <f>VLOOKUP(B278,★営業所!$A$2:$C$5,3,FALSE)</f>
        <v>8</v>
      </c>
      <c r="V278" s="203">
        <f>申込書!$B$9</f>
        <v>0</v>
      </c>
      <c r="W278" s="203" t="str">
        <f>CONCATENATE(VLOOKUP(B278,★営業所!$A$2:$B$5,2,FALSE),VLOOKUP(申込書!$C$32,★サイズ表記!$D$4:$E$55,2,FALSE),VLOOKUP(D278,★折込地区!$A$2:$B$11,2,FALSE))</f>
        <v>T1001Kry</v>
      </c>
      <c r="X278" s="203" t="str">
        <f>CONCATENATE(申込書!$B$9," ",VLOOKUP(RIGHT(W278,3),★折込地区!$B$2:$C$10,2,FALSE),"")</f>
        <v xml:space="preserve"> 倉吉</v>
      </c>
      <c r="Z278" s="206">
        <f t="shared" ca="1" si="32"/>
        <v>0</v>
      </c>
      <c r="AB278" s="383">
        <f t="shared" si="33"/>
        <v>2.8</v>
      </c>
      <c r="AC278" s="203" t="str">
        <f t="shared" si="34"/>
        <v>D1001</v>
      </c>
      <c r="AD278" s="203" t="str">
        <f>VLOOKUP(AC278,★原価商品!$E$6:$F$349,2,FALSE)</f>
        <v>日本海/B4（折り無し）</v>
      </c>
      <c r="AE278" s="203">
        <f t="shared" ca="1" si="35"/>
        <v>0</v>
      </c>
      <c r="AF278" s="383">
        <f>IFERROR(IF(VLOOKUP(申込書!$C$32,★サイズ表記!$F$4:$H$55,3,FALSE)="切り捨て",ROUNDDOWN(L278*IF(AK278="◎",I278,J278)/100,2),IF(VLOOKUP(申込書!$C$32,★サイズ表記!$F$4:$H$55,3,FALSE)="切り上げ",ROUNDUP(L278*IF(AK278="◎",I278,J278)/100,2),ROUND(L278*IF(AK278="◎",I278,J278)/100,2))),0)</f>
        <v>2.1800000000000002</v>
      </c>
      <c r="AG278" s="203">
        <f t="shared" ca="1" si="36"/>
        <v>10303</v>
      </c>
      <c r="AJ278" s="460" t="str">
        <f>IFERROR(VLOOKUP(申込書!$C$30,★業種!$D$2:$E$87,2,FALSE),"")</f>
        <v>1003</v>
      </c>
      <c r="AK278" s="460" t="str">
        <f>IF(申込書!$C$36="◎",IF(OR(D278="浜坂・温泉",D278="美方・村岡",D278="香住",D278="岡山",D278="大阪"),"",IF(LEFT(F278)="D","◎",IF(AG278=0,"",IFERROR(IF(VLOOKUP(AG278,★仕入先!$A$2:$C$211,3,FALSE)=0,"","◎"),"")))),"")</f>
        <v>◎</v>
      </c>
      <c r="AL278" s="460">
        <f>申込書!$H$14</f>
        <v>0</v>
      </c>
      <c r="AM278" s="460" t="str">
        <f>申込書!$C$32</f>
        <v>B4（折り無し）</v>
      </c>
      <c r="AN278" s="460" t="str">
        <f>VLOOKUP(AM278,★サイズ表記!$D$4:$E$55,2,FALSE)</f>
        <v>1001</v>
      </c>
      <c r="AO278" s="460">
        <f>IF(C278&lt;&gt;"⑧兵庫",VLOOKUP(LEFT(F278),★新聞!$A$4:$B$12,2,FALSE),IF(LEFT(F278)&lt;&gt;"S",VLOOKUP(LEFT(F278),★新聞!$A$4:$B$12,2,FALSE),VLOOKUP("X",★新聞!$A$4:$B$12,2,FALSE)))</f>
        <v>1</v>
      </c>
      <c r="AP278" s="460" t="str">
        <f t="shared" ca="1" si="37"/>
        <v>0</v>
      </c>
      <c r="AQ278" s="460" t="str">
        <f>IF(申込書!$C$38="","",申込書!$C$38)</f>
        <v/>
      </c>
    </row>
    <row r="279" spans="1:43">
      <c r="A279" s="463">
        <f t="shared" si="38"/>
        <v>278</v>
      </c>
      <c r="B279" s="463" t="str">
        <f t="shared" si="39"/>
        <v>東部</v>
      </c>
      <c r="C279" s="464" t="s">
        <v>1017</v>
      </c>
      <c r="D279" s="464" t="s">
        <v>1602</v>
      </c>
      <c r="E279" s="464">
        <f>VLOOKUP(D279,★折込地区!$A$2:$D$10,4,FALSE)</f>
        <v>2</v>
      </c>
      <c r="F279" s="464" t="s">
        <v>398</v>
      </c>
      <c r="G279" s="464" t="str">
        <f>INDEX(★新聞!$E$4:$I$12, MATCH(LEFT(F279),★新聞!$A$4:$A$12,0), MATCH(LEFT(W279),★新聞!$E$3:$I$3,0))</f>
        <v>X</v>
      </c>
      <c r="H279" s="475" t="s">
        <v>1105</v>
      </c>
      <c r="I279" s="464" cm="1">
        <f t="array" ref="I279">IFERROR(INDEX(★原価率!$A$2:$E$50,MATCH($C279&amp;$H279,★原価率!$A$2:$A$50&amp;★原価率!$B$2:$B$50,0),3),0)</f>
        <v>78</v>
      </c>
      <c r="J279" s="464" cm="1">
        <f t="array" ref="J279">IFERROR(INDEX(★原価率!$A$2:$E$50,MATCH($C279&amp;$H279,★原価率!$A$2:$A$50&amp;★原価率!$B$2:$B$50,0),4),0)</f>
        <v>82</v>
      </c>
      <c r="K279" s="464" cm="1">
        <f t="array" ref="K279">IFERROR(INDEX(★原価率!$A$2:$E$50,MATCH($C279&amp;$H279,★原価率!$A$2:$A$50&amp;★原価率!$B$2:$B$50,0),5),0)</f>
        <v>100</v>
      </c>
      <c r="L279" s="528">
        <f>IFERROR(VLOOKUP(W279,★商品!$A$1:$H$1231,8,FALSE),0)</f>
        <v>2.8</v>
      </c>
      <c r="M279" s="203" t="str">
        <f ca="1">CONCATENATE(VLOOKUP(B279,★営業所!$A$2:$B$5,2,FALSE),TEXT(NOW(),"yyyy"))</f>
        <v>T2023</v>
      </c>
      <c r="N279" s="203">
        <v>1</v>
      </c>
      <c r="O279" s="203">
        <v>0</v>
      </c>
      <c r="P279" s="213">
        <f>申込書!$B$6</f>
        <v>0</v>
      </c>
      <c r="Q279" s="203">
        <f>申込書!$C$34</f>
        <v>1000040</v>
      </c>
      <c r="R279" s="203">
        <v>0</v>
      </c>
      <c r="U279" s="203">
        <f>VLOOKUP(B279,★営業所!$A$2:$C$5,3,FALSE)</f>
        <v>8</v>
      </c>
      <c r="V279" s="203">
        <f>申込書!$B$9</f>
        <v>0</v>
      </c>
      <c r="W279" s="203" t="str">
        <f>CONCATENATE(VLOOKUP(B279,★営業所!$A$2:$B$5,2,FALSE),VLOOKUP(申込書!$C$32,★サイズ表記!$D$4:$E$55,2,FALSE),VLOOKUP(D279,★折込地区!$A$2:$B$11,2,FALSE))</f>
        <v>T1001Kry</v>
      </c>
      <c r="X279" s="203" t="str">
        <f>CONCATENATE(申込書!$B$9," ",VLOOKUP(RIGHT(W279,3),★折込地区!$B$2:$C$10,2,FALSE),"")</f>
        <v xml:space="preserve"> 倉吉</v>
      </c>
      <c r="Z279" s="206">
        <f t="shared" ca="1" si="32"/>
        <v>0</v>
      </c>
      <c r="AB279" s="383">
        <f t="shared" si="33"/>
        <v>2.8</v>
      </c>
      <c r="AC279" s="203" t="str">
        <f t="shared" si="34"/>
        <v>D1001</v>
      </c>
      <c r="AD279" s="203" t="str">
        <f>VLOOKUP(AC279,★原価商品!$E$6:$F$349,2,FALSE)</f>
        <v>日本海/B4（折り無し）</v>
      </c>
      <c r="AE279" s="203">
        <f t="shared" ca="1" si="35"/>
        <v>0</v>
      </c>
      <c r="AF279" s="383">
        <f>IFERROR(IF(VLOOKUP(申込書!$C$32,★サイズ表記!$F$4:$H$55,3,FALSE)="切り捨て",ROUNDDOWN(L279*IF(AK279="◎",I279,J279)/100,2),IF(VLOOKUP(申込書!$C$32,★サイズ表記!$F$4:$H$55,3,FALSE)="切り上げ",ROUNDUP(L279*IF(AK279="◎",I279,J279)/100,2),ROUND(L279*IF(AK279="◎",I279,J279)/100,2))),0)</f>
        <v>2.1800000000000002</v>
      </c>
      <c r="AG279" s="203">
        <f t="shared" ca="1" si="36"/>
        <v>10303</v>
      </c>
      <c r="AJ279" s="460" t="str">
        <f>IFERROR(VLOOKUP(申込書!$C$30,★業種!$D$2:$E$87,2,FALSE),"")</f>
        <v>1003</v>
      </c>
      <c r="AK279" s="460" t="str">
        <f>IF(申込書!$C$36="◎",IF(OR(D279="浜坂・温泉",D279="美方・村岡",D279="香住",D279="岡山",D279="大阪"),"",IF(LEFT(F279)="D","◎",IF(AG279=0,"",IFERROR(IF(VLOOKUP(AG279,★仕入先!$A$2:$C$211,3,FALSE)=0,"","◎"),"")))),"")</f>
        <v>◎</v>
      </c>
      <c r="AL279" s="460">
        <f>申込書!$H$14</f>
        <v>0</v>
      </c>
      <c r="AM279" s="460" t="str">
        <f>申込書!$C$32</f>
        <v>B4（折り無し）</v>
      </c>
      <c r="AN279" s="460" t="str">
        <f>VLOOKUP(AM279,★サイズ表記!$D$4:$E$55,2,FALSE)</f>
        <v>1001</v>
      </c>
      <c r="AO279" s="460">
        <f>IF(C279&lt;&gt;"⑧兵庫",VLOOKUP(LEFT(F279),★新聞!$A$4:$B$12,2,FALSE),IF(LEFT(F279)&lt;&gt;"S",VLOOKUP(LEFT(F279),★新聞!$A$4:$B$12,2,FALSE),VLOOKUP("X",★新聞!$A$4:$B$12,2,FALSE)))</f>
        <v>1</v>
      </c>
      <c r="AP279" s="460" t="str">
        <f t="shared" ca="1" si="37"/>
        <v>0</v>
      </c>
      <c r="AQ279" s="460" t="str">
        <f>IF(申込書!$C$38="","",申込書!$C$38)</f>
        <v/>
      </c>
    </row>
    <row r="280" spans="1:43">
      <c r="A280" s="463">
        <f t="shared" si="38"/>
        <v>279</v>
      </c>
      <c r="B280" s="463" t="str">
        <f t="shared" si="39"/>
        <v>東部</v>
      </c>
      <c r="C280" s="464" t="s">
        <v>1017</v>
      </c>
      <c r="D280" s="464" t="s">
        <v>1602</v>
      </c>
      <c r="E280" s="464">
        <f>VLOOKUP(D280,★折込地区!$A$2:$D$10,4,FALSE)</f>
        <v>2</v>
      </c>
      <c r="F280" s="464" t="s">
        <v>399</v>
      </c>
      <c r="G280" s="464" t="str">
        <f>INDEX(★新聞!$E$4:$I$12, MATCH(LEFT(F280),★新聞!$A$4:$A$12,0), MATCH(LEFT(W280),★新聞!$E$3:$I$3,0))</f>
        <v>X</v>
      </c>
      <c r="H280" s="475" t="s">
        <v>1105</v>
      </c>
      <c r="I280" s="464" cm="1">
        <f t="array" ref="I280">IFERROR(INDEX(★原価率!$A$2:$E$50,MATCH($C280&amp;$H280,★原価率!$A$2:$A$50&amp;★原価率!$B$2:$B$50,0),3),0)</f>
        <v>78</v>
      </c>
      <c r="J280" s="464" cm="1">
        <f t="array" ref="J280">IFERROR(INDEX(★原価率!$A$2:$E$50,MATCH($C280&amp;$H280,★原価率!$A$2:$A$50&amp;★原価率!$B$2:$B$50,0),4),0)</f>
        <v>82</v>
      </c>
      <c r="K280" s="464" cm="1">
        <f t="array" ref="K280">IFERROR(INDEX(★原価率!$A$2:$E$50,MATCH($C280&amp;$H280,★原価率!$A$2:$A$50&amp;★原価率!$B$2:$B$50,0),5),0)</f>
        <v>100</v>
      </c>
      <c r="L280" s="528">
        <f>IFERROR(VLOOKUP(W280,★商品!$A$1:$H$1231,8,FALSE),0)</f>
        <v>2.8</v>
      </c>
      <c r="M280" s="203" t="str">
        <f ca="1">CONCATENATE(VLOOKUP(B280,★営業所!$A$2:$B$5,2,FALSE),TEXT(NOW(),"yyyy"))</f>
        <v>T2023</v>
      </c>
      <c r="N280" s="203">
        <v>1</v>
      </c>
      <c r="O280" s="203">
        <v>0</v>
      </c>
      <c r="P280" s="213">
        <f>申込書!$B$6</f>
        <v>0</v>
      </c>
      <c r="Q280" s="203">
        <f>申込書!$C$34</f>
        <v>1000040</v>
      </c>
      <c r="R280" s="203">
        <v>0</v>
      </c>
      <c r="U280" s="203">
        <f>VLOOKUP(B280,★営業所!$A$2:$C$5,3,FALSE)</f>
        <v>8</v>
      </c>
      <c r="V280" s="203">
        <f>申込書!$B$9</f>
        <v>0</v>
      </c>
      <c r="W280" s="203" t="str">
        <f>CONCATENATE(VLOOKUP(B280,★営業所!$A$2:$B$5,2,FALSE),VLOOKUP(申込書!$C$32,★サイズ表記!$D$4:$E$55,2,FALSE),VLOOKUP(D280,★折込地区!$A$2:$B$11,2,FALSE))</f>
        <v>T1001Kry</v>
      </c>
      <c r="X280" s="203" t="str">
        <f>CONCATENATE(申込書!$B$9," ",VLOOKUP(RIGHT(W280,3),★折込地区!$B$2:$C$10,2,FALSE),"")</f>
        <v xml:space="preserve"> 倉吉</v>
      </c>
      <c r="Z280" s="206">
        <f t="shared" ca="1" si="32"/>
        <v>0</v>
      </c>
      <c r="AB280" s="383">
        <f t="shared" si="33"/>
        <v>2.8</v>
      </c>
      <c r="AC280" s="203" t="str">
        <f t="shared" si="34"/>
        <v>D1001</v>
      </c>
      <c r="AD280" s="203" t="str">
        <f>VLOOKUP(AC280,★原価商品!$E$6:$F$349,2,FALSE)</f>
        <v>日本海/B4（折り無し）</v>
      </c>
      <c r="AE280" s="203">
        <f t="shared" ca="1" si="35"/>
        <v>0</v>
      </c>
      <c r="AF280" s="383">
        <f>IFERROR(IF(VLOOKUP(申込書!$C$32,★サイズ表記!$F$4:$H$55,3,FALSE)="切り捨て",ROUNDDOWN(L280*IF(AK280="◎",I280,J280)/100,2),IF(VLOOKUP(申込書!$C$32,★サイズ表記!$F$4:$H$55,3,FALSE)="切り上げ",ROUNDUP(L280*IF(AK280="◎",I280,J280)/100,2),ROUND(L280*IF(AK280="◎",I280,J280)/100,2))),0)</f>
        <v>2.1800000000000002</v>
      </c>
      <c r="AG280" s="203">
        <f t="shared" ca="1" si="36"/>
        <v>10303</v>
      </c>
      <c r="AJ280" s="460" t="str">
        <f>IFERROR(VLOOKUP(申込書!$C$30,★業種!$D$2:$E$87,2,FALSE),"")</f>
        <v>1003</v>
      </c>
      <c r="AK280" s="460" t="str">
        <f>IF(申込書!$C$36="◎",IF(OR(D280="浜坂・温泉",D280="美方・村岡",D280="香住",D280="岡山",D280="大阪"),"",IF(LEFT(F280)="D","◎",IF(AG280=0,"",IFERROR(IF(VLOOKUP(AG280,★仕入先!$A$2:$C$211,3,FALSE)=0,"","◎"),"")))),"")</f>
        <v>◎</v>
      </c>
      <c r="AL280" s="460">
        <f>申込書!$H$14</f>
        <v>0</v>
      </c>
      <c r="AM280" s="460" t="str">
        <f>申込書!$C$32</f>
        <v>B4（折り無し）</v>
      </c>
      <c r="AN280" s="460" t="str">
        <f>VLOOKUP(AM280,★サイズ表記!$D$4:$E$55,2,FALSE)</f>
        <v>1001</v>
      </c>
      <c r="AO280" s="460">
        <f>IF(C280&lt;&gt;"⑧兵庫",VLOOKUP(LEFT(F280),★新聞!$A$4:$B$12,2,FALSE),IF(LEFT(F280)&lt;&gt;"S",VLOOKUP(LEFT(F280),★新聞!$A$4:$B$12,2,FALSE),VLOOKUP("X",★新聞!$A$4:$B$12,2,FALSE)))</f>
        <v>1</v>
      </c>
      <c r="AP280" s="460" t="str">
        <f t="shared" ca="1" si="37"/>
        <v>0</v>
      </c>
      <c r="AQ280" s="460" t="str">
        <f>IF(申込書!$C$38="","",申込書!$C$38)</f>
        <v/>
      </c>
    </row>
    <row r="281" spans="1:43">
      <c r="A281" s="463">
        <f t="shared" si="38"/>
        <v>280</v>
      </c>
      <c r="B281" s="463" t="str">
        <f t="shared" si="39"/>
        <v>東部</v>
      </c>
      <c r="C281" s="464" t="s">
        <v>1017</v>
      </c>
      <c r="D281" s="464" t="s">
        <v>1602</v>
      </c>
      <c r="E281" s="464">
        <f>VLOOKUP(D281,★折込地区!$A$2:$D$10,4,FALSE)</f>
        <v>2</v>
      </c>
      <c r="F281" s="464" t="s">
        <v>400</v>
      </c>
      <c r="G281" s="464" t="str">
        <f>INDEX(★新聞!$E$4:$I$12, MATCH(LEFT(F281),★新聞!$A$4:$A$12,0), MATCH(LEFT(W281),★新聞!$E$3:$I$3,0))</f>
        <v>X</v>
      </c>
      <c r="H281" s="475" t="s">
        <v>1105</v>
      </c>
      <c r="I281" s="464" cm="1">
        <f t="array" ref="I281">IFERROR(INDEX(★原価率!$A$2:$E$50,MATCH($C281&amp;$H281,★原価率!$A$2:$A$50&amp;★原価率!$B$2:$B$50,0),3),0)</f>
        <v>78</v>
      </c>
      <c r="J281" s="464" cm="1">
        <f t="array" ref="J281">IFERROR(INDEX(★原価率!$A$2:$E$50,MATCH($C281&amp;$H281,★原価率!$A$2:$A$50&amp;★原価率!$B$2:$B$50,0),4),0)</f>
        <v>82</v>
      </c>
      <c r="K281" s="464" cm="1">
        <f t="array" ref="K281">IFERROR(INDEX(★原価率!$A$2:$E$50,MATCH($C281&amp;$H281,★原価率!$A$2:$A$50&amp;★原価率!$B$2:$B$50,0),5),0)</f>
        <v>100</v>
      </c>
      <c r="L281" s="528">
        <f>IFERROR(VLOOKUP(W281,★商品!$A$1:$H$1231,8,FALSE),0)</f>
        <v>2.8</v>
      </c>
      <c r="M281" s="203" t="str">
        <f ca="1">CONCATENATE(VLOOKUP(B281,★営業所!$A$2:$B$5,2,FALSE),TEXT(NOW(),"yyyy"))</f>
        <v>T2023</v>
      </c>
      <c r="N281" s="203">
        <v>1</v>
      </c>
      <c r="O281" s="203">
        <v>0</v>
      </c>
      <c r="P281" s="213">
        <f>申込書!$B$6</f>
        <v>0</v>
      </c>
      <c r="Q281" s="203">
        <f>申込書!$C$34</f>
        <v>1000040</v>
      </c>
      <c r="R281" s="203">
        <v>0</v>
      </c>
      <c r="U281" s="203">
        <f>VLOOKUP(B281,★営業所!$A$2:$C$5,3,FALSE)</f>
        <v>8</v>
      </c>
      <c r="V281" s="203">
        <f>申込書!$B$9</f>
        <v>0</v>
      </c>
      <c r="W281" s="203" t="str">
        <f>CONCATENATE(VLOOKUP(B281,★営業所!$A$2:$B$5,2,FALSE),VLOOKUP(申込書!$C$32,★サイズ表記!$D$4:$E$55,2,FALSE),VLOOKUP(D281,★折込地区!$A$2:$B$11,2,FALSE))</f>
        <v>T1001Kry</v>
      </c>
      <c r="X281" s="203" t="str">
        <f>CONCATENATE(申込書!$B$9," ",VLOOKUP(RIGHT(W281,3),★折込地区!$B$2:$C$10,2,FALSE),"")</f>
        <v xml:space="preserve"> 倉吉</v>
      </c>
      <c r="Z281" s="206">
        <f t="shared" ca="1" si="32"/>
        <v>0</v>
      </c>
      <c r="AB281" s="383">
        <f t="shared" si="33"/>
        <v>2.8</v>
      </c>
      <c r="AC281" s="203" t="str">
        <f t="shared" si="34"/>
        <v>D1001</v>
      </c>
      <c r="AD281" s="203" t="str">
        <f>VLOOKUP(AC281,★原価商品!$E$6:$F$349,2,FALSE)</f>
        <v>日本海/B4（折り無し）</v>
      </c>
      <c r="AE281" s="203">
        <f t="shared" ca="1" si="35"/>
        <v>0</v>
      </c>
      <c r="AF281" s="383">
        <f>IFERROR(IF(VLOOKUP(申込書!$C$32,★サイズ表記!$F$4:$H$55,3,FALSE)="切り捨て",ROUNDDOWN(L281*IF(AK281="◎",I281,J281)/100,2),IF(VLOOKUP(申込書!$C$32,★サイズ表記!$F$4:$H$55,3,FALSE)="切り上げ",ROUNDUP(L281*IF(AK281="◎",I281,J281)/100,2),ROUND(L281*IF(AK281="◎",I281,J281)/100,2))),0)</f>
        <v>2.1800000000000002</v>
      </c>
      <c r="AG281" s="203">
        <f t="shared" ca="1" si="36"/>
        <v>10303</v>
      </c>
      <c r="AJ281" s="460" t="str">
        <f>IFERROR(VLOOKUP(申込書!$C$30,★業種!$D$2:$E$87,2,FALSE),"")</f>
        <v>1003</v>
      </c>
      <c r="AK281" s="460" t="str">
        <f>IF(申込書!$C$36="◎",IF(OR(D281="浜坂・温泉",D281="美方・村岡",D281="香住",D281="岡山",D281="大阪"),"",IF(LEFT(F281)="D","◎",IF(AG281=0,"",IFERROR(IF(VLOOKUP(AG281,★仕入先!$A$2:$C$211,3,FALSE)=0,"","◎"),"")))),"")</f>
        <v>◎</v>
      </c>
      <c r="AL281" s="460">
        <f>申込書!$H$14</f>
        <v>0</v>
      </c>
      <c r="AM281" s="460" t="str">
        <f>申込書!$C$32</f>
        <v>B4（折り無し）</v>
      </c>
      <c r="AN281" s="460" t="str">
        <f>VLOOKUP(AM281,★サイズ表記!$D$4:$E$55,2,FALSE)</f>
        <v>1001</v>
      </c>
      <c r="AO281" s="460">
        <f>IF(C281&lt;&gt;"⑧兵庫",VLOOKUP(LEFT(F281),★新聞!$A$4:$B$12,2,FALSE),IF(LEFT(F281)&lt;&gt;"S",VLOOKUP(LEFT(F281),★新聞!$A$4:$B$12,2,FALSE),VLOOKUP("X",★新聞!$A$4:$B$12,2,FALSE)))</f>
        <v>1</v>
      </c>
      <c r="AP281" s="460" t="str">
        <f t="shared" ca="1" si="37"/>
        <v>0</v>
      </c>
      <c r="AQ281" s="460" t="str">
        <f>IF(申込書!$C$38="","",申込書!$C$38)</f>
        <v/>
      </c>
    </row>
    <row r="282" spans="1:43">
      <c r="A282" s="463">
        <f t="shared" si="38"/>
        <v>281</v>
      </c>
      <c r="B282" s="463" t="str">
        <f t="shared" si="39"/>
        <v>東部</v>
      </c>
      <c r="C282" s="464" t="s">
        <v>1017</v>
      </c>
      <c r="D282" s="464" t="s">
        <v>1602</v>
      </c>
      <c r="E282" s="464">
        <f>VLOOKUP(D282,★折込地区!$A$2:$D$10,4,FALSE)</f>
        <v>2</v>
      </c>
      <c r="F282" s="464" t="s">
        <v>401</v>
      </c>
      <c r="G282" s="464" t="str">
        <f>INDEX(★新聞!$E$4:$I$12, MATCH(LEFT(F282),★新聞!$A$4:$A$12,0), MATCH(LEFT(W282),★新聞!$E$3:$I$3,0))</f>
        <v>X</v>
      </c>
      <c r="H282" s="475" t="s">
        <v>1105</v>
      </c>
      <c r="I282" s="464" cm="1">
        <f t="array" ref="I282">IFERROR(INDEX(★原価率!$A$2:$E$50,MATCH($C282&amp;$H282,★原価率!$A$2:$A$50&amp;★原価率!$B$2:$B$50,0),3),0)</f>
        <v>78</v>
      </c>
      <c r="J282" s="464" cm="1">
        <f t="array" ref="J282">IFERROR(INDEX(★原価率!$A$2:$E$50,MATCH($C282&amp;$H282,★原価率!$A$2:$A$50&amp;★原価率!$B$2:$B$50,0),4),0)</f>
        <v>82</v>
      </c>
      <c r="K282" s="464" cm="1">
        <f t="array" ref="K282">IFERROR(INDEX(★原価率!$A$2:$E$50,MATCH($C282&amp;$H282,★原価率!$A$2:$A$50&amp;★原価率!$B$2:$B$50,0),5),0)</f>
        <v>100</v>
      </c>
      <c r="L282" s="528">
        <f>IFERROR(VLOOKUP(W282,★商品!$A$1:$H$1231,8,FALSE),0)</f>
        <v>2.8</v>
      </c>
      <c r="M282" s="203" t="str">
        <f ca="1">CONCATENATE(VLOOKUP(B282,★営業所!$A$2:$B$5,2,FALSE),TEXT(NOW(),"yyyy"))</f>
        <v>T2023</v>
      </c>
      <c r="N282" s="203">
        <v>1</v>
      </c>
      <c r="O282" s="203">
        <v>0</v>
      </c>
      <c r="P282" s="213">
        <f>申込書!$B$6</f>
        <v>0</v>
      </c>
      <c r="Q282" s="203">
        <f>申込書!$C$34</f>
        <v>1000040</v>
      </c>
      <c r="R282" s="203">
        <v>0</v>
      </c>
      <c r="U282" s="203">
        <f>VLOOKUP(B282,★営業所!$A$2:$C$5,3,FALSE)</f>
        <v>8</v>
      </c>
      <c r="V282" s="203">
        <f>申込書!$B$9</f>
        <v>0</v>
      </c>
      <c r="W282" s="203" t="str">
        <f>CONCATENATE(VLOOKUP(B282,★営業所!$A$2:$B$5,2,FALSE),VLOOKUP(申込書!$C$32,★サイズ表記!$D$4:$E$55,2,FALSE),VLOOKUP(D282,★折込地区!$A$2:$B$11,2,FALSE))</f>
        <v>T1001Kry</v>
      </c>
      <c r="X282" s="203" t="str">
        <f>CONCATENATE(申込書!$B$9," ",VLOOKUP(RIGHT(W282,3),★折込地区!$B$2:$C$10,2,FALSE),"")</f>
        <v xml:space="preserve"> 倉吉</v>
      </c>
      <c r="Z282" s="206">
        <f t="shared" ca="1" si="32"/>
        <v>0</v>
      </c>
      <c r="AB282" s="383">
        <f t="shared" si="33"/>
        <v>2.8</v>
      </c>
      <c r="AC282" s="203" t="str">
        <f t="shared" si="34"/>
        <v>D1001</v>
      </c>
      <c r="AD282" s="203" t="str">
        <f>VLOOKUP(AC282,★原価商品!$E$6:$F$349,2,FALSE)</f>
        <v>日本海/B4（折り無し）</v>
      </c>
      <c r="AE282" s="203">
        <f t="shared" ca="1" si="35"/>
        <v>0</v>
      </c>
      <c r="AF282" s="383">
        <f>IFERROR(IF(VLOOKUP(申込書!$C$32,★サイズ表記!$F$4:$H$55,3,FALSE)="切り捨て",ROUNDDOWN(L282*IF(AK282="◎",I282,J282)/100,2),IF(VLOOKUP(申込書!$C$32,★サイズ表記!$F$4:$H$55,3,FALSE)="切り上げ",ROUNDUP(L282*IF(AK282="◎",I282,J282)/100,2),ROUND(L282*IF(AK282="◎",I282,J282)/100,2))),0)</f>
        <v>2.1800000000000002</v>
      </c>
      <c r="AG282" s="203">
        <f t="shared" ca="1" si="36"/>
        <v>10303</v>
      </c>
      <c r="AJ282" s="460" t="str">
        <f>IFERROR(VLOOKUP(申込書!$C$30,★業種!$D$2:$E$87,2,FALSE),"")</f>
        <v>1003</v>
      </c>
      <c r="AK282" s="460" t="str">
        <f>IF(申込書!$C$36="◎",IF(OR(D282="浜坂・温泉",D282="美方・村岡",D282="香住",D282="岡山",D282="大阪"),"",IF(LEFT(F282)="D","◎",IF(AG282=0,"",IFERROR(IF(VLOOKUP(AG282,★仕入先!$A$2:$C$211,3,FALSE)=0,"","◎"),"")))),"")</f>
        <v>◎</v>
      </c>
      <c r="AL282" s="460">
        <f>申込書!$H$14</f>
        <v>0</v>
      </c>
      <c r="AM282" s="460" t="str">
        <f>申込書!$C$32</f>
        <v>B4（折り無し）</v>
      </c>
      <c r="AN282" s="460" t="str">
        <f>VLOOKUP(AM282,★サイズ表記!$D$4:$E$55,2,FALSE)</f>
        <v>1001</v>
      </c>
      <c r="AO282" s="460">
        <f>IF(C282&lt;&gt;"⑧兵庫",VLOOKUP(LEFT(F282),★新聞!$A$4:$B$12,2,FALSE),IF(LEFT(F282)&lt;&gt;"S",VLOOKUP(LEFT(F282),★新聞!$A$4:$B$12,2,FALSE),VLOOKUP("X",★新聞!$A$4:$B$12,2,FALSE)))</f>
        <v>1</v>
      </c>
      <c r="AP282" s="460" t="str">
        <f t="shared" ca="1" si="37"/>
        <v>0</v>
      </c>
      <c r="AQ282" s="460" t="str">
        <f>IF(申込書!$C$38="","",申込書!$C$38)</f>
        <v/>
      </c>
    </row>
    <row r="283" spans="1:43">
      <c r="A283" s="463">
        <f t="shared" si="38"/>
        <v>282</v>
      </c>
      <c r="B283" s="463" t="str">
        <f t="shared" si="39"/>
        <v>東部</v>
      </c>
      <c r="C283" s="464" t="s">
        <v>1017</v>
      </c>
      <c r="D283" s="464" t="s">
        <v>1602</v>
      </c>
      <c r="E283" s="464">
        <f>VLOOKUP(D283,★折込地区!$A$2:$D$10,4,FALSE)</f>
        <v>2</v>
      </c>
      <c r="F283" s="464" t="s">
        <v>402</v>
      </c>
      <c r="G283" s="464" t="str">
        <f>INDEX(★新聞!$E$4:$I$12, MATCH(LEFT(F283),★新聞!$A$4:$A$12,0), MATCH(LEFT(W283),★新聞!$E$3:$I$3,0))</f>
        <v>X</v>
      </c>
      <c r="H283" s="475" t="s">
        <v>1105</v>
      </c>
      <c r="I283" s="464" cm="1">
        <f t="array" ref="I283">IFERROR(INDEX(★原価率!$A$2:$E$50,MATCH($C283&amp;$H283,★原価率!$A$2:$A$50&amp;★原価率!$B$2:$B$50,0),3),0)</f>
        <v>78</v>
      </c>
      <c r="J283" s="464" cm="1">
        <f t="array" ref="J283">IFERROR(INDEX(★原価率!$A$2:$E$50,MATCH($C283&amp;$H283,★原価率!$A$2:$A$50&amp;★原価率!$B$2:$B$50,0),4),0)</f>
        <v>82</v>
      </c>
      <c r="K283" s="464" cm="1">
        <f t="array" ref="K283">IFERROR(INDEX(★原価率!$A$2:$E$50,MATCH($C283&amp;$H283,★原価率!$A$2:$A$50&amp;★原価率!$B$2:$B$50,0),5),0)</f>
        <v>100</v>
      </c>
      <c r="L283" s="528">
        <f>IFERROR(VLOOKUP(W283,★商品!$A$1:$H$1231,8,FALSE),0)</f>
        <v>2.8</v>
      </c>
      <c r="M283" s="203" t="str">
        <f ca="1">CONCATENATE(VLOOKUP(B283,★営業所!$A$2:$B$5,2,FALSE),TEXT(NOW(),"yyyy"))</f>
        <v>T2023</v>
      </c>
      <c r="N283" s="203">
        <v>1</v>
      </c>
      <c r="O283" s="203">
        <v>0</v>
      </c>
      <c r="P283" s="213">
        <f>申込書!$B$6</f>
        <v>0</v>
      </c>
      <c r="Q283" s="203">
        <f>申込書!$C$34</f>
        <v>1000040</v>
      </c>
      <c r="R283" s="203">
        <v>0</v>
      </c>
      <c r="U283" s="203">
        <f>VLOOKUP(B283,★営業所!$A$2:$C$5,3,FALSE)</f>
        <v>8</v>
      </c>
      <c r="V283" s="203">
        <f>申込書!$B$9</f>
        <v>0</v>
      </c>
      <c r="W283" s="203" t="str">
        <f>CONCATENATE(VLOOKUP(B283,★営業所!$A$2:$B$5,2,FALSE),VLOOKUP(申込書!$C$32,★サイズ表記!$D$4:$E$55,2,FALSE),VLOOKUP(D283,★折込地区!$A$2:$B$11,2,FALSE))</f>
        <v>T1001Kry</v>
      </c>
      <c r="X283" s="203" t="str">
        <f>CONCATENATE(申込書!$B$9," ",VLOOKUP(RIGHT(W283,3),★折込地区!$B$2:$C$10,2,FALSE),"")</f>
        <v xml:space="preserve"> 倉吉</v>
      </c>
      <c r="Z283" s="206">
        <f t="shared" ca="1" si="32"/>
        <v>0</v>
      </c>
      <c r="AB283" s="383">
        <f t="shared" si="33"/>
        <v>2.8</v>
      </c>
      <c r="AC283" s="203" t="str">
        <f t="shared" si="34"/>
        <v>D1001</v>
      </c>
      <c r="AD283" s="203" t="str">
        <f>VLOOKUP(AC283,★原価商品!$E$6:$F$349,2,FALSE)</f>
        <v>日本海/B4（折り無し）</v>
      </c>
      <c r="AE283" s="203">
        <f t="shared" ca="1" si="35"/>
        <v>0</v>
      </c>
      <c r="AF283" s="383">
        <f>IFERROR(IF(VLOOKUP(申込書!$C$32,★サイズ表記!$F$4:$H$55,3,FALSE)="切り捨て",ROUNDDOWN(L283*IF(AK283="◎",I283,J283)/100,2),IF(VLOOKUP(申込書!$C$32,★サイズ表記!$F$4:$H$55,3,FALSE)="切り上げ",ROUNDUP(L283*IF(AK283="◎",I283,J283)/100,2),ROUND(L283*IF(AK283="◎",I283,J283)/100,2))),0)</f>
        <v>2.1800000000000002</v>
      </c>
      <c r="AG283" s="203">
        <f t="shared" ca="1" si="36"/>
        <v>10303</v>
      </c>
      <c r="AJ283" s="460" t="str">
        <f>IFERROR(VLOOKUP(申込書!$C$30,★業種!$D$2:$E$87,2,FALSE),"")</f>
        <v>1003</v>
      </c>
      <c r="AK283" s="460" t="str">
        <f>IF(申込書!$C$36="◎",IF(OR(D283="浜坂・温泉",D283="美方・村岡",D283="香住",D283="岡山",D283="大阪"),"",IF(LEFT(F283)="D","◎",IF(AG283=0,"",IFERROR(IF(VLOOKUP(AG283,★仕入先!$A$2:$C$211,3,FALSE)=0,"","◎"),"")))),"")</f>
        <v>◎</v>
      </c>
      <c r="AL283" s="460">
        <f>申込書!$H$14</f>
        <v>0</v>
      </c>
      <c r="AM283" s="460" t="str">
        <f>申込書!$C$32</f>
        <v>B4（折り無し）</v>
      </c>
      <c r="AN283" s="460" t="str">
        <f>VLOOKUP(AM283,★サイズ表記!$D$4:$E$55,2,FALSE)</f>
        <v>1001</v>
      </c>
      <c r="AO283" s="460">
        <f>IF(C283&lt;&gt;"⑧兵庫",VLOOKUP(LEFT(F283),★新聞!$A$4:$B$12,2,FALSE),IF(LEFT(F283)&lt;&gt;"S",VLOOKUP(LEFT(F283),★新聞!$A$4:$B$12,2,FALSE),VLOOKUP("X",★新聞!$A$4:$B$12,2,FALSE)))</f>
        <v>1</v>
      </c>
      <c r="AP283" s="460" t="str">
        <f t="shared" ca="1" si="37"/>
        <v>0</v>
      </c>
      <c r="AQ283" s="460" t="str">
        <f>IF(申込書!$C$38="","",申込書!$C$38)</f>
        <v/>
      </c>
    </row>
    <row r="284" spans="1:43">
      <c r="A284" s="463">
        <f t="shared" si="38"/>
        <v>283</v>
      </c>
      <c r="B284" s="463" t="str">
        <f t="shared" si="39"/>
        <v>東部</v>
      </c>
      <c r="C284" s="464" t="s">
        <v>1017</v>
      </c>
      <c r="D284" s="464" t="s">
        <v>1602</v>
      </c>
      <c r="E284" s="464">
        <f>VLOOKUP(D284,★折込地区!$A$2:$D$10,4,FALSE)</f>
        <v>2</v>
      </c>
      <c r="F284" s="464" t="s">
        <v>403</v>
      </c>
      <c r="G284" s="464" t="str">
        <f>INDEX(★新聞!$E$4:$I$12, MATCH(LEFT(F284),★新聞!$A$4:$A$12,0), MATCH(LEFT(W284),★新聞!$E$3:$I$3,0))</f>
        <v>X</v>
      </c>
      <c r="H284" s="475" t="s">
        <v>1105</v>
      </c>
      <c r="I284" s="464" cm="1">
        <f t="array" ref="I284">IFERROR(INDEX(★原価率!$A$2:$E$50,MATCH($C284&amp;$H284,★原価率!$A$2:$A$50&amp;★原価率!$B$2:$B$50,0),3),0)</f>
        <v>78</v>
      </c>
      <c r="J284" s="464" cm="1">
        <f t="array" ref="J284">IFERROR(INDEX(★原価率!$A$2:$E$50,MATCH($C284&amp;$H284,★原価率!$A$2:$A$50&amp;★原価率!$B$2:$B$50,0),4),0)</f>
        <v>82</v>
      </c>
      <c r="K284" s="464" cm="1">
        <f t="array" ref="K284">IFERROR(INDEX(★原価率!$A$2:$E$50,MATCH($C284&amp;$H284,★原価率!$A$2:$A$50&amp;★原価率!$B$2:$B$50,0),5),0)</f>
        <v>100</v>
      </c>
      <c r="L284" s="528">
        <f>IFERROR(VLOOKUP(W284,★商品!$A$1:$H$1231,8,FALSE),0)</f>
        <v>2.8</v>
      </c>
      <c r="M284" s="203" t="str">
        <f ca="1">CONCATENATE(VLOOKUP(B284,★営業所!$A$2:$B$5,2,FALSE),TEXT(NOW(),"yyyy"))</f>
        <v>T2023</v>
      </c>
      <c r="N284" s="203">
        <v>1</v>
      </c>
      <c r="O284" s="203">
        <v>0</v>
      </c>
      <c r="P284" s="213">
        <f>申込書!$B$6</f>
        <v>0</v>
      </c>
      <c r="Q284" s="203">
        <f>申込書!$C$34</f>
        <v>1000040</v>
      </c>
      <c r="R284" s="203">
        <v>0</v>
      </c>
      <c r="U284" s="203">
        <f>VLOOKUP(B284,★営業所!$A$2:$C$5,3,FALSE)</f>
        <v>8</v>
      </c>
      <c r="V284" s="203">
        <f>申込書!$B$9</f>
        <v>0</v>
      </c>
      <c r="W284" s="203" t="str">
        <f>CONCATENATE(VLOOKUP(B284,★営業所!$A$2:$B$5,2,FALSE),VLOOKUP(申込書!$C$32,★サイズ表記!$D$4:$E$55,2,FALSE),VLOOKUP(D284,★折込地区!$A$2:$B$11,2,FALSE))</f>
        <v>T1001Kry</v>
      </c>
      <c r="X284" s="203" t="str">
        <f>CONCATENATE(申込書!$B$9," ",VLOOKUP(RIGHT(W284,3),★折込地区!$B$2:$C$10,2,FALSE),"")</f>
        <v xml:space="preserve"> 倉吉</v>
      </c>
      <c r="Z284" s="206">
        <f t="shared" ca="1" si="32"/>
        <v>0</v>
      </c>
      <c r="AB284" s="383">
        <f t="shared" si="33"/>
        <v>2.8</v>
      </c>
      <c r="AC284" s="203" t="str">
        <f t="shared" si="34"/>
        <v>D1001</v>
      </c>
      <c r="AD284" s="203" t="str">
        <f>VLOOKUP(AC284,★原価商品!$E$6:$F$349,2,FALSE)</f>
        <v>日本海/B4（折り無し）</v>
      </c>
      <c r="AE284" s="203">
        <f t="shared" ca="1" si="35"/>
        <v>0</v>
      </c>
      <c r="AF284" s="383">
        <f>IFERROR(IF(VLOOKUP(申込書!$C$32,★サイズ表記!$F$4:$H$55,3,FALSE)="切り捨て",ROUNDDOWN(L284*IF(AK284="◎",I284,J284)/100,2),IF(VLOOKUP(申込書!$C$32,★サイズ表記!$F$4:$H$55,3,FALSE)="切り上げ",ROUNDUP(L284*IF(AK284="◎",I284,J284)/100,2),ROUND(L284*IF(AK284="◎",I284,J284)/100,2))),0)</f>
        <v>2.1800000000000002</v>
      </c>
      <c r="AG284" s="203">
        <f t="shared" ca="1" si="36"/>
        <v>10303</v>
      </c>
      <c r="AJ284" s="460" t="str">
        <f>IFERROR(VLOOKUP(申込書!$C$30,★業種!$D$2:$E$87,2,FALSE),"")</f>
        <v>1003</v>
      </c>
      <c r="AK284" s="460" t="str">
        <f>IF(申込書!$C$36="◎",IF(OR(D284="浜坂・温泉",D284="美方・村岡",D284="香住",D284="岡山",D284="大阪"),"",IF(LEFT(F284)="D","◎",IF(AG284=0,"",IFERROR(IF(VLOOKUP(AG284,★仕入先!$A$2:$C$211,3,FALSE)=0,"","◎"),"")))),"")</f>
        <v>◎</v>
      </c>
      <c r="AL284" s="460">
        <f>申込書!$H$14</f>
        <v>0</v>
      </c>
      <c r="AM284" s="460" t="str">
        <f>申込書!$C$32</f>
        <v>B4（折り無し）</v>
      </c>
      <c r="AN284" s="460" t="str">
        <f>VLOOKUP(AM284,★サイズ表記!$D$4:$E$55,2,FALSE)</f>
        <v>1001</v>
      </c>
      <c r="AO284" s="460">
        <f>IF(C284&lt;&gt;"⑧兵庫",VLOOKUP(LEFT(F284),★新聞!$A$4:$B$12,2,FALSE),IF(LEFT(F284)&lt;&gt;"S",VLOOKUP(LEFT(F284),★新聞!$A$4:$B$12,2,FALSE),VLOOKUP("X",★新聞!$A$4:$B$12,2,FALSE)))</f>
        <v>1</v>
      </c>
      <c r="AP284" s="460" t="str">
        <f t="shared" ca="1" si="37"/>
        <v>0</v>
      </c>
      <c r="AQ284" s="460" t="str">
        <f>IF(申込書!$C$38="","",申込書!$C$38)</f>
        <v/>
      </c>
    </row>
    <row r="285" spans="1:43">
      <c r="A285" s="463">
        <f t="shared" si="38"/>
        <v>284</v>
      </c>
      <c r="B285" s="463" t="str">
        <f t="shared" si="39"/>
        <v>東部</v>
      </c>
      <c r="C285" s="464" t="s">
        <v>1017</v>
      </c>
      <c r="D285" s="464" t="s">
        <v>42</v>
      </c>
      <c r="E285" s="464">
        <f>VLOOKUP(D285,★折込地区!$A$2:$D$10,4,FALSE)</f>
        <v>7</v>
      </c>
      <c r="F285" s="464" t="s">
        <v>566</v>
      </c>
      <c r="G285" s="464" t="str">
        <f>INDEX(★新聞!$E$4:$I$12, MATCH(LEFT(F285),★新聞!$A$4:$A$12,0), MATCH(LEFT(W285),★新聞!$E$3:$I$3,0))</f>
        <v>X</v>
      </c>
      <c r="H285" s="475" t="s">
        <v>1110</v>
      </c>
      <c r="I285" s="464" cm="1">
        <f t="array" ref="I285">IFERROR(INDEX(★原価率!$A$2:$E$50,MATCH($C285&amp;$H285,★原価率!$A$2:$A$50&amp;★原価率!$B$2:$B$50,0),3),0)</f>
        <v>100</v>
      </c>
      <c r="J285" s="464" cm="1">
        <f t="array" ref="J285">IFERROR(INDEX(★原価率!$A$2:$E$50,MATCH($C285&amp;$H285,★原価率!$A$2:$A$50&amp;★原価率!$B$2:$B$50,0),4),0)</f>
        <v>100</v>
      </c>
      <c r="K285" s="464" cm="1">
        <f t="array" ref="K285">IFERROR(INDEX(★原価率!$A$2:$E$50,MATCH($C285&amp;$H285,★原価率!$A$2:$A$50&amp;★原価率!$B$2:$B$50,0),5),0)</f>
        <v>100</v>
      </c>
      <c r="L285" s="528">
        <f>IFERROR(VLOOKUP(W285,★商品!$A$1:$H$1231,8,FALSE),0)</f>
        <v>3</v>
      </c>
      <c r="M285" s="203" t="str">
        <f ca="1">CONCATENATE(VLOOKUP(B285,★営業所!$A$2:$B$5,2,FALSE),TEXT(NOW(),"yyyy"))</f>
        <v>T2023</v>
      </c>
      <c r="N285" s="203">
        <v>1</v>
      </c>
      <c r="O285" s="203">
        <v>0</v>
      </c>
      <c r="P285" s="213">
        <f>申込書!$B$6</f>
        <v>0</v>
      </c>
      <c r="Q285" s="203">
        <f>申込書!$C$34</f>
        <v>1000040</v>
      </c>
      <c r="R285" s="203">
        <v>0</v>
      </c>
      <c r="U285" s="203">
        <f>VLOOKUP(B285,★営業所!$A$2:$C$5,3,FALSE)</f>
        <v>8</v>
      </c>
      <c r="V285" s="203">
        <f>申込書!$B$9</f>
        <v>0</v>
      </c>
      <c r="W285" s="203" t="str">
        <f>CONCATENATE(VLOOKUP(B285,★営業所!$A$2:$B$5,2,FALSE),VLOOKUP(申込書!$C$32,★サイズ表記!$D$4:$E$55,2,FALSE),VLOOKUP(D285,★折込地区!$A$2:$B$11,2,FALSE))</f>
        <v>T1001Oka</v>
      </c>
      <c r="X285" s="203" t="str">
        <f>CONCATENATE(申込書!$B$9," ",VLOOKUP(RIGHT(W285,3),★折込地区!$B$2:$C$10,2,FALSE),"")</f>
        <v xml:space="preserve"> 岡山</v>
      </c>
      <c r="Z285" s="206">
        <f t="shared" ca="1" si="32"/>
        <v>0</v>
      </c>
      <c r="AB285" s="383">
        <f t="shared" si="33"/>
        <v>3</v>
      </c>
      <c r="AC285" s="203" t="str">
        <f t="shared" si="34"/>
        <v>D1001</v>
      </c>
      <c r="AD285" s="203" t="str">
        <f>VLOOKUP(AC285,★原価商品!$E$6:$F$349,2,FALSE)</f>
        <v>日本海/B4（折り無し）</v>
      </c>
      <c r="AE285" s="203">
        <f t="shared" ca="1" si="35"/>
        <v>0</v>
      </c>
      <c r="AF285" s="383">
        <f>IFERROR(IF(VLOOKUP(申込書!$C$32,★サイズ表記!$F$4:$H$55,3,FALSE)="切り捨て",ROUNDDOWN(L285*IF(AK285="◎",I285,J285)/100,2),IF(VLOOKUP(申込書!$C$32,★サイズ表記!$F$4:$H$55,3,FALSE)="切り上げ",ROUNDUP(L285*IF(AK285="◎",I285,J285)/100,2),ROUND(L285*IF(AK285="◎",I285,J285)/100,2))),0)</f>
        <v>3</v>
      </c>
      <c r="AG285" s="203">
        <f t="shared" ca="1" si="36"/>
        <v>10303</v>
      </c>
      <c r="AJ285" s="460" t="str">
        <f>IFERROR(VLOOKUP(申込書!$C$30,★業種!$D$2:$E$87,2,FALSE),"")</f>
        <v>1003</v>
      </c>
      <c r="AK285" s="460" t="str">
        <f>IF(申込書!$C$36="◎",IF(OR(D285="浜坂・温泉",D285="美方・村岡",D285="香住",D285="岡山",D285="大阪"),"",IF(LEFT(F285)="D","◎",IF(AG285=0,"",IFERROR(IF(VLOOKUP(AG285,★仕入先!$A$2:$C$211,3,FALSE)=0,"","◎"),"")))),"")</f>
        <v/>
      </c>
      <c r="AL285" s="460">
        <f>申込書!$H$14</f>
        <v>0</v>
      </c>
      <c r="AM285" s="460" t="str">
        <f>申込書!$C$32</f>
        <v>B4（折り無し）</v>
      </c>
      <c r="AN285" s="460" t="str">
        <f>VLOOKUP(AM285,★サイズ表記!$D$4:$E$55,2,FALSE)</f>
        <v>1001</v>
      </c>
      <c r="AO285" s="460">
        <f>IF(C285&lt;&gt;"⑧兵庫",VLOOKUP(LEFT(F285),★新聞!$A$4:$B$12,2,FALSE),IF(LEFT(F285)&lt;&gt;"S",VLOOKUP(LEFT(F285),★新聞!$A$4:$B$12,2,FALSE),VLOOKUP("X",★新聞!$A$4:$B$12,2,FALSE)))</f>
        <v>1</v>
      </c>
      <c r="AP285" s="460" t="str">
        <f t="shared" ca="1" si="37"/>
        <v>0</v>
      </c>
      <c r="AQ285" s="460" t="str">
        <f>IF(申込書!$C$38="","",申込書!$C$38)</f>
        <v/>
      </c>
    </row>
    <row r="286" spans="1:43">
      <c r="A286" s="463">
        <f t="shared" si="38"/>
        <v>285</v>
      </c>
      <c r="B286" s="463" t="str">
        <f t="shared" si="39"/>
        <v>東部</v>
      </c>
      <c r="C286" s="464" t="s">
        <v>1017</v>
      </c>
      <c r="D286" s="464" t="s">
        <v>42</v>
      </c>
      <c r="E286" s="464">
        <f>VLOOKUP(D286,★折込地区!$A$2:$D$10,4,FALSE)</f>
        <v>7</v>
      </c>
      <c r="F286" s="464" t="s">
        <v>567</v>
      </c>
      <c r="G286" s="464" t="str">
        <f>INDEX(★新聞!$E$4:$I$12, MATCH(LEFT(F286),★新聞!$A$4:$A$12,0), MATCH(LEFT(W286),★新聞!$E$3:$I$3,0))</f>
        <v>X</v>
      </c>
      <c r="H286" s="475" t="s">
        <v>1110</v>
      </c>
      <c r="I286" s="464" cm="1">
        <f t="array" ref="I286">IFERROR(INDEX(★原価率!$A$2:$E$50,MATCH($C286&amp;$H286,★原価率!$A$2:$A$50&amp;★原価率!$B$2:$B$50,0),3),0)</f>
        <v>100</v>
      </c>
      <c r="J286" s="464" cm="1">
        <f t="array" ref="J286">IFERROR(INDEX(★原価率!$A$2:$E$50,MATCH($C286&amp;$H286,★原価率!$A$2:$A$50&amp;★原価率!$B$2:$B$50,0),4),0)</f>
        <v>100</v>
      </c>
      <c r="K286" s="464" cm="1">
        <f t="array" ref="K286">IFERROR(INDEX(★原価率!$A$2:$E$50,MATCH($C286&amp;$H286,★原価率!$A$2:$A$50&amp;★原価率!$B$2:$B$50,0),5),0)</f>
        <v>100</v>
      </c>
      <c r="L286" s="528">
        <f>IFERROR(VLOOKUP(W286,★商品!$A$1:$H$1231,8,FALSE),0)</f>
        <v>3</v>
      </c>
      <c r="M286" s="203" t="str">
        <f ca="1">CONCATENATE(VLOOKUP(B286,★営業所!$A$2:$B$5,2,FALSE),TEXT(NOW(),"yyyy"))</f>
        <v>T2023</v>
      </c>
      <c r="N286" s="203">
        <v>1</v>
      </c>
      <c r="O286" s="203">
        <v>0</v>
      </c>
      <c r="P286" s="213">
        <f>申込書!$B$6</f>
        <v>0</v>
      </c>
      <c r="Q286" s="203">
        <f>申込書!$C$34</f>
        <v>1000040</v>
      </c>
      <c r="R286" s="203">
        <v>0</v>
      </c>
      <c r="U286" s="203">
        <f>VLOOKUP(B286,★営業所!$A$2:$C$5,3,FALSE)</f>
        <v>8</v>
      </c>
      <c r="V286" s="203">
        <f>申込書!$B$9</f>
        <v>0</v>
      </c>
      <c r="W286" s="203" t="str">
        <f>CONCATENATE(VLOOKUP(B286,★営業所!$A$2:$B$5,2,FALSE),VLOOKUP(申込書!$C$32,★サイズ表記!$D$4:$E$55,2,FALSE),VLOOKUP(D286,★折込地区!$A$2:$B$11,2,FALSE))</f>
        <v>T1001Oka</v>
      </c>
      <c r="X286" s="203" t="str">
        <f>CONCATENATE(申込書!$B$9," ",VLOOKUP(RIGHT(W286,3),★折込地区!$B$2:$C$10,2,FALSE),"")</f>
        <v xml:space="preserve"> 岡山</v>
      </c>
      <c r="Z286" s="206">
        <f t="shared" ca="1" si="32"/>
        <v>0</v>
      </c>
      <c r="AB286" s="383">
        <f t="shared" si="33"/>
        <v>3</v>
      </c>
      <c r="AC286" s="203" t="str">
        <f t="shared" si="34"/>
        <v>D1001</v>
      </c>
      <c r="AD286" s="203" t="str">
        <f>VLOOKUP(AC286,★原価商品!$E$6:$F$349,2,FALSE)</f>
        <v>日本海/B4（折り無し）</v>
      </c>
      <c r="AE286" s="203">
        <f t="shared" ca="1" si="35"/>
        <v>0</v>
      </c>
      <c r="AF286" s="383">
        <f>IFERROR(IF(VLOOKUP(申込書!$C$32,★サイズ表記!$F$4:$H$55,3,FALSE)="切り捨て",ROUNDDOWN(L286*IF(AK286="◎",I286,J286)/100,2),IF(VLOOKUP(申込書!$C$32,★サイズ表記!$F$4:$H$55,3,FALSE)="切り上げ",ROUNDUP(L286*IF(AK286="◎",I286,J286)/100,2),ROUND(L286*IF(AK286="◎",I286,J286)/100,2))),0)</f>
        <v>3</v>
      </c>
      <c r="AG286" s="203">
        <f t="shared" ca="1" si="36"/>
        <v>10303</v>
      </c>
      <c r="AJ286" s="460" t="str">
        <f>IFERROR(VLOOKUP(申込書!$C$30,★業種!$D$2:$E$87,2,FALSE),"")</f>
        <v>1003</v>
      </c>
      <c r="AK286" s="460" t="str">
        <f>IF(申込書!$C$36="◎",IF(OR(D286="浜坂・温泉",D286="美方・村岡",D286="香住",D286="岡山",D286="大阪"),"",IF(LEFT(F286)="D","◎",IF(AG286=0,"",IFERROR(IF(VLOOKUP(AG286,★仕入先!$A$2:$C$211,3,FALSE)=0,"","◎"),"")))),"")</f>
        <v/>
      </c>
      <c r="AL286" s="460">
        <f>申込書!$H$14</f>
        <v>0</v>
      </c>
      <c r="AM286" s="460" t="str">
        <f>申込書!$C$32</f>
        <v>B4（折り無し）</v>
      </c>
      <c r="AN286" s="460" t="str">
        <f>VLOOKUP(AM286,★サイズ表記!$D$4:$E$55,2,FALSE)</f>
        <v>1001</v>
      </c>
      <c r="AO286" s="460">
        <f>IF(C286&lt;&gt;"⑧兵庫",VLOOKUP(LEFT(F286),★新聞!$A$4:$B$12,2,FALSE),IF(LEFT(F286)&lt;&gt;"S",VLOOKUP(LEFT(F286),★新聞!$A$4:$B$12,2,FALSE),VLOOKUP("X",★新聞!$A$4:$B$12,2,FALSE)))</f>
        <v>1</v>
      </c>
      <c r="AP286" s="460" t="str">
        <f t="shared" ca="1" si="37"/>
        <v>0</v>
      </c>
      <c r="AQ286" s="460" t="str">
        <f>IF(申込書!$C$38="","",申込書!$C$38)</f>
        <v/>
      </c>
    </row>
    <row r="287" spans="1:43">
      <c r="A287" s="463">
        <f t="shared" si="38"/>
        <v>286</v>
      </c>
      <c r="B287" s="463" t="str">
        <f t="shared" si="39"/>
        <v>東部</v>
      </c>
      <c r="C287" s="464" t="s">
        <v>1017</v>
      </c>
      <c r="D287" s="464" t="s">
        <v>42</v>
      </c>
      <c r="E287" s="464">
        <f>VLOOKUP(D287,★折込地区!$A$2:$D$10,4,FALSE)</f>
        <v>7</v>
      </c>
      <c r="F287" s="464" t="s">
        <v>568</v>
      </c>
      <c r="G287" s="464" t="str">
        <f>INDEX(★新聞!$E$4:$I$12, MATCH(LEFT(F287),★新聞!$A$4:$A$12,0), MATCH(LEFT(W287),★新聞!$E$3:$I$3,0))</f>
        <v>X</v>
      </c>
      <c r="H287" s="475" t="s">
        <v>1110</v>
      </c>
      <c r="I287" s="464" cm="1">
        <f t="array" ref="I287">IFERROR(INDEX(★原価率!$A$2:$E$50,MATCH($C287&amp;$H287,★原価率!$A$2:$A$50&amp;★原価率!$B$2:$B$50,0),3),0)</f>
        <v>100</v>
      </c>
      <c r="J287" s="464" cm="1">
        <f t="array" ref="J287">IFERROR(INDEX(★原価率!$A$2:$E$50,MATCH($C287&amp;$H287,★原価率!$A$2:$A$50&amp;★原価率!$B$2:$B$50,0),4),0)</f>
        <v>100</v>
      </c>
      <c r="K287" s="464" cm="1">
        <f t="array" ref="K287">IFERROR(INDEX(★原価率!$A$2:$E$50,MATCH($C287&amp;$H287,★原価率!$A$2:$A$50&amp;★原価率!$B$2:$B$50,0),5),0)</f>
        <v>100</v>
      </c>
      <c r="L287" s="528">
        <f>IFERROR(VLOOKUP(W287,★商品!$A$1:$H$1231,8,FALSE),0)</f>
        <v>3</v>
      </c>
      <c r="M287" s="203" t="str">
        <f ca="1">CONCATENATE(VLOOKUP(B287,★営業所!$A$2:$B$5,2,FALSE),TEXT(NOW(),"yyyy"))</f>
        <v>T2023</v>
      </c>
      <c r="N287" s="203">
        <v>1</v>
      </c>
      <c r="O287" s="203">
        <v>0</v>
      </c>
      <c r="P287" s="213">
        <f>申込書!$B$6</f>
        <v>0</v>
      </c>
      <c r="Q287" s="203">
        <f>申込書!$C$34</f>
        <v>1000040</v>
      </c>
      <c r="R287" s="203">
        <v>0</v>
      </c>
      <c r="U287" s="203">
        <f>VLOOKUP(B287,★営業所!$A$2:$C$5,3,FALSE)</f>
        <v>8</v>
      </c>
      <c r="V287" s="203">
        <f>申込書!$B$9</f>
        <v>0</v>
      </c>
      <c r="W287" s="203" t="str">
        <f>CONCATENATE(VLOOKUP(B287,★営業所!$A$2:$B$5,2,FALSE),VLOOKUP(申込書!$C$32,★サイズ表記!$D$4:$E$55,2,FALSE),VLOOKUP(D287,★折込地区!$A$2:$B$11,2,FALSE))</f>
        <v>T1001Oka</v>
      </c>
      <c r="X287" s="203" t="str">
        <f>CONCATENATE(申込書!$B$9," ",VLOOKUP(RIGHT(W287,3),★折込地区!$B$2:$C$10,2,FALSE),"")</f>
        <v xml:space="preserve"> 岡山</v>
      </c>
      <c r="Z287" s="206">
        <f t="shared" ca="1" si="32"/>
        <v>0</v>
      </c>
      <c r="AB287" s="383">
        <f t="shared" si="33"/>
        <v>3</v>
      </c>
      <c r="AC287" s="203" t="str">
        <f t="shared" si="34"/>
        <v>D1001</v>
      </c>
      <c r="AD287" s="203" t="str">
        <f>VLOOKUP(AC287,★原価商品!$E$6:$F$349,2,FALSE)</f>
        <v>日本海/B4（折り無し）</v>
      </c>
      <c r="AE287" s="203">
        <f t="shared" ca="1" si="35"/>
        <v>0</v>
      </c>
      <c r="AF287" s="383">
        <f>IFERROR(IF(VLOOKUP(申込書!$C$32,★サイズ表記!$F$4:$H$55,3,FALSE)="切り捨て",ROUNDDOWN(L287*IF(AK287="◎",I287,J287)/100,2),IF(VLOOKUP(申込書!$C$32,★サイズ表記!$F$4:$H$55,3,FALSE)="切り上げ",ROUNDUP(L287*IF(AK287="◎",I287,J287)/100,2),ROUND(L287*IF(AK287="◎",I287,J287)/100,2))),0)</f>
        <v>3</v>
      </c>
      <c r="AG287" s="203">
        <f t="shared" ca="1" si="36"/>
        <v>10303</v>
      </c>
      <c r="AJ287" s="460" t="str">
        <f>IFERROR(VLOOKUP(申込書!$C$30,★業種!$D$2:$E$87,2,FALSE),"")</f>
        <v>1003</v>
      </c>
      <c r="AK287" s="460" t="str">
        <f>IF(申込書!$C$36="◎",IF(OR(D287="浜坂・温泉",D287="美方・村岡",D287="香住",D287="岡山",D287="大阪"),"",IF(LEFT(F287)="D","◎",IF(AG287=0,"",IFERROR(IF(VLOOKUP(AG287,★仕入先!$A$2:$C$211,3,FALSE)=0,"","◎"),"")))),"")</f>
        <v/>
      </c>
      <c r="AL287" s="460">
        <f>申込書!$H$14</f>
        <v>0</v>
      </c>
      <c r="AM287" s="460" t="str">
        <f>申込書!$C$32</f>
        <v>B4（折り無し）</v>
      </c>
      <c r="AN287" s="460" t="str">
        <f>VLOOKUP(AM287,★サイズ表記!$D$4:$E$55,2,FALSE)</f>
        <v>1001</v>
      </c>
      <c r="AO287" s="460">
        <f>IF(C287&lt;&gt;"⑧兵庫",VLOOKUP(LEFT(F287),★新聞!$A$4:$B$12,2,FALSE),IF(LEFT(F287)&lt;&gt;"S",VLOOKUP(LEFT(F287),★新聞!$A$4:$B$12,2,FALSE),VLOOKUP("X",★新聞!$A$4:$B$12,2,FALSE)))</f>
        <v>1</v>
      </c>
      <c r="AP287" s="460" t="str">
        <f t="shared" ca="1" si="37"/>
        <v>0</v>
      </c>
      <c r="AQ287" s="460" t="str">
        <f>IF(申込書!$C$38="","",申込書!$C$38)</f>
        <v/>
      </c>
    </row>
    <row r="288" spans="1:43">
      <c r="A288" s="463">
        <f t="shared" si="38"/>
        <v>287</v>
      </c>
      <c r="B288" s="463" t="str">
        <f t="shared" si="39"/>
        <v>東部</v>
      </c>
      <c r="C288" s="464" t="s">
        <v>1017</v>
      </c>
      <c r="D288" s="464" t="s">
        <v>1602</v>
      </c>
      <c r="E288" s="464">
        <f>VLOOKUP(D288,★折込地区!$A$2:$D$10,4,FALSE)</f>
        <v>2</v>
      </c>
      <c r="F288" s="464" t="s">
        <v>364</v>
      </c>
      <c r="G288" s="464" t="str">
        <f>INDEX(★新聞!$E$4:$I$12, MATCH(LEFT(F288),★新聞!$A$4:$A$12,0), MATCH(LEFT(W288),★新聞!$E$3:$I$3,0))</f>
        <v>AA</v>
      </c>
      <c r="H288" s="475" t="s">
        <v>1104</v>
      </c>
      <c r="I288" s="464" cm="1">
        <f t="array" ref="I288">IFERROR(INDEX(★原価率!$A$2:$E$50,MATCH($C288&amp;$H288,★原価率!$A$2:$A$50&amp;★原価率!$B$2:$B$50,0),3),0)</f>
        <v>86</v>
      </c>
      <c r="J288" s="464" cm="1">
        <f t="array" ref="J288">IFERROR(INDEX(★原価率!$A$2:$E$50,MATCH($C288&amp;$H288,★原価率!$A$2:$A$50&amp;★原価率!$B$2:$B$50,0),4),0)</f>
        <v>86</v>
      </c>
      <c r="K288" s="464" cm="1">
        <f t="array" ref="K288">IFERROR(INDEX(★原価率!$A$2:$E$50,MATCH($C288&amp;$H288,★原価率!$A$2:$A$50&amp;★原価率!$B$2:$B$50,0),5),0)</f>
        <v>100</v>
      </c>
      <c r="L288" s="528">
        <f>IFERROR(VLOOKUP(W288,★商品!$A$1:$H$1231,8,FALSE),0)</f>
        <v>2.8</v>
      </c>
      <c r="M288" s="203" t="str">
        <f ca="1">CONCATENATE(VLOOKUP(B288,★営業所!$A$2:$B$5,2,FALSE),TEXT(NOW(),"yyyy"))</f>
        <v>T2023</v>
      </c>
      <c r="N288" s="203">
        <v>1</v>
      </c>
      <c r="O288" s="203">
        <v>0</v>
      </c>
      <c r="P288" s="213">
        <f>申込書!$B$6</f>
        <v>0</v>
      </c>
      <c r="Q288" s="203">
        <f>申込書!$C$34</f>
        <v>1000040</v>
      </c>
      <c r="R288" s="203">
        <v>0</v>
      </c>
      <c r="U288" s="203">
        <f>VLOOKUP(B288,★営業所!$A$2:$C$5,3,FALSE)</f>
        <v>8</v>
      </c>
      <c r="V288" s="203">
        <f>申込書!$B$9</f>
        <v>0</v>
      </c>
      <c r="W288" s="203" t="str">
        <f>CONCATENATE(VLOOKUP(B288,★営業所!$A$2:$B$5,2,FALSE),VLOOKUP(申込書!$C$32,★サイズ表記!$D$4:$E$55,2,FALSE),VLOOKUP(D288,★折込地区!$A$2:$B$11,2,FALSE))</f>
        <v>T1001Kry</v>
      </c>
      <c r="X288" s="203" t="str">
        <f>CONCATENATE(申込書!$B$9," ",VLOOKUP(RIGHT(W288,3),★折込地区!$B$2:$C$10,2,FALSE),"")</f>
        <v xml:space="preserve"> 倉吉</v>
      </c>
      <c r="Z288" s="206">
        <f t="shared" ca="1" si="32"/>
        <v>0</v>
      </c>
      <c r="AB288" s="383">
        <f t="shared" si="33"/>
        <v>2.8</v>
      </c>
      <c r="AC288" s="203" t="str">
        <f t="shared" si="34"/>
        <v>G1001</v>
      </c>
      <c r="AD288" s="203" t="str">
        <f>VLOOKUP(AC288,★原価商品!$E$6:$F$349,2,FALSE)</f>
        <v>朝日/B4（折り無し）</v>
      </c>
      <c r="AE288" s="203">
        <f t="shared" ca="1" si="35"/>
        <v>0</v>
      </c>
      <c r="AF288" s="383">
        <f ca="1">IFERROR(IF(VLOOKUP(申込書!$C$32,★サイズ表記!$F$4:$H$55,3,FALSE)="切り捨て",ROUNDDOWN(L288*IF(AK288="◎",I288,J288)/100,2),IF(VLOOKUP(申込書!$C$32,★サイズ表記!$F$4:$H$55,3,FALSE)="切り上げ",ROUNDUP(L288*IF(AK288="◎",I288,J288)/100,2),ROUND(L288*IF(AK288="◎",I288,J288)/100,2))),0)</f>
        <v>2.4</v>
      </c>
      <c r="AG288" s="203">
        <f t="shared" ca="1" si="36"/>
        <v>10303</v>
      </c>
      <c r="AJ288" s="460" t="str">
        <f>IFERROR(VLOOKUP(申込書!$C$30,★業種!$D$2:$E$87,2,FALSE),"")</f>
        <v>1003</v>
      </c>
      <c r="AK288" s="460" t="str">
        <f ca="1">IF(申込書!$C$36="◎",IF(OR(D288="浜坂・温泉",D288="美方・村岡",D288="香住",D288="岡山",D288="大阪"),"",IF(LEFT(F288)="D","◎",IF(AG288=0,"",IFERROR(IF(VLOOKUP(AG288,★仕入先!$A$2:$C$211,3,FALSE)=0,"","◎"),"")))),"")</f>
        <v/>
      </c>
      <c r="AL288" s="460">
        <f>申込書!$H$14</f>
        <v>0</v>
      </c>
      <c r="AM288" s="460" t="str">
        <f>申込書!$C$32</f>
        <v>B4（折り無し）</v>
      </c>
      <c r="AN288" s="460" t="str">
        <f>VLOOKUP(AM288,★サイズ表記!$D$4:$E$55,2,FALSE)</f>
        <v>1001</v>
      </c>
      <c r="AO288" s="460">
        <f>IF(C288&lt;&gt;"⑧兵庫",VLOOKUP(LEFT(F288),★新聞!$A$4:$B$12,2,FALSE),IF(LEFT(F288)&lt;&gt;"S",VLOOKUP(LEFT(F288),★新聞!$A$4:$B$12,2,FALSE),VLOOKUP("X",★新聞!$A$4:$B$12,2,FALSE)))</f>
        <v>2</v>
      </c>
      <c r="AP288" s="460" t="str">
        <f t="shared" ca="1" si="37"/>
        <v>0</v>
      </c>
      <c r="AQ288" s="460" t="str">
        <f>IF(申込書!$C$38="","",申込書!$C$38)</f>
        <v/>
      </c>
    </row>
    <row r="289" spans="1:43">
      <c r="A289" s="463">
        <f t="shared" si="38"/>
        <v>288</v>
      </c>
      <c r="B289" s="463" t="str">
        <f t="shared" si="39"/>
        <v>東部</v>
      </c>
      <c r="C289" s="464" t="s">
        <v>1017</v>
      </c>
      <c r="D289" s="464" t="s">
        <v>1602</v>
      </c>
      <c r="E289" s="464">
        <f>VLOOKUP(D289,★折込地区!$A$2:$D$10,4,FALSE)</f>
        <v>2</v>
      </c>
      <c r="F289" s="464" t="s">
        <v>406</v>
      </c>
      <c r="G289" s="464" t="str">
        <f>INDEX(★新聞!$E$4:$I$12, MATCH(LEFT(F289),★新聞!$A$4:$A$12,0), MATCH(LEFT(W289),★新聞!$E$3:$I$3,0))</f>
        <v>AA</v>
      </c>
      <c r="H289" s="475" t="s">
        <v>1104</v>
      </c>
      <c r="I289" s="464" cm="1">
        <f t="array" ref="I289">IFERROR(INDEX(★原価率!$A$2:$E$50,MATCH($C289&amp;$H289,★原価率!$A$2:$A$50&amp;★原価率!$B$2:$B$50,0),3),0)</f>
        <v>86</v>
      </c>
      <c r="J289" s="464" cm="1">
        <f t="array" ref="J289">IFERROR(INDEX(★原価率!$A$2:$E$50,MATCH($C289&amp;$H289,★原価率!$A$2:$A$50&amp;★原価率!$B$2:$B$50,0),4),0)</f>
        <v>86</v>
      </c>
      <c r="K289" s="464" cm="1">
        <f t="array" ref="K289">IFERROR(INDEX(★原価率!$A$2:$E$50,MATCH($C289&amp;$H289,★原価率!$A$2:$A$50&amp;★原価率!$B$2:$B$50,0),5),0)</f>
        <v>100</v>
      </c>
      <c r="L289" s="528">
        <f>IFERROR(VLOOKUP(W289,★商品!$A$1:$H$1231,8,FALSE),0)</f>
        <v>2.8</v>
      </c>
      <c r="M289" s="203" t="str">
        <f ca="1">CONCATENATE(VLOOKUP(B289,★営業所!$A$2:$B$5,2,FALSE),TEXT(NOW(),"yyyy"))</f>
        <v>T2023</v>
      </c>
      <c r="N289" s="203">
        <v>1</v>
      </c>
      <c r="O289" s="203">
        <v>0</v>
      </c>
      <c r="P289" s="213">
        <f>申込書!$B$6</f>
        <v>0</v>
      </c>
      <c r="Q289" s="203">
        <f>申込書!$C$34</f>
        <v>1000040</v>
      </c>
      <c r="R289" s="203">
        <v>0</v>
      </c>
      <c r="U289" s="203">
        <f>VLOOKUP(B289,★営業所!$A$2:$C$5,3,FALSE)</f>
        <v>8</v>
      </c>
      <c r="V289" s="203">
        <f>申込書!$B$9</f>
        <v>0</v>
      </c>
      <c r="W289" s="203" t="str">
        <f>CONCATENATE(VLOOKUP(B289,★営業所!$A$2:$B$5,2,FALSE),VLOOKUP(申込書!$C$32,★サイズ表記!$D$4:$E$55,2,FALSE),VLOOKUP(D289,★折込地区!$A$2:$B$11,2,FALSE))</f>
        <v>T1001Kry</v>
      </c>
      <c r="X289" s="203" t="str">
        <f>CONCATENATE(申込書!$B$9," ",VLOOKUP(RIGHT(W289,3),★折込地区!$B$2:$C$10,2,FALSE),"")</f>
        <v xml:space="preserve"> 倉吉</v>
      </c>
      <c r="Z289" s="206">
        <f t="shared" ca="1" si="32"/>
        <v>0</v>
      </c>
      <c r="AB289" s="383">
        <f t="shared" si="33"/>
        <v>2.8</v>
      </c>
      <c r="AC289" s="203" t="str">
        <f t="shared" si="34"/>
        <v>G1001</v>
      </c>
      <c r="AD289" s="203" t="str">
        <f>VLOOKUP(AC289,★原価商品!$E$6:$F$349,2,FALSE)</f>
        <v>朝日/B4（折り無し）</v>
      </c>
      <c r="AE289" s="203">
        <f t="shared" ca="1" si="35"/>
        <v>0</v>
      </c>
      <c r="AF289" s="383">
        <f ca="1">IFERROR(IF(VLOOKUP(申込書!$C$32,★サイズ表記!$F$4:$H$55,3,FALSE)="切り捨て",ROUNDDOWN(L289*IF(AK289="◎",I289,J289)/100,2),IF(VLOOKUP(申込書!$C$32,★サイズ表記!$F$4:$H$55,3,FALSE)="切り上げ",ROUNDUP(L289*IF(AK289="◎",I289,J289)/100,2),ROUND(L289*IF(AK289="◎",I289,J289)/100,2))),0)</f>
        <v>2.4</v>
      </c>
      <c r="AG289" s="203">
        <f t="shared" ca="1" si="36"/>
        <v>10303</v>
      </c>
      <c r="AJ289" s="460" t="str">
        <f>IFERROR(VLOOKUP(申込書!$C$30,★業種!$D$2:$E$87,2,FALSE),"")</f>
        <v>1003</v>
      </c>
      <c r="AK289" s="460" t="str">
        <f ca="1">IF(申込書!$C$36="◎",IF(OR(D289="浜坂・温泉",D289="美方・村岡",D289="香住",D289="岡山",D289="大阪"),"",IF(LEFT(F289)="D","◎",IF(AG289=0,"",IFERROR(IF(VLOOKUP(AG289,★仕入先!$A$2:$C$211,3,FALSE)=0,"","◎"),"")))),"")</f>
        <v/>
      </c>
      <c r="AL289" s="460">
        <f>申込書!$H$14</f>
        <v>0</v>
      </c>
      <c r="AM289" s="460" t="str">
        <f>申込書!$C$32</f>
        <v>B4（折り無し）</v>
      </c>
      <c r="AN289" s="460" t="str">
        <f>VLOOKUP(AM289,★サイズ表記!$D$4:$E$55,2,FALSE)</f>
        <v>1001</v>
      </c>
      <c r="AO289" s="460">
        <f>IF(C289&lt;&gt;"⑧兵庫",VLOOKUP(LEFT(F289),★新聞!$A$4:$B$12,2,FALSE),IF(LEFT(F289)&lt;&gt;"S",VLOOKUP(LEFT(F289),★新聞!$A$4:$B$12,2,FALSE),VLOOKUP("X",★新聞!$A$4:$B$12,2,FALSE)))</f>
        <v>2</v>
      </c>
      <c r="AP289" s="460" t="str">
        <f t="shared" ca="1" si="37"/>
        <v>0</v>
      </c>
      <c r="AQ289" s="460" t="str">
        <f>IF(申込書!$C$38="","",申込書!$C$38)</f>
        <v/>
      </c>
    </row>
    <row r="290" spans="1:43">
      <c r="A290" s="463">
        <f t="shared" si="38"/>
        <v>289</v>
      </c>
      <c r="B290" s="463" t="str">
        <f t="shared" si="39"/>
        <v>東部</v>
      </c>
      <c r="C290" s="464" t="s">
        <v>1017</v>
      </c>
      <c r="D290" s="464" t="s">
        <v>1602</v>
      </c>
      <c r="E290" s="464">
        <f>VLOOKUP(D290,★折込地区!$A$2:$D$10,4,FALSE)</f>
        <v>2</v>
      </c>
      <c r="F290" s="464" t="s">
        <v>407</v>
      </c>
      <c r="G290" s="464" t="str">
        <f>INDEX(★新聞!$E$4:$I$12, MATCH(LEFT(F290),★新聞!$A$4:$A$12,0), MATCH(LEFT(W290),★新聞!$E$3:$I$3,0))</f>
        <v>AA</v>
      </c>
      <c r="H290" s="475" t="s">
        <v>1104</v>
      </c>
      <c r="I290" s="464" cm="1">
        <f t="array" ref="I290">IFERROR(INDEX(★原価率!$A$2:$E$50,MATCH($C290&amp;$H290,★原価率!$A$2:$A$50&amp;★原価率!$B$2:$B$50,0),3),0)</f>
        <v>86</v>
      </c>
      <c r="J290" s="464" cm="1">
        <f t="array" ref="J290">IFERROR(INDEX(★原価率!$A$2:$E$50,MATCH($C290&amp;$H290,★原価率!$A$2:$A$50&amp;★原価率!$B$2:$B$50,0),4),0)</f>
        <v>86</v>
      </c>
      <c r="K290" s="464" cm="1">
        <f t="array" ref="K290">IFERROR(INDEX(★原価率!$A$2:$E$50,MATCH($C290&amp;$H290,★原価率!$A$2:$A$50&amp;★原価率!$B$2:$B$50,0),5),0)</f>
        <v>100</v>
      </c>
      <c r="L290" s="528">
        <f>IFERROR(VLOOKUP(W290,★商品!$A$1:$H$1231,8,FALSE),0)</f>
        <v>2.8</v>
      </c>
      <c r="M290" s="203" t="str">
        <f ca="1">CONCATENATE(VLOOKUP(B290,★営業所!$A$2:$B$5,2,FALSE),TEXT(NOW(),"yyyy"))</f>
        <v>T2023</v>
      </c>
      <c r="N290" s="203">
        <v>1</v>
      </c>
      <c r="O290" s="203">
        <v>0</v>
      </c>
      <c r="P290" s="213">
        <f>申込書!$B$6</f>
        <v>0</v>
      </c>
      <c r="Q290" s="203">
        <f>申込書!$C$34</f>
        <v>1000040</v>
      </c>
      <c r="R290" s="203">
        <v>0</v>
      </c>
      <c r="U290" s="203">
        <f>VLOOKUP(B290,★営業所!$A$2:$C$5,3,FALSE)</f>
        <v>8</v>
      </c>
      <c r="V290" s="203">
        <f>申込書!$B$9</f>
        <v>0</v>
      </c>
      <c r="W290" s="203" t="str">
        <f>CONCATENATE(VLOOKUP(B290,★営業所!$A$2:$B$5,2,FALSE),VLOOKUP(申込書!$C$32,★サイズ表記!$D$4:$E$55,2,FALSE),VLOOKUP(D290,★折込地区!$A$2:$B$11,2,FALSE))</f>
        <v>T1001Kry</v>
      </c>
      <c r="X290" s="203" t="str">
        <f>CONCATENATE(申込書!$B$9," ",VLOOKUP(RIGHT(W290,3),★折込地区!$B$2:$C$10,2,FALSE),"")</f>
        <v xml:space="preserve"> 倉吉</v>
      </c>
      <c r="Z290" s="206">
        <f t="shared" ca="1" si="32"/>
        <v>0</v>
      </c>
      <c r="AB290" s="383">
        <f t="shared" si="33"/>
        <v>2.8</v>
      </c>
      <c r="AC290" s="203" t="str">
        <f t="shared" si="34"/>
        <v>G1001</v>
      </c>
      <c r="AD290" s="203" t="str">
        <f>VLOOKUP(AC290,★原価商品!$E$6:$F$349,2,FALSE)</f>
        <v>朝日/B4（折り無し）</v>
      </c>
      <c r="AE290" s="203">
        <f t="shared" ca="1" si="35"/>
        <v>0</v>
      </c>
      <c r="AF290" s="383">
        <f ca="1">IFERROR(IF(VLOOKUP(申込書!$C$32,★サイズ表記!$F$4:$H$55,3,FALSE)="切り捨て",ROUNDDOWN(L290*IF(AK290="◎",I290,J290)/100,2),IF(VLOOKUP(申込書!$C$32,★サイズ表記!$F$4:$H$55,3,FALSE)="切り上げ",ROUNDUP(L290*IF(AK290="◎",I290,J290)/100,2),ROUND(L290*IF(AK290="◎",I290,J290)/100,2))),0)</f>
        <v>2.4</v>
      </c>
      <c r="AG290" s="203">
        <f t="shared" ca="1" si="36"/>
        <v>0</v>
      </c>
      <c r="AJ290" s="460" t="str">
        <f>IFERROR(VLOOKUP(申込書!$C$30,★業種!$D$2:$E$87,2,FALSE),"")</f>
        <v>1003</v>
      </c>
      <c r="AK290" s="460" t="str">
        <f ca="1">IF(申込書!$C$36="◎",IF(OR(D290="浜坂・温泉",D290="美方・村岡",D290="香住",D290="岡山",D290="大阪"),"",IF(LEFT(F290)="D","◎",IF(AG290=0,"",IFERROR(IF(VLOOKUP(AG290,★仕入先!$A$2:$C$211,3,FALSE)=0,"","◎"),"")))),"")</f>
        <v/>
      </c>
      <c r="AL290" s="460">
        <f>申込書!$H$14</f>
        <v>0</v>
      </c>
      <c r="AM290" s="460" t="str">
        <f>申込書!$C$32</f>
        <v>B4（折り無し）</v>
      </c>
      <c r="AN290" s="460" t="str">
        <f>VLOOKUP(AM290,★サイズ表記!$D$4:$E$55,2,FALSE)</f>
        <v>1001</v>
      </c>
      <c r="AO290" s="460">
        <f>IF(C290&lt;&gt;"⑧兵庫",VLOOKUP(LEFT(F290),★新聞!$A$4:$B$12,2,FALSE),IF(LEFT(F290)&lt;&gt;"S",VLOOKUP(LEFT(F290),★新聞!$A$4:$B$12,2,FALSE),VLOOKUP("X",★新聞!$A$4:$B$12,2,FALSE)))</f>
        <v>2</v>
      </c>
      <c r="AP290" s="460" t="str">
        <f t="shared" ca="1" si="37"/>
        <v>0</v>
      </c>
      <c r="AQ290" s="460" t="str">
        <f>IF(申込書!$C$38="","",申込書!$C$38)</f>
        <v/>
      </c>
    </row>
    <row r="291" spans="1:43">
      <c r="A291" s="463">
        <f t="shared" si="38"/>
        <v>290</v>
      </c>
      <c r="B291" s="463" t="str">
        <f t="shared" si="39"/>
        <v>東部</v>
      </c>
      <c r="C291" s="464" t="s">
        <v>1017</v>
      </c>
      <c r="D291" s="464" t="s">
        <v>1602</v>
      </c>
      <c r="E291" s="464">
        <f>VLOOKUP(D291,★折込地区!$A$2:$D$10,4,FALSE)</f>
        <v>2</v>
      </c>
      <c r="F291" s="464" t="s">
        <v>408</v>
      </c>
      <c r="G291" s="464" t="str">
        <f>INDEX(★新聞!$E$4:$I$12, MATCH(LEFT(F291),★新聞!$A$4:$A$12,0), MATCH(LEFT(W291),★新聞!$E$3:$I$3,0))</f>
        <v>AA</v>
      </c>
      <c r="H291" s="475" t="s">
        <v>1104</v>
      </c>
      <c r="I291" s="464" cm="1">
        <f t="array" ref="I291">IFERROR(INDEX(★原価率!$A$2:$E$50,MATCH($C291&amp;$H291,★原価率!$A$2:$A$50&amp;★原価率!$B$2:$B$50,0),3),0)</f>
        <v>86</v>
      </c>
      <c r="J291" s="464" cm="1">
        <f t="array" ref="J291">IFERROR(INDEX(★原価率!$A$2:$E$50,MATCH($C291&amp;$H291,★原価率!$A$2:$A$50&amp;★原価率!$B$2:$B$50,0),4),0)</f>
        <v>86</v>
      </c>
      <c r="K291" s="464" cm="1">
        <f t="array" ref="K291">IFERROR(INDEX(★原価率!$A$2:$E$50,MATCH($C291&amp;$H291,★原価率!$A$2:$A$50&amp;★原価率!$B$2:$B$50,0),5),0)</f>
        <v>100</v>
      </c>
      <c r="L291" s="528">
        <f>IFERROR(VLOOKUP(W291,★商品!$A$1:$H$1231,8,FALSE),0)</f>
        <v>2.8</v>
      </c>
      <c r="M291" s="203" t="str">
        <f ca="1">CONCATENATE(VLOOKUP(B291,★営業所!$A$2:$B$5,2,FALSE),TEXT(NOW(),"yyyy"))</f>
        <v>T2023</v>
      </c>
      <c r="N291" s="203">
        <v>1</v>
      </c>
      <c r="O291" s="203">
        <v>0</v>
      </c>
      <c r="P291" s="213">
        <f>申込書!$B$6</f>
        <v>0</v>
      </c>
      <c r="Q291" s="203">
        <f>申込書!$C$34</f>
        <v>1000040</v>
      </c>
      <c r="R291" s="203">
        <v>0</v>
      </c>
      <c r="U291" s="203">
        <f>VLOOKUP(B291,★営業所!$A$2:$C$5,3,FALSE)</f>
        <v>8</v>
      </c>
      <c r="V291" s="203">
        <f>申込書!$B$9</f>
        <v>0</v>
      </c>
      <c r="W291" s="203" t="str">
        <f>CONCATENATE(VLOOKUP(B291,★営業所!$A$2:$B$5,2,FALSE),VLOOKUP(申込書!$C$32,★サイズ表記!$D$4:$E$55,2,FALSE),VLOOKUP(D291,★折込地区!$A$2:$B$11,2,FALSE))</f>
        <v>T1001Kry</v>
      </c>
      <c r="X291" s="203" t="str">
        <f>CONCATENATE(申込書!$B$9," ",VLOOKUP(RIGHT(W291,3),★折込地区!$B$2:$C$10,2,FALSE),"")</f>
        <v xml:space="preserve"> 倉吉</v>
      </c>
      <c r="Z291" s="206">
        <f t="shared" ca="1" si="32"/>
        <v>0</v>
      </c>
      <c r="AB291" s="383">
        <f t="shared" si="33"/>
        <v>2.8</v>
      </c>
      <c r="AC291" s="203" t="str">
        <f t="shared" si="34"/>
        <v>G1001</v>
      </c>
      <c r="AD291" s="203" t="str">
        <f>VLOOKUP(AC291,★原価商品!$E$6:$F$349,2,FALSE)</f>
        <v>朝日/B4（折り無し）</v>
      </c>
      <c r="AE291" s="203">
        <f t="shared" ca="1" si="35"/>
        <v>0</v>
      </c>
      <c r="AF291" s="383">
        <f ca="1">IFERROR(IF(VLOOKUP(申込書!$C$32,★サイズ表記!$F$4:$H$55,3,FALSE)="切り捨て",ROUNDDOWN(L291*IF(AK291="◎",I291,J291)/100,2),IF(VLOOKUP(申込書!$C$32,★サイズ表記!$F$4:$H$55,3,FALSE)="切り上げ",ROUNDUP(L291*IF(AK291="◎",I291,J291)/100,2),ROUND(L291*IF(AK291="◎",I291,J291)/100,2))),0)</f>
        <v>2.4</v>
      </c>
      <c r="AG291" s="203">
        <f t="shared" ca="1" si="36"/>
        <v>0</v>
      </c>
      <c r="AJ291" s="460" t="str">
        <f>IFERROR(VLOOKUP(申込書!$C$30,★業種!$D$2:$E$87,2,FALSE),"")</f>
        <v>1003</v>
      </c>
      <c r="AK291" s="460" t="str">
        <f ca="1">IF(申込書!$C$36="◎",IF(OR(D291="浜坂・温泉",D291="美方・村岡",D291="香住",D291="岡山",D291="大阪"),"",IF(LEFT(F291)="D","◎",IF(AG291=0,"",IFERROR(IF(VLOOKUP(AG291,★仕入先!$A$2:$C$211,3,FALSE)=0,"","◎"),"")))),"")</f>
        <v/>
      </c>
      <c r="AL291" s="460">
        <f>申込書!$H$14</f>
        <v>0</v>
      </c>
      <c r="AM291" s="460" t="str">
        <f>申込書!$C$32</f>
        <v>B4（折り無し）</v>
      </c>
      <c r="AN291" s="460" t="str">
        <f>VLOOKUP(AM291,★サイズ表記!$D$4:$E$55,2,FALSE)</f>
        <v>1001</v>
      </c>
      <c r="AO291" s="460">
        <f>IF(C291&lt;&gt;"⑧兵庫",VLOOKUP(LEFT(F291),★新聞!$A$4:$B$12,2,FALSE),IF(LEFT(F291)&lt;&gt;"S",VLOOKUP(LEFT(F291),★新聞!$A$4:$B$12,2,FALSE),VLOOKUP("X",★新聞!$A$4:$B$12,2,FALSE)))</f>
        <v>2</v>
      </c>
      <c r="AP291" s="460" t="str">
        <f t="shared" ca="1" si="37"/>
        <v>0</v>
      </c>
      <c r="AQ291" s="460" t="str">
        <f>IF(申込書!$C$38="","",申込書!$C$38)</f>
        <v/>
      </c>
    </row>
    <row r="292" spans="1:43">
      <c r="A292" s="463">
        <f t="shared" si="38"/>
        <v>291</v>
      </c>
      <c r="B292" s="463" t="str">
        <f t="shared" si="39"/>
        <v>東部</v>
      </c>
      <c r="C292" s="464" t="s">
        <v>1017</v>
      </c>
      <c r="D292" s="464" t="s">
        <v>1602</v>
      </c>
      <c r="E292" s="464">
        <f>VLOOKUP(D292,★折込地区!$A$2:$D$10,4,FALSE)</f>
        <v>2</v>
      </c>
      <c r="F292" s="464" t="s">
        <v>409</v>
      </c>
      <c r="G292" s="464" t="str">
        <f>INDEX(★新聞!$E$4:$I$12, MATCH(LEFT(F292),★新聞!$A$4:$A$12,0), MATCH(LEFT(W292),★新聞!$E$3:$I$3,0))</f>
        <v>AA</v>
      </c>
      <c r="H292" s="475" t="s">
        <v>1104</v>
      </c>
      <c r="I292" s="464" cm="1">
        <f t="array" ref="I292">IFERROR(INDEX(★原価率!$A$2:$E$50,MATCH($C292&amp;$H292,★原価率!$A$2:$A$50&amp;★原価率!$B$2:$B$50,0),3),0)</f>
        <v>86</v>
      </c>
      <c r="J292" s="464" cm="1">
        <f t="array" ref="J292">IFERROR(INDEX(★原価率!$A$2:$E$50,MATCH($C292&amp;$H292,★原価率!$A$2:$A$50&amp;★原価率!$B$2:$B$50,0),4),0)</f>
        <v>86</v>
      </c>
      <c r="K292" s="464" cm="1">
        <f t="array" ref="K292">IFERROR(INDEX(★原価率!$A$2:$E$50,MATCH($C292&amp;$H292,★原価率!$A$2:$A$50&amp;★原価率!$B$2:$B$50,0),5),0)</f>
        <v>100</v>
      </c>
      <c r="L292" s="528">
        <f>IFERROR(VLOOKUP(W292,★商品!$A$1:$H$1231,8,FALSE),0)</f>
        <v>2.8</v>
      </c>
      <c r="M292" s="203" t="str">
        <f ca="1">CONCATENATE(VLOOKUP(B292,★営業所!$A$2:$B$5,2,FALSE),TEXT(NOW(),"yyyy"))</f>
        <v>T2023</v>
      </c>
      <c r="N292" s="203">
        <v>1</v>
      </c>
      <c r="O292" s="203">
        <v>0</v>
      </c>
      <c r="P292" s="213">
        <f>申込書!$B$6</f>
        <v>0</v>
      </c>
      <c r="Q292" s="203">
        <f>申込書!$C$34</f>
        <v>1000040</v>
      </c>
      <c r="R292" s="203">
        <v>0</v>
      </c>
      <c r="U292" s="203">
        <f>VLOOKUP(B292,★営業所!$A$2:$C$5,3,FALSE)</f>
        <v>8</v>
      </c>
      <c r="V292" s="203">
        <f>申込書!$B$9</f>
        <v>0</v>
      </c>
      <c r="W292" s="203" t="str">
        <f>CONCATENATE(VLOOKUP(B292,★営業所!$A$2:$B$5,2,FALSE),VLOOKUP(申込書!$C$32,★サイズ表記!$D$4:$E$55,2,FALSE),VLOOKUP(D292,★折込地区!$A$2:$B$11,2,FALSE))</f>
        <v>T1001Kry</v>
      </c>
      <c r="X292" s="203" t="str">
        <f>CONCATENATE(申込書!$B$9," ",VLOOKUP(RIGHT(W292,3),★折込地区!$B$2:$C$10,2,FALSE),"")</f>
        <v xml:space="preserve"> 倉吉</v>
      </c>
      <c r="Z292" s="206">
        <f t="shared" ca="1" si="32"/>
        <v>0</v>
      </c>
      <c r="AB292" s="383">
        <f t="shared" si="33"/>
        <v>2.8</v>
      </c>
      <c r="AC292" s="203" t="str">
        <f t="shared" si="34"/>
        <v>G1001</v>
      </c>
      <c r="AD292" s="203" t="str">
        <f>VLOOKUP(AC292,★原価商品!$E$6:$F$349,2,FALSE)</f>
        <v>朝日/B4（折り無し）</v>
      </c>
      <c r="AE292" s="203">
        <f t="shared" ca="1" si="35"/>
        <v>0</v>
      </c>
      <c r="AF292" s="383">
        <f ca="1">IFERROR(IF(VLOOKUP(申込書!$C$32,★サイズ表記!$F$4:$H$55,3,FALSE)="切り捨て",ROUNDDOWN(L292*IF(AK292="◎",I292,J292)/100,2),IF(VLOOKUP(申込書!$C$32,★サイズ表記!$F$4:$H$55,3,FALSE)="切り上げ",ROUNDUP(L292*IF(AK292="◎",I292,J292)/100,2),ROUND(L292*IF(AK292="◎",I292,J292)/100,2))),0)</f>
        <v>2.4</v>
      </c>
      <c r="AG292" s="203">
        <f t="shared" ca="1" si="36"/>
        <v>0</v>
      </c>
      <c r="AJ292" s="460" t="str">
        <f>IFERROR(VLOOKUP(申込書!$C$30,★業種!$D$2:$E$87,2,FALSE),"")</f>
        <v>1003</v>
      </c>
      <c r="AK292" s="460" t="str">
        <f ca="1">IF(申込書!$C$36="◎",IF(OR(D292="浜坂・温泉",D292="美方・村岡",D292="香住",D292="岡山",D292="大阪"),"",IF(LEFT(F292)="D","◎",IF(AG292=0,"",IFERROR(IF(VLOOKUP(AG292,★仕入先!$A$2:$C$211,3,FALSE)=0,"","◎"),"")))),"")</f>
        <v/>
      </c>
      <c r="AL292" s="460">
        <f>申込書!$H$14</f>
        <v>0</v>
      </c>
      <c r="AM292" s="460" t="str">
        <f>申込書!$C$32</f>
        <v>B4（折り無し）</v>
      </c>
      <c r="AN292" s="460" t="str">
        <f>VLOOKUP(AM292,★サイズ表記!$D$4:$E$55,2,FALSE)</f>
        <v>1001</v>
      </c>
      <c r="AO292" s="460">
        <f>IF(C292&lt;&gt;"⑧兵庫",VLOOKUP(LEFT(F292),★新聞!$A$4:$B$12,2,FALSE),IF(LEFT(F292)&lt;&gt;"S",VLOOKUP(LEFT(F292),★新聞!$A$4:$B$12,2,FALSE),VLOOKUP("X",★新聞!$A$4:$B$12,2,FALSE)))</f>
        <v>2</v>
      </c>
      <c r="AP292" s="460" t="str">
        <f t="shared" ca="1" si="37"/>
        <v>0</v>
      </c>
      <c r="AQ292" s="460" t="str">
        <f>IF(申込書!$C$38="","",申込書!$C$38)</f>
        <v/>
      </c>
    </row>
    <row r="293" spans="1:43">
      <c r="A293" s="463">
        <f t="shared" si="38"/>
        <v>292</v>
      </c>
      <c r="B293" s="463" t="str">
        <f t="shared" si="39"/>
        <v>東部</v>
      </c>
      <c r="C293" s="464" t="s">
        <v>1017</v>
      </c>
      <c r="D293" s="464" t="s">
        <v>1602</v>
      </c>
      <c r="E293" s="464">
        <f>VLOOKUP(D293,★折込地区!$A$2:$D$10,4,FALSE)</f>
        <v>2</v>
      </c>
      <c r="F293" s="464" t="s">
        <v>410</v>
      </c>
      <c r="G293" s="464" t="str">
        <f>INDEX(★新聞!$E$4:$I$12, MATCH(LEFT(F293),★新聞!$A$4:$A$12,0), MATCH(LEFT(W293),★新聞!$E$3:$I$3,0))</f>
        <v>AA</v>
      </c>
      <c r="H293" s="475" t="s">
        <v>1107</v>
      </c>
      <c r="I293" s="464" cm="1">
        <f t="array" ref="I293">IFERROR(INDEX(★原価率!$A$2:$E$50,MATCH($C293&amp;$H293,★原価率!$A$2:$A$50&amp;★原価率!$B$2:$B$50,0),3),0)</f>
        <v>82</v>
      </c>
      <c r="J293" s="464" cm="1">
        <f t="array" ref="J293">IFERROR(INDEX(★原価率!$A$2:$E$50,MATCH($C293&amp;$H293,★原価率!$A$2:$A$50&amp;★原価率!$B$2:$B$50,0),4),0)</f>
        <v>82</v>
      </c>
      <c r="K293" s="464" cm="1">
        <f t="array" ref="K293">IFERROR(INDEX(★原価率!$A$2:$E$50,MATCH($C293&amp;$H293,★原価率!$A$2:$A$50&amp;★原価率!$B$2:$B$50,0),5),0)</f>
        <v>100</v>
      </c>
      <c r="L293" s="528">
        <f>IFERROR(VLOOKUP(W293,★商品!$A$1:$H$1231,8,FALSE),0)</f>
        <v>2.8</v>
      </c>
      <c r="M293" s="203" t="str">
        <f ca="1">CONCATENATE(VLOOKUP(B293,★営業所!$A$2:$B$5,2,FALSE),TEXT(NOW(),"yyyy"))</f>
        <v>T2023</v>
      </c>
      <c r="N293" s="203">
        <v>1</v>
      </c>
      <c r="O293" s="203">
        <v>0</v>
      </c>
      <c r="P293" s="213">
        <f>申込書!$B$6</f>
        <v>0</v>
      </c>
      <c r="Q293" s="203">
        <f>申込書!$C$34</f>
        <v>1000040</v>
      </c>
      <c r="R293" s="203">
        <v>0</v>
      </c>
      <c r="U293" s="203">
        <f>VLOOKUP(B293,★営業所!$A$2:$C$5,3,FALSE)</f>
        <v>8</v>
      </c>
      <c r="V293" s="203">
        <f>申込書!$B$9</f>
        <v>0</v>
      </c>
      <c r="W293" s="203" t="str">
        <f>CONCATENATE(VLOOKUP(B293,★営業所!$A$2:$B$5,2,FALSE),VLOOKUP(申込書!$C$32,★サイズ表記!$D$4:$E$55,2,FALSE),VLOOKUP(D293,★折込地区!$A$2:$B$11,2,FALSE))</f>
        <v>T1001Kry</v>
      </c>
      <c r="X293" s="203" t="str">
        <f>CONCATENATE(申込書!$B$9," ",VLOOKUP(RIGHT(W293,3),★折込地区!$B$2:$C$10,2,FALSE),"")</f>
        <v xml:space="preserve"> 倉吉</v>
      </c>
      <c r="Z293" s="206">
        <f t="shared" ca="1" si="32"/>
        <v>0</v>
      </c>
      <c r="AB293" s="383">
        <f t="shared" si="33"/>
        <v>2.8</v>
      </c>
      <c r="AC293" s="203" t="str">
        <f t="shared" si="34"/>
        <v>G1001</v>
      </c>
      <c r="AD293" s="203" t="str">
        <f>VLOOKUP(AC293,★原価商品!$E$6:$F$349,2,FALSE)</f>
        <v>朝日/B4（折り無し）</v>
      </c>
      <c r="AE293" s="203">
        <f t="shared" ca="1" si="35"/>
        <v>0</v>
      </c>
      <c r="AF293" s="383">
        <f ca="1">IFERROR(IF(VLOOKUP(申込書!$C$32,★サイズ表記!$F$4:$H$55,3,FALSE)="切り捨て",ROUNDDOWN(L293*IF(AK293="◎",I293,J293)/100,2),IF(VLOOKUP(申込書!$C$32,★サイズ表記!$F$4:$H$55,3,FALSE)="切り上げ",ROUNDUP(L293*IF(AK293="◎",I293,J293)/100,2),ROUND(L293*IF(AK293="◎",I293,J293)/100,2))),0)</f>
        <v>2.29</v>
      </c>
      <c r="AG293" s="203">
        <f t="shared" ca="1" si="36"/>
        <v>10303</v>
      </c>
      <c r="AJ293" s="460" t="str">
        <f>IFERROR(VLOOKUP(申込書!$C$30,★業種!$D$2:$E$87,2,FALSE),"")</f>
        <v>1003</v>
      </c>
      <c r="AK293" s="460" t="str">
        <f ca="1">IF(申込書!$C$36="◎",IF(OR(D293="浜坂・温泉",D293="美方・村岡",D293="香住",D293="岡山",D293="大阪"),"",IF(LEFT(F293)="D","◎",IF(AG293=0,"",IFERROR(IF(VLOOKUP(AG293,★仕入先!$A$2:$C$211,3,FALSE)=0,"","◎"),"")))),"")</f>
        <v/>
      </c>
      <c r="AL293" s="460">
        <f>申込書!$H$14</f>
        <v>0</v>
      </c>
      <c r="AM293" s="460" t="str">
        <f>申込書!$C$32</f>
        <v>B4（折り無し）</v>
      </c>
      <c r="AN293" s="460" t="str">
        <f>VLOOKUP(AM293,★サイズ表記!$D$4:$E$55,2,FALSE)</f>
        <v>1001</v>
      </c>
      <c r="AO293" s="460">
        <f>IF(C293&lt;&gt;"⑧兵庫",VLOOKUP(LEFT(F293),★新聞!$A$4:$B$12,2,FALSE),IF(LEFT(F293)&lt;&gt;"S",VLOOKUP(LEFT(F293),★新聞!$A$4:$B$12,2,FALSE),VLOOKUP("X",★新聞!$A$4:$B$12,2,FALSE)))</f>
        <v>2</v>
      </c>
      <c r="AP293" s="460" t="str">
        <f t="shared" ca="1" si="37"/>
        <v>0</v>
      </c>
      <c r="AQ293" s="460" t="str">
        <f>IF(申込書!$C$38="","",申込書!$C$38)</f>
        <v/>
      </c>
    </row>
    <row r="294" spans="1:43">
      <c r="A294" s="463">
        <f t="shared" si="38"/>
        <v>293</v>
      </c>
      <c r="B294" s="463" t="str">
        <f t="shared" si="39"/>
        <v>東部</v>
      </c>
      <c r="C294" s="464" t="s">
        <v>1017</v>
      </c>
      <c r="D294" s="464" t="s">
        <v>1602</v>
      </c>
      <c r="E294" s="464">
        <f>VLOOKUP(D294,★折込地区!$A$2:$D$10,4,FALSE)</f>
        <v>2</v>
      </c>
      <c r="F294" s="464" t="s">
        <v>411</v>
      </c>
      <c r="G294" s="464" t="str">
        <f>INDEX(★新聞!$E$4:$I$12, MATCH(LEFT(F294),★新聞!$A$4:$A$12,0), MATCH(LEFT(W294),★新聞!$E$3:$I$3,0))</f>
        <v>AA</v>
      </c>
      <c r="H294" s="475" t="s">
        <v>1107</v>
      </c>
      <c r="I294" s="464" cm="1">
        <f t="array" ref="I294">IFERROR(INDEX(★原価率!$A$2:$E$50,MATCH($C294&amp;$H294,★原価率!$A$2:$A$50&amp;★原価率!$B$2:$B$50,0),3),0)</f>
        <v>82</v>
      </c>
      <c r="J294" s="464" cm="1">
        <f t="array" ref="J294">IFERROR(INDEX(★原価率!$A$2:$E$50,MATCH($C294&amp;$H294,★原価率!$A$2:$A$50&amp;★原価率!$B$2:$B$50,0),4),0)</f>
        <v>82</v>
      </c>
      <c r="K294" s="464" cm="1">
        <f t="array" ref="K294">IFERROR(INDEX(★原価率!$A$2:$E$50,MATCH($C294&amp;$H294,★原価率!$A$2:$A$50&amp;★原価率!$B$2:$B$50,0),5),0)</f>
        <v>100</v>
      </c>
      <c r="L294" s="528">
        <f>IFERROR(VLOOKUP(W294,★商品!$A$1:$H$1231,8,FALSE),0)</f>
        <v>2.8</v>
      </c>
      <c r="M294" s="203" t="str">
        <f ca="1">CONCATENATE(VLOOKUP(B294,★営業所!$A$2:$B$5,2,FALSE),TEXT(NOW(),"yyyy"))</f>
        <v>T2023</v>
      </c>
      <c r="N294" s="203">
        <v>1</v>
      </c>
      <c r="O294" s="203">
        <v>0</v>
      </c>
      <c r="P294" s="213">
        <f>申込書!$B$6</f>
        <v>0</v>
      </c>
      <c r="Q294" s="203">
        <f>申込書!$C$34</f>
        <v>1000040</v>
      </c>
      <c r="R294" s="203">
        <v>0</v>
      </c>
      <c r="U294" s="203">
        <f>VLOOKUP(B294,★営業所!$A$2:$C$5,3,FALSE)</f>
        <v>8</v>
      </c>
      <c r="V294" s="203">
        <f>申込書!$B$9</f>
        <v>0</v>
      </c>
      <c r="W294" s="203" t="str">
        <f>CONCATENATE(VLOOKUP(B294,★営業所!$A$2:$B$5,2,FALSE),VLOOKUP(申込書!$C$32,★サイズ表記!$D$4:$E$55,2,FALSE),VLOOKUP(D294,★折込地区!$A$2:$B$11,2,FALSE))</f>
        <v>T1001Kry</v>
      </c>
      <c r="X294" s="203" t="str">
        <f>CONCATENATE(申込書!$B$9," ",VLOOKUP(RIGHT(W294,3),★折込地区!$B$2:$C$10,2,FALSE),"")</f>
        <v xml:space="preserve"> 倉吉</v>
      </c>
      <c r="Z294" s="206">
        <f t="shared" ca="1" si="32"/>
        <v>0</v>
      </c>
      <c r="AB294" s="383">
        <f t="shared" si="33"/>
        <v>2.8</v>
      </c>
      <c r="AC294" s="203" t="str">
        <f t="shared" si="34"/>
        <v>G1001</v>
      </c>
      <c r="AD294" s="203" t="str">
        <f>VLOOKUP(AC294,★原価商品!$E$6:$F$349,2,FALSE)</f>
        <v>朝日/B4（折り無し）</v>
      </c>
      <c r="AE294" s="203">
        <f t="shared" ca="1" si="35"/>
        <v>0</v>
      </c>
      <c r="AF294" s="383">
        <f ca="1">IFERROR(IF(VLOOKUP(申込書!$C$32,★サイズ表記!$F$4:$H$55,3,FALSE)="切り捨て",ROUNDDOWN(L294*IF(AK294="◎",I294,J294)/100,2),IF(VLOOKUP(申込書!$C$32,★サイズ表記!$F$4:$H$55,3,FALSE)="切り上げ",ROUNDUP(L294*IF(AK294="◎",I294,J294)/100,2),ROUND(L294*IF(AK294="◎",I294,J294)/100,2))),0)</f>
        <v>2.29</v>
      </c>
      <c r="AG294" s="203">
        <f t="shared" ca="1" si="36"/>
        <v>0</v>
      </c>
      <c r="AJ294" s="460" t="str">
        <f>IFERROR(VLOOKUP(申込書!$C$30,★業種!$D$2:$E$87,2,FALSE),"")</f>
        <v>1003</v>
      </c>
      <c r="AK294" s="460" t="str">
        <f ca="1">IF(申込書!$C$36="◎",IF(OR(D294="浜坂・温泉",D294="美方・村岡",D294="香住",D294="岡山",D294="大阪"),"",IF(LEFT(F294)="D","◎",IF(AG294=0,"",IFERROR(IF(VLOOKUP(AG294,★仕入先!$A$2:$C$211,3,FALSE)=0,"","◎"),"")))),"")</f>
        <v/>
      </c>
      <c r="AL294" s="460">
        <f>申込書!$H$14</f>
        <v>0</v>
      </c>
      <c r="AM294" s="460" t="str">
        <f>申込書!$C$32</f>
        <v>B4（折り無し）</v>
      </c>
      <c r="AN294" s="460" t="str">
        <f>VLOOKUP(AM294,★サイズ表記!$D$4:$E$55,2,FALSE)</f>
        <v>1001</v>
      </c>
      <c r="AO294" s="460">
        <f>IF(C294&lt;&gt;"⑧兵庫",VLOOKUP(LEFT(F294),★新聞!$A$4:$B$12,2,FALSE),IF(LEFT(F294)&lt;&gt;"S",VLOOKUP(LEFT(F294),★新聞!$A$4:$B$12,2,FALSE),VLOOKUP("X",★新聞!$A$4:$B$12,2,FALSE)))</f>
        <v>2</v>
      </c>
      <c r="AP294" s="460" t="str">
        <f t="shared" ca="1" si="37"/>
        <v>0</v>
      </c>
      <c r="AQ294" s="460" t="str">
        <f>IF(申込書!$C$38="","",申込書!$C$38)</f>
        <v/>
      </c>
    </row>
    <row r="295" spans="1:43">
      <c r="A295" s="463">
        <f t="shared" si="38"/>
        <v>294</v>
      </c>
      <c r="B295" s="463" t="str">
        <f t="shared" si="39"/>
        <v>東部</v>
      </c>
      <c r="C295" s="464" t="s">
        <v>1017</v>
      </c>
      <c r="D295" s="464" t="s">
        <v>1602</v>
      </c>
      <c r="E295" s="464">
        <f>VLOOKUP(D295,★折込地区!$A$2:$D$10,4,FALSE)</f>
        <v>2</v>
      </c>
      <c r="F295" s="464" t="s">
        <v>415</v>
      </c>
      <c r="G295" s="464" t="str">
        <f>INDEX(★新聞!$E$4:$I$12, MATCH(LEFT(F295),★新聞!$A$4:$A$12,0), MATCH(LEFT(W295),★新聞!$E$3:$I$3,0))</f>
        <v>AA</v>
      </c>
      <c r="H295" s="475" t="s">
        <v>1107</v>
      </c>
      <c r="I295" s="464" cm="1">
        <f t="array" ref="I295">IFERROR(INDEX(★原価率!$A$2:$E$50,MATCH($C295&amp;$H295,★原価率!$A$2:$A$50&amp;★原価率!$B$2:$B$50,0),3),0)</f>
        <v>82</v>
      </c>
      <c r="J295" s="464" cm="1">
        <f t="array" ref="J295">IFERROR(INDEX(★原価率!$A$2:$E$50,MATCH($C295&amp;$H295,★原価率!$A$2:$A$50&amp;★原価率!$B$2:$B$50,0),4),0)</f>
        <v>82</v>
      </c>
      <c r="K295" s="464" cm="1">
        <f t="array" ref="K295">IFERROR(INDEX(★原価率!$A$2:$E$50,MATCH($C295&amp;$H295,★原価率!$A$2:$A$50&amp;★原価率!$B$2:$B$50,0),5),0)</f>
        <v>100</v>
      </c>
      <c r="L295" s="528">
        <f>IFERROR(VLOOKUP(W295,★商品!$A$1:$H$1231,8,FALSE),0)</f>
        <v>2.8</v>
      </c>
      <c r="M295" s="203" t="str">
        <f ca="1">CONCATENATE(VLOOKUP(B295,★営業所!$A$2:$B$5,2,FALSE),TEXT(NOW(),"yyyy"))</f>
        <v>T2023</v>
      </c>
      <c r="N295" s="203">
        <v>1</v>
      </c>
      <c r="O295" s="203">
        <v>0</v>
      </c>
      <c r="P295" s="213">
        <f>申込書!$B$6</f>
        <v>0</v>
      </c>
      <c r="Q295" s="203">
        <f>申込書!$C$34</f>
        <v>1000040</v>
      </c>
      <c r="R295" s="203">
        <v>0</v>
      </c>
      <c r="U295" s="203">
        <f>VLOOKUP(B295,★営業所!$A$2:$C$5,3,FALSE)</f>
        <v>8</v>
      </c>
      <c r="V295" s="203">
        <f>申込書!$B$9</f>
        <v>0</v>
      </c>
      <c r="W295" s="203" t="str">
        <f>CONCATENATE(VLOOKUP(B295,★営業所!$A$2:$B$5,2,FALSE),VLOOKUP(申込書!$C$32,★サイズ表記!$D$4:$E$55,2,FALSE),VLOOKUP(D295,★折込地区!$A$2:$B$11,2,FALSE))</f>
        <v>T1001Kry</v>
      </c>
      <c r="X295" s="203" t="str">
        <f>CONCATENATE(申込書!$B$9," ",VLOOKUP(RIGHT(W295,3),★折込地区!$B$2:$C$10,2,FALSE),"")</f>
        <v xml:space="preserve"> 倉吉</v>
      </c>
      <c r="Z295" s="206">
        <f t="shared" ca="1" si="32"/>
        <v>0</v>
      </c>
      <c r="AB295" s="383">
        <f t="shared" si="33"/>
        <v>2.8</v>
      </c>
      <c r="AC295" s="203" t="str">
        <f t="shared" si="34"/>
        <v>G1001</v>
      </c>
      <c r="AD295" s="203" t="str">
        <f>VLOOKUP(AC295,★原価商品!$E$6:$F$349,2,FALSE)</f>
        <v>朝日/B4（折り無し）</v>
      </c>
      <c r="AE295" s="203">
        <f t="shared" ca="1" si="35"/>
        <v>0</v>
      </c>
      <c r="AF295" s="383">
        <f ca="1">IFERROR(IF(VLOOKUP(申込書!$C$32,★サイズ表記!$F$4:$H$55,3,FALSE)="切り捨て",ROUNDDOWN(L295*IF(AK295="◎",I295,J295)/100,2),IF(VLOOKUP(申込書!$C$32,★サイズ表記!$F$4:$H$55,3,FALSE)="切り上げ",ROUNDUP(L295*IF(AK295="◎",I295,J295)/100,2),ROUND(L295*IF(AK295="◎",I295,J295)/100,2))),0)</f>
        <v>2.29</v>
      </c>
      <c r="AG295" s="203">
        <f t="shared" ca="1" si="36"/>
        <v>10303</v>
      </c>
      <c r="AJ295" s="460" t="str">
        <f>IFERROR(VLOOKUP(申込書!$C$30,★業種!$D$2:$E$87,2,FALSE),"")</f>
        <v>1003</v>
      </c>
      <c r="AK295" s="460" t="str">
        <f ca="1">IF(申込書!$C$36="◎",IF(OR(D295="浜坂・温泉",D295="美方・村岡",D295="香住",D295="岡山",D295="大阪"),"",IF(LEFT(F295)="D","◎",IF(AG295=0,"",IFERROR(IF(VLOOKUP(AG295,★仕入先!$A$2:$C$211,3,FALSE)=0,"","◎"),"")))),"")</f>
        <v/>
      </c>
      <c r="AL295" s="460">
        <f>申込書!$H$14</f>
        <v>0</v>
      </c>
      <c r="AM295" s="460" t="str">
        <f>申込書!$C$32</f>
        <v>B4（折り無し）</v>
      </c>
      <c r="AN295" s="460" t="str">
        <f>VLOOKUP(AM295,★サイズ表記!$D$4:$E$55,2,FALSE)</f>
        <v>1001</v>
      </c>
      <c r="AO295" s="460">
        <f>IF(C295&lt;&gt;"⑧兵庫",VLOOKUP(LEFT(F295),★新聞!$A$4:$B$12,2,FALSE),IF(LEFT(F295)&lt;&gt;"S",VLOOKUP(LEFT(F295),★新聞!$A$4:$B$12,2,FALSE),VLOOKUP("X",★新聞!$A$4:$B$12,2,FALSE)))</f>
        <v>2</v>
      </c>
      <c r="AP295" s="460" t="str">
        <f t="shared" ca="1" si="37"/>
        <v>0</v>
      </c>
      <c r="AQ295" s="460" t="str">
        <f>IF(申込書!$C$38="","",申込書!$C$38)</f>
        <v/>
      </c>
    </row>
    <row r="296" spans="1:43">
      <c r="A296" s="463">
        <f t="shared" si="38"/>
        <v>295</v>
      </c>
      <c r="B296" s="463" t="str">
        <f t="shared" si="39"/>
        <v>東部</v>
      </c>
      <c r="C296" s="464" t="s">
        <v>1017</v>
      </c>
      <c r="D296" s="464" t="s">
        <v>1602</v>
      </c>
      <c r="E296" s="464">
        <f>VLOOKUP(D296,★折込地区!$A$2:$D$10,4,FALSE)</f>
        <v>2</v>
      </c>
      <c r="F296" s="464" t="s">
        <v>416</v>
      </c>
      <c r="G296" s="464" t="str">
        <f>INDEX(★新聞!$E$4:$I$12, MATCH(LEFT(F296),★新聞!$A$4:$A$12,0), MATCH(LEFT(W296),★新聞!$E$3:$I$3,0))</f>
        <v>AA</v>
      </c>
      <c r="H296" s="475" t="s">
        <v>1107</v>
      </c>
      <c r="I296" s="464" cm="1">
        <f t="array" ref="I296">IFERROR(INDEX(★原価率!$A$2:$E$50,MATCH($C296&amp;$H296,★原価率!$A$2:$A$50&amp;★原価率!$B$2:$B$50,0),3),0)</f>
        <v>82</v>
      </c>
      <c r="J296" s="464" cm="1">
        <f t="array" ref="J296">IFERROR(INDEX(★原価率!$A$2:$E$50,MATCH($C296&amp;$H296,★原価率!$A$2:$A$50&amp;★原価率!$B$2:$B$50,0),4),0)</f>
        <v>82</v>
      </c>
      <c r="K296" s="464" cm="1">
        <f t="array" ref="K296">IFERROR(INDEX(★原価率!$A$2:$E$50,MATCH($C296&amp;$H296,★原価率!$A$2:$A$50&amp;★原価率!$B$2:$B$50,0),5),0)</f>
        <v>100</v>
      </c>
      <c r="L296" s="528">
        <f>IFERROR(VLOOKUP(W296,★商品!$A$1:$H$1231,8,FALSE),0)</f>
        <v>2.8</v>
      </c>
      <c r="M296" s="203" t="str">
        <f ca="1">CONCATENATE(VLOOKUP(B296,★営業所!$A$2:$B$5,2,FALSE),TEXT(NOW(),"yyyy"))</f>
        <v>T2023</v>
      </c>
      <c r="N296" s="203">
        <v>1</v>
      </c>
      <c r="O296" s="203">
        <v>0</v>
      </c>
      <c r="P296" s="213">
        <f>申込書!$B$6</f>
        <v>0</v>
      </c>
      <c r="Q296" s="203">
        <f>申込書!$C$34</f>
        <v>1000040</v>
      </c>
      <c r="R296" s="203">
        <v>0</v>
      </c>
      <c r="U296" s="203">
        <f>VLOOKUP(B296,★営業所!$A$2:$C$5,3,FALSE)</f>
        <v>8</v>
      </c>
      <c r="V296" s="203">
        <f>申込書!$B$9</f>
        <v>0</v>
      </c>
      <c r="W296" s="203" t="str">
        <f>CONCATENATE(VLOOKUP(B296,★営業所!$A$2:$B$5,2,FALSE),VLOOKUP(申込書!$C$32,★サイズ表記!$D$4:$E$55,2,FALSE),VLOOKUP(D296,★折込地区!$A$2:$B$11,2,FALSE))</f>
        <v>T1001Kry</v>
      </c>
      <c r="X296" s="203" t="str">
        <f>CONCATENATE(申込書!$B$9," ",VLOOKUP(RIGHT(W296,3),★折込地区!$B$2:$C$10,2,FALSE),"")</f>
        <v xml:space="preserve"> 倉吉</v>
      </c>
      <c r="Z296" s="206">
        <f t="shared" ca="1" si="32"/>
        <v>0</v>
      </c>
      <c r="AB296" s="383">
        <f t="shared" si="33"/>
        <v>2.8</v>
      </c>
      <c r="AC296" s="203" t="str">
        <f t="shared" si="34"/>
        <v>G1001</v>
      </c>
      <c r="AD296" s="203" t="str">
        <f>VLOOKUP(AC296,★原価商品!$E$6:$F$349,2,FALSE)</f>
        <v>朝日/B4（折り無し）</v>
      </c>
      <c r="AE296" s="203">
        <f t="shared" ca="1" si="35"/>
        <v>0</v>
      </c>
      <c r="AF296" s="383">
        <f ca="1">IFERROR(IF(VLOOKUP(申込書!$C$32,★サイズ表記!$F$4:$H$55,3,FALSE)="切り捨て",ROUNDDOWN(L296*IF(AK296="◎",I296,J296)/100,2),IF(VLOOKUP(申込書!$C$32,★サイズ表記!$F$4:$H$55,3,FALSE)="切り上げ",ROUNDUP(L296*IF(AK296="◎",I296,J296)/100,2),ROUND(L296*IF(AK296="◎",I296,J296)/100,2))),0)</f>
        <v>2.29</v>
      </c>
      <c r="AG296" s="203">
        <f t="shared" ca="1" si="36"/>
        <v>10303</v>
      </c>
      <c r="AJ296" s="460" t="str">
        <f>IFERROR(VLOOKUP(申込書!$C$30,★業種!$D$2:$E$87,2,FALSE),"")</f>
        <v>1003</v>
      </c>
      <c r="AK296" s="460" t="str">
        <f ca="1">IF(申込書!$C$36="◎",IF(OR(D296="浜坂・温泉",D296="美方・村岡",D296="香住",D296="岡山",D296="大阪"),"",IF(LEFT(F296)="D","◎",IF(AG296=0,"",IFERROR(IF(VLOOKUP(AG296,★仕入先!$A$2:$C$211,3,FALSE)=0,"","◎"),"")))),"")</f>
        <v/>
      </c>
      <c r="AL296" s="460">
        <f>申込書!$H$14</f>
        <v>0</v>
      </c>
      <c r="AM296" s="460" t="str">
        <f>申込書!$C$32</f>
        <v>B4（折り無し）</v>
      </c>
      <c r="AN296" s="460" t="str">
        <f>VLOOKUP(AM296,★サイズ表記!$D$4:$E$55,2,FALSE)</f>
        <v>1001</v>
      </c>
      <c r="AO296" s="460">
        <f>IF(C296&lt;&gt;"⑧兵庫",VLOOKUP(LEFT(F296),★新聞!$A$4:$B$12,2,FALSE),IF(LEFT(F296)&lt;&gt;"S",VLOOKUP(LEFT(F296),★新聞!$A$4:$B$12,2,FALSE),VLOOKUP("X",★新聞!$A$4:$B$12,2,FALSE)))</f>
        <v>2</v>
      </c>
      <c r="AP296" s="460" t="str">
        <f t="shared" ca="1" si="37"/>
        <v>0</v>
      </c>
      <c r="AQ296" s="460" t="str">
        <f>IF(申込書!$C$38="","",申込書!$C$38)</f>
        <v/>
      </c>
    </row>
    <row r="297" spans="1:43">
      <c r="A297" s="463">
        <f t="shared" si="38"/>
        <v>296</v>
      </c>
      <c r="B297" s="463" t="str">
        <f t="shared" si="39"/>
        <v>東部</v>
      </c>
      <c r="C297" s="464" t="s">
        <v>1017</v>
      </c>
      <c r="D297" s="464" t="s">
        <v>1602</v>
      </c>
      <c r="E297" s="464">
        <f>VLOOKUP(D297,★折込地区!$A$2:$D$10,4,FALSE)</f>
        <v>2</v>
      </c>
      <c r="F297" s="464" t="s">
        <v>417</v>
      </c>
      <c r="G297" s="464" t="str">
        <f>INDEX(★新聞!$E$4:$I$12, MATCH(LEFT(F297),★新聞!$A$4:$A$12,0), MATCH(LEFT(W297),★新聞!$E$3:$I$3,0))</f>
        <v>AA</v>
      </c>
      <c r="H297" s="475" t="s">
        <v>1107</v>
      </c>
      <c r="I297" s="464" cm="1">
        <f t="array" ref="I297">IFERROR(INDEX(★原価率!$A$2:$E$50,MATCH($C297&amp;$H297,★原価率!$A$2:$A$50&amp;★原価率!$B$2:$B$50,0),3),0)</f>
        <v>82</v>
      </c>
      <c r="J297" s="464" cm="1">
        <f t="array" ref="J297">IFERROR(INDEX(★原価率!$A$2:$E$50,MATCH($C297&amp;$H297,★原価率!$A$2:$A$50&amp;★原価率!$B$2:$B$50,0),4),0)</f>
        <v>82</v>
      </c>
      <c r="K297" s="464" cm="1">
        <f t="array" ref="K297">IFERROR(INDEX(★原価率!$A$2:$E$50,MATCH($C297&amp;$H297,★原価率!$A$2:$A$50&amp;★原価率!$B$2:$B$50,0),5),0)</f>
        <v>100</v>
      </c>
      <c r="L297" s="528">
        <f>IFERROR(VLOOKUP(W297,★商品!$A$1:$H$1231,8,FALSE),0)</f>
        <v>2.8</v>
      </c>
      <c r="M297" s="203" t="str">
        <f ca="1">CONCATENATE(VLOOKUP(B297,★営業所!$A$2:$B$5,2,FALSE),TEXT(NOW(),"yyyy"))</f>
        <v>T2023</v>
      </c>
      <c r="N297" s="203">
        <v>1</v>
      </c>
      <c r="O297" s="203">
        <v>0</v>
      </c>
      <c r="P297" s="213">
        <f>申込書!$B$6</f>
        <v>0</v>
      </c>
      <c r="Q297" s="203">
        <f>申込書!$C$34</f>
        <v>1000040</v>
      </c>
      <c r="R297" s="203">
        <v>0</v>
      </c>
      <c r="U297" s="203">
        <f>VLOOKUP(B297,★営業所!$A$2:$C$5,3,FALSE)</f>
        <v>8</v>
      </c>
      <c r="V297" s="203">
        <f>申込書!$B$9</f>
        <v>0</v>
      </c>
      <c r="W297" s="203" t="str">
        <f>CONCATENATE(VLOOKUP(B297,★営業所!$A$2:$B$5,2,FALSE),VLOOKUP(申込書!$C$32,★サイズ表記!$D$4:$E$55,2,FALSE),VLOOKUP(D297,★折込地区!$A$2:$B$11,2,FALSE))</f>
        <v>T1001Kry</v>
      </c>
      <c r="X297" s="203" t="str">
        <f>CONCATENATE(申込書!$B$9," ",VLOOKUP(RIGHT(W297,3),★折込地区!$B$2:$C$10,2,FALSE),"")</f>
        <v xml:space="preserve"> 倉吉</v>
      </c>
      <c r="Z297" s="206">
        <f t="shared" ca="1" si="32"/>
        <v>0</v>
      </c>
      <c r="AB297" s="383">
        <f t="shared" si="33"/>
        <v>2.8</v>
      </c>
      <c r="AC297" s="203" t="str">
        <f t="shared" si="34"/>
        <v>G1001</v>
      </c>
      <c r="AD297" s="203" t="str">
        <f>VLOOKUP(AC297,★原価商品!$E$6:$F$349,2,FALSE)</f>
        <v>朝日/B4（折り無し）</v>
      </c>
      <c r="AE297" s="203">
        <f t="shared" ca="1" si="35"/>
        <v>0</v>
      </c>
      <c r="AF297" s="383">
        <f ca="1">IFERROR(IF(VLOOKUP(申込書!$C$32,★サイズ表記!$F$4:$H$55,3,FALSE)="切り捨て",ROUNDDOWN(L297*IF(AK297="◎",I297,J297)/100,2),IF(VLOOKUP(申込書!$C$32,★サイズ表記!$F$4:$H$55,3,FALSE)="切り上げ",ROUNDUP(L297*IF(AK297="◎",I297,J297)/100,2),ROUND(L297*IF(AK297="◎",I297,J297)/100,2))),0)</f>
        <v>2.29</v>
      </c>
      <c r="AG297" s="203">
        <f t="shared" ca="1" si="36"/>
        <v>10303</v>
      </c>
      <c r="AJ297" s="460" t="str">
        <f>IFERROR(VLOOKUP(申込書!$C$30,★業種!$D$2:$E$87,2,FALSE),"")</f>
        <v>1003</v>
      </c>
      <c r="AK297" s="460" t="str">
        <f ca="1">IF(申込書!$C$36="◎",IF(OR(D297="浜坂・温泉",D297="美方・村岡",D297="香住",D297="岡山",D297="大阪"),"",IF(LEFT(F297)="D","◎",IF(AG297=0,"",IFERROR(IF(VLOOKUP(AG297,★仕入先!$A$2:$C$211,3,FALSE)=0,"","◎"),"")))),"")</f>
        <v/>
      </c>
      <c r="AL297" s="460">
        <f>申込書!$H$14</f>
        <v>0</v>
      </c>
      <c r="AM297" s="460" t="str">
        <f>申込書!$C$32</f>
        <v>B4（折り無し）</v>
      </c>
      <c r="AN297" s="460" t="str">
        <f>VLOOKUP(AM297,★サイズ表記!$D$4:$E$55,2,FALSE)</f>
        <v>1001</v>
      </c>
      <c r="AO297" s="460">
        <f>IF(C297&lt;&gt;"⑧兵庫",VLOOKUP(LEFT(F297),★新聞!$A$4:$B$12,2,FALSE),IF(LEFT(F297)&lt;&gt;"S",VLOOKUP(LEFT(F297),★新聞!$A$4:$B$12,2,FALSE),VLOOKUP("X",★新聞!$A$4:$B$12,2,FALSE)))</f>
        <v>2</v>
      </c>
      <c r="AP297" s="460" t="str">
        <f t="shared" ca="1" si="37"/>
        <v>0</v>
      </c>
      <c r="AQ297" s="460" t="str">
        <f>IF(申込書!$C$38="","",申込書!$C$38)</f>
        <v/>
      </c>
    </row>
    <row r="298" spans="1:43">
      <c r="A298" s="463">
        <f t="shared" si="38"/>
        <v>297</v>
      </c>
      <c r="B298" s="463" t="str">
        <f t="shared" si="39"/>
        <v>東部</v>
      </c>
      <c r="C298" s="464" t="s">
        <v>1017</v>
      </c>
      <c r="D298" s="464" t="s">
        <v>1602</v>
      </c>
      <c r="E298" s="464">
        <f>VLOOKUP(D298,★折込地区!$A$2:$D$10,4,FALSE)</f>
        <v>2</v>
      </c>
      <c r="F298" s="464" t="s">
        <v>418</v>
      </c>
      <c r="G298" s="464" t="str">
        <f>INDEX(★新聞!$E$4:$I$12, MATCH(LEFT(F298),★新聞!$A$4:$A$12,0), MATCH(LEFT(W298),★新聞!$E$3:$I$3,0))</f>
        <v>AA</v>
      </c>
      <c r="H298" s="475" t="s">
        <v>1107</v>
      </c>
      <c r="I298" s="464" cm="1">
        <f t="array" ref="I298">IFERROR(INDEX(★原価率!$A$2:$E$50,MATCH($C298&amp;$H298,★原価率!$A$2:$A$50&amp;★原価率!$B$2:$B$50,0),3),0)</f>
        <v>82</v>
      </c>
      <c r="J298" s="464" cm="1">
        <f t="array" ref="J298">IFERROR(INDEX(★原価率!$A$2:$E$50,MATCH($C298&amp;$H298,★原価率!$A$2:$A$50&amp;★原価率!$B$2:$B$50,0),4),0)</f>
        <v>82</v>
      </c>
      <c r="K298" s="464" cm="1">
        <f t="array" ref="K298">IFERROR(INDEX(★原価率!$A$2:$E$50,MATCH($C298&amp;$H298,★原価率!$A$2:$A$50&amp;★原価率!$B$2:$B$50,0),5),0)</f>
        <v>100</v>
      </c>
      <c r="L298" s="528">
        <f>IFERROR(VLOOKUP(W298,★商品!$A$1:$H$1231,8,FALSE),0)</f>
        <v>2.8</v>
      </c>
      <c r="M298" s="203" t="str">
        <f ca="1">CONCATENATE(VLOOKUP(B298,★営業所!$A$2:$B$5,2,FALSE),TEXT(NOW(),"yyyy"))</f>
        <v>T2023</v>
      </c>
      <c r="N298" s="203">
        <v>1</v>
      </c>
      <c r="O298" s="203">
        <v>0</v>
      </c>
      <c r="P298" s="213">
        <f>申込書!$B$6</f>
        <v>0</v>
      </c>
      <c r="Q298" s="203">
        <f>申込書!$C$34</f>
        <v>1000040</v>
      </c>
      <c r="R298" s="203">
        <v>0</v>
      </c>
      <c r="U298" s="203">
        <f>VLOOKUP(B298,★営業所!$A$2:$C$5,3,FALSE)</f>
        <v>8</v>
      </c>
      <c r="V298" s="203">
        <f>申込書!$B$9</f>
        <v>0</v>
      </c>
      <c r="W298" s="203" t="str">
        <f>CONCATENATE(VLOOKUP(B298,★営業所!$A$2:$B$5,2,FALSE),VLOOKUP(申込書!$C$32,★サイズ表記!$D$4:$E$55,2,FALSE),VLOOKUP(D298,★折込地区!$A$2:$B$11,2,FALSE))</f>
        <v>T1001Kry</v>
      </c>
      <c r="X298" s="203" t="str">
        <f>CONCATENATE(申込書!$B$9," ",VLOOKUP(RIGHT(W298,3),★折込地区!$B$2:$C$10,2,FALSE),"")</f>
        <v xml:space="preserve"> 倉吉</v>
      </c>
      <c r="Z298" s="206">
        <f t="shared" ca="1" si="32"/>
        <v>0</v>
      </c>
      <c r="AB298" s="383">
        <f t="shared" si="33"/>
        <v>2.8</v>
      </c>
      <c r="AC298" s="203" t="str">
        <f t="shared" si="34"/>
        <v>G1001</v>
      </c>
      <c r="AD298" s="203" t="str">
        <f>VLOOKUP(AC298,★原価商品!$E$6:$F$349,2,FALSE)</f>
        <v>朝日/B4（折り無し）</v>
      </c>
      <c r="AE298" s="203">
        <f t="shared" ca="1" si="35"/>
        <v>0</v>
      </c>
      <c r="AF298" s="383">
        <f ca="1">IFERROR(IF(VLOOKUP(申込書!$C$32,★サイズ表記!$F$4:$H$55,3,FALSE)="切り捨て",ROUNDDOWN(L298*IF(AK298="◎",I298,J298)/100,2),IF(VLOOKUP(申込書!$C$32,★サイズ表記!$F$4:$H$55,3,FALSE)="切り上げ",ROUNDUP(L298*IF(AK298="◎",I298,J298)/100,2),ROUND(L298*IF(AK298="◎",I298,J298)/100,2))),0)</f>
        <v>2.29</v>
      </c>
      <c r="AG298" s="203">
        <f t="shared" ca="1" si="36"/>
        <v>10303</v>
      </c>
      <c r="AJ298" s="460" t="str">
        <f>IFERROR(VLOOKUP(申込書!$C$30,★業種!$D$2:$E$87,2,FALSE),"")</f>
        <v>1003</v>
      </c>
      <c r="AK298" s="460" t="str">
        <f ca="1">IF(申込書!$C$36="◎",IF(OR(D298="浜坂・温泉",D298="美方・村岡",D298="香住",D298="岡山",D298="大阪"),"",IF(LEFT(F298)="D","◎",IF(AG298=0,"",IFERROR(IF(VLOOKUP(AG298,★仕入先!$A$2:$C$211,3,FALSE)=0,"","◎"),"")))),"")</f>
        <v/>
      </c>
      <c r="AL298" s="460">
        <f>申込書!$H$14</f>
        <v>0</v>
      </c>
      <c r="AM298" s="460" t="str">
        <f>申込書!$C$32</f>
        <v>B4（折り無し）</v>
      </c>
      <c r="AN298" s="460" t="str">
        <f>VLOOKUP(AM298,★サイズ表記!$D$4:$E$55,2,FALSE)</f>
        <v>1001</v>
      </c>
      <c r="AO298" s="460">
        <f>IF(C298&lt;&gt;"⑧兵庫",VLOOKUP(LEFT(F298),★新聞!$A$4:$B$12,2,FALSE),IF(LEFT(F298)&lt;&gt;"S",VLOOKUP(LEFT(F298),★新聞!$A$4:$B$12,2,FALSE),VLOOKUP("X",★新聞!$A$4:$B$12,2,FALSE)))</f>
        <v>2</v>
      </c>
      <c r="AP298" s="460" t="str">
        <f t="shared" ca="1" si="37"/>
        <v>0</v>
      </c>
      <c r="AQ298" s="460" t="str">
        <f>IF(申込書!$C$38="","",申込書!$C$38)</f>
        <v/>
      </c>
    </row>
    <row r="299" spans="1:43">
      <c r="A299" s="463">
        <f t="shared" si="38"/>
        <v>298</v>
      </c>
      <c r="B299" s="463" t="str">
        <f t="shared" si="39"/>
        <v>東部</v>
      </c>
      <c r="C299" s="464" t="s">
        <v>1017</v>
      </c>
      <c r="D299" s="464" t="s">
        <v>1602</v>
      </c>
      <c r="E299" s="464">
        <f>VLOOKUP(D299,★折込地区!$A$2:$D$10,4,FALSE)</f>
        <v>2</v>
      </c>
      <c r="F299" s="464" t="s">
        <v>419</v>
      </c>
      <c r="G299" s="464" t="str">
        <f>INDEX(★新聞!$E$4:$I$12, MATCH(LEFT(F299),★新聞!$A$4:$A$12,0), MATCH(LEFT(W299),★新聞!$E$3:$I$3,0))</f>
        <v>AA</v>
      </c>
      <c r="H299" s="475" t="s">
        <v>1107</v>
      </c>
      <c r="I299" s="464" cm="1">
        <f t="array" ref="I299">IFERROR(INDEX(★原価率!$A$2:$E$50,MATCH($C299&amp;$H299,★原価率!$A$2:$A$50&amp;★原価率!$B$2:$B$50,0),3),0)</f>
        <v>82</v>
      </c>
      <c r="J299" s="464" cm="1">
        <f t="array" ref="J299">IFERROR(INDEX(★原価率!$A$2:$E$50,MATCH($C299&amp;$H299,★原価率!$A$2:$A$50&amp;★原価率!$B$2:$B$50,0),4),0)</f>
        <v>82</v>
      </c>
      <c r="K299" s="464" cm="1">
        <f t="array" ref="K299">IFERROR(INDEX(★原価率!$A$2:$E$50,MATCH($C299&amp;$H299,★原価率!$A$2:$A$50&amp;★原価率!$B$2:$B$50,0),5),0)</f>
        <v>100</v>
      </c>
      <c r="L299" s="528">
        <f>IFERROR(VLOOKUP(W299,★商品!$A$1:$H$1231,8,FALSE),0)</f>
        <v>2.8</v>
      </c>
      <c r="M299" s="203" t="str">
        <f ca="1">CONCATENATE(VLOOKUP(B299,★営業所!$A$2:$B$5,2,FALSE),TEXT(NOW(),"yyyy"))</f>
        <v>T2023</v>
      </c>
      <c r="N299" s="203">
        <v>1</v>
      </c>
      <c r="O299" s="203">
        <v>0</v>
      </c>
      <c r="P299" s="213">
        <f>申込書!$B$6</f>
        <v>0</v>
      </c>
      <c r="Q299" s="203">
        <f>申込書!$C$34</f>
        <v>1000040</v>
      </c>
      <c r="R299" s="203">
        <v>0</v>
      </c>
      <c r="U299" s="203">
        <f>VLOOKUP(B299,★営業所!$A$2:$C$5,3,FALSE)</f>
        <v>8</v>
      </c>
      <c r="V299" s="203">
        <f>申込書!$B$9</f>
        <v>0</v>
      </c>
      <c r="W299" s="203" t="str">
        <f>CONCATENATE(VLOOKUP(B299,★営業所!$A$2:$B$5,2,FALSE),VLOOKUP(申込書!$C$32,★サイズ表記!$D$4:$E$55,2,FALSE),VLOOKUP(D299,★折込地区!$A$2:$B$11,2,FALSE))</f>
        <v>T1001Kry</v>
      </c>
      <c r="X299" s="203" t="str">
        <f>CONCATENATE(申込書!$B$9," ",VLOOKUP(RIGHT(W299,3),★折込地区!$B$2:$C$10,2,FALSE),"")</f>
        <v xml:space="preserve"> 倉吉</v>
      </c>
      <c r="Z299" s="206">
        <f t="shared" ca="1" si="32"/>
        <v>0</v>
      </c>
      <c r="AB299" s="383">
        <f t="shared" si="33"/>
        <v>2.8</v>
      </c>
      <c r="AC299" s="203" t="str">
        <f t="shared" si="34"/>
        <v>G1001</v>
      </c>
      <c r="AD299" s="203" t="str">
        <f>VLOOKUP(AC299,★原価商品!$E$6:$F$349,2,FALSE)</f>
        <v>朝日/B4（折り無し）</v>
      </c>
      <c r="AE299" s="203">
        <f t="shared" ca="1" si="35"/>
        <v>0</v>
      </c>
      <c r="AF299" s="383">
        <f ca="1">IFERROR(IF(VLOOKUP(申込書!$C$32,★サイズ表記!$F$4:$H$55,3,FALSE)="切り捨て",ROUNDDOWN(L299*IF(AK299="◎",I299,J299)/100,2),IF(VLOOKUP(申込書!$C$32,★サイズ表記!$F$4:$H$55,3,FALSE)="切り上げ",ROUNDUP(L299*IF(AK299="◎",I299,J299)/100,2),ROUND(L299*IF(AK299="◎",I299,J299)/100,2))),0)</f>
        <v>2.29</v>
      </c>
      <c r="AG299" s="203">
        <f t="shared" ca="1" si="36"/>
        <v>10303</v>
      </c>
      <c r="AJ299" s="460" t="str">
        <f>IFERROR(VLOOKUP(申込書!$C$30,★業種!$D$2:$E$87,2,FALSE),"")</f>
        <v>1003</v>
      </c>
      <c r="AK299" s="460" t="str">
        <f ca="1">IF(申込書!$C$36="◎",IF(OR(D299="浜坂・温泉",D299="美方・村岡",D299="香住",D299="岡山",D299="大阪"),"",IF(LEFT(F299)="D","◎",IF(AG299=0,"",IFERROR(IF(VLOOKUP(AG299,★仕入先!$A$2:$C$211,3,FALSE)=0,"","◎"),"")))),"")</f>
        <v/>
      </c>
      <c r="AL299" s="460">
        <f>申込書!$H$14</f>
        <v>0</v>
      </c>
      <c r="AM299" s="460" t="str">
        <f>申込書!$C$32</f>
        <v>B4（折り無し）</v>
      </c>
      <c r="AN299" s="460" t="str">
        <f>VLOOKUP(AM299,★サイズ表記!$D$4:$E$55,2,FALSE)</f>
        <v>1001</v>
      </c>
      <c r="AO299" s="460">
        <f>IF(C299&lt;&gt;"⑧兵庫",VLOOKUP(LEFT(F299),★新聞!$A$4:$B$12,2,FALSE),IF(LEFT(F299)&lt;&gt;"S",VLOOKUP(LEFT(F299),★新聞!$A$4:$B$12,2,FALSE),VLOOKUP("X",★新聞!$A$4:$B$12,2,FALSE)))</f>
        <v>2</v>
      </c>
      <c r="AP299" s="460" t="str">
        <f t="shared" ca="1" si="37"/>
        <v>0</v>
      </c>
      <c r="AQ299" s="460" t="str">
        <f>IF(申込書!$C$38="","",申込書!$C$38)</f>
        <v/>
      </c>
    </row>
    <row r="300" spans="1:43">
      <c r="A300" s="463">
        <f t="shared" si="38"/>
        <v>299</v>
      </c>
      <c r="B300" s="463" t="str">
        <f t="shared" si="39"/>
        <v>東部</v>
      </c>
      <c r="C300" s="464" t="s">
        <v>1017</v>
      </c>
      <c r="D300" s="464" t="s">
        <v>1602</v>
      </c>
      <c r="E300" s="464">
        <f>VLOOKUP(D300,★折込地区!$A$2:$D$10,4,FALSE)</f>
        <v>2</v>
      </c>
      <c r="F300" s="464" t="s">
        <v>420</v>
      </c>
      <c r="G300" s="464" t="str">
        <f>INDEX(★新聞!$E$4:$I$12, MATCH(LEFT(F300),★新聞!$A$4:$A$12,0), MATCH(LEFT(W300),★新聞!$E$3:$I$3,0))</f>
        <v>AA</v>
      </c>
      <c r="H300" s="555" t="s">
        <v>1105</v>
      </c>
      <c r="I300" s="464" cm="1">
        <f t="array" ref="I300">IFERROR(INDEX(★原価率!$A$2:$E$50,MATCH($C300&amp;$H300,★原価率!$A$2:$A$50&amp;★原価率!$B$2:$B$50,0),3),0)</f>
        <v>78</v>
      </c>
      <c r="J300" s="464" cm="1">
        <f t="array" ref="J300">IFERROR(INDEX(★原価率!$A$2:$E$50,MATCH($C300&amp;$H300,★原価率!$A$2:$A$50&amp;★原価率!$B$2:$B$50,0),4),0)</f>
        <v>82</v>
      </c>
      <c r="K300" s="464" cm="1">
        <f t="array" ref="K300">IFERROR(INDEX(★原価率!$A$2:$E$50,MATCH($C300&amp;$H300,★原価率!$A$2:$A$50&amp;★原価率!$B$2:$B$50,0),5),0)</f>
        <v>100</v>
      </c>
      <c r="L300" s="528">
        <f>IFERROR(VLOOKUP(W300,★商品!$A$1:$H$1231,8,FALSE),0)</f>
        <v>2.8</v>
      </c>
      <c r="M300" s="203" t="str">
        <f ca="1">CONCATENATE(VLOOKUP(B300,★営業所!$A$2:$B$5,2,FALSE),TEXT(NOW(),"yyyy"))</f>
        <v>T2023</v>
      </c>
      <c r="N300" s="203">
        <v>1</v>
      </c>
      <c r="O300" s="203">
        <v>0</v>
      </c>
      <c r="P300" s="213">
        <f>申込書!$B$6</f>
        <v>0</v>
      </c>
      <c r="Q300" s="203">
        <f>申込書!$C$34</f>
        <v>1000040</v>
      </c>
      <c r="R300" s="203">
        <v>0</v>
      </c>
      <c r="U300" s="203">
        <f>VLOOKUP(B300,★営業所!$A$2:$C$5,3,FALSE)</f>
        <v>8</v>
      </c>
      <c r="V300" s="203">
        <f>申込書!$B$9</f>
        <v>0</v>
      </c>
      <c r="W300" s="203" t="str">
        <f>CONCATENATE(VLOOKUP(B300,★営業所!$A$2:$B$5,2,FALSE),VLOOKUP(申込書!$C$32,★サイズ表記!$D$4:$E$55,2,FALSE),VLOOKUP(D300,★折込地区!$A$2:$B$11,2,FALSE))</f>
        <v>T1001Kry</v>
      </c>
      <c r="X300" s="203" t="str">
        <f>CONCATENATE(申込書!$B$9," ",VLOOKUP(RIGHT(W300,3),★折込地区!$B$2:$C$10,2,FALSE),"")</f>
        <v xml:space="preserve"> 倉吉</v>
      </c>
      <c r="Z300" s="206">
        <f t="shared" ca="1" si="32"/>
        <v>0</v>
      </c>
      <c r="AB300" s="383">
        <f t="shared" si="33"/>
        <v>2.8</v>
      </c>
      <c r="AC300" s="203" t="str">
        <f t="shared" si="34"/>
        <v>G1001</v>
      </c>
      <c r="AD300" s="203" t="str">
        <f>VLOOKUP(AC300,★原価商品!$E$6:$F$349,2,FALSE)</f>
        <v>朝日/B4（折り無し）</v>
      </c>
      <c r="AE300" s="203">
        <f t="shared" ca="1" si="35"/>
        <v>0</v>
      </c>
      <c r="AF300" s="383">
        <f ca="1">IFERROR(IF(VLOOKUP(申込書!$C$32,★サイズ表記!$F$4:$H$55,3,FALSE)="切り捨て",ROUNDDOWN(L300*IF(AK300="◎",I300,J300)/100,2),IF(VLOOKUP(申込書!$C$32,★サイズ表記!$F$4:$H$55,3,FALSE)="切り上げ",ROUNDUP(L300*IF(AK300="◎",I300,J300)/100,2),ROUND(L300*IF(AK300="◎",I300,J300)/100,2))),0)</f>
        <v>2.29</v>
      </c>
      <c r="AG300" s="203">
        <f t="shared" ca="1" si="36"/>
        <v>10303</v>
      </c>
      <c r="AJ300" s="460" t="str">
        <f>IFERROR(VLOOKUP(申込書!$C$30,★業種!$D$2:$E$87,2,FALSE),"")</f>
        <v>1003</v>
      </c>
      <c r="AK300" s="460" t="str">
        <f ca="1">IF(申込書!$C$36="◎",IF(OR(D300="浜坂・温泉",D300="美方・村岡",D300="香住",D300="岡山",D300="大阪"),"",IF(LEFT(F300)="D","◎",IF(AG300=0,"",IFERROR(IF(VLOOKUP(AG300,★仕入先!$A$2:$C$211,3,FALSE)=0,"","◎"),"")))),"")</f>
        <v/>
      </c>
      <c r="AL300" s="460">
        <f>申込書!$H$14</f>
        <v>0</v>
      </c>
      <c r="AM300" s="460" t="str">
        <f>申込書!$C$32</f>
        <v>B4（折り無し）</v>
      </c>
      <c r="AN300" s="460" t="str">
        <f>VLOOKUP(AM300,★サイズ表記!$D$4:$E$55,2,FALSE)</f>
        <v>1001</v>
      </c>
      <c r="AO300" s="460">
        <f>IF(C300&lt;&gt;"⑧兵庫",VLOOKUP(LEFT(F300),★新聞!$A$4:$B$12,2,FALSE),IF(LEFT(F300)&lt;&gt;"S",VLOOKUP(LEFT(F300),★新聞!$A$4:$B$12,2,FALSE),VLOOKUP("X",★新聞!$A$4:$B$12,2,FALSE)))</f>
        <v>2</v>
      </c>
      <c r="AP300" s="460" t="str">
        <f t="shared" ca="1" si="37"/>
        <v>0</v>
      </c>
      <c r="AQ300" s="460" t="str">
        <f>IF(申込書!$C$38="","",申込書!$C$38)</f>
        <v/>
      </c>
    </row>
    <row r="301" spans="1:43">
      <c r="A301" s="463">
        <f t="shared" si="38"/>
        <v>300</v>
      </c>
      <c r="B301" s="463" t="str">
        <f t="shared" si="39"/>
        <v>東部</v>
      </c>
      <c r="C301" s="464" t="s">
        <v>1017</v>
      </c>
      <c r="D301" s="464" t="s">
        <v>1602</v>
      </c>
      <c r="E301" s="464">
        <f>VLOOKUP(D301,★折込地区!$A$2:$D$10,4,FALSE)</f>
        <v>2</v>
      </c>
      <c r="F301" s="464" t="s">
        <v>421</v>
      </c>
      <c r="G301" s="464" t="str">
        <f>INDEX(★新聞!$E$4:$I$12, MATCH(LEFT(F301),★新聞!$A$4:$A$12,0), MATCH(LEFT(W301),★新聞!$E$3:$I$3,0))</f>
        <v>AA</v>
      </c>
      <c r="H301" s="475" t="s">
        <v>1107</v>
      </c>
      <c r="I301" s="464" cm="1">
        <f t="array" ref="I301">IFERROR(INDEX(★原価率!$A$2:$E$50,MATCH($C301&amp;$H301,★原価率!$A$2:$A$50&amp;★原価率!$B$2:$B$50,0),3),0)</f>
        <v>82</v>
      </c>
      <c r="J301" s="464" cm="1">
        <f t="array" ref="J301">IFERROR(INDEX(★原価率!$A$2:$E$50,MATCH($C301&amp;$H301,★原価率!$A$2:$A$50&amp;★原価率!$B$2:$B$50,0),4),0)</f>
        <v>82</v>
      </c>
      <c r="K301" s="464" cm="1">
        <f t="array" ref="K301">IFERROR(INDEX(★原価率!$A$2:$E$50,MATCH($C301&amp;$H301,★原価率!$A$2:$A$50&amp;★原価率!$B$2:$B$50,0),5),0)</f>
        <v>100</v>
      </c>
      <c r="L301" s="528">
        <f>IFERROR(VLOOKUP(W301,★商品!$A$1:$H$1231,8,FALSE),0)</f>
        <v>2.8</v>
      </c>
      <c r="M301" s="203" t="str">
        <f ca="1">CONCATENATE(VLOOKUP(B301,★営業所!$A$2:$B$5,2,FALSE),TEXT(NOW(),"yyyy"))</f>
        <v>T2023</v>
      </c>
      <c r="N301" s="203">
        <v>1</v>
      </c>
      <c r="O301" s="203">
        <v>0</v>
      </c>
      <c r="P301" s="213">
        <f>申込書!$B$6</f>
        <v>0</v>
      </c>
      <c r="Q301" s="203">
        <f>申込書!$C$34</f>
        <v>1000040</v>
      </c>
      <c r="R301" s="203">
        <v>0</v>
      </c>
      <c r="U301" s="203">
        <f>VLOOKUP(B301,★営業所!$A$2:$C$5,3,FALSE)</f>
        <v>8</v>
      </c>
      <c r="V301" s="203">
        <f>申込書!$B$9</f>
        <v>0</v>
      </c>
      <c r="W301" s="203" t="str">
        <f>CONCATENATE(VLOOKUP(B301,★営業所!$A$2:$B$5,2,FALSE),VLOOKUP(申込書!$C$32,★サイズ表記!$D$4:$E$55,2,FALSE),VLOOKUP(D301,★折込地区!$A$2:$B$11,2,FALSE))</f>
        <v>T1001Kry</v>
      </c>
      <c r="X301" s="203" t="str">
        <f>CONCATENATE(申込書!$B$9," ",VLOOKUP(RIGHT(W301,3),★折込地区!$B$2:$C$10,2,FALSE),"")</f>
        <v xml:space="preserve"> 倉吉</v>
      </c>
      <c r="Z301" s="206">
        <f t="shared" ca="1" si="32"/>
        <v>0</v>
      </c>
      <c r="AB301" s="383">
        <f t="shared" si="33"/>
        <v>2.8</v>
      </c>
      <c r="AC301" s="203" t="str">
        <f t="shared" si="34"/>
        <v>G1001</v>
      </c>
      <c r="AD301" s="203" t="str">
        <f>VLOOKUP(AC301,★原価商品!$E$6:$F$349,2,FALSE)</f>
        <v>朝日/B4（折り無し）</v>
      </c>
      <c r="AE301" s="203">
        <f t="shared" ca="1" si="35"/>
        <v>0</v>
      </c>
      <c r="AF301" s="383">
        <f ca="1">IFERROR(IF(VLOOKUP(申込書!$C$32,★サイズ表記!$F$4:$H$55,3,FALSE)="切り捨て",ROUNDDOWN(L301*IF(AK301="◎",I301,J301)/100,2),IF(VLOOKUP(申込書!$C$32,★サイズ表記!$F$4:$H$55,3,FALSE)="切り上げ",ROUNDUP(L301*IF(AK301="◎",I301,J301)/100,2),ROUND(L301*IF(AK301="◎",I301,J301)/100,2))),0)</f>
        <v>2.29</v>
      </c>
      <c r="AG301" s="203">
        <f t="shared" ca="1" si="36"/>
        <v>10303</v>
      </c>
      <c r="AJ301" s="460" t="str">
        <f>IFERROR(VLOOKUP(申込書!$C$30,★業種!$D$2:$E$87,2,FALSE),"")</f>
        <v>1003</v>
      </c>
      <c r="AK301" s="460" t="str">
        <f ca="1">IF(申込書!$C$36="◎",IF(OR(D301="浜坂・温泉",D301="美方・村岡",D301="香住",D301="岡山",D301="大阪"),"",IF(LEFT(F301)="D","◎",IF(AG301=0,"",IFERROR(IF(VLOOKUP(AG301,★仕入先!$A$2:$C$211,3,FALSE)=0,"","◎"),"")))),"")</f>
        <v/>
      </c>
      <c r="AL301" s="460">
        <f>申込書!$H$14</f>
        <v>0</v>
      </c>
      <c r="AM301" s="460" t="str">
        <f>申込書!$C$32</f>
        <v>B4（折り無し）</v>
      </c>
      <c r="AN301" s="460" t="str">
        <f>VLOOKUP(AM301,★サイズ表記!$D$4:$E$55,2,FALSE)</f>
        <v>1001</v>
      </c>
      <c r="AO301" s="460">
        <f>IF(C301&lt;&gt;"⑧兵庫",VLOOKUP(LEFT(F301),★新聞!$A$4:$B$12,2,FALSE),IF(LEFT(F301)&lt;&gt;"S",VLOOKUP(LEFT(F301),★新聞!$A$4:$B$12,2,FALSE),VLOOKUP("X",★新聞!$A$4:$B$12,2,FALSE)))</f>
        <v>2</v>
      </c>
      <c r="AP301" s="460" t="str">
        <f t="shared" ca="1" si="37"/>
        <v>0</v>
      </c>
      <c r="AQ301" s="460" t="str">
        <f>IF(申込書!$C$38="","",申込書!$C$38)</f>
        <v/>
      </c>
    </row>
    <row r="302" spans="1:43">
      <c r="A302" s="463">
        <f t="shared" si="38"/>
        <v>301</v>
      </c>
      <c r="B302" s="463" t="str">
        <f t="shared" si="39"/>
        <v>東部</v>
      </c>
      <c r="C302" s="464" t="s">
        <v>1017</v>
      </c>
      <c r="D302" s="464" t="s">
        <v>1602</v>
      </c>
      <c r="E302" s="464">
        <f>VLOOKUP(D302,★折込地区!$A$2:$D$10,4,FALSE)</f>
        <v>2</v>
      </c>
      <c r="F302" s="464" t="s">
        <v>422</v>
      </c>
      <c r="G302" s="464" t="str">
        <f>INDEX(★新聞!$E$4:$I$12, MATCH(LEFT(F302),★新聞!$A$4:$A$12,0), MATCH(LEFT(W302),★新聞!$E$3:$I$3,0))</f>
        <v>AA</v>
      </c>
      <c r="H302" s="555" t="s">
        <v>1105</v>
      </c>
      <c r="I302" s="464" cm="1">
        <f t="array" ref="I302">IFERROR(INDEX(★原価率!$A$2:$E$50,MATCH($C302&amp;$H302,★原価率!$A$2:$A$50&amp;★原価率!$B$2:$B$50,0),3),0)</f>
        <v>78</v>
      </c>
      <c r="J302" s="464" cm="1">
        <f t="array" ref="J302">IFERROR(INDEX(★原価率!$A$2:$E$50,MATCH($C302&amp;$H302,★原価率!$A$2:$A$50&amp;★原価率!$B$2:$B$50,0),4),0)</f>
        <v>82</v>
      </c>
      <c r="K302" s="464" cm="1">
        <f t="array" ref="K302">IFERROR(INDEX(★原価率!$A$2:$E$50,MATCH($C302&amp;$H302,★原価率!$A$2:$A$50&amp;★原価率!$B$2:$B$50,0),5),0)</f>
        <v>100</v>
      </c>
      <c r="L302" s="528">
        <f>IFERROR(VLOOKUP(W302,★商品!$A$1:$H$1231,8,FALSE),0)</f>
        <v>2.8</v>
      </c>
      <c r="M302" s="203" t="str">
        <f ca="1">CONCATENATE(VLOOKUP(B302,★営業所!$A$2:$B$5,2,FALSE),TEXT(NOW(),"yyyy"))</f>
        <v>T2023</v>
      </c>
      <c r="N302" s="203">
        <v>1</v>
      </c>
      <c r="O302" s="203">
        <v>0</v>
      </c>
      <c r="P302" s="213">
        <f>申込書!$B$6</f>
        <v>0</v>
      </c>
      <c r="Q302" s="203">
        <f>申込書!$C$34</f>
        <v>1000040</v>
      </c>
      <c r="R302" s="203">
        <v>0</v>
      </c>
      <c r="U302" s="203">
        <f>VLOOKUP(B302,★営業所!$A$2:$C$5,3,FALSE)</f>
        <v>8</v>
      </c>
      <c r="V302" s="203">
        <f>申込書!$B$9</f>
        <v>0</v>
      </c>
      <c r="W302" s="203" t="str">
        <f>CONCATENATE(VLOOKUP(B302,★営業所!$A$2:$B$5,2,FALSE),VLOOKUP(申込書!$C$32,★サイズ表記!$D$4:$E$55,2,FALSE),VLOOKUP(D302,★折込地区!$A$2:$B$11,2,FALSE))</f>
        <v>T1001Kry</v>
      </c>
      <c r="X302" s="203" t="str">
        <f>CONCATENATE(申込書!$B$9," ",VLOOKUP(RIGHT(W302,3),★折込地区!$B$2:$C$10,2,FALSE),"")</f>
        <v xml:space="preserve"> 倉吉</v>
      </c>
      <c r="Z302" s="206">
        <f t="shared" ca="1" si="32"/>
        <v>0</v>
      </c>
      <c r="AB302" s="383">
        <f t="shared" si="33"/>
        <v>2.8</v>
      </c>
      <c r="AC302" s="203" t="str">
        <f t="shared" si="34"/>
        <v>G1001</v>
      </c>
      <c r="AD302" s="203" t="str">
        <f>VLOOKUP(AC302,★原価商品!$E$6:$F$349,2,FALSE)</f>
        <v>朝日/B4（折り無し）</v>
      </c>
      <c r="AE302" s="203">
        <f t="shared" ca="1" si="35"/>
        <v>0</v>
      </c>
      <c r="AF302" s="383">
        <f ca="1">IFERROR(IF(VLOOKUP(申込書!$C$32,★サイズ表記!$F$4:$H$55,3,FALSE)="切り捨て",ROUNDDOWN(L302*IF(AK302="◎",I302,J302)/100,2),IF(VLOOKUP(申込書!$C$32,★サイズ表記!$F$4:$H$55,3,FALSE)="切り上げ",ROUNDUP(L302*IF(AK302="◎",I302,J302)/100,2),ROUND(L302*IF(AK302="◎",I302,J302)/100,2))),0)</f>
        <v>2.29</v>
      </c>
      <c r="AG302" s="203">
        <f t="shared" ca="1" si="36"/>
        <v>10303</v>
      </c>
      <c r="AJ302" s="460" t="str">
        <f>IFERROR(VLOOKUP(申込書!$C$30,★業種!$D$2:$E$87,2,FALSE),"")</f>
        <v>1003</v>
      </c>
      <c r="AK302" s="460" t="str">
        <f ca="1">IF(申込書!$C$36="◎",IF(OR(D302="浜坂・温泉",D302="美方・村岡",D302="香住",D302="岡山",D302="大阪"),"",IF(LEFT(F302)="D","◎",IF(AG302=0,"",IFERROR(IF(VLOOKUP(AG302,★仕入先!$A$2:$C$211,3,FALSE)=0,"","◎"),"")))),"")</f>
        <v/>
      </c>
      <c r="AL302" s="460">
        <f>申込書!$H$14</f>
        <v>0</v>
      </c>
      <c r="AM302" s="460" t="str">
        <f>申込書!$C$32</f>
        <v>B4（折り無し）</v>
      </c>
      <c r="AN302" s="460" t="str">
        <f>VLOOKUP(AM302,★サイズ表記!$D$4:$E$55,2,FALSE)</f>
        <v>1001</v>
      </c>
      <c r="AO302" s="460">
        <f>IF(C302&lt;&gt;"⑧兵庫",VLOOKUP(LEFT(F302),★新聞!$A$4:$B$12,2,FALSE),IF(LEFT(F302)&lt;&gt;"S",VLOOKUP(LEFT(F302),★新聞!$A$4:$B$12,2,FALSE),VLOOKUP("X",★新聞!$A$4:$B$12,2,FALSE)))</f>
        <v>2</v>
      </c>
      <c r="AP302" s="460" t="str">
        <f t="shared" ca="1" si="37"/>
        <v>0</v>
      </c>
      <c r="AQ302" s="460" t="str">
        <f>IF(申込書!$C$38="","",申込書!$C$38)</f>
        <v/>
      </c>
    </row>
    <row r="303" spans="1:43">
      <c r="A303" s="463">
        <f t="shared" si="38"/>
        <v>302</v>
      </c>
      <c r="B303" s="463" t="str">
        <f t="shared" si="39"/>
        <v>東部</v>
      </c>
      <c r="C303" s="464" t="s">
        <v>1017</v>
      </c>
      <c r="D303" s="464" t="s">
        <v>1602</v>
      </c>
      <c r="E303" s="464">
        <f>VLOOKUP(D303,★折込地区!$A$2:$D$10,4,FALSE)</f>
        <v>2</v>
      </c>
      <c r="F303" s="464" t="s">
        <v>423</v>
      </c>
      <c r="G303" s="464" t="str">
        <f>INDEX(★新聞!$E$4:$I$12, MATCH(LEFT(F303),★新聞!$A$4:$A$12,0), MATCH(LEFT(W303),★新聞!$E$3:$I$3,0))</f>
        <v>AA</v>
      </c>
      <c r="H303" s="555" t="s">
        <v>1105</v>
      </c>
      <c r="I303" s="464" cm="1">
        <f t="array" ref="I303">IFERROR(INDEX(★原価率!$A$2:$E$50,MATCH($C303&amp;$H303,★原価率!$A$2:$A$50&amp;★原価率!$B$2:$B$50,0),3),0)</f>
        <v>78</v>
      </c>
      <c r="J303" s="464" cm="1">
        <f t="array" ref="J303">IFERROR(INDEX(★原価率!$A$2:$E$50,MATCH($C303&amp;$H303,★原価率!$A$2:$A$50&amp;★原価率!$B$2:$B$50,0),4),0)</f>
        <v>82</v>
      </c>
      <c r="K303" s="464" cm="1">
        <f t="array" ref="K303">IFERROR(INDEX(★原価率!$A$2:$E$50,MATCH($C303&amp;$H303,★原価率!$A$2:$A$50&amp;★原価率!$B$2:$B$50,0),5),0)</f>
        <v>100</v>
      </c>
      <c r="L303" s="528">
        <f>IFERROR(VLOOKUP(W303,★商品!$A$1:$H$1231,8,FALSE),0)</f>
        <v>2.8</v>
      </c>
      <c r="M303" s="203" t="str">
        <f ca="1">CONCATENATE(VLOOKUP(B303,★営業所!$A$2:$B$5,2,FALSE),TEXT(NOW(),"yyyy"))</f>
        <v>T2023</v>
      </c>
      <c r="N303" s="203">
        <v>1</v>
      </c>
      <c r="O303" s="203">
        <v>0</v>
      </c>
      <c r="P303" s="213">
        <f>申込書!$B$6</f>
        <v>0</v>
      </c>
      <c r="Q303" s="203">
        <f>申込書!$C$34</f>
        <v>1000040</v>
      </c>
      <c r="R303" s="203">
        <v>0</v>
      </c>
      <c r="U303" s="203">
        <f>VLOOKUP(B303,★営業所!$A$2:$C$5,3,FALSE)</f>
        <v>8</v>
      </c>
      <c r="V303" s="203">
        <f>申込書!$B$9</f>
        <v>0</v>
      </c>
      <c r="W303" s="203" t="str">
        <f>CONCATENATE(VLOOKUP(B303,★営業所!$A$2:$B$5,2,FALSE),VLOOKUP(申込書!$C$32,★サイズ表記!$D$4:$E$55,2,FALSE),VLOOKUP(D303,★折込地区!$A$2:$B$11,2,FALSE))</f>
        <v>T1001Kry</v>
      </c>
      <c r="X303" s="203" t="str">
        <f>CONCATENATE(申込書!$B$9," ",VLOOKUP(RIGHT(W303,3),★折込地区!$B$2:$C$10,2,FALSE),"")</f>
        <v xml:space="preserve"> 倉吉</v>
      </c>
      <c r="Z303" s="206">
        <f t="shared" ca="1" si="32"/>
        <v>0</v>
      </c>
      <c r="AB303" s="383">
        <f t="shared" si="33"/>
        <v>2.8</v>
      </c>
      <c r="AC303" s="203" t="str">
        <f t="shared" si="34"/>
        <v>G1001</v>
      </c>
      <c r="AD303" s="203" t="str">
        <f>VLOOKUP(AC303,★原価商品!$E$6:$F$349,2,FALSE)</f>
        <v>朝日/B4（折り無し）</v>
      </c>
      <c r="AE303" s="203">
        <f t="shared" ca="1" si="35"/>
        <v>0</v>
      </c>
      <c r="AF303" s="383">
        <f ca="1">IFERROR(IF(VLOOKUP(申込書!$C$32,★サイズ表記!$F$4:$H$55,3,FALSE)="切り捨て",ROUNDDOWN(L303*IF(AK303="◎",I303,J303)/100,2),IF(VLOOKUP(申込書!$C$32,★サイズ表記!$F$4:$H$55,3,FALSE)="切り上げ",ROUNDUP(L303*IF(AK303="◎",I303,J303)/100,2),ROUND(L303*IF(AK303="◎",I303,J303)/100,2))),0)</f>
        <v>2.29</v>
      </c>
      <c r="AG303" s="203">
        <f t="shared" ca="1" si="36"/>
        <v>10303</v>
      </c>
      <c r="AJ303" s="460" t="str">
        <f>IFERROR(VLOOKUP(申込書!$C$30,★業種!$D$2:$E$87,2,FALSE),"")</f>
        <v>1003</v>
      </c>
      <c r="AK303" s="460" t="str">
        <f ca="1">IF(申込書!$C$36="◎",IF(OR(D303="浜坂・温泉",D303="美方・村岡",D303="香住",D303="岡山",D303="大阪"),"",IF(LEFT(F303)="D","◎",IF(AG303=0,"",IFERROR(IF(VLOOKUP(AG303,★仕入先!$A$2:$C$211,3,FALSE)=0,"","◎"),"")))),"")</f>
        <v/>
      </c>
      <c r="AL303" s="460">
        <f>申込書!$H$14</f>
        <v>0</v>
      </c>
      <c r="AM303" s="460" t="str">
        <f>申込書!$C$32</f>
        <v>B4（折り無し）</v>
      </c>
      <c r="AN303" s="460" t="str">
        <f>VLOOKUP(AM303,★サイズ表記!$D$4:$E$55,2,FALSE)</f>
        <v>1001</v>
      </c>
      <c r="AO303" s="460">
        <f>IF(C303&lt;&gt;"⑧兵庫",VLOOKUP(LEFT(F303),★新聞!$A$4:$B$12,2,FALSE),IF(LEFT(F303)&lt;&gt;"S",VLOOKUP(LEFT(F303),★新聞!$A$4:$B$12,2,FALSE),VLOOKUP("X",★新聞!$A$4:$B$12,2,FALSE)))</f>
        <v>2</v>
      </c>
      <c r="AP303" s="460" t="str">
        <f t="shared" ca="1" si="37"/>
        <v>0</v>
      </c>
      <c r="AQ303" s="460" t="str">
        <f>IF(申込書!$C$38="","",申込書!$C$38)</f>
        <v/>
      </c>
    </row>
    <row r="304" spans="1:43">
      <c r="A304" s="463">
        <f t="shared" si="38"/>
        <v>303</v>
      </c>
      <c r="B304" s="463" t="str">
        <f t="shared" si="39"/>
        <v>東部</v>
      </c>
      <c r="C304" s="464" t="s">
        <v>1017</v>
      </c>
      <c r="D304" s="464" t="s">
        <v>1602</v>
      </c>
      <c r="E304" s="464">
        <f>VLOOKUP(D304,★折込地区!$A$2:$D$10,4,FALSE)</f>
        <v>2</v>
      </c>
      <c r="F304" s="464" t="s">
        <v>424</v>
      </c>
      <c r="G304" s="464" t="str">
        <f>INDEX(★新聞!$E$4:$I$12, MATCH(LEFT(F304),★新聞!$A$4:$A$12,0), MATCH(LEFT(W304),★新聞!$E$3:$I$3,0))</f>
        <v>AA</v>
      </c>
      <c r="H304" s="475" t="s">
        <v>1107</v>
      </c>
      <c r="I304" s="464" cm="1">
        <f t="array" ref="I304">IFERROR(INDEX(★原価率!$A$2:$E$50,MATCH($C304&amp;$H304,★原価率!$A$2:$A$50&amp;★原価率!$B$2:$B$50,0),3),0)</f>
        <v>82</v>
      </c>
      <c r="J304" s="464" cm="1">
        <f t="array" ref="J304">IFERROR(INDEX(★原価率!$A$2:$E$50,MATCH($C304&amp;$H304,★原価率!$A$2:$A$50&amp;★原価率!$B$2:$B$50,0),4),0)</f>
        <v>82</v>
      </c>
      <c r="K304" s="464" cm="1">
        <f t="array" ref="K304">IFERROR(INDEX(★原価率!$A$2:$E$50,MATCH($C304&amp;$H304,★原価率!$A$2:$A$50&amp;★原価率!$B$2:$B$50,0),5),0)</f>
        <v>100</v>
      </c>
      <c r="L304" s="528">
        <f>IFERROR(VLOOKUP(W304,★商品!$A$1:$H$1231,8,FALSE),0)</f>
        <v>2.8</v>
      </c>
      <c r="M304" s="203" t="str">
        <f ca="1">CONCATENATE(VLOOKUP(B304,★営業所!$A$2:$B$5,2,FALSE),TEXT(NOW(),"yyyy"))</f>
        <v>T2023</v>
      </c>
      <c r="N304" s="203">
        <v>1</v>
      </c>
      <c r="O304" s="203">
        <v>0</v>
      </c>
      <c r="P304" s="213">
        <f>申込書!$B$6</f>
        <v>0</v>
      </c>
      <c r="Q304" s="203">
        <f>申込書!$C$34</f>
        <v>1000040</v>
      </c>
      <c r="R304" s="203">
        <v>0</v>
      </c>
      <c r="U304" s="203">
        <f>VLOOKUP(B304,★営業所!$A$2:$C$5,3,FALSE)</f>
        <v>8</v>
      </c>
      <c r="V304" s="203">
        <f>申込書!$B$9</f>
        <v>0</v>
      </c>
      <c r="W304" s="203" t="str">
        <f>CONCATENATE(VLOOKUP(B304,★営業所!$A$2:$B$5,2,FALSE),VLOOKUP(申込書!$C$32,★サイズ表記!$D$4:$E$55,2,FALSE),VLOOKUP(D304,★折込地区!$A$2:$B$11,2,FALSE))</f>
        <v>T1001Kry</v>
      </c>
      <c r="X304" s="203" t="str">
        <f>CONCATENATE(申込書!$B$9," ",VLOOKUP(RIGHT(W304,3),★折込地区!$B$2:$C$10,2,FALSE),"")</f>
        <v xml:space="preserve"> 倉吉</v>
      </c>
      <c r="Z304" s="206">
        <f t="shared" ca="1" si="32"/>
        <v>0</v>
      </c>
      <c r="AB304" s="383">
        <f t="shared" si="33"/>
        <v>2.8</v>
      </c>
      <c r="AC304" s="203" t="str">
        <f t="shared" si="34"/>
        <v>G1001</v>
      </c>
      <c r="AD304" s="203" t="str">
        <f>VLOOKUP(AC304,★原価商品!$E$6:$F$349,2,FALSE)</f>
        <v>朝日/B4（折り無し）</v>
      </c>
      <c r="AE304" s="203">
        <f t="shared" ca="1" si="35"/>
        <v>0</v>
      </c>
      <c r="AF304" s="383">
        <f ca="1">IFERROR(IF(VLOOKUP(申込書!$C$32,★サイズ表記!$F$4:$H$55,3,FALSE)="切り捨て",ROUNDDOWN(L304*IF(AK304="◎",I304,J304)/100,2),IF(VLOOKUP(申込書!$C$32,★サイズ表記!$F$4:$H$55,3,FALSE)="切り上げ",ROUNDUP(L304*IF(AK304="◎",I304,J304)/100,2),ROUND(L304*IF(AK304="◎",I304,J304)/100,2))),0)</f>
        <v>2.29</v>
      </c>
      <c r="AG304" s="203">
        <f t="shared" ca="1" si="36"/>
        <v>10303</v>
      </c>
      <c r="AJ304" s="460" t="str">
        <f>IFERROR(VLOOKUP(申込書!$C$30,★業種!$D$2:$E$87,2,FALSE),"")</f>
        <v>1003</v>
      </c>
      <c r="AK304" s="460" t="str">
        <f ca="1">IF(申込書!$C$36="◎",IF(OR(D304="浜坂・温泉",D304="美方・村岡",D304="香住",D304="岡山",D304="大阪"),"",IF(LEFT(F304)="D","◎",IF(AG304=0,"",IFERROR(IF(VLOOKUP(AG304,★仕入先!$A$2:$C$211,3,FALSE)=0,"","◎"),"")))),"")</f>
        <v/>
      </c>
      <c r="AL304" s="460">
        <f>申込書!$H$14</f>
        <v>0</v>
      </c>
      <c r="AM304" s="460" t="str">
        <f>申込書!$C$32</f>
        <v>B4（折り無し）</v>
      </c>
      <c r="AN304" s="460" t="str">
        <f>VLOOKUP(AM304,★サイズ表記!$D$4:$E$55,2,FALSE)</f>
        <v>1001</v>
      </c>
      <c r="AO304" s="460">
        <f>IF(C304&lt;&gt;"⑧兵庫",VLOOKUP(LEFT(F304),★新聞!$A$4:$B$12,2,FALSE),IF(LEFT(F304)&lt;&gt;"S",VLOOKUP(LEFT(F304),★新聞!$A$4:$B$12,2,FALSE),VLOOKUP("X",★新聞!$A$4:$B$12,2,FALSE)))</f>
        <v>2</v>
      </c>
      <c r="AP304" s="460" t="str">
        <f t="shared" ca="1" si="37"/>
        <v>0</v>
      </c>
      <c r="AQ304" s="460" t="str">
        <f>IF(申込書!$C$38="","",申込書!$C$38)</f>
        <v/>
      </c>
    </row>
    <row r="305" spans="1:43">
      <c r="A305" s="463">
        <f t="shared" si="38"/>
        <v>304</v>
      </c>
      <c r="B305" s="463" t="str">
        <f t="shared" si="39"/>
        <v>東部</v>
      </c>
      <c r="C305" s="464" t="s">
        <v>1017</v>
      </c>
      <c r="D305" s="464" t="s">
        <v>1602</v>
      </c>
      <c r="E305" s="464">
        <f>VLOOKUP(D305,★折込地区!$A$2:$D$10,4,FALSE)</f>
        <v>2</v>
      </c>
      <c r="F305" s="464" t="s">
        <v>384</v>
      </c>
      <c r="G305" s="464" t="str">
        <f>INDEX(★新聞!$E$4:$I$12, MATCH(LEFT(F305),★新聞!$A$4:$A$12,0), MATCH(LEFT(W305),★新聞!$E$3:$I$3,0))</f>
        <v>AD</v>
      </c>
      <c r="H305" s="475" t="s">
        <v>1104</v>
      </c>
      <c r="I305" s="464" cm="1">
        <f t="array" ref="I305">IFERROR(INDEX(★原価率!$A$2:$E$50,MATCH($C305&amp;$H305,★原価率!$A$2:$A$50&amp;★原価率!$B$2:$B$50,0),3),0)</f>
        <v>86</v>
      </c>
      <c r="J305" s="464" cm="1">
        <f t="array" ref="J305">IFERROR(INDEX(★原価率!$A$2:$E$50,MATCH($C305&amp;$H305,★原価率!$A$2:$A$50&amp;★原価率!$B$2:$B$50,0),4),0)</f>
        <v>86</v>
      </c>
      <c r="K305" s="464" cm="1">
        <f t="array" ref="K305">IFERROR(INDEX(★原価率!$A$2:$E$50,MATCH($C305&amp;$H305,★原価率!$A$2:$A$50&amp;★原価率!$B$2:$B$50,0),5),0)</f>
        <v>100</v>
      </c>
      <c r="L305" s="528">
        <f>IFERROR(VLOOKUP(W305,★商品!$A$1:$H$1231,8,FALSE),0)</f>
        <v>2.8</v>
      </c>
      <c r="M305" s="203" t="str">
        <f ca="1">CONCATENATE(VLOOKUP(B305,★営業所!$A$2:$B$5,2,FALSE),TEXT(NOW(),"yyyy"))</f>
        <v>T2023</v>
      </c>
      <c r="N305" s="203">
        <v>1</v>
      </c>
      <c r="O305" s="203">
        <v>0</v>
      </c>
      <c r="P305" s="213">
        <f>申込書!$B$6</f>
        <v>0</v>
      </c>
      <c r="Q305" s="203">
        <f>申込書!$C$34</f>
        <v>1000040</v>
      </c>
      <c r="R305" s="203">
        <v>0</v>
      </c>
      <c r="U305" s="203">
        <f>VLOOKUP(B305,★営業所!$A$2:$C$5,3,FALSE)</f>
        <v>8</v>
      </c>
      <c r="V305" s="203">
        <f>申込書!$B$9</f>
        <v>0</v>
      </c>
      <c r="W305" s="203" t="str">
        <f>CONCATENATE(VLOOKUP(B305,★営業所!$A$2:$B$5,2,FALSE),VLOOKUP(申込書!$C$32,★サイズ表記!$D$4:$E$55,2,FALSE),VLOOKUP(D305,★折込地区!$A$2:$B$11,2,FALSE))</f>
        <v>T1001Kry</v>
      </c>
      <c r="X305" s="203" t="str">
        <f>CONCATENATE(申込書!$B$9," ",VLOOKUP(RIGHT(W305,3),★折込地区!$B$2:$C$10,2,FALSE),"")</f>
        <v xml:space="preserve"> 倉吉</v>
      </c>
      <c r="Z305" s="206">
        <f t="shared" ca="1" si="32"/>
        <v>0</v>
      </c>
      <c r="AB305" s="383">
        <f t="shared" si="33"/>
        <v>2.8</v>
      </c>
      <c r="AC305" s="203" t="str">
        <f t="shared" si="34"/>
        <v>J1001</v>
      </c>
      <c r="AD305" s="203" t="str">
        <f>VLOOKUP(AC305,★原価商品!$E$6:$F$349,2,FALSE)</f>
        <v>読売/B4（折り無し）</v>
      </c>
      <c r="AE305" s="203">
        <f t="shared" ca="1" si="35"/>
        <v>0</v>
      </c>
      <c r="AF305" s="383">
        <f ca="1">IFERROR(IF(VLOOKUP(申込書!$C$32,★サイズ表記!$F$4:$H$55,3,FALSE)="切り捨て",ROUNDDOWN(L305*IF(AK305="◎",I305,J305)/100,2),IF(VLOOKUP(申込書!$C$32,★サイズ表記!$F$4:$H$55,3,FALSE)="切り上げ",ROUNDUP(L305*IF(AK305="◎",I305,J305)/100,2),ROUND(L305*IF(AK305="◎",I305,J305)/100,2))),0)</f>
        <v>2.4</v>
      </c>
      <c r="AG305" s="203">
        <f t="shared" ca="1" si="36"/>
        <v>10303</v>
      </c>
      <c r="AJ305" s="460" t="str">
        <f>IFERROR(VLOOKUP(申込書!$C$30,★業種!$D$2:$E$87,2,FALSE),"")</f>
        <v>1003</v>
      </c>
      <c r="AK305" s="460" t="str">
        <f ca="1">IF(申込書!$C$36="◎",IF(OR(D305="浜坂・温泉",D305="美方・村岡",D305="香住",D305="岡山",D305="大阪"),"",IF(LEFT(F305)="D","◎",IF(AG305=0,"",IFERROR(IF(VLOOKUP(AG305,★仕入先!$A$2:$C$211,3,FALSE)=0,"","◎"),"")))),"")</f>
        <v/>
      </c>
      <c r="AL305" s="460">
        <f>申込書!$H$14</f>
        <v>0</v>
      </c>
      <c r="AM305" s="460" t="str">
        <f>申込書!$C$32</f>
        <v>B4（折り無し）</v>
      </c>
      <c r="AN305" s="460" t="str">
        <f>VLOOKUP(AM305,★サイズ表記!$D$4:$E$55,2,FALSE)</f>
        <v>1001</v>
      </c>
      <c r="AO305" s="460">
        <f>IF(C305&lt;&gt;"⑧兵庫",VLOOKUP(LEFT(F305),★新聞!$A$4:$B$12,2,FALSE),IF(LEFT(F305)&lt;&gt;"S",VLOOKUP(LEFT(F305),★新聞!$A$4:$B$12,2,FALSE),VLOOKUP("X",★新聞!$A$4:$B$12,2,FALSE)))</f>
        <v>3</v>
      </c>
      <c r="AP305" s="460" t="str">
        <f t="shared" ca="1" si="37"/>
        <v>0</v>
      </c>
      <c r="AQ305" s="460" t="str">
        <f>IF(申込書!$C$38="","",申込書!$C$38)</f>
        <v/>
      </c>
    </row>
    <row r="306" spans="1:43">
      <c r="A306" s="463">
        <f t="shared" si="38"/>
        <v>305</v>
      </c>
      <c r="B306" s="463" t="str">
        <f t="shared" si="39"/>
        <v>東部</v>
      </c>
      <c r="C306" s="464" t="s">
        <v>1017</v>
      </c>
      <c r="D306" s="464" t="s">
        <v>1602</v>
      </c>
      <c r="E306" s="464">
        <f>VLOOKUP(D306,★折込地区!$A$2:$D$10,4,FALSE)</f>
        <v>2</v>
      </c>
      <c r="F306" s="464" t="s">
        <v>427</v>
      </c>
      <c r="G306" s="464" t="str">
        <f>INDEX(★新聞!$E$4:$I$12, MATCH(LEFT(F306),★新聞!$A$4:$A$12,0), MATCH(LEFT(W306),★新聞!$E$3:$I$3,0))</f>
        <v>AD</v>
      </c>
      <c r="H306" s="475" t="s">
        <v>1104</v>
      </c>
      <c r="I306" s="464" cm="1">
        <f t="array" ref="I306">IFERROR(INDEX(★原価率!$A$2:$E$50,MATCH($C306&amp;$H306,★原価率!$A$2:$A$50&amp;★原価率!$B$2:$B$50,0),3),0)</f>
        <v>86</v>
      </c>
      <c r="J306" s="464" cm="1">
        <f t="array" ref="J306">IFERROR(INDEX(★原価率!$A$2:$E$50,MATCH($C306&amp;$H306,★原価率!$A$2:$A$50&amp;★原価率!$B$2:$B$50,0),4),0)</f>
        <v>86</v>
      </c>
      <c r="K306" s="464" cm="1">
        <f t="array" ref="K306">IFERROR(INDEX(★原価率!$A$2:$E$50,MATCH($C306&amp;$H306,★原価率!$A$2:$A$50&amp;★原価率!$B$2:$B$50,0),5),0)</f>
        <v>100</v>
      </c>
      <c r="L306" s="528">
        <f>IFERROR(VLOOKUP(W306,★商品!$A$1:$H$1231,8,FALSE),0)</f>
        <v>2.8</v>
      </c>
      <c r="M306" s="203" t="str">
        <f ca="1">CONCATENATE(VLOOKUP(B306,★営業所!$A$2:$B$5,2,FALSE),TEXT(NOW(),"yyyy"))</f>
        <v>T2023</v>
      </c>
      <c r="N306" s="203">
        <v>1</v>
      </c>
      <c r="O306" s="203">
        <v>0</v>
      </c>
      <c r="P306" s="213">
        <f>申込書!$B$6</f>
        <v>0</v>
      </c>
      <c r="Q306" s="203">
        <f>申込書!$C$34</f>
        <v>1000040</v>
      </c>
      <c r="R306" s="203">
        <v>0</v>
      </c>
      <c r="U306" s="203">
        <f>VLOOKUP(B306,★営業所!$A$2:$C$5,3,FALSE)</f>
        <v>8</v>
      </c>
      <c r="V306" s="203">
        <f>申込書!$B$9</f>
        <v>0</v>
      </c>
      <c r="W306" s="203" t="str">
        <f>CONCATENATE(VLOOKUP(B306,★営業所!$A$2:$B$5,2,FALSE),VLOOKUP(申込書!$C$32,★サイズ表記!$D$4:$E$55,2,FALSE),VLOOKUP(D306,★折込地区!$A$2:$B$11,2,FALSE))</f>
        <v>T1001Kry</v>
      </c>
      <c r="X306" s="203" t="str">
        <f>CONCATENATE(申込書!$B$9," ",VLOOKUP(RIGHT(W306,3),★折込地区!$B$2:$C$10,2,FALSE),"")</f>
        <v xml:space="preserve"> 倉吉</v>
      </c>
      <c r="Z306" s="206">
        <f t="shared" ca="1" si="32"/>
        <v>0</v>
      </c>
      <c r="AB306" s="383">
        <f t="shared" si="33"/>
        <v>2.8</v>
      </c>
      <c r="AC306" s="203" t="str">
        <f t="shared" si="34"/>
        <v>J1001</v>
      </c>
      <c r="AD306" s="203" t="str">
        <f>VLOOKUP(AC306,★原価商品!$E$6:$F$349,2,FALSE)</f>
        <v>読売/B4（折り無し）</v>
      </c>
      <c r="AE306" s="203">
        <f t="shared" ca="1" si="35"/>
        <v>0</v>
      </c>
      <c r="AF306" s="383">
        <f ca="1">IFERROR(IF(VLOOKUP(申込書!$C$32,★サイズ表記!$F$4:$H$55,3,FALSE)="切り捨て",ROUNDDOWN(L306*IF(AK306="◎",I306,J306)/100,2),IF(VLOOKUP(申込書!$C$32,★サイズ表記!$F$4:$H$55,3,FALSE)="切り上げ",ROUNDUP(L306*IF(AK306="◎",I306,J306)/100,2),ROUND(L306*IF(AK306="◎",I306,J306)/100,2))),0)</f>
        <v>2.4</v>
      </c>
      <c r="AG306" s="203">
        <f t="shared" ca="1" si="36"/>
        <v>10303</v>
      </c>
      <c r="AJ306" s="460" t="str">
        <f>IFERROR(VLOOKUP(申込書!$C$30,★業種!$D$2:$E$87,2,FALSE),"")</f>
        <v>1003</v>
      </c>
      <c r="AK306" s="460" t="str">
        <f ca="1">IF(申込書!$C$36="◎",IF(OR(D306="浜坂・温泉",D306="美方・村岡",D306="香住",D306="岡山",D306="大阪"),"",IF(LEFT(F306)="D","◎",IF(AG306=0,"",IFERROR(IF(VLOOKUP(AG306,★仕入先!$A$2:$C$211,3,FALSE)=0,"","◎"),"")))),"")</f>
        <v/>
      </c>
      <c r="AL306" s="460">
        <f>申込書!$H$14</f>
        <v>0</v>
      </c>
      <c r="AM306" s="460" t="str">
        <f>申込書!$C$32</f>
        <v>B4（折り無し）</v>
      </c>
      <c r="AN306" s="460" t="str">
        <f>VLOOKUP(AM306,★サイズ表記!$D$4:$E$55,2,FALSE)</f>
        <v>1001</v>
      </c>
      <c r="AO306" s="460">
        <f>IF(C306&lt;&gt;"⑧兵庫",VLOOKUP(LEFT(F306),★新聞!$A$4:$B$12,2,FALSE),IF(LEFT(F306)&lt;&gt;"S",VLOOKUP(LEFT(F306),★新聞!$A$4:$B$12,2,FALSE),VLOOKUP("X",★新聞!$A$4:$B$12,2,FALSE)))</f>
        <v>3</v>
      </c>
      <c r="AP306" s="460" t="str">
        <f t="shared" ca="1" si="37"/>
        <v>0</v>
      </c>
      <c r="AQ306" s="460" t="str">
        <f>IF(申込書!$C$38="","",申込書!$C$38)</f>
        <v/>
      </c>
    </row>
    <row r="307" spans="1:43">
      <c r="A307" s="463">
        <f t="shared" si="38"/>
        <v>306</v>
      </c>
      <c r="B307" s="463" t="str">
        <f t="shared" si="39"/>
        <v>東部</v>
      </c>
      <c r="C307" s="464" t="s">
        <v>1017</v>
      </c>
      <c r="D307" s="464" t="s">
        <v>1602</v>
      </c>
      <c r="E307" s="464">
        <f>VLOOKUP(D307,★折込地区!$A$2:$D$10,4,FALSE)</f>
        <v>2</v>
      </c>
      <c r="F307" s="464" t="s">
        <v>428</v>
      </c>
      <c r="G307" s="464" t="str">
        <f>INDEX(★新聞!$E$4:$I$12, MATCH(LEFT(F307),★新聞!$A$4:$A$12,0), MATCH(LEFT(W307),★新聞!$E$3:$I$3,0))</f>
        <v>AD</v>
      </c>
      <c r="H307" s="475" t="s">
        <v>1104</v>
      </c>
      <c r="I307" s="464" cm="1">
        <f t="array" ref="I307">IFERROR(INDEX(★原価率!$A$2:$E$50,MATCH($C307&amp;$H307,★原価率!$A$2:$A$50&amp;★原価率!$B$2:$B$50,0),3),0)</f>
        <v>86</v>
      </c>
      <c r="J307" s="464" cm="1">
        <f t="array" ref="J307">IFERROR(INDEX(★原価率!$A$2:$E$50,MATCH($C307&amp;$H307,★原価率!$A$2:$A$50&amp;★原価率!$B$2:$B$50,0),4),0)</f>
        <v>86</v>
      </c>
      <c r="K307" s="464" cm="1">
        <f t="array" ref="K307">IFERROR(INDEX(★原価率!$A$2:$E$50,MATCH($C307&amp;$H307,★原価率!$A$2:$A$50&amp;★原価率!$B$2:$B$50,0),5),0)</f>
        <v>100</v>
      </c>
      <c r="L307" s="528">
        <f>IFERROR(VLOOKUP(W307,★商品!$A$1:$H$1231,8,FALSE),0)</f>
        <v>2.8</v>
      </c>
      <c r="M307" s="203" t="str">
        <f ca="1">CONCATENATE(VLOOKUP(B307,★営業所!$A$2:$B$5,2,FALSE),TEXT(NOW(),"yyyy"))</f>
        <v>T2023</v>
      </c>
      <c r="N307" s="203">
        <v>1</v>
      </c>
      <c r="O307" s="203">
        <v>0</v>
      </c>
      <c r="P307" s="213">
        <f>申込書!$B$6</f>
        <v>0</v>
      </c>
      <c r="Q307" s="203">
        <f>申込書!$C$34</f>
        <v>1000040</v>
      </c>
      <c r="R307" s="203">
        <v>0</v>
      </c>
      <c r="U307" s="203">
        <f>VLOOKUP(B307,★営業所!$A$2:$C$5,3,FALSE)</f>
        <v>8</v>
      </c>
      <c r="V307" s="203">
        <f>申込書!$B$9</f>
        <v>0</v>
      </c>
      <c r="W307" s="203" t="str">
        <f>CONCATENATE(VLOOKUP(B307,★営業所!$A$2:$B$5,2,FALSE),VLOOKUP(申込書!$C$32,★サイズ表記!$D$4:$E$55,2,FALSE),VLOOKUP(D307,★折込地区!$A$2:$B$11,2,FALSE))</f>
        <v>T1001Kry</v>
      </c>
      <c r="X307" s="203" t="str">
        <f>CONCATENATE(申込書!$B$9," ",VLOOKUP(RIGHT(W307,3),★折込地区!$B$2:$C$10,2,FALSE),"")</f>
        <v xml:space="preserve"> 倉吉</v>
      </c>
      <c r="Z307" s="206">
        <f t="shared" ca="1" si="32"/>
        <v>0</v>
      </c>
      <c r="AB307" s="383">
        <f t="shared" si="33"/>
        <v>2.8</v>
      </c>
      <c r="AC307" s="203" t="str">
        <f t="shared" si="34"/>
        <v>J1001</v>
      </c>
      <c r="AD307" s="203" t="str">
        <f>VLOOKUP(AC307,★原価商品!$E$6:$F$349,2,FALSE)</f>
        <v>読売/B4（折り無し）</v>
      </c>
      <c r="AE307" s="203">
        <f t="shared" ca="1" si="35"/>
        <v>0</v>
      </c>
      <c r="AF307" s="383">
        <f ca="1">IFERROR(IF(VLOOKUP(申込書!$C$32,★サイズ表記!$F$4:$H$55,3,FALSE)="切り捨て",ROUNDDOWN(L307*IF(AK307="◎",I307,J307)/100,2),IF(VLOOKUP(申込書!$C$32,★サイズ表記!$F$4:$H$55,3,FALSE)="切り上げ",ROUNDUP(L307*IF(AK307="◎",I307,J307)/100,2),ROUND(L307*IF(AK307="◎",I307,J307)/100,2))),0)</f>
        <v>2.4</v>
      </c>
      <c r="AG307" s="203">
        <f t="shared" ca="1" si="36"/>
        <v>0</v>
      </c>
      <c r="AJ307" s="460" t="str">
        <f>IFERROR(VLOOKUP(申込書!$C$30,★業種!$D$2:$E$87,2,FALSE),"")</f>
        <v>1003</v>
      </c>
      <c r="AK307" s="460" t="str">
        <f ca="1">IF(申込書!$C$36="◎",IF(OR(D307="浜坂・温泉",D307="美方・村岡",D307="香住",D307="岡山",D307="大阪"),"",IF(LEFT(F307)="D","◎",IF(AG307=0,"",IFERROR(IF(VLOOKUP(AG307,★仕入先!$A$2:$C$211,3,FALSE)=0,"","◎"),"")))),"")</f>
        <v/>
      </c>
      <c r="AL307" s="460">
        <f>申込書!$H$14</f>
        <v>0</v>
      </c>
      <c r="AM307" s="460" t="str">
        <f>申込書!$C$32</f>
        <v>B4（折り無し）</v>
      </c>
      <c r="AN307" s="460" t="str">
        <f>VLOOKUP(AM307,★サイズ表記!$D$4:$E$55,2,FALSE)</f>
        <v>1001</v>
      </c>
      <c r="AO307" s="460">
        <f>IF(C307&lt;&gt;"⑧兵庫",VLOOKUP(LEFT(F307),★新聞!$A$4:$B$12,2,FALSE),IF(LEFT(F307)&lt;&gt;"S",VLOOKUP(LEFT(F307),★新聞!$A$4:$B$12,2,FALSE),VLOOKUP("X",★新聞!$A$4:$B$12,2,FALSE)))</f>
        <v>3</v>
      </c>
      <c r="AP307" s="460" t="str">
        <f t="shared" ca="1" si="37"/>
        <v>0</v>
      </c>
      <c r="AQ307" s="460" t="str">
        <f>IF(申込書!$C$38="","",申込書!$C$38)</f>
        <v/>
      </c>
    </row>
    <row r="308" spans="1:43">
      <c r="A308" s="463">
        <f t="shared" si="38"/>
        <v>307</v>
      </c>
      <c r="B308" s="463" t="str">
        <f t="shared" si="39"/>
        <v>東部</v>
      </c>
      <c r="C308" s="464" t="s">
        <v>1017</v>
      </c>
      <c r="D308" s="464" t="s">
        <v>1602</v>
      </c>
      <c r="E308" s="464">
        <f>VLOOKUP(D308,★折込地区!$A$2:$D$10,4,FALSE)</f>
        <v>2</v>
      </c>
      <c r="F308" s="464" t="s">
        <v>429</v>
      </c>
      <c r="G308" s="464" t="str">
        <f>INDEX(★新聞!$E$4:$I$12, MATCH(LEFT(F308),★新聞!$A$4:$A$12,0), MATCH(LEFT(W308),★新聞!$E$3:$I$3,0))</f>
        <v>AD</v>
      </c>
      <c r="H308" s="475" t="s">
        <v>1104</v>
      </c>
      <c r="I308" s="464" cm="1">
        <f t="array" ref="I308">IFERROR(INDEX(★原価率!$A$2:$E$50,MATCH($C308&amp;$H308,★原価率!$A$2:$A$50&amp;★原価率!$B$2:$B$50,0),3),0)</f>
        <v>86</v>
      </c>
      <c r="J308" s="464" cm="1">
        <f t="array" ref="J308">IFERROR(INDEX(★原価率!$A$2:$E$50,MATCH($C308&amp;$H308,★原価率!$A$2:$A$50&amp;★原価率!$B$2:$B$50,0),4),0)</f>
        <v>86</v>
      </c>
      <c r="K308" s="464" cm="1">
        <f t="array" ref="K308">IFERROR(INDEX(★原価率!$A$2:$E$50,MATCH($C308&amp;$H308,★原価率!$A$2:$A$50&amp;★原価率!$B$2:$B$50,0),5),0)</f>
        <v>100</v>
      </c>
      <c r="L308" s="528">
        <f>IFERROR(VLOOKUP(W308,★商品!$A$1:$H$1231,8,FALSE),0)</f>
        <v>2.8</v>
      </c>
      <c r="M308" s="203" t="str">
        <f ca="1">CONCATENATE(VLOOKUP(B308,★営業所!$A$2:$B$5,2,FALSE),TEXT(NOW(),"yyyy"))</f>
        <v>T2023</v>
      </c>
      <c r="N308" s="203">
        <v>1</v>
      </c>
      <c r="O308" s="203">
        <v>0</v>
      </c>
      <c r="P308" s="213">
        <f>申込書!$B$6</f>
        <v>0</v>
      </c>
      <c r="Q308" s="203">
        <f>申込書!$C$34</f>
        <v>1000040</v>
      </c>
      <c r="R308" s="203">
        <v>0</v>
      </c>
      <c r="U308" s="203">
        <f>VLOOKUP(B308,★営業所!$A$2:$C$5,3,FALSE)</f>
        <v>8</v>
      </c>
      <c r="V308" s="203">
        <f>申込書!$B$9</f>
        <v>0</v>
      </c>
      <c r="W308" s="203" t="str">
        <f>CONCATENATE(VLOOKUP(B308,★営業所!$A$2:$B$5,2,FALSE),VLOOKUP(申込書!$C$32,★サイズ表記!$D$4:$E$55,2,FALSE),VLOOKUP(D308,★折込地区!$A$2:$B$11,2,FALSE))</f>
        <v>T1001Kry</v>
      </c>
      <c r="X308" s="203" t="str">
        <f>CONCATENATE(申込書!$B$9," ",VLOOKUP(RIGHT(W308,3),★折込地区!$B$2:$C$10,2,FALSE),"")</f>
        <v xml:space="preserve"> 倉吉</v>
      </c>
      <c r="Z308" s="206">
        <f t="shared" ca="1" si="32"/>
        <v>0</v>
      </c>
      <c r="AB308" s="383">
        <f t="shared" si="33"/>
        <v>2.8</v>
      </c>
      <c r="AC308" s="203" t="str">
        <f t="shared" si="34"/>
        <v>J1001</v>
      </c>
      <c r="AD308" s="203" t="str">
        <f>VLOOKUP(AC308,★原価商品!$E$6:$F$349,2,FALSE)</f>
        <v>読売/B4（折り無し）</v>
      </c>
      <c r="AE308" s="203">
        <f t="shared" ca="1" si="35"/>
        <v>0</v>
      </c>
      <c r="AF308" s="383">
        <f ca="1">IFERROR(IF(VLOOKUP(申込書!$C$32,★サイズ表記!$F$4:$H$55,3,FALSE)="切り捨て",ROUNDDOWN(L308*IF(AK308="◎",I308,J308)/100,2),IF(VLOOKUP(申込書!$C$32,★サイズ表記!$F$4:$H$55,3,FALSE)="切り上げ",ROUNDUP(L308*IF(AK308="◎",I308,J308)/100,2),ROUND(L308*IF(AK308="◎",I308,J308)/100,2))),0)</f>
        <v>2.4</v>
      </c>
      <c r="AG308" s="203">
        <f t="shared" ca="1" si="36"/>
        <v>0</v>
      </c>
      <c r="AJ308" s="460" t="str">
        <f>IFERROR(VLOOKUP(申込書!$C$30,★業種!$D$2:$E$87,2,FALSE),"")</f>
        <v>1003</v>
      </c>
      <c r="AK308" s="460" t="str">
        <f ca="1">IF(申込書!$C$36="◎",IF(OR(D308="浜坂・温泉",D308="美方・村岡",D308="香住",D308="岡山",D308="大阪"),"",IF(LEFT(F308)="D","◎",IF(AG308=0,"",IFERROR(IF(VLOOKUP(AG308,★仕入先!$A$2:$C$211,3,FALSE)=0,"","◎"),"")))),"")</f>
        <v/>
      </c>
      <c r="AL308" s="460">
        <f>申込書!$H$14</f>
        <v>0</v>
      </c>
      <c r="AM308" s="460" t="str">
        <f>申込書!$C$32</f>
        <v>B4（折り無し）</v>
      </c>
      <c r="AN308" s="460" t="str">
        <f>VLOOKUP(AM308,★サイズ表記!$D$4:$E$55,2,FALSE)</f>
        <v>1001</v>
      </c>
      <c r="AO308" s="460">
        <f>IF(C308&lt;&gt;"⑧兵庫",VLOOKUP(LEFT(F308),★新聞!$A$4:$B$12,2,FALSE),IF(LEFT(F308)&lt;&gt;"S",VLOOKUP(LEFT(F308),★新聞!$A$4:$B$12,2,FALSE),VLOOKUP("X",★新聞!$A$4:$B$12,2,FALSE)))</f>
        <v>3</v>
      </c>
      <c r="AP308" s="460" t="str">
        <f t="shared" ca="1" si="37"/>
        <v>0</v>
      </c>
      <c r="AQ308" s="460" t="str">
        <f>IF(申込書!$C$38="","",申込書!$C$38)</f>
        <v/>
      </c>
    </row>
    <row r="309" spans="1:43">
      <c r="A309" s="463">
        <f t="shared" si="38"/>
        <v>308</v>
      </c>
      <c r="B309" s="463" t="str">
        <f t="shared" si="39"/>
        <v>東部</v>
      </c>
      <c r="C309" s="464" t="s">
        <v>1017</v>
      </c>
      <c r="D309" s="464" t="s">
        <v>1602</v>
      </c>
      <c r="E309" s="464">
        <f>VLOOKUP(D309,★折込地区!$A$2:$D$10,4,FALSE)</f>
        <v>2</v>
      </c>
      <c r="F309" s="464" t="s">
        <v>430</v>
      </c>
      <c r="G309" s="464" t="str">
        <f>INDEX(★新聞!$E$4:$I$12, MATCH(LEFT(F309),★新聞!$A$4:$A$12,0), MATCH(LEFT(W309),★新聞!$E$3:$I$3,0))</f>
        <v>AD</v>
      </c>
      <c r="H309" s="475" t="s">
        <v>1104</v>
      </c>
      <c r="I309" s="464" cm="1">
        <f t="array" ref="I309">IFERROR(INDEX(★原価率!$A$2:$E$50,MATCH($C309&amp;$H309,★原価率!$A$2:$A$50&amp;★原価率!$B$2:$B$50,0),3),0)</f>
        <v>86</v>
      </c>
      <c r="J309" s="464" cm="1">
        <f t="array" ref="J309">IFERROR(INDEX(★原価率!$A$2:$E$50,MATCH($C309&amp;$H309,★原価率!$A$2:$A$50&amp;★原価率!$B$2:$B$50,0),4),0)</f>
        <v>86</v>
      </c>
      <c r="K309" s="464" cm="1">
        <f t="array" ref="K309">IFERROR(INDEX(★原価率!$A$2:$E$50,MATCH($C309&amp;$H309,★原価率!$A$2:$A$50&amp;★原価率!$B$2:$B$50,0),5),0)</f>
        <v>100</v>
      </c>
      <c r="L309" s="528">
        <f>IFERROR(VLOOKUP(W309,★商品!$A$1:$H$1231,8,FALSE),0)</f>
        <v>2.8</v>
      </c>
      <c r="M309" s="203" t="str">
        <f ca="1">CONCATENATE(VLOOKUP(B309,★営業所!$A$2:$B$5,2,FALSE),TEXT(NOW(),"yyyy"))</f>
        <v>T2023</v>
      </c>
      <c r="N309" s="203">
        <v>1</v>
      </c>
      <c r="O309" s="203">
        <v>0</v>
      </c>
      <c r="P309" s="213">
        <f>申込書!$B$6</f>
        <v>0</v>
      </c>
      <c r="Q309" s="203">
        <f>申込書!$C$34</f>
        <v>1000040</v>
      </c>
      <c r="R309" s="203">
        <v>0</v>
      </c>
      <c r="U309" s="203">
        <f>VLOOKUP(B309,★営業所!$A$2:$C$5,3,FALSE)</f>
        <v>8</v>
      </c>
      <c r="V309" s="203">
        <f>申込書!$B$9</f>
        <v>0</v>
      </c>
      <c r="W309" s="203" t="str">
        <f>CONCATENATE(VLOOKUP(B309,★営業所!$A$2:$B$5,2,FALSE),VLOOKUP(申込書!$C$32,★サイズ表記!$D$4:$E$55,2,FALSE),VLOOKUP(D309,★折込地区!$A$2:$B$11,2,FALSE))</f>
        <v>T1001Kry</v>
      </c>
      <c r="X309" s="203" t="str">
        <f>CONCATENATE(申込書!$B$9," ",VLOOKUP(RIGHT(W309,3),★折込地区!$B$2:$C$10,2,FALSE),"")</f>
        <v xml:space="preserve"> 倉吉</v>
      </c>
      <c r="Z309" s="206">
        <f t="shared" ca="1" si="32"/>
        <v>0</v>
      </c>
      <c r="AB309" s="383">
        <f t="shared" si="33"/>
        <v>2.8</v>
      </c>
      <c r="AC309" s="203" t="str">
        <f t="shared" si="34"/>
        <v>J1001</v>
      </c>
      <c r="AD309" s="203" t="str">
        <f>VLOOKUP(AC309,★原価商品!$E$6:$F$349,2,FALSE)</f>
        <v>読売/B4（折り無し）</v>
      </c>
      <c r="AE309" s="203">
        <f t="shared" ca="1" si="35"/>
        <v>0</v>
      </c>
      <c r="AF309" s="383">
        <f ca="1">IFERROR(IF(VLOOKUP(申込書!$C$32,★サイズ表記!$F$4:$H$55,3,FALSE)="切り捨て",ROUNDDOWN(L309*IF(AK309="◎",I309,J309)/100,2),IF(VLOOKUP(申込書!$C$32,★サイズ表記!$F$4:$H$55,3,FALSE)="切り上げ",ROUNDUP(L309*IF(AK309="◎",I309,J309)/100,2),ROUND(L309*IF(AK309="◎",I309,J309)/100,2))),0)</f>
        <v>2.4</v>
      </c>
      <c r="AG309" s="203">
        <f t="shared" ca="1" si="36"/>
        <v>0</v>
      </c>
      <c r="AJ309" s="460" t="str">
        <f>IFERROR(VLOOKUP(申込書!$C$30,★業種!$D$2:$E$87,2,FALSE),"")</f>
        <v>1003</v>
      </c>
      <c r="AK309" s="460" t="str">
        <f ca="1">IF(申込書!$C$36="◎",IF(OR(D309="浜坂・温泉",D309="美方・村岡",D309="香住",D309="岡山",D309="大阪"),"",IF(LEFT(F309)="D","◎",IF(AG309=0,"",IFERROR(IF(VLOOKUP(AG309,★仕入先!$A$2:$C$211,3,FALSE)=0,"","◎"),"")))),"")</f>
        <v/>
      </c>
      <c r="AL309" s="460">
        <f>申込書!$H$14</f>
        <v>0</v>
      </c>
      <c r="AM309" s="460" t="str">
        <f>申込書!$C$32</f>
        <v>B4（折り無し）</v>
      </c>
      <c r="AN309" s="460" t="str">
        <f>VLOOKUP(AM309,★サイズ表記!$D$4:$E$55,2,FALSE)</f>
        <v>1001</v>
      </c>
      <c r="AO309" s="460">
        <f>IF(C309&lt;&gt;"⑧兵庫",VLOOKUP(LEFT(F309),★新聞!$A$4:$B$12,2,FALSE),IF(LEFT(F309)&lt;&gt;"S",VLOOKUP(LEFT(F309),★新聞!$A$4:$B$12,2,FALSE),VLOOKUP("X",★新聞!$A$4:$B$12,2,FALSE)))</f>
        <v>3</v>
      </c>
      <c r="AP309" s="460" t="str">
        <f t="shared" ca="1" si="37"/>
        <v>0</v>
      </c>
      <c r="AQ309" s="460" t="str">
        <f>IF(申込書!$C$38="","",申込書!$C$38)</f>
        <v/>
      </c>
    </row>
    <row r="310" spans="1:43">
      <c r="A310" s="463">
        <f t="shared" si="38"/>
        <v>309</v>
      </c>
      <c r="B310" s="463" t="str">
        <f t="shared" si="39"/>
        <v>東部</v>
      </c>
      <c r="C310" s="464" t="s">
        <v>1017</v>
      </c>
      <c r="D310" s="464" t="s">
        <v>1602</v>
      </c>
      <c r="E310" s="464">
        <f>VLOOKUP(D310,★折込地区!$A$2:$D$10,4,FALSE)</f>
        <v>2</v>
      </c>
      <c r="F310" s="464" t="s">
        <v>431</v>
      </c>
      <c r="G310" s="464" t="str">
        <f>INDEX(★新聞!$E$4:$I$12, MATCH(LEFT(F310),★新聞!$A$4:$A$12,0), MATCH(LEFT(W310),★新聞!$E$3:$I$3,0))</f>
        <v>AD</v>
      </c>
      <c r="H310" s="475" t="s">
        <v>1107</v>
      </c>
      <c r="I310" s="464" cm="1">
        <f t="array" ref="I310">IFERROR(INDEX(★原価率!$A$2:$E$50,MATCH($C310&amp;$H310,★原価率!$A$2:$A$50&amp;★原価率!$B$2:$B$50,0),3),0)</f>
        <v>82</v>
      </c>
      <c r="J310" s="464" cm="1">
        <f t="array" ref="J310">IFERROR(INDEX(★原価率!$A$2:$E$50,MATCH($C310&amp;$H310,★原価率!$A$2:$A$50&amp;★原価率!$B$2:$B$50,0),4),0)</f>
        <v>82</v>
      </c>
      <c r="K310" s="464" cm="1">
        <f t="array" ref="K310">IFERROR(INDEX(★原価率!$A$2:$E$50,MATCH($C310&amp;$H310,★原価率!$A$2:$A$50&amp;★原価率!$B$2:$B$50,0),5),0)</f>
        <v>100</v>
      </c>
      <c r="L310" s="528">
        <f>IFERROR(VLOOKUP(W310,★商品!$A$1:$H$1231,8,FALSE),0)</f>
        <v>2.8</v>
      </c>
      <c r="M310" s="203" t="str">
        <f ca="1">CONCATENATE(VLOOKUP(B310,★営業所!$A$2:$B$5,2,FALSE),TEXT(NOW(),"yyyy"))</f>
        <v>T2023</v>
      </c>
      <c r="N310" s="203">
        <v>1</v>
      </c>
      <c r="O310" s="203">
        <v>0</v>
      </c>
      <c r="P310" s="213">
        <f>申込書!$B$6</f>
        <v>0</v>
      </c>
      <c r="Q310" s="203">
        <f>申込書!$C$34</f>
        <v>1000040</v>
      </c>
      <c r="R310" s="203">
        <v>0</v>
      </c>
      <c r="U310" s="203">
        <f>VLOOKUP(B310,★営業所!$A$2:$C$5,3,FALSE)</f>
        <v>8</v>
      </c>
      <c r="V310" s="203">
        <f>申込書!$B$9</f>
        <v>0</v>
      </c>
      <c r="W310" s="203" t="str">
        <f>CONCATENATE(VLOOKUP(B310,★営業所!$A$2:$B$5,2,FALSE),VLOOKUP(申込書!$C$32,★サイズ表記!$D$4:$E$55,2,FALSE),VLOOKUP(D310,★折込地区!$A$2:$B$11,2,FALSE))</f>
        <v>T1001Kry</v>
      </c>
      <c r="X310" s="203" t="str">
        <f>CONCATENATE(申込書!$B$9," ",VLOOKUP(RIGHT(W310,3),★折込地区!$B$2:$C$10,2,FALSE),"")</f>
        <v xml:space="preserve"> 倉吉</v>
      </c>
      <c r="Z310" s="206">
        <f t="shared" ca="1" si="32"/>
        <v>0</v>
      </c>
      <c r="AB310" s="383">
        <f t="shared" si="33"/>
        <v>2.8</v>
      </c>
      <c r="AC310" s="203" t="str">
        <f t="shared" si="34"/>
        <v>J1001</v>
      </c>
      <c r="AD310" s="203" t="str">
        <f>VLOOKUP(AC310,★原価商品!$E$6:$F$349,2,FALSE)</f>
        <v>読売/B4（折り無し）</v>
      </c>
      <c r="AE310" s="203">
        <f t="shared" ca="1" si="35"/>
        <v>0</v>
      </c>
      <c r="AF310" s="383">
        <f ca="1">IFERROR(IF(VLOOKUP(申込書!$C$32,★サイズ表記!$F$4:$H$55,3,FALSE)="切り捨て",ROUNDDOWN(L310*IF(AK310="◎",I310,J310)/100,2),IF(VLOOKUP(申込書!$C$32,★サイズ表記!$F$4:$H$55,3,FALSE)="切り上げ",ROUNDUP(L310*IF(AK310="◎",I310,J310)/100,2),ROUND(L310*IF(AK310="◎",I310,J310)/100,2))),0)</f>
        <v>2.29</v>
      </c>
      <c r="AG310" s="203">
        <f t="shared" ca="1" si="36"/>
        <v>10303</v>
      </c>
      <c r="AJ310" s="460" t="str">
        <f>IFERROR(VLOOKUP(申込書!$C$30,★業種!$D$2:$E$87,2,FALSE),"")</f>
        <v>1003</v>
      </c>
      <c r="AK310" s="460" t="str">
        <f ca="1">IF(申込書!$C$36="◎",IF(OR(D310="浜坂・温泉",D310="美方・村岡",D310="香住",D310="岡山",D310="大阪"),"",IF(LEFT(F310)="D","◎",IF(AG310=0,"",IFERROR(IF(VLOOKUP(AG310,★仕入先!$A$2:$C$211,3,FALSE)=0,"","◎"),"")))),"")</f>
        <v/>
      </c>
      <c r="AL310" s="460">
        <f>申込書!$H$14</f>
        <v>0</v>
      </c>
      <c r="AM310" s="460" t="str">
        <f>申込書!$C$32</f>
        <v>B4（折り無し）</v>
      </c>
      <c r="AN310" s="460" t="str">
        <f>VLOOKUP(AM310,★サイズ表記!$D$4:$E$55,2,FALSE)</f>
        <v>1001</v>
      </c>
      <c r="AO310" s="460">
        <f>IF(C310&lt;&gt;"⑧兵庫",VLOOKUP(LEFT(F310),★新聞!$A$4:$B$12,2,FALSE),IF(LEFT(F310)&lt;&gt;"S",VLOOKUP(LEFT(F310),★新聞!$A$4:$B$12,2,FALSE),VLOOKUP("X",★新聞!$A$4:$B$12,2,FALSE)))</f>
        <v>3</v>
      </c>
      <c r="AP310" s="460" t="str">
        <f t="shared" ca="1" si="37"/>
        <v>0</v>
      </c>
      <c r="AQ310" s="460" t="str">
        <f>IF(申込書!$C$38="","",申込書!$C$38)</f>
        <v/>
      </c>
    </row>
    <row r="311" spans="1:43">
      <c r="A311" s="463">
        <f t="shared" si="38"/>
        <v>310</v>
      </c>
      <c r="B311" s="463" t="str">
        <f t="shared" si="39"/>
        <v>東部</v>
      </c>
      <c r="C311" s="464" t="s">
        <v>1017</v>
      </c>
      <c r="D311" s="464" t="s">
        <v>1602</v>
      </c>
      <c r="E311" s="464">
        <f>VLOOKUP(D311,★折込地区!$A$2:$D$10,4,FALSE)</f>
        <v>2</v>
      </c>
      <c r="F311" s="464" t="s">
        <v>432</v>
      </c>
      <c r="G311" s="464" t="str">
        <f>INDEX(★新聞!$E$4:$I$12, MATCH(LEFT(F311),★新聞!$A$4:$A$12,0), MATCH(LEFT(W311),★新聞!$E$3:$I$3,0))</f>
        <v>AD</v>
      </c>
      <c r="H311" s="475" t="s">
        <v>1107</v>
      </c>
      <c r="I311" s="464" cm="1">
        <f t="array" ref="I311">IFERROR(INDEX(★原価率!$A$2:$E$50,MATCH($C311&amp;$H311,★原価率!$A$2:$A$50&amp;★原価率!$B$2:$B$50,0),3),0)</f>
        <v>82</v>
      </c>
      <c r="J311" s="464" cm="1">
        <f t="array" ref="J311">IFERROR(INDEX(★原価率!$A$2:$E$50,MATCH($C311&amp;$H311,★原価率!$A$2:$A$50&amp;★原価率!$B$2:$B$50,0),4),0)</f>
        <v>82</v>
      </c>
      <c r="K311" s="464" cm="1">
        <f t="array" ref="K311">IFERROR(INDEX(★原価率!$A$2:$E$50,MATCH($C311&amp;$H311,★原価率!$A$2:$A$50&amp;★原価率!$B$2:$B$50,0),5),0)</f>
        <v>100</v>
      </c>
      <c r="L311" s="528">
        <f>IFERROR(VLOOKUP(W311,★商品!$A$1:$H$1231,8,FALSE),0)</f>
        <v>2.8</v>
      </c>
      <c r="M311" s="203" t="str">
        <f ca="1">CONCATENATE(VLOOKUP(B311,★営業所!$A$2:$B$5,2,FALSE),TEXT(NOW(),"yyyy"))</f>
        <v>T2023</v>
      </c>
      <c r="N311" s="203">
        <v>1</v>
      </c>
      <c r="O311" s="203">
        <v>0</v>
      </c>
      <c r="P311" s="213">
        <f>申込書!$B$6</f>
        <v>0</v>
      </c>
      <c r="Q311" s="203">
        <f>申込書!$C$34</f>
        <v>1000040</v>
      </c>
      <c r="R311" s="203">
        <v>0</v>
      </c>
      <c r="U311" s="203">
        <f>VLOOKUP(B311,★営業所!$A$2:$C$5,3,FALSE)</f>
        <v>8</v>
      </c>
      <c r="V311" s="203">
        <f>申込書!$B$9</f>
        <v>0</v>
      </c>
      <c r="W311" s="203" t="str">
        <f>CONCATENATE(VLOOKUP(B311,★営業所!$A$2:$B$5,2,FALSE),VLOOKUP(申込書!$C$32,★サイズ表記!$D$4:$E$55,2,FALSE),VLOOKUP(D311,★折込地区!$A$2:$B$11,2,FALSE))</f>
        <v>T1001Kry</v>
      </c>
      <c r="X311" s="203" t="str">
        <f>CONCATENATE(申込書!$B$9," ",VLOOKUP(RIGHT(W311,3),★折込地区!$B$2:$C$10,2,FALSE),"")</f>
        <v xml:space="preserve"> 倉吉</v>
      </c>
      <c r="Z311" s="206">
        <f t="shared" ca="1" si="32"/>
        <v>0</v>
      </c>
      <c r="AB311" s="383">
        <f t="shared" si="33"/>
        <v>2.8</v>
      </c>
      <c r="AC311" s="203" t="str">
        <f t="shared" si="34"/>
        <v>J1001</v>
      </c>
      <c r="AD311" s="203" t="str">
        <f>VLOOKUP(AC311,★原価商品!$E$6:$F$349,2,FALSE)</f>
        <v>読売/B4（折り無し）</v>
      </c>
      <c r="AE311" s="203">
        <f t="shared" ca="1" si="35"/>
        <v>0</v>
      </c>
      <c r="AF311" s="383">
        <f ca="1">IFERROR(IF(VLOOKUP(申込書!$C$32,★サイズ表記!$F$4:$H$55,3,FALSE)="切り捨て",ROUNDDOWN(L311*IF(AK311="◎",I311,J311)/100,2),IF(VLOOKUP(申込書!$C$32,★サイズ表記!$F$4:$H$55,3,FALSE)="切り上げ",ROUNDUP(L311*IF(AK311="◎",I311,J311)/100,2),ROUND(L311*IF(AK311="◎",I311,J311)/100,2))),0)</f>
        <v>2.29</v>
      </c>
      <c r="AG311" s="203">
        <f t="shared" ca="1" si="36"/>
        <v>0</v>
      </c>
      <c r="AJ311" s="460" t="str">
        <f>IFERROR(VLOOKUP(申込書!$C$30,★業種!$D$2:$E$87,2,FALSE),"")</f>
        <v>1003</v>
      </c>
      <c r="AK311" s="460" t="str">
        <f ca="1">IF(申込書!$C$36="◎",IF(OR(D311="浜坂・温泉",D311="美方・村岡",D311="香住",D311="岡山",D311="大阪"),"",IF(LEFT(F311)="D","◎",IF(AG311=0,"",IFERROR(IF(VLOOKUP(AG311,★仕入先!$A$2:$C$211,3,FALSE)=0,"","◎"),"")))),"")</f>
        <v/>
      </c>
      <c r="AL311" s="460">
        <f>申込書!$H$14</f>
        <v>0</v>
      </c>
      <c r="AM311" s="460" t="str">
        <f>申込書!$C$32</f>
        <v>B4（折り無し）</v>
      </c>
      <c r="AN311" s="460" t="str">
        <f>VLOOKUP(AM311,★サイズ表記!$D$4:$E$55,2,FALSE)</f>
        <v>1001</v>
      </c>
      <c r="AO311" s="460">
        <f>IF(C311&lt;&gt;"⑧兵庫",VLOOKUP(LEFT(F311),★新聞!$A$4:$B$12,2,FALSE),IF(LEFT(F311)&lt;&gt;"S",VLOOKUP(LEFT(F311),★新聞!$A$4:$B$12,2,FALSE),VLOOKUP("X",★新聞!$A$4:$B$12,2,FALSE)))</f>
        <v>3</v>
      </c>
      <c r="AP311" s="460" t="str">
        <f t="shared" ca="1" si="37"/>
        <v>0</v>
      </c>
      <c r="AQ311" s="460" t="str">
        <f>IF(申込書!$C$38="","",申込書!$C$38)</f>
        <v/>
      </c>
    </row>
    <row r="312" spans="1:43">
      <c r="A312" s="463">
        <f t="shared" si="38"/>
        <v>311</v>
      </c>
      <c r="B312" s="463" t="str">
        <f t="shared" si="39"/>
        <v>東部</v>
      </c>
      <c r="C312" s="464" t="s">
        <v>1017</v>
      </c>
      <c r="D312" s="464" t="s">
        <v>1602</v>
      </c>
      <c r="E312" s="464">
        <f>VLOOKUP(D312,★折込地区!$A$2:$D$10,4,FALSE)</f>
        <v>2</v>
      </c>
      <c r="F312" s="464" t="s">
        <v>436</v>
      </c>
      <c r="G312" s="464" t="str">
        <f>INDEX(★新聞!$E$4:$I$12, MATCH(LEFT(F312),★新聞!$A$4:$A$12,0), MATCH(LEFT(W312),★新聞!$E$3:$I$3,0))</f>
        <v>AD</v>
      </c>
      <c r="H312" s="475" t="s">
        <v>1107</v>
      </c>
      <c r="I312" s="464" cm="1">
        <f t="array" ref="I312">IFERROR(INDEX(★原価率!$A$2:$E$50,MATCH($C312&amp;$H312,★原価率!$A$2:$A$50&amp;★原価率!$B$2:$B$50,0),3),0)</f>
        <v>82</v>
      </c>
      <c r="J312" s="464" cm="1">
        <f t="array" ref="J312">IFERROR(INDEX(★原価率!$A$2:$E$50,MATCH($C312&amp;$H312,★原価率!$A$2:$A$50&amp;★原価率!$B$2:$B$50,0),4),0)</f>
        <v>82</v>
      </c>
      <c r="K312" s="464" cm="1">
        <f t="array" ref="K312">IFERROR(INDEX(★原価率!$A$2:$E$50,MATCH($C312&amp;$H312,★原価率!$A$2:$A$50&amp;★原価率!$B$2:$B$50,0),5),0)</f>
        <v>100</v>
      </c>
      <c r="L312" s="528">
        <f>IFERROR(VLOOKUP(W312,★商品!$A$1:$H$1231,8,FALSE),0)</f>
        <v>2.8</v>
      </c>
      <c r="M312" s="203" t="str">
        <f ca="1">CONCATENATE(VLOOKUP(B312,★営業所!$A$2:$B$5,2,FALSE),TEXT(NOW(),"yyyy"))</f>
        <v>T2023</v>
      </c>
      <c r="N312" s="203">
        <v>1</v>
      </c>
      <c r="O312" s="203">
        <v>0</v>
      </c>
      <c r="P312" s="213">
        <f>申込書!$B$6</f>
        <v>0</v>
      </c>
      <c r="Q312" s="203">
        <f>申込書!$C$34</f>
        <v>1000040</v>
      </c>
      <c r="R312" s="203">
        <v>0</v>
      </c>
      <c r="U312" s="203">
        <f>VLOOKUP(B312,★営業所!$A$2:$C$5,3,FALSE)</f>
        <v>8</v>
      </c>
      <c r="V312" s="203">
        <f>申込書!$B$9</f>
        <v>0</v>
      </c>
      <c r="W312" s="203" t="str">
        <f>CONCATENATE(VLOOKUP(B312,★営業所!$A$2:$B$5,2,FALSE),VLOOKUP(申込書!$C$32,★サイズ表記!$D$4:$E$55,2,FALSE),VLOOKUP(D312,★折込地区!$A$2:$B$11,2,FALSE))</f>
        <v>T1001Kry</v>
      </c>
      <c r="X312" s="203" t="str">
        <f>CONCATENATE(申込書!$B$9," ",VLOOKUP(RIGHT(W312,3),★折込地区!$B$2:$C$10,2,FALSE),"")</f>
        <v xml:space="preserve"> 倉吉</v>
      </c>
      <c r="Z312" s="206">
        <f t="shared" ca="1" si="32"/>
        <v>0</v>
      </c>
      <c r="AB312" s="383">
        <f t="shared" si="33"/>
        <v>2.8</v>
      </c>
      <c r="AC312" s="203" t="str">
        <f t="shared" si="34"/>
        <v>J1001</v>
      </c>
      <c r="AD312" s="203" t="str">
        <f>VLOOKUP(AC312,★原価商品!$E$6:$F$349,2,FALSE)</f>
        <v>読売/B4（折り無し）</v>
      </c>
      <c r="AE312" s="203">
        <f t="shared" ca="1" si="35"/>
        <v>0</v>
      </c>
      <c r="AF312" s="383">
        <f ca="1">IFERROR(IF(VLOOKUP(申込書!$C$32,★サイズ表記!$F$4:$H$55,3,FALSE)="切り捨て",ROUNDDOWN(L312*IF(AK312="◎",I312,J312)/100,2),IF(VLOOKUP(申込書!$C$32,★サイズ表記!$F$4:$H$55,3,FALSE)="切り上げ",ROUNDUP(L312*IF(AK312="◎",I312,J312)/100,2),ROUND(L312*IF(AK312="◎",I312,J312)/100,2))),0)</f>
        <v>2.29</v>
      </c>
      <c r="AG312" s="203">
        <f t="shared" ca="1" si="36"/>
        <v>10303</v>
      </c>
      <c r="AJ312" s="460" t="str">
        <f>IFERROR(VLOOKUP(申込書!$C$30,★業種!$D$2:$E$87,2,FALSE),"")</f>
        <v>1003</v>
      </c>
      <c r="AK312" s="460" t="str">
        <f ca="1">IF(申込書!$C$36="◎",IF(OR(D312="浜坂・温泉",D312="美方・村岡",D312="香住",D312="岡山",D312="大阪"),"",IF(LEFT(F312)="D","◎",IF(AG312=0,"",IFERROR(IF(VLOOKUP(AG312,★仕入先!$A$2:$C$211,3,FALSE)=0,"","◎"),"")))),"")</f>
        <v/>
      </c>
      <c r="AL312" s="460">
        <f>申込書!$H$14</f>
        <v>0</v>
      </c>
      <c r="AM312" s="460" t="str">
        <f>申込書!$C$32</f>
        <v>B4（折り無し）</v>
      </c>
      <c r="AN312" s="460" t="str">
        <f>VLOOKUP(AM312,★サイズ表記!$D$4:$E$55,2,FALSE)</f>
        <v>1001</v>
      </c>
      <c r="AO312" s="460">
        <f>IF(C312&lt;&gt;"⑧兵庫",VLOOKUP(LEFT(F312),★新聞!$A$4:$B$12,2,FALSE),IF(LEFT(F312)&lt;&gt;"S",VLOOKUP(LEFT(F312),★新聞!$A$4:$B$12,2,FALSE),VLOOKUP("X",★新聞!$A$4:$B$12,2,FALSE)))</f>
        <v>3</v>
      </c>
      <c r="AP312" s="460" t="str">
        <f t="shared" ca="1" si="37"/>
        <v>0</v>
      </c>
      <c r="AQ312" s="460" t="str">
        <f>IF(申込書!$C$38="","",申込書!$C$38)</f>
        <v/>
      </c>
    </row>
    <row r="313" spans="1:43">
      <c r="A313" s="463">
        <f t="shared" si="38"/>
        <v>312</v>
      </c>
      <c r="B313" s="463" t="str">
        <f t="shared" si="39"/>
        <v>東部</v>
      </c>
      <c r="C313" s="464" t="s">
        <v>1017</v>
      </c>
      <c r="D313" s="464" t="s">
        <v>1602</v>
      </c>
      <c r="E313" s="464">
        <f>VLOOKUP(D313,★折込地区!$A$2:$D$10,4,FALSE)</f>
        <v>2</v>
      </c>
      <c r="F313" s="464" t="s">
        <v>437</v>
      </c>
      <c r="G313" s="464" t="str">
        <f>INDEX(★新聞!$E$4:$I$12, MATCH(LEFT(F313),★新聞!$A$4:$A$12,0), MATCH(LEFT(W313),★新聞!$E$3:$I$3,0))</f>
        <v>AD</v>
      </c>
      <c r="H313" s="475" t="s">
        <v>1107</v>
      </c>
      <c r="I313" s="464" cm="1">
        <f t="array" ref="I313">IFERROR(INDEX(★原価率!$A$2:$E$50,MATCH($C313&amp;$H313,★原価率!$A$2:$A$50&amp;★原価率!$B$2:$B$50,0),3),0)</f>
        <v>82</v>
      </c>
      <c r="J313" s="464" cm="1">
        <f t="array" ref="J313">IFERROR(INDEX(★原価率!$A$2:$E$50,MATCH($C313&amp;$H313,★原価率!$A$2:$A$50&amp;★原価率!$B$2:$B$50,0),4),0)</f>
        <v>82</v>
      </c>
      <c r="K313" s="464" cm="1">
        <f t="array" ref="K313">IFERROR(INDEX(★原価率!$A$2:$E$50,MATCH($C313&amp;$H313,★原価率!$A$2:$A$50&amp;★原価率!$B$2:$B$50,0),5),0)</f>
        <v>100</v>
      </c>
      <c r="L313" s="528">
        <f>IFERROR(VLOOKUP(W313,★商品!$A$1:$H$1231,8,FALSE),0)</f>
        <v>2.8</v>
      </c>
      <c r="M313" s="203" t="str">
        <f ca="1">CONCATENATE(VLOOKUP(B313,★営業所!$A$2:$B$5,2,FALSE),TEXT(NOW(),"yyyy"))</f>
        <v>T2023</v>
      </c>
      <c r="N313" s="203">
        <v>1</v>
      </c>
      <c r="O313" s="203">
        <v>0</v>
      </c>
      <c r="P313" s="213">
        <f>申込書!$B$6</f>
        <v>0</v>
      </c>
      <c r="Q313" s="203">
        <f>申込書!$C$34</f>
        <v>1000040</v>
      </c>
      <c r="R313" s="203">
        <v>0</v>
      </c>
      <c r="U313" s="203">
        <f>VLOOKUP(B313,★営業所!$A$2:$C$5,3,FALSE)</f>
        <v>8</v>
      </c>
      <c r="V313" s="203">
        <f>申込書!$B$9</f>
        <v>0</v>
      </c>
      <c r="W313" s="203" t="str">
        <f>CONCATENATE(VLOOKUP(B313,★営業所!$A$2:$B$5,2,FALSE),VLOOKUP(申込書!$C$32,★サイズ表記!$D$4:$E$55,2,FALSE),VLOOKUP(D313,★折込地区!$A$2:$B$11,2,FALSE))</f>
        <v>T1001Kry</v>
      </c>
      <c r="X313" s="203" t="str">
        <f>CONCATENATE(申込書!$B$9," ",VLOOKUP(RIGHT(W313,3),★折込地区!$B$2:$C$10,2,FALSE),"")</f>
        <v xml:space="preserve"> 倉吉</v>
      </c>
      <c r="Z313" s="206">
        <f t="shared" ca="1" si="32"/>
        <v>0</v>
      </c>
      <c r="AB313" s="383">
        <f t="shared" si="33"/>
        <v>2.8</v>
      </c>
      <c r="AC313" s="203" t="str">
        <f t="shared" si="34"/>
        <v>J1001</v>
      </c>
      <c r="AD313" s="203" t="str">
        <f>VLOOKUP(AC313,★原価商品!$E$6:$F$349,2,FALSE)</f>
        <v>読売/B4（折り無し）</v>
      </c>
      <c r="AE313" s="203">
        <f t="shared" ca="1" si="35"/>
        <v>0</v>
      </c>
      <c r="AF313" s="383">
        <f ca="1">IFERROR(IF(VLOOKUP(申込書!$C$32,★サイズ表記!$F$4:$H$55,3,FALSE)="切り捨て",ROUNDDOWN(L313*IF(AK313="◎",I313,J313)/100,2),IF(VLOOKUP(申込書!$C$32,★サイズ表記!$F$4:$H$55,3,FALSE)="切り上げ",ROUNDUP(L313*IF(AK313="◎",I313,J313)/100,2),ROUND(L313*IF(AK313="◎",I313,J313)/100,2))),0)</f>
        <v>2.29</v>
      </c>
      <c r="AG313" s="203">
        <f t="shared" ca="1" si="36"/>
        <v>0</v>
      </c>
      <c r="AJ313" s="460" t="str">
        <f>IFERROR(VLOOKUP(申込書!$C$30,★業種!$D$2:$E$87,2,FALSE),"")</f>
        <v>1003</v>
      </c>
      <c r="AK313" s="460" t="str">
        <f ca="1">IF(申込書!$C$36="◎",IF(OR(D313="浜坂・温泉",D313="美方・村岡",D313="香住",D313="岡山",D313="大阪"),"",IF(LEFT(F313)="D","◎",IF(AG313=0,"",IFERROR(IF(VLOOKUP(AG313,★仕入先!$A$2:$C$211,3,FALSE)=0,"","◎"),"")))),"")</f>
        <v/>
      </c>
      <c r="AL313" s="460">
        <f>申込書!$H$14</f>
        <v>0</v>
      </c>
      <c r="AM313" s="460" t="str">
        <f>申込書!$C$32</f>
        <v>B4（折り無し）</v>
      </c>
      <c r="AN313" s="460" t="str">
        <f>VLOOKUP(AM313,★サイズ表記!$D$4:$E$55,2,FALSE)</f>
        <v>1001</v>
      </c>
      <c r="AO313" s="460">
        <f>IF(C313&lt;&gt;"⑧兵庫",VLOOKUP(LEFT(F313),★新聞!$A$4:$B$12,2,FALSE),IF(LEFT(F313)&lt;&gt;"S",VLOOKUP(LEFT(F313),★新聞!$A$4:$B$12,2,FALSE),VLOOKUP("X",★新聞!$A$4:$B$12,2,FALSE)))</f>
        <v>3</v>
      </c>
      <c r="AP313" s="460" t="str">
        <f t="shared" ca="1" si="37"/>
        <v>0</v>
      </c>
      <c r="AQ313" s="460" t="str">
        <f>IF(申込書!$C$38="","",申込書!$C$38)</f>
        <v/>
      </c>
    </row>
    <row r="314" spans="1:43">
      <c r="A314" s="463">
        <f t="shared" si="38"/>
        <v>313</v>
      </c>
      <c r="B314" s="463" t="str">
        <f t="shared" si="39"/>
        <v>東部</v>
      </c>
      <c r="C314" s="464" t="s">
        <v>1017</v>
      </c>
      <c r="D314" s="464" t="s">
        <v>1602</v>
      </c>
      <c r="E314" s="464">
        <f>VLOOKUP(D314,★折込地区!$A$2:$D$10,4,FALSE)</f>
        <v>2</v>
      </c>
      <c r="F314" s="464" t="s">
        <v>438</v>
      </c>
      <c r="G314" s="464" t="str">
        <f>INDEX(★新聞!$E$4:$I$12, MATCH(LEFT(F314),★新聞!$A$4:$A$12,0), MATCH(LEFT(W314),★新聞!$E$3:$I$3,0))</f>
        <v>AD</v>
      </c>
      <c r="H314" s="475" t="s">
        <v>1107</v>
      </c>
      <c r="I314" s="464" cm="1">
        <f t="array" ref="I314">IFERROR(INDEX(★原価率!$A$2:$E$50,MATCH($C314&amp;$H314,★原価率!$A$2:$A$50&amp;★原価率!$B$2:$B$50,0),3),0)</f>
        <v>82</v>
      </c>
      <c r="J314" s="464" cm="1">
        <f t="array" ref="J314">IFERROR(INDEX(★原価率!$A$2:$E$50,MATCH($C314&amp;$H314,★原価率!$A$2:$A$50&amp;★原価率!$B$2:$B$50,0),4),0)</f>
        <v>82</v>
      </c>
      <c r="K314" s="464" cm="1">
        <f t="array" ref="K314">IFERROR(INDEX(★原価率!$A$2:$E$50,MATCH($C314&amp;$H314,★原価率!$A$2:$A$50&amp;★原価率!$B$2:$B$50,0),5),0)</f>
        <v>100</v>
      </c>
      <c r="L314" s="528">
        <f>IFERROR(VLOOKUP(W314,★商品!$A$1:$H$1231,8,FALSE),0)</f>
        <v>2.8</v>
      </c>
      <c r="M314" s="203" t="str">
        <f ca="1">CONCATENATE(VLOOKUP(B314,★営業所!$A$2:$B$5,2,FALSE),TEXT(NOW(),"yyyy"))</f>
        <v>T2023</v>
      </c>
      <c r="N314" s="203">
        <v>1</v>
      </c>
      <c r="O314" s="203">
        <v>0</v>
      </c>
      <c r="P314" s="213">
        <f>申込書!$B$6</f>
        <v>0</v>
      </c>
      <c r="Q314" s="203">
        <f>申込書!$C$34</f>
        <v>1000040</v>
      </c>
      <c r="R314" s="203">
        <v>0</v>
      </c>
      <c r="U314" s="203">
        <f>VLOOKUP(B314,★営業所!$A$2:$C$5,3,FALSE)</f>
        <v>8</v>
      </c>
      <c r="V314" s="203">
        <f>申込書!$B$9</f>
        <v>0</v>
      </c>
      <c r="W314" s="203" t="str">
        <f>CONCATENATE(VLOOKUP(B314,★営業所!$A$2:$B$5,2,FALSE),VLOOKUP(申込書!$C$32,★サイズ表記!$D$4:$E$55,2,FALSE),VLOOKUP(D314,★折込地区!$A$2:$B$11,2,FALSE))</f>
        <v>T1001Kry</v>
      </c>
      <c r="X314" s="203" t="str">
        <f>CONCATENATE(申込書!$B$9," ",VLOOKUP(RIGHT(W314,3),★折込地区!$B$2:$C$10,2,FALSE),"")</f>
        <v xml:space="preserve"> 倉吉</v>
      </c>
      <c r="Z314" s="206">
        <f t="shared" ca="1" si="32"/>
        <v>0</v>
      </c>
      <c r="AB314" s="383">
        <f t="shared" si="33"/>
        <v>2.8</v>
      </c>
      <c r="AC314" s="203" t="str">
        <f t="shared" si="34"/>
        <v>J1001</v>
      </c>
      <c r="AD314" s="203" t="str">
        <f>VLOOKUP(AC314,★原価商品!$E$6:$F$349,2,FALSE)</f>
        <v>読売/B4（折り無し）</v>
      </c>
      <c r="AE314" s="203">
        <f t="shared" ca="1" si="35"/>
        <v>0</v>
      </c>
      <c r="AF314" s="383">
        <f ca="1">IFERROR(IF(VLOOKUP(申込書!$C$32,★サイズ表記!$F$4:$H$55,3,FALSE)="切り捨て",ROUNDDOWN(L314*IF(AK314="◎",I314,J314)/100,2),IF(VLOOKUP(申込書!$C$32,★サイズ表記!$F$4:$H$55,3,FALSE)="切り上げ",ROUNDUP(L314*IF(AK314="◎",I314,J314)/100,2),ROUND(L314*IF(AK314="◎",I314,J314)/100,2))),0)</f>
        <v>2.29</v>
      </c>
      <c r="AG314" s="203">
        <f t="shared" ca="1" si="36"/>
        <v>10303</v>
      </c>
      <c r="AJ314" s="460" t="str">
        <f>IFERROR(VLOOKUP(申込書!$C$30,★業種!$D$2:$E$87,2,FALSE),"")</f>
        <v>1003</v>
      </c>
      <c r="AK314" s="460" t="str">
        <f ca="1">IF(申込書!$C$36="◎",IF(OR(D314="浜坂・温泉",D314="美方・村岡",D314="香住",D314="岡山",D314="大阪"),"",IF(LEFT(F314)="D","◎",IF(AG314=0,"",IFERROR(IF(VLOOKUP(AG314,★仕入先!$A$2:$C$211,3,FALSE)=0,"","◎"),"")))),"")</f>
        <v/>
      </c>
      <c r="AL314" s="460">
        <f>申込書!$H$14</f>
        <v>0</v>
      </c>
      <c r="AM314" s="460" t="str">
        <f>申込書!$C$32</f>
        <v>B4（折り無し）</v>
      </c>
      <c r="AN314" s="460" t="str">
        <f>VLOOKUP(AM314,★サイズ表記!$D$4:$E$55,2,FALSE)</f>
        <v>1001</v>
      </c>
      <c r="AO314" s="460">
        <f>IF(C314&lt;&gt;"⑧兵庫",VLOOKUP(LEFT(F314),★新聞!$A$4:$B$12,2,FALSE),IF(LEFT(F314)&lt;&gt;"S",VLOOKUP(LEFT(F314),★新聞!$A$4:$B$12,2,FALSE),VLOOKUP("X",★新聞!$A$4:$B$12,2,FALSE)))</f>
        <v>3</v>
      </c>
      <c r="AP314" s="460" t="str">
        <f t="shared" ca="1" si="37"/>
        <v>0</v>
      </c>
      <c r="AQ314" s="460" t="str">
        <f>IF(申込書!$C$38="","",申込書!$C$38)</f>
        <v/>
      </c>
    </row>
    <row r="315" spans="1:43">
      <c r="A315" s="463">
        <f t="shared" si="38"/>
        <v>314</v>
      </c>
      <c r="B315" s="463" t="str">
        <f t="shared" si="39"/>
        <v>東部</v>
      </c>
      <c r="C315" s="464" t="s">
        <v>1017</v>
      </c>
      <c r="D315" s="464" t="s">
        <v>1602</v>
      </c>
      <c r="E315" s="464">
        <f>VLOOKUP(D315,★折込地区!$A$2:$D$10,4,FALSE)</f>
        <v>2</v>
      </c>
      <c r="F315" s="464" t="s">
        <v>439</v>
      </c>
      <c r="G315" s="464" t="str">
        <f>INDEX(★新聞!$E$4:$I$12, MATCH(LEFT(F315),★新聞!$A$4:$A$12,0), MATCH(LEFT(W315),★新聞!$E$3:$I$3,0))</f>
        <v>AD</v>
      </c>
      <c r="H315" s="475" t="s">
        <v>1107</v>
      </c>
      <c r="I315" s="464" cm="1">
        <f t="array" ref="I315">IFERROR(INDEX(★原価率!$A$2:$E$50,MATCH($C315&amp;$H315,★原価率!$A$2:$A$50&amp;★原価率!$B$2:$B$50,0),3),0)</f>
        <v>82</v>
      </c>
      <c r="J315" s="464" cm="1">
        <f t="array" ref="J315">IFERROR(INDEX(★原価率!$A$2:$E$50,MATCH($C315&amp;$H315,★原価率!$A$2:$A$50&amp;★原価率!$B$2:$B$50,0),4),0)</f>
        <v>82</v>
      </c>
      <c r="K315" s="464" cm="1">
        <f t="array" ref="K315">IFERROR(INDEX(★原価率!$A$2:$E$50,MATCH($C315&amp;$H315,★原価率!$A$2:$A$50&amp;★原価率!$B$2:$B$50,0),5),0)</f>
        <v>100</v>
      </c>
      <c r="L315" s="528">
        <f>IFERROR(VLOOKUP(W315,★商品!$A$1:$H$1231,8,FALSE),0)</f>
        <v>2.8</v>
      </c>
      <c r="M315" s="203" t="str">
        <f ca="1">CONCATENATE(VLOOKUP(B315,★営業所!$A$2:$B$5,2,FALSE),TEXT(NOW(),"yyyy"))</f>
        <v>T2023</v>
      </c>
      <c r="N315" s="203">
        <v>1</v>
      </c>
      <c r="O315" s="203">
        <v>0</v>
      </c>
      <c r="P315" s="213">
        <f>申込書!$B$6</f>
        <v>0</v>
      </c>
      <c r="Q315" s="203">
        <f>申込書!$C$34</f>
        <v>1000040</v>
      </c>
      <c r="R315" s="203">
        <v>0</v>
      </c>
      <c r="U315" s="203">
        <f>VLOOKUP(B315,★営業所!$A$2:$C$5,3,FALSE)</f>
        <v>8</v>
      </c>
      <c r="V315" s="203">
        <f>申込書!$B$9</f>
        <v>0</v>
      </c>
      <c r="W315" s="203" t="str">
        <f>CONCATENATE(VLOOKUP(B315,★営業所!$A$2:$B$5,2,FALSE),VLOOKUP(申込書!$C$32,★サイズ表記!$D$4:$E$55,2,FALSE),VLOOKUP(D315,★折込地区!$A$2:$B$11,2,FALSE))</f>
        <v>T1001Kry</v>
      </c>
      <c r="X315" s="203" t="str">
        <f>CONCATENATE(申込書!$B$9," ",VLOOKUP(RIGHT(W315,3),★折込地区!$B$2:$C$10,2,FALSE),"")</f>
        <v xml:space="preserve"> 倉吉</v>
      </c>
      <c r="Z315" s="206">
        <f t="shared" ca="1" si="32"/>
        <v>0</v>
      </c>
      <c r="AB315" s="383">
        <f t="shared" si="33"/>
        <v>2.8</v>
      </c>
      <c r="AC315" s="203" t="str">
        <f t="shared" si="34"/>
        <v>J1001</v>
      </c>
      <c r="AD315" s="203" t="str">
        <f>VLOOKUP(AC315,★原価商品!$E$6:$F$349,2,FALSE)</f>
        <v>読売/B4（折り無し）</v>
      </c>
      <c r="AE315" s="203">
        <f t="shared" ca="1" si="35"/>
        <v>0</v>
      </c>
      <c r="AF315" s="383">
        <f ca="1">IFERROR(IF(VLOOKUP(申込書!$C$32,★サイズ表記!$F$4:$H$55,3,FALSE)="切り捨て",ROUNDDOWN(L315*IF(AK315="◎",I315,J315)/100,2),IF(VLOOKUP(申込書!$C$32,★サイズ表記!$F$4:$H$55,3,FALSE)="切り上げ",ROUNDUP(L315*IF(AK315="◎",I315,J315)/100,2),ROUND(L315*IF(AK315="◎",I315,J315)/100,2))),0)</f>
        <v>2.29</v>
      </c>
      <c r="AG315" s="203">
        <f t="shared" ca="1" si="36"/>
        <v>10303</v>
      </c>
      <c r="AJ315" s="460" t="str">
        <f>IFERROR(VLOOKUP(申込書!$C$30,★業種!$D$2:$E$87,2,FALSE),"")</f>
        <v>1003</v>
      </c>
      <c r="AK315" s="460" t="str">
        <f ca="1">IF(申込書!$C$36="◎",IF(OR(D315="浜坂・温泉",D315="美方・村岡",D315="香住",D315="岡山",D315="大阪"),"",IF(LEFT(F315)="D","◎",IF(AG315=0,"",IFERROR(IF(VLOOKUP(AG315,★仕入先!$A$2:$C$211,3,FALSE)=0,"","◎"),"")))),"")</f>
        <v/>
      </c>
      <c r="AL315" s="460">
        <f>申込書!$H$14</f>
        <v>0</v>
      </c>
      <c r="AM315" s="460" t="str">
        <f>申込書!$C$32</f>
        <v>B4（折り無し）</v>
      </c>
      <c r="AN315" s="460" t="str">
        <f>VLOOKUP(AM315,★サイズ表記!$D$4:$E$55,2,FALSE)</f>
        <v>1001</v>
      </c>
      <c r="AO315" s="460">
        <f>IF(C315&lt;&gt;"⑧兵庫",VLOOKUP(LEFT(F315),★新聞!$A$4:$B$12,2,FALSE),IF(LEFT(F315)&lt;&gt;"S",VLOOKUP(LEFT(F315),★新聞!$A$4:$B$12,2,FALSE),VLOOKUP("X",★新聞!$A$4:$B$12,2,FALSE)))</f>
        <v>3</v>
      </c>
      <c r="AP315" s="460" t="str">
        <f t="shared" ca="1" si="37"/>
        <v>0</v>
      </c>
      <c r="AQ315" s="460" t="str">
        <f>IF(申込書!$C$38="","",申込書!$C$38)</f>
        <v/>
      </c>
    </row>
    <row r="316" spans="1:43">
      <c r="A316" s="463">
        <f t="shared" si="38"/>
        <v>315</v>
      </c>
      <c r="B316" s="463" t="str">
        <f t="shared" si="39"/>
        <v>東部</v>
      </c>
      <c r="C316" s="464" t="s">
        <v>1017</v>
      </c>
      <c r="D316" s="464" t="s">
        <v>1602</v>
      </c>
      <c r="E316" s="464">
        <f>VLOOKUP(D316,★折込地区!$A$2:$D$10,4,FALSE)</f>
        <v>2</v>
      </c>
      <c r="F316" s="464" t="s">
        <v>440</v>
      </c>
      <c r="G316" s="464" t="str">
        <f>INDEX(★新聞!$E$4:$I$12, MATCH(LEFT(F316),★新聞!$A$4:$A$12,0), MATCH(LEFT(W316),★新聞!$E$3:$I$3,0))</f>
        <v>AD</v>
      </c>
      <c r="H316" s="475" t="s">
        <v>1107</v>
      </c>
      <c r="I316" s="464" cm="1">
        <f t="array" ref="I316">IFERROR(INDEX(★原価率!$A$2:$E$50,MATCH($C316&amp;$H316,★原価率!$A$2:$A$50&amp;★原価率!$B$2:$B$50,0),3),0)</f>
        <v>82</v>
      </c>
      <c r="J316" s="464" cm="1">
        <f t="array" ref="J316">IFERROR(INDEX(★原価率!$A$2:$E$50,MATCH($C316&amp;$H316,★原価率!$A$2:$A$50&amp;★原価率!$B$2:$B$50,0),4),0)</f>
        <v>82</v>
      </c>
      <c r="K316" s="464" cm="1">
        <f t="array" ref="K316">IFERROR(INDEX(★原価率!$A$2:$E$50,MATCH($C316&amp;$H316,★原価率!$A$2:$A$50&amp;★原価率!$B$2:$B$50,0),5),0)</f>
        <v>100</v>
      </c>
      <c r="L316" s="528">
        <f>IFERROR(VLOOKUP(W316,★商品!$A$1:$H$1231,8,FALSE),0)</f>
        <v>2.8</v>
      </c>
      <c r="M316" s="203" t="str">
        <f ca="1">CONCATENATE(VLOOKUP(B316,★営業所!$A$2:$B$5,2,FALSE),TEXT(NOW(),"yyyy"))</f>
        <v>T2023</v>
      </c>
      <c r="N316" s="203">
        <v>1</v>
      </c>
      <c r="O316" s="203">
        <v>0</v>
      </c>
      <c r="P316" s="213">
        <f>申込書!$B$6</f>
        <v>0</v>
      </c>
      <c r="Q316" s="203">
        <f>申込書!$C$34</f>
        <v>1000040</v>
      </c>
      <c r="R316" s="203">
        <v>0</v>
      </c>
      <c r="U316" s="203">
        <f>VLOOKUP(B316,★営業所!$A$2:$C$5,3,FALSE)</f>
        <v>8</v>
      </c>
      <c r="V316" s="203">
        <f>申込書!$B$9</f>
        <v>0</v>
      </c>
      <c r="W316" s="203" t="str">
        <f>CONCATENATE(VLOOKUP(B316,★営業所!$A$2:$B$5,2,FALSE),VLOOKUP(申込書!$C$32,★サイズ表記!$D$4:$E$55,2,FALSE),VLOOKUP(D316,★折込地区!$A$2:$B$11,2,FALSE))</f>
        <v>T1001Kry</v>
      </c>
      <c r="X316" s="203" t="str">
        <f>CONCATENATE(申込書!$B$9," ",VLOOKUP(RIGHT(W316,3),★折込地区!$B$2:$C$10,2,FALSE),"")</f>
        <v xml:space="preserve"> 倉吉</v>
      </c>
      <c r="Z316" s="206">
        <f t="shared" ca="1" si="32"/>
        <v>0</v>
      </c>
      <c r="AB316" s="383">
        <f t="shared" si="33"/>
        <v>2.8</v>
      </c>
      <c r="AC316" s="203" t="str">
        <f t="shared" si="34"/>
        <v>J1001</v>
      </c>
      <c r="AD316" s="203" t="str">
        <f>VLOOKUP(AC316,★原価商品!$E$6:$F$349,2,FALSE)</f>
        <v>読売/B4（折り無し）</v>
      </c>
      <c r="AE316" s="203">
        <f t="shared" ca="1" si="35"/>
        <v>0</v>
      </c>
      <c r="AF316" s="383">
        <f ca="1">IFERROR(IF(VLOOKUP(申込書!$C$32,★サイズ表記!$F$4:$H$55,3,FALSE)="切り捨て",ROUNDDOWN(L316*IF(AK316="◎",I316,J316)/100,2),IF(VLOOKUP(申込書!$C$32,★サイズ表記!$F$4:$H$55,3,FALSE)="切り上げ",ROUNDUP(L316*IF(AK316="◎",I316,J316)/100,2),ROUND(L316*IF(AK316="◎",I316,J316)/100,2))),0)</f>
        <v>2.29</v>
      </c>
      <c r="AG316" s="203">
        <f t="shared" ca="1" si="36"/>
        <v>10303</v>
      </c>
      <c r="AJ316" s="460" t="str">
        <f>IFERROR(VLOOKUP(申込書!$C$30,★業種!$D$2:$E$87,2,FALSE),"")</f>
        <v>1003</v>
      </c>
      <c r="AK316" s="460" t="str">
        <f ca="1">IF(申込書!$C$36="◎",IF(OR(D316="浜坂・温泉",D316="美方・村岡",D316="香住",D316="岡山",D316="大阪"),"",IF(LEFT(F316)="D","◎",IF(AG316=0,"",IFERROR(IF(VLOOKUP(AG316,★仕入先!$A$2:$C$211,3,FALSE)=0,"","◎"),"")))),"")</f>
        <v/>
      </c>
      <c r="AL316" s="460">
        <f>申込書!$H$14</f>
        <v>0</v>
      </c>
      <c r="AM316" s="460" t="str">
        <f>申込書!$C$32</f>
        <v>B4（折り無し）</v>
      </c>
      <c r="AN316" s="460" t="str">
        <f>VLOOKUP(AM316,★サイズ表記!$D$4:$E$55,2,FALSE)</f>
        <v>1001</v>
      </c>
      <c r="AO316" s="460">
        <f>IF(C316&lt;&gt;"⑧兵庫",VLOOKUP(LEFT(F316),★新聞!$A$4:$B$12,2,FALSE),IF(LEFT(F316)&lt;&gt;"S",VLOOKUP(LEFT(F316),★新聞!$A$4:$B$12,2,FALSE),VLOOKUP("X",★新聞!$A$4:$B$12,2,FALSE)))</f>
        <v>3</v>
      </c>
      <c r="AP316" s="460" t="str">
        <f t="shared" ca="1" si="37"/>
        <v>0</v>
      </c>
      <c r="AQ316" s="460" t="str">
        <f>IF(申込書!$C$38="","",申込書!$C$38)</f>
        <v/>
      </c>
    </row>
    <row r="317" spans="1:43">
      <c r="A317" s="463">
        <f t="shared" si="38"/>
        <v>316</v>
      </c>
      <c r="B317" s="463" t="str">
        <f t="shared" si="39"/>
        <v>東部</v>
      </c>
      <c r="C317" s="464" t="s">
        <v>1017</v>
      </c>
      <c r="D317" s="464" t="s">
        <v>1602</v>
      </c>
      <c r="E317" s="464">
        <f>VLOOKUP(D317,★折込地区!$A$2:$D$10,4,FALSE)</f>
        <v>2</v>
      </c>
      <c r="F317" s="464" t="s">
        <v>441</v>
      </c>
      <c r="G317" s="464" t="str">
        <f>INDEX(★新聞!$E$4:$I$12, MATCH(LEFT(F317),★新聞!$A$4:$A$12,0), MATCH(LEFT(W317),★新聞!$E$3:$I$3,0))</f>
        <v>AD</v>
      </c>
      <c r="H317" s="475" t="s">
        <v>1107</v>
      </c>
      <c r="I317" s="464" cm="1">
        <f t="array" ref="I317">IFERROR(INDEX(★原価率!$A$2:$E$50,MATCH($C317&amp;$H317,★原価率!$A$2:$A$50&amp;★原価率!$B$2:$B$50,0),3),0)</f>
        <v>82</v>
      </c>
      <c r="J317" s="464" cm="1">
        <f t="array" ref="J317">IFERROR(INDEX(★原価率!$A$2:$E$50,MATCH($C317&amp;$H317,★原価率!$A$2:$A$50&amp;★原価率!$B$2:$B$50,0),4),0)</f>
        <v>82</v>
      </c>
      <c r="K317" s="464" cm="1">
        <f t="array" ref="K317">IFERROR(INDEX(★原価率!$A$2:$E$50,MATCH($C317&amp;$H317,★原価率!$A$2:$A$50&amp;★原価率!$B$2:$B$50,0),5),0)</f>
        <v>100</v>
      </c>
      <c r="L317" s="528">
        <f>IFERROR(VLOOKUP(W317,★商品!$A$1:$H$1231,8,FALSE),0)</f>
        <v>2.8</v>
      </c>
      <c r="M317" s="203" t="str">
        <f ca="1">CONCATENATE(VLOOKUP(B317,★営業所!$A$2:$B$5,2,FALSE),TEXT(NOW(),"yyyy"))</f>
        <v>T2023</v>
      </c>
      <c r="N317" s="203">
        <v>1</v>
      </c>
      <c r="O317" s="203">
        <v>0</v>
      </c>
      <c r="P317" s="213">
        <f>申込書!$B$6</f>
        <v>0</v>
      </c>
      <c r="Q317" s="203">
        <f>申込書!$C$34</f>
        <v>1000040</v>
      </c>
      <c r="R317" s="203">
        <v>0</v>
      </c>
      <c r="U317" s="203">
        <f>VLOOKUP(B317,★営業所!$A$2:$C$5,3,FALSE)</f>
        <v>8</v>
      </c>
      <c r="V317" s="203">
        <f>申込書!$B$9</f>
        <v>0</v>
      </c>
      <c r="W317" s="203" t="str">
        <f>CONCATENATE(VLOOKUP(B317,★営業所!$A$2:$B$5,2,FALSE),VLOOKUP(申込書!$C$32,★サイズ表記!$D$4:$E$55,2,FALSE),VLOOKUP(D317,★折込地区!$A$2:$B$11,2,FALSE))</f>
        <v>T1001Kry</v>
      </c>
      <c r="X317" s="203" t="str">
        <f>CONCATENATE(申込書!$B$9," ",VLOOKUP(RIGHT(W317,3),★折込地区!$B$2:$C$10,2,FALSE),"")</f>
        <v xml:space="preserve"> 倉吉</v>
      </c>
      <c r="Z317" s="206">
        <f t="shared" ca="1" si="32"/>
        <v>0</v>
      </c>
      <c r="AB317" s="383">
        <f t="shared" si="33"/>
        <v>2.8</v>
      </c>
      <c r="AC317" s="203" t="str">
        <f t="shared" si="34"/>
        <v>J1001</v>
      </c>
      <c r="AD317" s="203" t="str">
        <f>VLOOKUP(AC317,★原価商品!$E$6:$F$349,2,FALSE)</f>
        <v>読売/B4（折り無し）</v>
      </c>
      <c r="AE317" s="203">
        <f t="shared" ca="1" si="35"/>
        <v>0</v>
      </c>
      <c r="AF317" s="383">
        <f ca="1">IFERROR(IF(VLOOKUP(申込書!$C$32,★サイズ表記!$F$4:$H$55,3,FALSE)="切り捨て",ROUNDDOWN(L317*IF(AK317="◎",I317,J317)/100,2),IF(VLOOKUP(申込書!$C$32,★サイズ表記!$F$4:$H$55,3,FALSE)="切り上げ",ROUNDUP(L317*IF(AK317="◎",I317,J317)/100,2),ROUND(L317*IF(AK317="◎",I317,J317)/100,2))),0)</f>
        <v>2.29</v>
      </c>
      <c r="AG317" s="203">
        <f t="shared" ca="1" si="36"/>
        <v>10303</v>
      </c>
      <c r="AJ317" s="460" t="str">
        <f>IFERROR(VLOOKUP(申込書!$C$30,★業種!$D$2:$E$87,2,FALSE),"")</f>
        <v>1003</v>
      </c>
      <c r="AK317" s="460" t="str">
        <f ca="1">IF(申込書!$C$36="◎",IF(OR(D317="浜坂・温泉",D317="美方・村岡",D317="香住",D317="岡山",D317="大阪"),"",IF(LEFT(F317)="D","◎",IF(AG317=0,"",IFERROR(IF(VLOOKUP(AG317,★仕入先!$A$2:$C$211,3,FALSE)=0,"","◎"),"")))),"")</f>
        <v/>
      </c>
      <c r="AL317" s="460">
        <f>申込書!$H$14</f>
        <v>0</v>
      </c>
      <c r="AM317" s="460" t="str">
        <f>申込書!$C$32</f>
        <v>B4（折り無し）</v>
      </c>
      <c r="AN317" s="460" t="str">
        <f>VLOOKUP(AM317,★サイズ表記!$D$4:$E$55,2,FALSE)</f>
        <v>1001</v>
      </c>
      <c r="AO317" s="460">
        <f>IF(C317&lt;&gt;"⑧兵庫",VLOOKUP(LEFT(F317),★新聞!$A$4:$B$12,2,FALSE),IF(LEFT(F317)&lt;&gt;"S",VLOOKUP(LEFT(F317),★新聞!$A$4:$B$12,2,FALSE),VLOOKUP("X",★新聞!$A$4:$B$12,2,FALSE)))</f>
        <v>3</v>
      </c>
      <c r="AP317" s="460" t="str">
        <f t="shared" ca="1" si="37"/>
        <v>0</v>
      </c>
      <c r="AQ317" s="460" t="str">
        <f>IF(申込書!$C$38="","",申込書!$C$38)</f>
        <v/>
      </c>
    </row>
    <row r="318" spans="1:43">
      <c r="A318" s="463">
        <f t="shared" si="38"/>
        <v>317</v>
      </c>
      <c r="B318" s="463" t="str">
        <f t="shared" si="39"/>
        <v>東部</v>
      </c>
      <c r="C318" s="464" t="s">
        <v>1017</v>
      </c>
      <c r="D318" s="464" t="s">
        <v>1602</v>
      </c>
      <c r="E318" s="464">
        <f>VLOOKUP(D318,★折込地区!$A$2:$D$10,4,FALSE)</f>
        <v>2</v>
      </c>
      <c r="F318" s="464" t="s">
        <v>442</v>
      </c>
      <c r="G318" s="464" t="str">
        <f>INDEX(★新聞!$E$4:$I$12, MATCH(LEFT(F318),★新聞!$A$4:$A$12,0), MATCH(LEFT(W318),★新聞!$E$3:$I$3,0))</f>
        <v>AD</v>
      </c>
      <c r="H318" s="475" t="s">
        <v>1107</v>
      </c>
      <c r="I318" s="464" cm="1">
        <f t="array" ref="I318">IFERROR(INDEX(★原価率!$A$2:$E$50,MATCH($C318&amp;$H318,★原価率!$A$2:$A$50&amp;★原価率!$B$2:$B$50,0),3),0)</f>
        <v>82</v>
      </c>
      <c r="J318" s="464" cm="1">
        <f t="array" ref="J318">IFERROR(INDEX(★原価率!$A$2:$E$50,MATCH($C318&amp;$H318,★原価率!$A$2:$A$50&amp;★原価率!$B$2:$B$50,0),4),0)</f>
        <v>82</v>
      </c>
      <c r="K318" s="464" cm="1">
        <f t="array" ref="K318">IFERROR(INDEX(★原価率!$A$2:$E$50,MATCH($C318&amp;$H318,★原価率!$A$2:$A$50&amp;★原価率!$B$2:$B$50,0),5),0)</f>
        <v>100</v>
      </c>
      <c r="L318" s="528">
        <f>IFERROR(VLOOKUP(W318,★商品!$A$1:$H$1231,8,FALSE),0)</f>
        <v>2.8</v>
      </c>
      <c r="M318" s="203" t="str">
        <f ca="1">CONCATENATE(VLOOKUP(B318,★営業所!$A$2:$B$5,2,FALSE),TEXT(NOW(),"yyyy"))</f>
        <v>T2023</v>
      </c>
      <c r="N318" s="203">
        <v>1</v>
      </c>
      <c r="O318" s="203">
        <v>0</v>
      </c>
      <c r="P318" s="213">
        <f>申込書!$B$6</f>
        <v>0</v>
      </c>
      <c r="Q318" s="203">
        <f>申込書!$C$34</f>
        <v>1000040</v>
      </c>
      <c r="R318" s="203">
        <v>0</v>
      </c>
      <c r="U318" s="203">
        <f>VLOOKUP(B318,★営業所!$A$2:$C$5,3,FALSE)</f>
        <v>8</v>
      </c>
      <c r="V318" s="203">
        <f>申込書!$B$9</f>
        <v>0</v>
      </c>
      <c r="W318" s="203" t="str">
        <f>CONCATENATE(VLOOKUP(B318,★営業所!$A$2:$B$5,2,FALSE),VLOOKUP(申込書!$C$32,★サイズ表記!$D$4:$E$55,2,FALSE),VLOOKUP(D318,★折込地区!$A$2:$B$11,2,FALSE))</f>
        <v>T1001Kry</v>
      </c>
      <c r="X318" s="203" t="str">
        <f>CONCATENATE(申込書!$B$9," ",VLOOKUP(RIGHT(W318,3),★折込地区!$B$2:$C$10,2,FALSE),"")</f>
        <v xml:space="preserve"> 倉吉</v>
      </c>
      <c r="Z318" s="206">
        <f t="shared" ca="1" si="32"/>
        <v>0</v>
      </c>
      <c r="AB318" s="383">
        <f t="shared" si="33"/>
        <v>2.8</v>
      </c>
      <c r="AC318" s="203" t="str">
        <f t="shared" si="34"/>
        <v>J1001</v>
      </c>
      <c r="AD318" s="203" t="str">
        <f>VLOOKUP(AC318,★原価商品!$E$6:$F$349,2,FALSE)</f>
        <v>読売/B4（折り無し）</v>
      </c>
      <c r="AE318" s="203">
        <f t="shared" ca="1" si="35"/>
        <v>0</v>
      </c>
      <c r="AF318" s="383">
        <f ca="1">IFERROR(IF(VLOOKUP(申込書!$C$32,★サイズ表記!$F$4:$H$55,3,FALSE)="切り捨て",ROUNDDOWN(L318*IF(AK318="◎",I318,J318)/100,2),IF(VLOOKUP(申込書!$C$32,★サイズ表記!$F$4:$H$55,3,FALSE)="切り上げ",ROUNDUP(L318*IF(AK318="◎",I318,J318)/100,2),ROUND(L318*IF(AK318="◎",I318,J318)/100,2))),0)</f>
        <v>2.29</v>
      </c>
      <c r="AG318" s="203">
        <f t="shared" ca="1" si="36"/>
        <v>10303</v>
      </c>
      <c r="AJ318" s="460" t="str">
        <f>IFERROR(VLOOKUP(申込書!$C$30,★業種!$D$2:$E$87,2,FALSE),"")</f>
        <v>1003</v>
      </c>
      <c r="AK318" s="460" t="str">
        <f ca="1">IF(申込書!$C$36="◎",IF(OR(D318="浜坂・温泉",D318="美方・村岡",D318="香住",D318="岡山",D318="大阪"),"",IF(LEFT(F318)="D","◎",IF(AG318=0,"",IFERROR(IF(VLOOKUP(AG318,★仕入先!$A$2:$C$211,3,FALSE)=0,"","◎"),"")))),"")</f>
        <v/>
      </c>
      <c r="AL318" s="460">
        <f>申込書!$H$14</f>
        <v>0</v>
      </c>
      <c r="AM318" s="460" t="str">
        <f>申込書!$C$32</f>
        <v>B4（折り無し）</v>
      </c>
      <c r="AN318" s="460" t="str">
        <f>VLOOKUP(AM318,★サイズ表記!$D$4:$E$55,2,FALSE)</f>
        <v>1001</v>
      </c>
      <c r="AO318" s="460">
        <f>IF(C318&lt;&gt;"⑧兵庫",VLOOKUP(LEFT(F318),★新聞!$A$4:$B$12,2,FALSE),IF(LEFT(F318)&lt;&gt;"S",VLOOKUP(LEFT(F318),★新聞!$A$4:$B$12,2,FALSE),VLOOKUP("X",★新聞!$A$4:$B$12,2,FALSE)))</f>
        <v>3</v>
      </c>
      <c r="AP318" s="460" t="str">
        <f t="shared" ca="1" si="37"/>
        <v>0</v>
      </c>
      <c r="AQ318" s="460" t="str">
        <f>IF(申込書!$C$38="","",申込書!$C$38)</f>
        <v/>
      </c>
    </row>
    <row r="319" spans="1:43">
      <c r="A319" s="463">
        <f t="shared" si="38"/>
        <v>318</v>
      </c>
      <c r="B319" s="463" t="str">
        <f t="shared" si="39"/>
        <v>東部</v>
      </c>
      <c r="C319" s="464" t="s">
        <v>1017</v>
      </c>
      <c r="D319" s="464" t="s">
        <v>1602</v>
      </c>
      <c r="E319" s="464">
        <f>VLOOKUP(D319,★折込地区!$A$2:$D$10,4,FALSE)</f>
        <v>2</v>
      </c>
      <c r="F319" s="464" t="s">
        <v>443</v>
      </c>
      <c r="G319" s="464" t="str">
        <f>INDEX(★新聞!$E$4:$I$12, MATCH(LEFT(F319),★新聞!$A$4:$A$12,0), MATCH(LEFT(W319),★新聞!$E$3:$I$3,0))</f>
        <v>AD</v>
      </c>
      <c r="H319" s="475" t="s">
        <v>1107</v>
      </c>
      <c r="I319" s="464" cm="1">
        <f t="array" ref="I319">IFERROR(INDEX(★原価率!$A$2:$E$50,MATCH($C319&amp;$H319,★原価率!$A$2:$A$50&amp;★原価率!$B$2:$B$50,0),3),0)</f>
        <v>82</v>
      </c>
      <c r="J319" s="464" cm="1">
        <f t="array" ref="J319">IFERROR(INDEX(★原価率!$A$2:$E$50,MATCH($C319&amp;$H319,★原価率!$A$2:$A$50&amp;★原価率!$B$2:$B$50,0),4),0)</f>
        <v>82</v>
      </c>
      <c r="K319" s="464" cm="1">
        <f t="array" ref="K319">IFERROR(INDEX(★原価率!$A$2:$E$50,MATCH($C319&amp;$H319,★原価率!$A$2:$A$50&amp;★原価率!$B$2:$B$50,0),5),0)</f>
        <v>100</v>
      </c>
      <c r="L319" s="528">
        <f>IFERROR(VLOOKUP(W319,★商品!$A$1:$H$1231,8,FALSE),0)</f>
        <v>2.8</v>
      </c>
      <c r="M319" s="203" t="str">
        <f ca="1">CONCATENATE(VLOOKUP(B319,★営業所!$A$2:$B$5,2,FALSE),TEXT(NOW(),"yyyy"))</f>
        <v>T2023</v>
      </c>
      <c r="N319" s="203">
        <v>1</v>
      </c>
      <c r="O319" s="203">
        <v>0</v>
      </c>
      <c r="P319" s="213">
        <f>申込書!$B$6</f>
        <v>0</v>
      </c>
      <c r="Q319" s="203">
        <f>申込書!$C$34</f>
        <v>1000040</v>
      </c>
      <c r="R319" s="203">
        <v>0</v>
      </c>
      <c r="U319" s="203">
        <f>VLOOKUP(B319,★営業所!$A$2:$C$5,3,FALSE)</f>
        <v>8</v>
      </c>
      <c r="V319" s="203">
        <f>申込書!$B$9</f>
        <v>0</v>
      </c>
      <c r="W319" s="203" t="str">
        <f>CONCATENATE(VLOOKUP(B319,★営業所!$A$2:$B$5,2,FALSE),VLOOKUP(申込書!$C$32,★サイズ表記!$D$4:$E$55,2,FALSE),VLOOKUP(D319,★折込地区!$A$2:$B$11,2,FALSE))</f>
        <v>T1001Kry</v>
      </c>
      <c r="X319" s="203" t="str">
        <f>CONCATENATE(申込書!$B$9," ",VLOOKUP(RIGHT(W319,3),★折込地区!$B$2:$C$10,2,FALSE),"")</f>
        <v xml:space="preserve"> 倉吉</v>
      </c>
      <c r="Z319" s="206">
        <f t="shared" ca="1" si="32"/>
        <v>0</v>
      </c>
      <c r="AB319" s="383">
        <f t="shared" si="33"/>
        <v>2.8</v>
      </c>
      <c r="AC319" s="203" t="str">
        <f t="shared" si="34"/>
        <v>J1001</v>
      </c>
      <c r="AD319" s="203" t="str">
        <f>VLOOKUP(AC319,★原価商品!$E$6:$F$349,2,FALSE)</f>
        <v>読売/B4（折り無し）</v>
      </c>
      <c r="AE319" s="203">
        <f t="shared" ca="1" si="35"/>
        <v>0</v>
      </c>
      <c r="AF319" s="383">
        <f ca="1">IFERROR(IF(VLOOKUP(申込書!$C$32,★サイズ表記!$F$4:$H$55,3,FALSE)="切り捨て",ROUNDDOWN(L319*IF(AK319="◎",I319,J319)/100,2),IF(VLOOKUP(申込書!$C$32,★サイズ表記!$F$4:$H$55,3,FALSE)="切り上げ",ROUNDUP(L319*IF(AK319="◎",I319,J319)/100,2),ROUND(L319*IF(AK319="◎",I319,J319)/100,2))),0)</f>
        <v>2.29</v>
      </c>
      <c r="AG319" s="203">
        <f t="shared" ca="1" si="36"/>
        <v>10303</v>
      </c>
      <c r="AJ319" s="460" t="str">
        <f>IFERROR(VLOOKUP(申込書!$C$30,★業種!$D$2:$E$87,2,FALSE),"")</f>
        <v>1003</v>
      </c>
      <c r="AK319" s="460" t="str">
        <f ca="1">IF(申込書!$C$36="◎",IF(OR(D319="浜坂・温泉",D319="美方・村岡",D319="香住",D319="岡山",D319="大阪"),"",IF(LEFT(F319)="D","◎",IF(AG319=0,"",IFERROR(IF(VLOOKUP(AG319,★仕入先!$A$2:$C$211,3,FALSE)=0,"","◎"),"")))),"")</f>
        <v/>
      </c>
      <c r="AL319" s="460">
        <f>申込書!$H$14</f>
        <v>0</v>
      </c>
      <c r="AM319" s="460" t="str">
        <f>申込書!$C$32</f>
        <v>B4（折り無し）</v>
      </c>
      <c r="AN319" s="460" t="str">
        <f>VLOOKUP(AM319,★サイズ表記!$D$4:$E$55,2,FALSE)</f>
        <v>1001</v>
      </c>
      <c r="AO319" s="460">
        <f>IF(C319&lt;&gt;"⑧兵庫",VLOOKUP(LEFT(F319),★新聞!$A$4:$B$12,2,FALSE),IF(LEFT(F319)&lt;&gt;"S",VLOOKUP(LEFT(F319),★新聞!$A$4:$B$12,2,FALSE),VLOOKUP("X",★新聞!$A$4:$B$12,2,FALSE)))</f>
        <v>3</v>
      </c>
      <c r="AP319" s="460" t="str">
        <f t="shared" ca="1" si="37"/>
        <v>0</v>
      </c>
      <c r="AQ319" s="460" t="str">
        <f>IF(申込書!$C$38="","",申込書!$C$38)</f>
        <v/>
      </c>
    </row>
    <row r="320" spans="1:43">
      <c r="A320" s="463">
        <f t="shared" si="38"/>
        <v>319</v>
      </c>
      <c r="B320" s="463" t="str">
        <f t="shared" si="39"/>
        <v>東部</v>
      </c>
      <c r="C320" s="464" t="s">
        <v>1017</v>
      </c>
      <c r="D320" s="464" t="s">
        <v>1602</v>
      </c>
      <c r="E320" s="464">
        <f>VLOOKUP(D320,★折込地区!$A$2:$D$10,4,FALSE)</f>
        <v>2</v>
      </c>
      <c r="F320" s="464" t="s">
        <v>444</v>
      </c>
      <c r="G320" s="464" t="str">
        <f>INDEX(★新聞!$E$4:$I$12, MATCH(LEFT(F320),★新聞!$A$4:$A$12,0), MATCH(LEFT(W320),★新聞!$E$3:$I$3,0))</f>
        <v>AD</v>
      </c>
      <c r="H320" s="475" t="s">
        <v>1107</v>
      </c>
      <c r="I320" s="464" cm="1">
        <f t="array" ref="I320">IFERROR(INDEX(★原価率!$A$2:$E$50,MATCH($C320&amp;$H320,★原価率!$A$2:$A$50&amp;★原価率!$B$2:$B$50,0),3),0)</f>
        <v>82</v>
      </c>
      <c r="J320" s="464" cm="1">
        <f t="array" ref="J320">IFERROR(INDEX(★原価率!$A$2:$E$50,MATCH($C320&amp;$H320,★原価率!$A$2:$A$50&amp;★原価率!$B$2:$B$50,0),4),0)</f>
        <v>82</v>
      </c>
      <c r="K320" s="464" cm="1">
        <f t="array" ref="K320">IFERROR(INDEX(★原価率!$A$2:$E$50,MATCH($C320&amp;$H320,★原価率!$A$2:$A$50&amp;★原価率!$B$2:$B$50,0),5),0)</f>
        <v>100</v>
      </c>
      <c r="L320" s="528">
        <f>IFERROR(VLOOKUP(W320,★商品!$A$1:$H$1231,8,FALSE),0)</f>
        <v>2.8</v>
      </c>
      <c r="M320" s="203" t="str">
        <f ca="1">CONCATENATE(VLOOKUP(B320,★営業所!$A$2:$B$5,2,FALSE),TEXT(NOW(),"yyyy"))</f>
        <v>T2023</v>
      </c>
      <c r="N320" s="203">
        <v>1</v>
      </c>
      <c r="O320" s="203">
        <v>0</v>
      </c>
      <c r="P320" s="213">
        <f>申込書!$B$6</f>
        <v>0</v>
      </c>
      <c r="Q320" s="203">
        <f>申込書!$C$34</f>
        <v>1000040</v>
      </c>
      <c r="R320" s="203">
        <v>0</v>
      </c>
      <c r="U320" s="203">
        <f>VLOOKUP(B320,★営業所!$A$2:$C$5,3,FALSE)</f>
        <v>8</v>
      </c>
      <c r="V320" s="203">
        <f>申込書!$B$9</f>
        <v>0</v>
      </c>
      <c r="W320" s="203" t="str">
        <f>CONCATENATE(VLOOKUP(B320,★営業所!$A$2:$B$5,2,FALSE),VLOOKUP(申込書!$C$32,★サイズ表記!$D$4:$E$55,2,FALSE),VLOOKUP(D320,★折込地区!$A$2:$B$11,2,FALSE))</f>
        <v>T1001Kry</v>
      </c>
      <c r="X320" s="203" t="str">
        <f>CONCATENATE(申込書!$B$9," ",VLOOKUP(RIGHT(W320,3),★折込地区!$B$2:$C$10,2,FALSE),"")</f>
        <v xml:space="preserve"> 倉吉</v>
      </c>
      <c r="Z320" s="206">
        <f t="shared" ca="1" si="32"/>
        <v>0</v>
      </c>
      <c r="AB320" s="383">
        <f t="shared" si="33"/>
        <v>2.8</v>
      </c>
      <c r="AC320" s="203" t="str">
        <f t="shared" si="34"/>
        <v>J1001</v>
      </c>
      <c r="AD320" s="203" t="str">
        <f>VLOOKUP(AC320,★原価商品!$E$6:$F$349,2,FALSE)</f>
        <v>読売/B4（折り無し）</v>
      </c>
      <c r="AE320" s="203">
        <f t="shared" ca="1" si="35"/>
        <v>0</v>
      </c>
      <c r="AF320" s="383">
        <f ca="1">IFERROR(IF(VLOOKUP(申込書!$C$32,★サイズ表記!$F$4:$H$55,3,FALSE)="切り捨て",ROUNDDOWN(L320*IF(AK320="◎",I320,J320)/100,2),IF(VLOOKUP(申込書!$C$32,★サイズ表記!$F$4:$H$55,3,FALSE)="切り上げ",ROUNDUP(L320*IF(AK320="◎",I320,J320)/100,2),ROUND(L320*IF(AK320="◎",I320,J320)/100,2))),0)</f>
        <v>2.29</v>
      </c>
      <c r="AG320" s="203">
        <f t="shared" ca="1" si="36"/>
        <v>10303</v>
      </c>
      <c r="AJ320" s="460" t="str">
        <f>IFERROR(VLOOKUP(申込書!$C$30,★業種!$D$2:$E$87,2,FALSE),"")</f>
        <v>1003</v>
      </c>
      <c r="AK320" s="460" t="str">
        <f ca="1">IF(申込書!$C$36="◎",IF(OR(D320="浜坂・温泉",D320="美方・村岡",D320="香住",D320="岡山",D320="大阪"),"",IF(LEFT(F320)="D","◎",IF(AG320=0,"",IFERROR(IF(VLOOKUP(AG320,★仕入先!$A$2:$C$211,3,FALSE)=0,"","◎"),"")))),"")</f>
        <v/>
      </c>
      <c r="AL320" s="460">
        <f>申込書!$H$14</f>
        <v>0</v>
      </c>
      <c r="AM320" s="460" t="str">
        <f>申込書!$C$32</f>
        <v>B4（折り無し）</v>
      </c>
      <c r="AN320" s="460" t="str">
        <f>VLOOKUP(AM320,★サイズ表記!$D$4:$E$55,2,FALSE)</f>
        <v>1001</v>
      </c>
      <c r="AO320" s="460">
        <f>IF(C320&lt;&gt;"⑧兵庫",VLOOKUP(LEFT(F320),★新聞!$A$4:$B$12,2,FALSE),IF(LEFT(F320)&lt;&gt;"S",VLOOKUP(LEFT(F320),★新聞!$A$4:$B$12,2,FALSE),VLOOKUP("X",★新聞!$A$4:$B$12,2,FALSE)))</f>
        <v>3</v>
      </c>
      <c r="AP320" s="460" t="str">
        <f t="shared" ca="1" si="37"/>
        <v>0</v>
      </c>
      <c r="AQ320" s="460" t="str">
        <f>IF(申込書!$C$38="","",申込書!$C$38)</f>
        <v/>
      </c>
    </row>
    <row r="321" spans="1:43">
      <c r="A321" s="463">
        <f t="shared" si="38"/>
        <v>320</v>
      </c>
      <c r="B321" s="463" t="str">
        <f t="shared" si="39"/>
        <v>東部</v>
      </c>
      <c r="C321" s="464" t="s">
        <v>1017</v>
      </c>
      <c r="D321" s="464" t="s">
        <v>1602</v>
      </c>
      <c r="E321" s="464">
        <f>VLOOKUP(D321,★折込地区!$A$2:$D$10,4,FALSE)</f>
        <v>2</v>
      </c>
      <c r="F321" s="464" t="s">
        <v>445</v>
      </c>
      <c r="G321" s="464" t="str">
        <f>INDEX(★新聞!$E$4:$I$12, MATCH(LEFT(F321),★新聞!$A$4:$A$12,0), MATCH(LEFT(W321),★新聞!$E$3:$I$3,0))</f>
        <v>AD</v>
      </c>
      <c r="H321" s="475" t="s">
        <v>1107</v>
      </c>
      <c r="I321" s="464" cm="1">
        <f t="array" ref="I321">IFERROR(INDEX(★原価率!$A$2:$E$50,MATCH($C321&amp;$H321,★原価率!$A$2:$A$50&amp;★原価率!$B$2:$B$50,0),3),0)</f>
        <v>82</v>
      </c>
      <c r="J321" s="464" cm="1">
        <f t="array" ref="J321">IFERROR(INDEX(★原価率!$A$2:$E$50,MATCH($C321&amp;$H321,★原価率!$A$2:$A$50&amp;★原価率!$B$2:$B$50,0),4),0)</f>
        <v>82</v>
      </c>
      <c r="K321" s="464" cm="1">
        <f t="array" ref="K321">IFERROR(INDEX(★原価率!$A$2:$E$50,MATCH($C321&amp;$H321,★原価率!$A$2:$A$50&amp;★原価率!$B$2:$B$50,0),5),0)</f>
        <v>100</v>
      </c>
      <c r="L321" s="528">
        <f>IFERROR(VLOOKUP(W321,★商品!$A$1:$H$1231,8,FALSE),0)</f>
        <v>2.8</v>
      </c>
      <c r="M321" s="203" t="str">
        <f ca="1">CONCATENATE(VLOOKUP(B321,★営業所!$A$2:$B$5,2,FALSE),TEXT(NOW(),"yyyy"))</f>
        <v>T2023</v>
      </c>
      <c r="N321" s="203">
        <v>1</v>
      </c>
      <c r="O321" s="203">
        <v>0</v>
      </c>
      <c r="P321" s="213">
        <f>申込書!$B$6</f>
        <v>0</v>
      </c>
      <c r="Q321" s="203">
        <f>申込書!$C$34</f>
        <v>1000040</v>
      </c>
      <c r="R321" s="203">
        <v>0</v>
      </c>
      <c r="U321" s="203">
        <f>VLOOKUP(B321,★営業所!$A$2:$C$5,3,FALSE)</f>
        <v>8</v>
      </c>
      <c r="V321" s="203">
        <f>申込書!$B$9</f>
        <v>0</v>
      </c>
      <c r="W321" s="203" t="str">
        <f>CONCATENATE(VLOOKUP(B321,★営業所!$A$2:$B$5,2,FALSE),VLOOKUP(申込書!$C$32,★サイズ表記!$D$4:$E$55,2,FALSE),VLOOKUP(D321,★折込地区!$A$2:$B$11,2,FALSE))</f>
        <v>T1001Kry</v>
      </c>
      <c r="X321" s="203" t="str">
        <f>CONCATENATE(申込書!$B$9," ",VLOOKUP(RIGHT(W321,3),★折込地区!$B$2:$C$10,2,FALSE),"")</f>
        <v xml:space="preserve"> 倉吉</v>
      </c>
      <c r="Z321" s="206">
        <f t="shared" ca="1" si="32"/>
        <v>0</v>
      </c>
      <c r="AB321" s="383">
        <f t="shared" si="33"/>
        <v>2.8</v>
      </c>
      <c r="AC321" s="203" t="str">
        <f t="shared" si="34"/>
        <v>J1001</v>
      </c>
      <c r="AD321" s="203" t="str">
        <f>VLOOKUP(AC321,★原価商品!$E$6:$F$349,2,FALSE)</f>
        <v>読売/B4（折り無し）</v>
      </c>
      <c r="AE321" s="203">
        <f t="shared" ca="1" si="35"/>
        <v>0</v>
      </c>
      <c r="AF321" s="383">
        <f ca="1">IFERROR(IF(VLOOKUP(申込書!$C$32,★サイズ表記!$F$4:$H$55,3,FALSE)="切り捨て",ROUNDDOWN(L321*IF(AK321="◎",I321,J321)/100,2),IF(VLOOKUP(申込書!$C$32,★サイズ表記!$F$4:$H$55,3,FALSE)="切り上げ",ROUNDUP(L321*IF(AK321="◎",I321,J321)/100,2),ROUND(L321*IF(AK321="◎",I321,J321)/100,2))),0)</f>
        <v>2.29</v>
      </c>
      <c r="AG321" s="203">
        <f t="shared" ca="1" si="36"/>
        <v>10303</v>
      </c>
      <c r="AJ321" s="460" t="str">
        <f>IFERROR(VLOOKUP(申込書!$C$30,★業種!$D$2:$E$87,2,FALSE),"")</f>
        <v>1003</v>
      </c>
      <c r="AK321" s="460" t="str">
        <f ca="1">IF(申込書!$C$36="◎",IF(OR(D321="浜坂・温泉",D321="美方・村岡",D321="香住",D321="岡山",D321="大阪"),"",IF(LEFT(F321)="D","◎",IF(AG321=0,"",IFERROR(IF(VLOOKUP(AG321,★仕入先!$A$2:$C$211,3,FALSE)=0,"","◎"),"")))),"")</f>
        <v/>
      </c>
      <c r="AL321" s="460">
        <f>申込書!$H$14</f>
        <v>0</v>
      </c>
      <c r="AM321" s="460" t="str">
        <f>申込書!$C$32</f>
        <v>B4（折り無し）</v>
      </c>
      <c r="AN321" s="460" t="str">
        <f>VLOOKUP(AM321,★サイズ表記!$D$4:$E$55,2,FALSE)</f>
        <v>1001</v>
      </c>
      <c r="AO321" s="460">
        <f>IF(C321&lt;&gt;"⑧兵庫",VLOOKUP(LEFT(F321),★新聞!$A$4:$B$12,2,FALSE),IF(LEFT(F321)&lt;&gt;"S",VLOOKUP(LEFT(F321),★新聞!$A$4:$B$12,2,FALSE),VLOOKUP("X",★新聞!$A$4:$B$12,2,FALSE)))</f>
        <v>3</v>
      </c>
      <c r="AP321" s="460" t="str">
        <f t="shared" ca="1" si="37"/>
        <v>0</v>
      </c>
      <c r="AQ321" s="460" t="str">
        <f>IF(申込書!$C$38="","",申込書!$C$38)</f>
        <v/>
      </c>
    </row>
    <row r="322" spans="1:43">
      <c r="A322" s="463">
        <f t="shared" si="38"/>
        <v>321</v>
      </c>
      <c r="B322" s="463" t="str">
        <f t="shared" si="39"/>
        <v>東部</v>
      </c>
      <c r="C322" s="464" t="s">
        <v>1017</v>
      </c>
      <c r="D322" s="464" t="s">
        <v>1602</v>
      </c>
      <c r="E322" s="464">
        <f>VLOOKUP(D322,★折込地区!$A$2:$D$10,4,FALSE)</f>
        <v>2</v>
      </c>
      <c r="F322" s="464" t="s">
        <v>383</v>
      </c>
      <c r="G322" s="464" t="str">
        <f>INDEX(★新聞!$E$4:$I$12, MATCH(LEFT(F322),★新聞!$A$4:$A$12,0), MATCH(LEFT(W322),★新聞!$E$3:$I$3,0))</f>
        <v>AG</v>
      </c>
      <c r="H322" s="475" t="s">
        <v>1104</v>
      </c>
      <c r="I322" s="464" cm="1">
        <f t="array" ref="I322">IFERROR(INDEX(★原価率!$A$2:$E$50,MATCH($C322&amp;$H322,★原価率!$A$2:$A$50&amp;★原価率!$B$2:$B$50,0),3),0)</f>
        <v>86</v>
      </c>
      <c r="J322" s="464" cm="1">
        <f t="array" ref="J322">IFERROR(INDEX(★原価率!$A$2:$E$50,MATCH($C322&amp;$H322,★原価率!$A$2:$A$50&amp;★原価率!$B$2:$B$50,0),4),0)</f>
        <v>86</v>
      </c>
      <c r="K322" s="464" cm="1">
        <f t="array" ref="K322">IFERROR(INDEX(★原価率!$A$2:$E$50,MATCH($C322&amp;$H322,★原価率!$A$2:$A$50&amp;★原価率!$B$2:$B$50,0),5),0)</f>
        <v>100</v>
      </c>
      <c r="L322" s="528">
        <f>IFERROR(VLOOKUP(W322,★商品!$A$1:$H$1231,8,FALSE),0)</f>
        <v>2.8</v>
      </c>
      <c r="M322" s="203" t="str">
        <f ca="1">CONCATENATE(VLOOKUP(B322,★営業所!$A$2:$B$5,2,FALSE),TEXT(NOW(),"yyyy"))</f>
        <v>T2023</v>
      </c>
      <c r="N322" s="203">
        <v>1</v>
      </c>
      <c r="O322" s="203">
        <v>0</v>
      </c>
      <c r="P322" s="213">
        <f>申込書!$B$6</f>
        <v>0</v>
      </c>
      <c r="Q322" s="203">
        <f>申込書!$C$34</f>
        <v>1000040</v>
      </c>
      <c r="R322" s="203">
        <v>0</v>
      </c>
      <c r="U322" s="203">
        <f>VLOOKUP(B322,★営業所!$A$2:$C$5,3,FALSE)</f>
        <v>8</v>
      </c>
      <c r="V322" s="203">
        <f>申込書!$B$9</f>
        <v>0</v>
      </c>
      <c r="W322" s="203" t="str">
        <f>CONCATENATE(VLOOKUP(B322,★営業所!$A$2:$B$5,2,FALSE),VLOOKUP(申込書!$C$32,★サイズ表記!$D$4:$E$55,2,FALSE),VLOOKUP(D322,★折込地区!$A$2:$B$11,2,FALSE))</f>
        <v>T1001Kry</v>
      </c>
      <c r="X322" s="203" t="str">
        <f>CONCATENATE(申込書!$B$9," ",VLOOKUP(RIGHT(W322,3),★折込地区!$B$2:$C$10,2,FALSE),"")</f>
        <v xml:space="preserve"> 倉吉</v>
      </c>
      <c r="Z322" s="206">
        <f t="shared" ref="Z322:Z385" ca="1" si="40">SUMIFS($AE$2:$AE$977,$W$2:$W$977,W322,$AG$2:$AG$977,"&lt;&gt;0")</f>
        <v>0</v>
      </c>
      <c r="AB322" s="383">
        <f t="shared" ref="AB322:AB385" si="41">IFERROR(L322*K322/100,0)</f>
        <v>2.8</v>
      </c>
      <c r="AC322" s="203" t="str">
        <f t="shared" ref="AC322:AC385" si="42">CONCATENATE(LEFT(F322),AN322)</f>
        <v>M1001</v>
      </c>
      <c r="AD322" s="203" t="str">
        <f>VLOOKUP(AC322,★原価商品!$E$6:$F$349,2,FALSE)</f>
        <v>毎日/B4（折り無し）</v>
      </c>
      <c r="AE322" s="203">
        <f t="shared" ref="AE322:AE385" ca="1" si="43">INDIRECT(C322 &amp; "!" &amp; F322)</f>
        <v>0</v>
      </c>
      <c r="AF322" s="383">
        <f ca="1">IFERROR(IF(VLOOKUP(申込書!$C$32,★サイズ表記!$F$4:$H$55,3,FALSE)="切り捨て",ROUNDDOWN(L322*IF(AK322="◎",I322,J322)/100,2),IF(VLOOKUP(申込書!$C$32,★サイズ表記!$F$4:$H$55,3,FALSE)="切り上げ",ROUNDUP(L322*IF(AK322="◎",I322,J322)/100,2),ROUND(L322*IF(AK322="◎",I322,J322)/100,2))),0)</f>
        <v>2.4</v>
      </c>
      <c r="AG322" s="203">
        <f t="shared" ref="AG322:AG385" ca="1" si="44">IFERROR(INDIRECT(C322 &amp; "!" &amp; G322 &amp; MID(F322,2,1000)),0)</f>
        <v>10303</v>
      </c>
      <c r="AJ322" s="460" t="str">
        <f>IFERROR(VLOOKUP(申込書!$C$30,★業種!$D$2:$E$87,2,FALSE),"")</f>
        <v>1003</v>
      </c>
      <c r="AK322" s="460" t="str">
        <f ca="1">IF(申込書!$C$36="◎",IF(OR(D322="浜坂・温泉",D322="美方・村岡",D322="香住",D322="岡山",D322="大阪"),"",IF(LEFT(F322)="D","◎",IF(AG322=0,"",IFERROR(IF(VLOOKUP(AG322,★仕入先!$A$2:$C$211,3,FALSE)=0,"","◎"),"")))),"")</f>
        <v/>
      </c>
      <c r="AL322" s="460">
        <f>申込書!$H$14</f>
        <v>0</v>
      </c>
      <c r="AM322" s="460" t="str">
        <f>申込書!$C$32</f>
        <v>B4（折り無し）</v>
      </c>
      <c r="AN322" s="460" t="str">
        <f>VLOOKUP(AM322,★サイズ表記!$D$4:$E$55,2,FALSE)</f>
        <v>1001</v>
      </c>
      <c r="AO322" s="460">
        <f>IF(C322&lt;&gt;"⑧兵庫",VLOOKUP(LEFT(F322),★新聞!$A$4:$B$12,2,FALSE),IF(LEFT(F322)&lt;&gt;"S",VLOOKUP(LEFT(F322),★新聞!$A$4:$B$12,2,FALSE),VLOOKUP("X",★新聞!$A$4:$B$12,2,FALSE)))</f>
        <v>4</v>
      </c>
      <c r="AP322" s="460" t="str">
        <f t="shared" ref="AP322:AP385" ca="1" si="45">FIXED(SUM($AE$2:$AE$977),0,FALSE)</f>
        <v>0</v>
      </c>
      <c r="AQ322" s="460" t="str">
        <f>IF(申込書!$C$38="","",申込書!$C$38)</f>
        <v/>
      </c>
    </row>
    <row r="323" spans="1:43">
      <c r="A323" s="463">
        <f t="shared" si="38"/>
        <v>322</v>
      </c>
      <c r="B323" s="463" t="str">
        <f t="shared" si="39"/>
        <v>東部</v>
      </c>
      <c r="C323" s="464" t="s">
        <v>1017</v>
      </c>
      <c r="D323" s="464" t="s">
        <v>1602</v>
      </c>
      <c r="E323" s="464">
        <f>VLOOKUP(D323,★折込地区!$A$2:$D$10,4,FALSE)</f>
        <v>2</v>
      </c>
      <c r="F323" s="464" t="s">
        <v>448</v>
      </c>
      <c r="G323" s="464" t="str">
        <f>INDEX(★新聞!$E$4:$I$12, MATCH(LEFT(F323),★新聞!$A$4:$A$12,0), MATCH(LEFT(W323),★新聞!$E$3:$I$3,0))</f>
        <v>AG</v>
      </c>
      <c r="H323" s="475" t="s">
        <v>1104</v>
      </c>
      <c r="I323" s="464" cm="1">
        <f t="array" ref="I323">IFERROR(INDEX(★原価率!$A$2:$E$50,MATCH($C323&amp;$H323,★原価率!$A$2:$A$50&amp;★原価率!$B$2:$B$50,0),3),0)</f>
        <v>86</v>
      </c>
      <c r="J323" s="464" cm="1">
        <f t="array" ref="J323">IFERROR(INDEX(★原価率!$A$2:$E$50,MATCH($C323&amp;$H323,★原価率!$A$2:$A$50&amp;★原価率!$B$2:$B$50,0),4),0)</f>
        <v>86</v>
      </c>
      <c r="K323" s="464" cm="1">
        <f t="array" ref="K323">IFERROR(INDEX(★原価率!$A$2:$E$50,MATCH($C323&amp;$H323,★原価率!$A$2:$A$50&amp;★原価率!$B$2:$B$50,0),5),0)</f>
        <v>100</v>
      </c>
      <c r="L323" s="528">
        <f>IFERROR(VLOOKUP(W323,★商品!$A$1:$H$1231,8,FALSE),0)</f>
        <v>2.8</v>
      </c>
      <c r="M323" s="203" t="str">
        <f ca="1">CONCATENATE(VLOOKUP(B323,★営業所!$A$2:$B$5,2,FALSE),TEXT(NOW(),"yyyy"))</f>
        <v>T2023</v>
      </c>
      <c r="N323" s="203">
        <v>1</v>
      </c>
      <c r="O323" s="203">
        <v>0</v>
      </c>
      <c r="P323" s="213">
        <f>申込書!$B$6</f>
        <v>0</v>
      </c>
      <c r="Q323" s="203">
        <f>申込書!$C$34</f>
        <v>1000040</v>
      </c>
      <c r="R323" s="203">
        <v>0</v>
      </c>
      <c r="U323" s="203">
        <f>VLOOKUP(B323,★営業所!$A$2:$C$5,3,FALSE)</f>
        <v>8</v>
      </c>
      <c r="V323" s="203">
        <f>申込書!$B$9</f>
        <v>0</v>
      </c>
      <c r="W323" s="203" t="str">
        <f>CONCATENATE(VLOOKUP(B323,★営業所!$A$2:$B$5,2,FALSE),VLOOKUP(申込書!$C$32,★サイズ表記!$D$4:$E$55,2,FALSE),VLOOKUP(D323,★折込地区!$A$2:$B$11,2,FALSE))</f>
        <v>T1001Kry</v>
      </c>
      <c r="X323" s="203" t="str">
        <f>CONCATENATE(申込書!$B$9," ",VLOOKUP(RIGHT(W323,3),★折込地区!$B$2:$C$10,2,FALSE),"")</f>
        <v xml:space="preserve"> 倉吉</v>
      </c>
      <c r="Z323" s="206">
        <f t="shared" ca="1" si="40"/>
        <v>0</v>
      </c>
      <c r="AB323" s="383">
        <f t="shared" si="41"/>
        <v>2.8</v>
      </c>
      <c r="AC323" s="203" t="str">
        <f t="shared" si="42"/>
        <v>M1001</v>
      </c>
      <c r="AD323" s="203" t="str">
        <f>VLOOKUP(AC323,★原価商品!$E$6:$F$349,2,FALSE)</f>
        <v>毎日/B4（折り無し）</v>
      </c>
      <c r="AE323" s="203">
        <f t="shared" ca="1" si="43"/>
        <v>0</v>
      </c>
      <c r="AF323" s="383">
        <f ca="1">IFERROR(IF(VLOOKUP(申込書!$C$32,★サイズ表記!$F$4:$H$55,3,FALSE)="切り捨て",ROUNDDOWN(L323*IF(AK323="◎",I323,J323)/100,2),IF(VLOOKUP(申込書!$C$32,★サイズ表記!$F$4:$H$55,3,FALSE)="切り上げ",ROUNDUP(L323*IF(AK323="◎",I323,J323)/100,2),ROUND(L323*IF(AK323="◎",I323,J323)/100,2))),0)</f>
        <v>2.4</v>
      </c>
      <c r="AG323" s="203">
        <f t="shared" ca="1" si="44"/>
        <v>10303</v>
      </c>
      <c r="AJ323" s="460" t="str">
        <f>IFERROR(VLOOKUP(申込書!$C$30,★業種!$D$2:$E$87,2,FALSE),"")</f>
        <v>1003</v>
      </c>
      <c r="AK323" s="460" t="str">
        <f ca="1">IF(申込書!$C$36="◎",IF(OR(D323="浜坂・温泉",D323="美方・村岡",D323="香住",D323="岡山",D323="大阪"),"",IF(LEFT(F323)="D","◎",IF(AG323=0,"",IFERROR(IF(VLOOKUP(AG323,★仕入先!$A$2:$C$211,3,FALSE)=0,"","◎"),"")))),"")</f>
        <v/>
      </c>
      <c r="AL323" s="460">
        <f>申込書!$H$14</f>
        <v>0</v>
      </c>
      <c r="AM323" s="460" t="str">
        <f>申込書!$C$32</f>
        <v>B4（折り無し）</v>
      </c>
      <c r="AN323" s="460" t="str">
        <f>VLOOKUP(AM323,★サイズ表記!$D$4:$E$55,2,FALSE)</f>
        <v>1001</v>
      </c>
      <c r="AO323" s="460">
        <f>IF(C323&lt;&gt;"⑧兵庫",VLOOKUP(LEFT(F323),★新聞!$A$4:$B$12,2,FALSE),IF(LEFT(F323)&lt;&gt;"S",VLOOKUP(LEFT(F323),★新聞!$A$4:$B$12,2,FALSE),VLOOKUP("X",★新聞!$A$4:$B$12,2,FALSE)))</f>
        <v>4</v>
      </c>
      <c r="AP323" s="460" t="str">
        <f t="shared" ca="1" si="45"/>
        <v>0</v>
      </c>
      <c r="AQ323" s="460" t="str">
        <f>IF(申込書!$C$38="","",申込書!$C$38)</f>
        <v/>
      </c>
    </row>
    <row r="324" spans="1:43">
      <c r="A324" s="463">
        <f t="shared" ref="A324:A387" si="46">A323+1</f>
        <v>323</v>
      </c>
      <c r="B324" s="463" t="str">
        <f t="shared" ref="B324:B387" si="47">$B$2</f>
        <v>東部</v>
      </c>
      <c r="C324" s="464" t="s">
        <v>1017</v>
      </c>
      <c r="D324" s="464" t="s">
        <v>1602</v>
      </c>
      <c r="E324" s="464">
        <f>VLOOKUP(D324,★折込地区!$A$2:$D$10,4,FALSE)</f>
        <v>2</v>
      </c>
      <c r="F324" s="464" t="s">
        <v>449</v>
      </c>
      <c r="G324" s="464" t="str">
        <f>INDEX(★新聞!$E$4:$I$12, MATCH(LEFT(F324),★新聞!$A$4:$A$12,0), MATCH(LEFT(W324),★新聞!$E$3:$I$3,0))</f>
        <v>AG</v>
      </c>
      <c r="H324" s="475" t="s">
        <v>1104</v>
      </c>
      <c r="I324" s="464" cm="1">
        <f t="array" ref="I324">IFERROR(INDEX(★原価率!$A$2:$E$50,MATCH($C324&amp;$H324,★原価率!$A$2:$A$50&amp;★原価率!$B$2:$B$50,0),3),0)</f>
        <v>86</v>
      </c>
      <c r="J324" s="464" cm="1">
        <f t="array" ref="J324">IFERROR(INDEX(★原価率!$A$2:$E$50,MATCH($C324&amp;$H324,★原価率!$A$2:$A$50&amp;★原価率!$B$2:$B$50,0),4),0)</f>
        <v>86</v>
      </c>
      <c r="K324" s="464" cm="1">
        <f t="array" ref="K324">IFERROR(INDEX(★原価率!$A$2:$E$50,MATCH($C324&amp;$H324,★原価率!$A$2:$A$50&amp;★原価率!$B$2:$B$50,0),5),0)</f>
        <v>100</v>
      </c>
      <c r="L324" s="528">
        <f>IFERROR(VLOOKUP(W324,★商品!$A$1:$H$1231,8,FALSE),0)</f>
        <v>2.8</v>
      </c>
      <c r="M324" s="203" t="str">
        <f ca="1">CONCATENATE(VLOOKUP(B324,★営業所!$A$2:$B$5,2,FALSE),TEXT(NOW(),"yyyy"))</f>
        <v>T2023</v>
      </c>
      <c r="N324" s="203">
        <v>1</v>
      </c>
      <c r="O324" s="203">
        <v>0</v>
      </c>
      <c r="P324" s="213">
        <f>申込書!$B$6</f>
        <v>0</v>
      </c>
      <c r="Q324" s="203">
        <f>申込書!$C$34</f>
        <v>1000040</v>
      </c>
      <c r="R324" s="203">
        <v>0</v>
      </c>
      <c r="U324" s="203">
        <f>VLOOKUP(B324,★営業所!$A$2:$C$5,3,FALSE)</f>
        <v>8</v>
      </c>
      <c r="V324" s="203">
        <f>申込書!$B$9</f>
        <v>0</v>
      </c>
      <c r="W324" s="203" t="str">
        <f>CONCATENATE(VLOOKUP(B324,★営業所!$A$2:$B$5,2,FALSE),VLOOKUP(申込書!$C$32,★サイズ表記!$D$4:$E$55,2,FALSE),VLOOKUP(D324,★折込地区!$A$2:$B$11,2,FALSE))</f>
        <v>T1001Kry</v>
      </c>
      <c r="X324" s="203" t="str">
        <f>CONCATENATE(申込書!$B$9," ",VLOOKUP(RIGHT(W324,3),★折込地区!$B$2:$C$10,2,FALSE),"")</f>
        <v xml:space="preserve"> 倉吉</v>
      </c>
      <c r="Z324" s="206">
        <f t="shared" ca="1" si="40"/>
        <v>0</v>
      </c>
      <c r="AB324" s="383">
        <f t="shared" si="41"/>
        <v>2.8</v>
      </c>
      <c r="AC324" s="203" t="str">
        <f t="shared" si="42"/>
        <v>M1001</v>
      </c>
      <c r="AD324" s="203" t="str">
        <f>VLOOKUP(AC324,★原価商品!$E$6:$F$349,2,FALSE)</f>
        <v>毎日/B4（折り無し）</v>
      </c>
      <c r="AE324" s="203">
        <f t="shared" ca="1" si="43"/>
        <v>0</v>
      </c>
      <c r="AF324" s="383">
        <f ca="1">IFERROR(IF(VLOOKUP(申込書!$C$32,★サイズ表記!$F$4:$H$55,3,FALSE)="切り捨て",ROUNDDOWN(L324*IF(AK324="◎",I324,J324)/100,2),IF(VLOOKUP(申込書!$C$32,★サイズ表記!$F$4:$H$55,3,FALSE)="切り上げ",ROUNDUP(L324*IF(AK324="◎",I324,J324)/100,2),ROUND(L324*IF(AK324="◎",I324,J324)/100,2))),0)</f>
        <v>2.4</v>
      </c>
      <c r="AG324" s="203">
        <f t="shared" ca="1" si="44"/>
        <v>0</v>
      </c>
      <c r="AJ324" s="460" t="str">
        <f>IFERROR(VLOOKUP(申込書!$C$30,★業種!$D$2:$E$87,2,FALSE),"")</f>
        <v>1003</v>
      </c>
      <c r="AK324" s="460" t="str">
        <f ca="1">IF(申込書!$C$36="◎",IF(OR(D324="浜坂・温泉",D324="美方・村岡",D324="香住",D324="岡山",D324="大阪"),"",IF(LEFT(F324)="D","◎",IF(AG324=0,"",IFERROR(IF(VLOOKUP(AG324,★仕入先!$A$2:$C$211,3,FALSE)=0,"","◎"),"")))),"")</f>
        <v/>
      </c>
      <c r="AL324" s="460">
        <f>申込書!$H$14</f>
        <v>0</v>
      </c>
      <c r="AM324" s="460" t="str">
        <f>申込書!$C$32</f>
        <v>B4（折り無し）</v>
      </c>
      <c r="AN324" s="460" t="str">
        <f>VLOOKUP(AM324,★サイズ表記!$D$4:$E$55,2,FALSE)</f>
        <v>1001</v>
      </c>
      <c r="AO324" s="460">
        <f>IF(C324&lt;&gt;"⑧兵庫",VLOOKUP(LEFT(F324),★新聞!$A$4:$B$12,2,FALSE),IF(LEFT(F324)&lt;&gt;"S",VLOOKUP(LEFT(F324),★新聞!$A$4:$B$12,2,FALSE),VLOOKUP("X",★新聞!$A$4:$B$12,2,FALSE)))</f>
        <v>4</v>
      </c>
      <c r="AP324" s="460" t="str">
        <f t="shared" ca="1" si="45"/>
        <v>0</v>
      </c>
      <c r="AQ324" s="460" t="str">
        <f>IF(申込書!$C$38="","",申込書!$C$38)</f>
        <v/>
      </c>
    </row>
    <row r="325" spans="1:43">
      <c r="A325" s="463">
        <f t="shared" si="46"/>
        <v>324</v>
      </c>
      <c r="B325" s="463" t="str">
        <f t="shared" si="47"/>
        <v>東部</v>
      </c>
      <c r="C325" s="464" t="s">
        <v>1017</v>
      </c>
      <c r="D325" s="464" t="s">
        <v>1602</v>
      </c>
      <c r="E325" s="464">
        <f>VLOOKUP(D325,★折込地区!$A$2:$D$10,4,FALSE)</f>
        <v>2</v>
      </c>
      <c r="F325" s="464" t="s">
        <v>450</v>
      </c>
      <c r="G325" s="464" t="str">
        <f>INDEX(★新聞!$E$4:$I$12, MATCH(LEFT(F325),★新聞!$A$4:$A$12,0), MATCH(LEFT(W325),★新聞!$E$3:$I$3,0))</f>
        <v>AG</v>
      </c>
      <c r="H325" s="475" t="s">
        <v>1104</v>
      </c>
      <c r="I325" s="464" cm="1">
        <f t="array" ref="I325">IFERROR(INDEX(★原価率!$A$2:$E$50,MATCH($C325&amp;$H325,★原価率!$A$2:$A$50&amp;★原価率!$B$2:$B$50,0),3),0)</f>
        <v>86</v>
      </c>
      <c r="J325" s="464" cm="1">
        <f t="array" ref="J325">IFERROR(INDEX(★原価率!$A$2:$E$50,MATCH($C325&amp;$H325,★原価率!$A$2:$A$50&amp;★原価率!$B$2:$B$50,0),4),0)</f>
        <v>86</v>
      </c>
      <c r="K325" s="464" cm="1">
        <f t="array" ref="K325">IFERROR(INDEX(★原価率!$A$2:$E$50,MATCH($C325&amp;$H325,★原価率!$A$2:$A$50&amp;★原価率!$B$2:$B$50,0),5),0)</f>
        <v>100</v>
      </c>
      <c r="L325" s="528">
        <f>IFERROR(VLOOKUP(W325,★商品!$A$1:$H$1231,8,FALSE),0)</f>
        <v>2.8</v>
      </c>
      <c r="M325" s="203" t="str">
        <f ca="1">CONCATENATE(VLOOKUP(B325,★営業所!$A$2:$B$5,2,FALSE),TEXT(NOW(),"yyyy"))</f>
        <v>T2023</v>
      </c>
      <c r="N325" s="203">
        <v>1</v>
      </c>
      <c r="O325" s="203">
        <v>0</v>
      </c>
      <c r="P325" s="213">
        <f>申込書!$B$6</f>
        <v>0</v>
      </c>
      <c r="Q325" s="203">
        <f>申込書!$C$34</f>
        <v>1000040</v>
      </c>
      <c r="R325" s="203">
        <v>0</v>
      </c>
      <c r="U325" s="203">
        <f>VLOOKUP(B325,★営業所!$A$2:$C$5,3,FALSE)</f>
        <v>8</v>
      </c>
      <c r="V325" s="203">
        <f>申込書!$B$9</f>
        <v>0</v>
      </c>
      <c r="W325" s="203" t="str">
        <f>CONCATENATE(VLOOKUP(B325,★営業所!$A$2:$B$5,2,FALSE),VLOOKUP(申込書!$C$32,★サイズ表記!$D$4:$E$55,2,FALSE),VLOOKUP(D325,★折込地区!$A$2:$B$11,2,FALSE))</f>
        <v>T1001Kry</v>
      </c>
      <c r="X325" s="203" t="str">
        <f>CONCATENATE(申込書!$B$9," ",VLOOKUP(RIGHT(W325,3),★折込地区!$B$2:$C$10,2,FALSE),"")</f>
        <v xml:space="preserve"> 倉吉</v>
      </c>
      <c r="Z325" s="206">
        <f t="shared" ca="1" si="40"/>
        <v>0</v>
      </c>
      <c r="AB325" s="383">
        <f t="shared" si="41"/>
        <v>2.8</v>
      </c>
      <c r="AC325" s="203" t="str">
        <f t="shared" si="42"/>
        <v>M1001</v>
      </c>
      <c r="AD325" s="203" t="str">
        <f>VLOOKUP(AC325,★原価商品!$E$6:$F$349,2,FALSE)</f>
        <v>毎日/B4（折り無し）</v>
      </c>
      <c r="AE325" s="203">
        <f t="shared" ca="1" si="43"/>
        <v>0</v>
      </c>
      <c r="AF325" s="383">
        <f ca="1">IFERROR(IF(VLOOKUP(申込書!$C$32,★サイズ表記!$F$4:$H$55,3,FALSE)="切り捨て",ROUNDDOWN(L325*IF(AK325="◎",I325,J325)/100,2),IF(VLOOKUP(申込書!$C$32,★サイズ表記!$F$4:$H$55,3,FALSE)="切り上げ",ROUNDUP(L325*IF(AK325="◎",I325,J325)/100,2),ROUND(L325*IF(AK325="◎",I325,J325)/100,2))),0)</f>
        <v>2.4</v>
      </c>
      <c r="AG325" s="203">
        <f t="shared" ca="1" si="44"/>
        <v>0</v>
      </c>
      <c r="AJ325" s="460" t="str">
        <f>IFERROR(VLOOKUP(申込書!$C$30,★業種!$D$2:$E$87,2,FALSE),"")</f>
        <v>1003</v>
      </c>
      <c r="AK325" s="460" t="str">
        <f ca="1">IF(申込書!$C$36="◎",IF(OR(D325="浜坂・温泉",D325="美方・村岡",D325="香住",D325="岡山",D325="大阪"),"",IF(LEFT(F325)="D","◎",IF(AG325=0,"",IFERROR(IF(VLOOKUP(AG325,★仕入先!$A$2:$C$211,3,FALSE)=0,"","◎"),"")))),"")</f>
        <v/>
      </c>
      <c r="AL325" s="460">
        <f>申込書!$H$14</f>
        <v>0</v>
      </c>
      <c r="AM325" s="460" t="str">
        <f>申込書!$C$32</f>
        <v>B4（折り無し）</v>
      </c>
      <c r="AN325" s="460" t="str">
        <f>VLOOKUP(AM325,★サイズ表記!$D$4:$E$55,2,FALSE)</f>
        <v>1001</v>
      </c>
      <c r="AO325" s="460">
        <f>IF(C325&lt;&gt;"⑧兵庫",VLOOKUP(LEFT(F325),★新聞!$A$4:$B$12,2,FALSE),IF(LEFT(F325)&lt;&gt;"S",VLOOKUP(LEFT(F325),★新聞!$A$4:$B$12,2,FALSE),VLOOKUP("X",★新聞!$A$4:$B$12,2,FALSE)))</f>
        <v>4</v>
      </c>
      <c r="AP325" s="460" t="str">
        <f t="shared" ca="1" si="45"/>
        <v>0</v>
      </c>
      <c r="AQ325" s="460" t="str">
        <f>IF(申込書!$C$38="","",申込書!$C$38)</f>
        <v/>
      </c>
    </row>
    <row r="326" spans="1:43">
      <c r="A326" s="463">
        <f t="shared" si="46"/>
        <v>325</v>
      </c>
      <c r="B326" s="463" t="str">
        <f t="shared" si="47"/>
        <v>東部</v>
      </c>
      <c r="C326" s="464" t="s">
        <v>1017</v>
      </c>
      <c r="D326" s="464" t="s">
        <v>1602</v>
      </c>
      <c r="E326" s="464">
        <f>VLOOKUP(D326,★折込地区!$A$2:$D$10,4,FALSE)</f>
        <v>2</v>
      </c>
      <c r="F326" s="464" t="s">
        <v>451</v>
      </c>
      <c r="G326" s="464" t="str">
        <f>INDEX(★新聞!$E$4:$I$12, MATCH(LEFT(F326),★新聞!$A$4:$A$12,0), MATCH(LEFT(W326),★新聞!$E$3:$I$3,0))</f>
        <v>AG</v>
      </c>
      <c r="H326" s="475" t="s">
        <v>1104</v>
      </c>
      <c r="I326" s="464" cm="1">
        <f t="array" ref="I326">IFERROR(INDEX(★原価率!$A$2:$E$50,MATCH($C326&amp;$H326,★原価率!$A$2:$A$50&amp;★原価率!$B$2:$B$50,0),3),0)</f>
        <v>86</v>
      </c>
      <c r="J326" s="464" cm="1">
        <f t="array" ref="J326">IFERROR(INDEX(★原価率!$A$2:$E$50,MATCH($C326&amp;$H326,★原価率!$A$2:$A$50&amp;★原価率!$B$2:$B$50,0),4),0)</f>
        <v>86</v>
      </c>
      <c r="K326" s="464" cm="1">
        <f t="array" ref="K326">IFERROR(INDEX(★原価率!$A$2:$E$50,MATCH($C326&amp;$H326,★原価率!$A$2:$A$50&amp;★原価率!$B$2:$B$50,0),5),0)</f>
        <v>100</v>
      </c>
      <c r="L326" s="528">
        <f>IFERROR(VLOOKUP(W326,★商品!$A$1:$H$1231,8,FALSE),0)</f>
        <v>2.8</v>
      </c>
      <c r="M326" s="203" t="str">
        <f ca="1">CONCATENATE(VLOOKUP(B326,★営業所!$A$2:$B$5,2,FALSE),TEXT(NOW(),"yyyy"))</f>
        <v>T2023</v>
      </c>
      <c r="N326" s="203">
        <v>1</v>
      </c>
      <c r="O326" s="203">
        <v>0</v>
      </c>
      <c r="P326" s="213">
        <f>申込書!$B$6</f>
        <v>0</v>
      </c>
      <c r="Q326" s="203">
        <f>申込書!$C$34</f>
        <v>1000040</v>
      </c>
      <c r="R326" s="203">
        <v>0</v>
      </c>
      <c r="U326" s="203">
        <f>VLOOKUP(B326,★営業所!$A$2:$C$5,3,FALSE)</f>
        <v>8</v>
      </c>
      <c r="V326" s="203">
        <f>申込書!$B$9</f>
        <v>0</v>
      </c>
      <c r="W326" s="203" t="str">
        <f>CONCATENATE(VLOOKUP(B326,★営業所!$A$2:$B$5,2,FALSE),VLOOKUP(申込書!$C$32,★サイズ表記!$D$4:$E$55,2,FALSE),VLOOKUP(D326,★折込地区!$A$2:$B$11,2,FALSE))</f>
        <v>T1001Kry</v>
      </c>
      <c r="X326" s="203" t="str">
        <f>CONCATENATE(申込書!$B$9," ",VLOOKUP(RIGHT(W326,3),★折込地区!$B$2:$C$10,2,FALSE),"")</f>
        <v xml:space="preserve"> 倉吉</v>
      </c>
      <c r="Z326" s="206">
        <f t="shared" ca="1" si="40"/>
        <v>0</v>
      </c>
      <c r="AB326" s="383">
        <f t="shared" si="41"/>
        <v>2.8</v>
      </c>
      <c r="AC326" s="203" t="str">
        <f t="shared" si="42"/>
        <v>M1001</v>
      </c>
      <c r="AD326" s="203" t="str">
        <f>VLOOKUP(AC326,★原価商品!$E$6:$F$349,2,FALSE)</f>
        <v>毎日/B4（折り無し）</v>
      </c>
      <c r="AE326" s="203">
        <f t="shared" ca="1" si="43"/>
        <v>0</v>
      </c>
      <c r="AF326" s="383">
        <f ca="1">IFERROR(IF(VLOOKUP(申込書!$C$32,★サイズ表記!$F$4:$H$55,3,FALSE)="切り捨て",ROUNDDOWN(L326*IF(AK326="◎",I326,J326)/100,2),IF(VLOOKUP(申込書!$C$32,★サイズ表記!$F$4:$H$55,3,FALSE)="切り上げ",ROUNDUP(L326*IF(AK326="◎",I326,J326)/100,2),ROUND(L326*IF(AK326="◎",I326,J326)/100,2))),0)</f>
        <v>2.4</v>
      </c>
      <c r="AG326" s="203">
        <f t="shared" ca="1" si="44"/>
        <v>0</v>
      </c>
      <c r="AJ326" s="460" t="str">
        <f>IFERROR(VLOOKUP(申込書!$C$30,★業種!$D$2:$E$87,2,FALSE),"")</f>
        <v>1003</v>
      </c>
      <c r="AK326" s="460" t="str">
        <f ca="1">IF(申込書!$C$36="◎",IF(OR(D326="浜坂・温泉",D326="美方・村岡",D326="香住",D326="岡山",D326="大阪"),"",IF(LEFT(F326)="D","◎",IF(AG326=0,"",IFERROR(IF(VLOOKUP(AG326,★仕入先!$A$2:$C$211,3,FALSE)=0,"","◎"),"")))),"")</f>
        <v/>
      </c>
      <c r="AL326" s="460">
        <f>申込書!$H$14</f>
        <v>0</v>
      </c>
      <c r="AM326" s="460" t="str">
        <f>申込書!$C$32</f>
        <v>B4（折り無し）</v>
      </c>
      <c r="AN326" s="460" t="str">
        <f>VLOOKUP(AM326,★サイズ表記!$D$4:$E$55,2,FALSE)</f>
        <v>1001</v>
      </c>
      <c r="AO326" s="460">
        <f>IF(C326&lt;&gt;"⑧兵庫",VLOOKUP(LEFT(F326),★新聞!$A$4:$B$12,2,FALSE),IF(LEFT(F326)&lt;&gt;"S",VLOOKUP(LEFT(F326),★新聞!$A$4:$B$12,2,FALSE),VLOOKUP("X",★新聞!$A$4:$B$12,2,FALSE)))</f>
        <v>4</v>
      </c>
      <c r="AP326" s="460" t="str">
        <f t="shared" ca="1" si="45"/>
        <v>0</v>
      </c>
      <c r="AQ326" s="460" t="str">
        <f>IF(申込書!$C$38="","",申込書!$C$38)</f>
        <v/>
      </c>
    </row>
    <row r="327" spans="1:43">
      <c r="A327" s="463">
        <f t="shared" si="46"/>
        <v>326</v>
      </c>
      <c r="B327" s="463" t="str">
        <f t="shared" si="47"/>
        <v>東部</v>
      </c>
      <c r="C327" s="464" t="s">
        <v>1017</v>
      </c>
      <c r="D327" s="464" t="s">
        <v>1602</v>
      </c>
      <c r="E327" s="464">
        <f>VLOOKUP(D327,★折込地区!$A$2:$D$10,4,FALSE)</f>
        <v>2</v>
      </c>
      <c r="F327" s="464" t="s">
        <v>452</v>
      </c>
      <c r="G327" s="464" t="str">
        <f>INDEX(★新聞!$E$4:$I$12, MATCH(LEFT(F327),★新聞!$A$4:$A$12,0), MATCH(LEFT(W327),★新聞!$E$3:$I$3,0))</f>
        <v>AG</v>
      </c>
      <c r="H327" s="475" t="s">
        <v>1107</v>
      </c>
      <c r="I327" s="464" cm="1">
        <f t="array" ref="I327">IFERROR(INDEX(★原価率!$A$2:$E$50,MATCH($C327&amp;$H327,★原価率!$A$2:$A$50&amp;★原価率!$B$2:$B$50,0),3),0)</f>
        <v>82</v>
      </c>
      <c r="J327" s="464" cm="1">
        <f t="array" ref="J327">IFERROR(INDEX(★原価率!$A$2:$E$50,MATCH($C327&amp;$H327,★原価率!$A$2:$A$50&amp;★原価率!$B$2:$B$50,0),4),0)</f>
        <v>82</v>
      </c>
      <c r="K327" s="464" cm="1">
        <f t="array" ref="K327">IFERROR(INDEX(★原価率!$A$2:$E$50,MATCH($C327&amp;$H327,★原価率!$A$2:$A$50&amp;★原価率!$B$2:$B$50,0),5),0)</f>
        <v>100</v>
      </c>
      <c r="L327" s="528">
        <f>IFERROR(VLOOKUP(W327,★商品!$A$1:$H$1231,8,FALSE),0)</f>
        <v>2.8</v>
      </c>
      <c r="M327" s="203" t="str">
        <f ca="1">CONCATENATE(VLOOKUP(B327,★営業所!$A$2:$B$5,2,FALSE),TEXT(NOW(),"yyyy"))</f>
        <v>T2023</v>
      </c>
      <c r="N327" s="203">
        <v>1</v>
      </c>
      <c r="O327" s="203">
        <v>0</v>
      </c>
      <c r="P327" s="213">
        <f>申込書!$B$6</f>
        <v>0</v>
      </c>
      <c r="Q327" s="203">
        <f>申込書!$C$34</f>
        <v>1000040</v>
      </c>
      <c r="R327" s="203">
        <v>0</v>
      </c>
      <c r="U327" s="203">
        <f>VLOOKUP(B327,★営業所!$A$2:$C$5,3,FALSE)</f>
        <v>8</v>
      </c>
      <c r="V327" s="203">
        <f>申込書!$B$9</f>
        <v>0</v>
      </c>
      <c r="W327" s="203" t="str">
        <f>CONCATENATE(VLOOKUP(B327,★営業所!$A$2:$B$5,2,FALSE),VLOOKUP(申込書!$C$32,★サイズ表記!$D$4:$E$55,2,FALSE),VLOOKUP(D327,★折込地区!$A$2:$B$11,2,FALSE))</f>
        <v>T1001Kry</v>
      </c>
      <c r="X327" s="203" t="str">
        <f>CONCATENATE(申込書!$B$9," ",VLOOKUP(RIGHT(W327,3),★折込地区!$B$2:$C$10,2,FALSE),"")</f>
        <v xml:space="preserve"> 倉吉</v>
      </c>
      <c r="Z327" s="206">
        <f t="shared" ca="1" si="40"/>
        <v>0</v>
      </c>
      <c r="AB327" s="383">
        <f t="shared" si="41"/>
        <v>2.8</v>
      </c>
      <c r="AC327" s="203" t="str">
        <f t="shared" si="42"/>
        <v>M1001</v>
      </c>
      <c r="AD327" s="203" t="str">
        <f>VLOOKUP(AC327,★原価商品!$E$6:$F$349,2,FALSE)</f>
        <v>毎日/B4（折り無し）</v>
      </c>
      <c r="AE327" s="203">
        <f t="shared" ca="1" si="43"/>
        <v>0</v>
      </c>
      <c r="AF327" s="383">
        <f ca="1">IFERROR(IF(VLOOKUP(申込書!$C$32,★サイズ表記!$F$4:$H$55,3,FALSE)="切り捨て",ROUNDDOWN(L327*IF(AK327="◎",I327,J327)/100,2),IF(VLOOKUP(申込書!$C$32,★サイズ表記!$F$4:$H$55,3,FALSE)="切り上げ",ROUNDUP(L327*IF(AK327="◎",I327,J327)/100,2),ROUND(L327*IF(AK327="◎",I327,J327)/100,2))),0)</f>
        <v>2.29</v>
      </c>
      <c r="AG327" s="203">
        <f t="shared" ca="1" si="44"/>
        <v>10303</v>
      </c>
      <c r="AJ327" s="460" t="str">
        <f>IFERROR(VLOOKUP(申込書!$C$30,★業種!$D$2:$E$87,2,FALSE),"")</f>
        <v>1003</v>
      </c>
      <c r="AK327" s="460" t="str">
        <f ca="1">IF(申込書!$C$36="◎",IF(OR(D327="浜坂・温泉",D327="美方・村岡",D327="香住",D327="岡山",D327="大阪"),"",IF(LEFT(F327)="D","◎",IF(AG327=0,"",IFERROR(IF(VLOOKUP(AG327,★仕入先!$A$2:$C$211,3,FALSE)=0,"","◎"),"")))),"")</f>
        <v/>
      </c>
      <c r="AL327" s="460">
        <f>申込書!$H$14</f>
        <v>0</v>
      </c>
      <c r="AM327" s="460" t="str">
        <f>申込書!$C$32</f>
        <v>B4（折り無し）</v>
      </c>
      <c r="AN327" s="460" t="str">
        <f>VLOOKUP(AM327,★サイズ表記!$D$4:$E$55,2,FALSE)</f>
        <v>1001</v>
      </c>
      <c r="AO327" s="460">
        <f>IF(C327&lt;&gt;"⑧兵庫",VLOOKUP(LEFT(F327),★新聞!$A$4:$B$12,2,FALSE),IF(LEFT(F327)&lt;&gt;"S",VLOOKUP(LEFT(F327),★新聞!$A$4:$B$12,2,FALSE),VLOOKUP("X",★新聞!$A$4:$B$12,2,FALSE)))</f>
        <v>4</v>
      </c>
      <c r="AP327" s="460" t="str">
        <f t="shared" ca="1" si="45"/>
        <v>0</v>
      </c>
      <c r="AQ327" s="460" t="str">
        <f>IF(申込書!$C$38="","",申込書!$C$38)</f>
        <v/>
      </c>
    </row>
    <row r="328" spans="1:43">
      <c r="A328" s="463">
        <f t="shared" si="46"/>
        <v>327</v>
      </c>
      <c r="B328" s="463" t="str">
        <f t="shared" si="47"/>
        <v>東部</v>
      </c>
      <c r="C328" s="464" t="s">
        <v>1017</v>
      </c>
      <c r="D328" s="464" t="s">
        <v>1602</v>
      </c>
      <c r="E328" s="464">
        <f>VLOOKUP(D328,★折込地区!$A$2:$D$10,4,FALSE)</f>
        <v>2</v>
      </c>
      <c r="F328" s="464" t="s">
        <v>453</v>
      </c>
      <c r="G328" s="464" t="str">
        <f>INDEX(★新聞!$E$4:$I$12, MATCH(LEFT(F328),★新聞!$A$4:$A$12,0), MATCH(LEFT(W328),★新聞!$E$3:$I$3,0))</f>
        <v>AG</v>
      </c>
      <c r="H328" s="475" t="s">
        <v>1107</v>
      </c>
      <c r="I328" s="464" cm="1">
        <f t="array" ref="I328">IFERROR(INDEX(★原価率!$A$2:$E$50,MATCH($C328&amp;$H328,★原価率!$A$2:$A$50&amp;★原価率!$B$2:$B$50,0),3),0)</f>
        <v>82</v>
      </c>
      <c r="J328" s="464" cm="1">
        <f t="array" ref="J328">IFERROR(INDEX(★原価率!$A$2:$E$50,MATCH($C328&amp;$H328,★原価率!$A$2:$A$50&amp;★原価率!$B$2:$B$50,0),4),0)</f>
        <v>82</v>
      </c>
      <c r="K328" s="464" cm="1">
        <f t="array" ref="K328">IFERROR(INDEX(★原価率!$A$2:$E$50,MATCH($C328&amp;$H328,★原価率!$A$2:$A$50&amp;★原価率!$B$2:$B$50,0),5),0)</f>
        <v>100</v>
      </c>
      <c r="L328" s="528">
        <f>IFERROR(VLOOKUP(W328,★商品!$A$1:$H$1231,8,FALSE),0)</f>
        <v>2.8</v>
      </c>
      <c r="M328" s="203" t="str">
        <f ca="1">CONCATENATE(VLOOKUP(B328,★営業所!$A$2:$B$5,2,FALSE),TEXT(NOW(),"yyyy"))</f>
        <v>T2023</v>
      </c>
      <c r="N328" s="203">
        <v>1</v>
      </c>
      <c r="O328" s="203">
        <v>0</v>
      </c>
      <c r="P328" s="213">
        <f>申込書!$B$6</f>
        <v>0</v>
      </c>
      <c r="Q328" s="203">
        <f>申込書!$C$34</f>
        <v>1000040</v>
      </c>
      <c r="R328" s="203">
        <v>0</v>
      </c>
      <c r="U328" s="203">
        <f>VLOOKUP(B328,★営業所!$A$2:$C$5,3,FALSE)</f>
        <v>8</v>
      </c>
      <c r="V328" s="203">
        <f>申込書!$B$9</f>
        <v>0</v>
      </c>
      <c r="W328" s="203" t="str">
        <f>CONCATENATE(VLOOKUP(B328,★営業所!$A$2:$B$5,2,FALSE),VLOOKUP(申込書!$C$32,★サイズ表記!$D$4:$E$55,2,FALSE),VLOOKUP(D328,★折込地区!$A$2:$B$11,2,FALSE))</f>
        <v>T1001Kry</v>
      </c>
      <c r="X328" s="203" t="str">
        <f>CONCATENATE(申込書!$B$9," ",VLOOKUP(RIGHT(W328,3),★折込地区!$B$2:$C$10,2,FALSE),"")</f>
        <v xml:space="preserve"> 倉吉</v>
      </c>
      <c r="Z328" s="206">
        <f t="shared" ca="1" si="40"/>
        <v>0</v>
      </c>
      <c r="AB328" s="383">
        <f t="shared" si="41"/>
        <v>2.8</v>
      </c>
      <c r="AC328" s="203" t="str">
        <f t="shared" si="42"/>
        <v>M1001</v>
      </c>
      <c r="AD328" s="203" t="str">
        <f>VLOOKUP(AC328,★原価商品!$E$6:$F$349,2,FALSE)</f>
        <v>毎日/B4（折り無し）</v>
      </c>
      <c r="AE328" s="203">
        <f t="shared" ca="1" si="43"/>
        <v>0</v>
      </c>
      <c r="AF328" s="383">
        <f ca="1">IFERROR(IF(VLOOKUP(申込書!$C$32,★サイズ表記!$F$4:$H$55,3,FALSE)="切り捨て",ROUNDDOWN(L328*IF(AK328="◎",I328,J328)/100,2),IF(VLOOKUP(申込書!$C$32,★サイズ表記!$F$4:$H$55,3,FALSE)="切り上げ",ROUNDUP(L328*IF(AK328="◎",I328,J328)/100,2),ROUND(L328*IF(AK328="◎",I328,J328)/100,2))),0)</f>
        <v>2.29</v>
      </c>
      <c r="AG328" s="203">
        <f t="shared" ca="1" si="44"/>
        <v>0</v>
      </c>
      <c r="AJ328" s="460" t="str">
        <f>IFERROR(VLOOKUP(申込書!$C$30,★業種!$D$2:$E$87,2,FALSE),"")</f>
        <v>1003</v>
      </c>
      <c r="AK328" s="460" t="str">
        <f ca="1">IF(申込書!$C$36="◎",IF(OR(D328="浜坂・温泉",D328="美方・村岡",D328="香住",D328="岡山",D328="大阪"),"",IF(LEFT(F328)="D","◎",IF(AG328=0,"",IFERROR(IF(VLOOKUP(AG328,★仕入先!$A$2:$C$211,3,FALSE)=0,"","◎"),"")))),"")</f>
        <v/>
      </c>
      <c r="AL328" s="460">
        <f>申込書!$H$14</f>
        <v>0</v>
      </c>
      <c r="AM328" s="460" t="str">
        <f>申込書!$C$32</f>
        <v>B4（折り無し）</v>
      </c>
      <c r="AN328" s="460" t="str">
        <f>VLOOKUP(AM328,★サイズ表記!$D$4:$E$55,2,FALSE)</f>
        <v>1001</v>
      </c>
      <c r="AO328" s="460">
        <f>IF(C328&lt;&gt;"⑧兵庫",VLOOKUP(LEFT(F328),★新聞!$A$4:$B$12,2,FALSE),IF(LEFT(F328)&lt;&gt;"S",VLOOKUP(LEFT(F328),★新聞!$A$4:$B$12,2,FALSE),VLOOKUP("X",★新聞!$A$4:$B$12,2,FALSE)))</f>
        <v>4</v>
      </c>
      <c r="AP328" s="460" t="str">
        <f t="shared" ca="1" si="45"/>
        <v>0</v>
      </c>
      <c r="AQ328" s="460" t="str">
        <f>IF(申込書!$C$38="","",申込書!$C$38)</f>
        <v/>
      </c>
    </row>
    <row r="329" spans="1:43">
      <c r="A329" s="463">
        <f t="shared" si="46"/>
        <v>328</v>
      </c>
      <c r="B329" s="463" t="str">
        <f t="shared" si="47"/>
        <v>東部</v>
      </c>
      <c r="C329" s="464" t="s">
        <v>1017</v>
      </c>
      <c r="D329" s="464" t="s">
        <v>1602</v>
      </c>
      <c r="E329" s="464">
        <f>VLOOKUP(D329,★折込地区!$A$2:$D$10,4,FALSE)</f>
        <v>2</v>
      </c>
      <c r="F329" s="464" t="s">
        <v>457</v>
      </c>
      <c r="G329" s="464" t="str">
        <f>INDEX(★新聞!$E$4:$I$12, MATCH(LEFT(F329),★新聞!$A$4:$A$12,0), MATCH(LEFT(W329),★新聞!$E$3:$I$3,0))</f>
        <v>AG</v>
      </c>
      <c r="H329" s="475" t="s">
        <v>1107</v>
      </c>
      <c r="I329" s="464" cm="1">
        <f t="array" ref="I329">IFERROR(INDEX(★原価率!$A$2:$E$50,MATCH($C329&amp;$H329,★原価率!$A$2:$A$50&amp;★原価率!$B$2:$B$50,0),3),0)</f>
        <v>82</v>
      </c>
      <c r="J329" s="464" cm="1">
        <f t="array" ref="J329">IFERROR(INDEX(★原価率!$A$2:$E$50,MATCH($C329&amp;$H329,★原価率!$A$2:$A$50&amp;★原価率!$B$2:$B$50,0),4),0)</f>
        <v>82</v>
      </c>
      <c r="K329" s="464" cm="1">
        <f t="array" ref="K329">IFERROR(INDEX(★原価率!$A$2:$E$50,MATCH($C329&amp;$H329,★原価率!$A$2:$A$50&amp;★原価率!$B$2:$B$50,0),5),0)</f>
        <v>100</v>
      </c>
      <c r="L329" s="528">
        <f>IFERROR(VLOOKUP(W329,★商品!$A$1:$H$1231,8,FALSE),0)</f>
        <v>2.8</v>
      </c>
      <c r="M329" s="203" t="str">
        <f ca="1">CONCATENATE(VLOOKUP(B329,★営業所!$A$2:$B$5,2,FALSE),TEXT(NOW(),"yyyy"))</f>
        <v>T2023</v>
      </c>
      <c r="N329" s="203">
        <v>1</v>
      </c>
      <c r="O329" s="203">
        <v>0</v>
      </c>
      <c r="P329" s="213">
        <f>申込書!$B$6</f>
        <v>0</v>
      </c>
      <c r="Q329" s="203">
        <f>申込書!$C$34</f>
        <v>1000040</v>
      </c>
      <c r="R329" s="203">
        <v>0</v>
      </c>
      <c r="U329" s="203">
        <f>VLOOKUP(B329,★営業所!$A$2:$C$5,3,FALSE)</f>
        <v>8</v>
      </c>
      <c r="V329" s="203">
        <f>申込書!$B$9</f>
        <v>0</v>
      </c>
      <c r="W329" s="203" t="str">
        <f>CONCATENATE(VLOOKUP(B329,★営業所!$A$2:$B$5,2,FALSE),VLOOKUP(申込書!$C$32,★サイズ表記!$D$4:$E$55,2,FALSE),VLOOKUP(D329,★折込地区!$A$2:$B$11,2,FALSE))</f>
        <v>T1001Kry</v>
      </c>
      <c r="X329" s="203" t="str">
        <f>CONCATENATE(申込書!$B$9," ",VLOOKUP(RIGHT(W329,3),★折込地区!$B$2:$C$10,2,FALSE),"")</f>
        <v xml:space="preserve"> 倉吉</v>
      </c>
      <c r="Z329" s="206">
        <f t="shared" ca="1" si="40"/>
        <v>0</v>
      </c>
      <c r="AB329" s="383">
        <f t="shared" si="41"/>
        <v>2.8</v>
      </c>
      <c r="AC329" s="203" t="str">
        <f t="shared" si="42"/>
        <v>M1001</v>
      </c>
      <c r="AD329" s="203" t="str">
        <f>VLOOKUP(AC329,★原価商品!$E$6:$F$349,2,FALSE)</f>
        <v>毎日/B4（折り無し）</v>
      </c>
      <c r="AE329" s="203">
        <f t="shared" ca="1" si="43"/>
        <v>0</v>
      </c>
      <c r="AF329" s="383">
        <f ca="1">IFERROR(IF(VLOOKUP(申込書!$C$32,★サイズ表記!$F$4:$H$55,3,FALSE)="切り捨て",ROUNDDOWN(L329*IF(AK329="◎",I329,J329)/100,2),IF(VLOOKUP(申込書!$C$32,★サイズ表記!$F$4:$H$55,3,FALSE)="切り上げ",ROUNDUP(L329*IF(AK329="◎",I329,J329)/100,2),ROUND(L329*IF(AK329="◎",I329,J329)/100,2))),0)</f>
        <v>2.29</v>
      </c>
      <c r="AG329" s="203">
        <f t="shared" ca="1" si="44"/>
        <v>10303</v>
      </c>
      <c r="AJ329" s="460" t="str">
        <f>IFERROR(VLOOKUP(申込書!$C$30,★業種!$D$2:$E$87,2,FALSE),"")</f>
        <v>1003</v>
      </c>
      <c r="AK329" s="460" t="str">
        <f ca="1">IF(申込書!$C$36="◎",IF(OR(D329="浜坂・温泉",D329="美方・村岡",D329="香住",D329="岡山",D329="大阪"),"",IF(LEFT(F329)="D","◎",IF(AG329=0,"",IFERROR(IF(VLOOKUP(AG329,★仕入先!$A$2:$C$211,3,FALSE)=0,"","◎"),"")))),"")</f>
        <v/>
      </c>
      <c r="AL329" s="460">
        <f>申込書!$H$14</f>
        <v>0</v>
      </c>
      <c r="AM329" s="460" t="str">
        <f>申込書!$C$32</f>
        <v>B4（折り無し）</v>
      </c>
      <c r="AN329" s="460" t="str">
        <f>VLOOKUP(AM329,★サイズ表記!$D$4:$E$55,2,FALSE)</f>
        <v>1001</v>
      </c>
      <c r="AO329" s="460">
        <f>IF(C329&lt;&gt;"⑧兵庫",VLOOKUP(LEFT(F329),★新聞!$A$4:$B$12,2,FALSE),IF(LEFT(F329)&lt;&gt;"S",VLOOKUP(LEFT(F329),★新聞!$A$4:$B$12,2,FALSE),VLOOKUP("X",★新聞!$A$4:$B$12,2,FALSE)))</f>
        <v>4</v>
      </c>
      <c r="AP329" s="460" t="str">
        <f t="shared" ca="1" si="45"/>
        <v>0</v>
      </c>
      <c r="AQ329" s="460" t="str">
        <f>IF(申込書!$C$38="","",申込書!$C$38)</f>
        <v/>
      </c>
    </row>
    <row r="330" spans="1:43">
      <c r="A330" s="463">
        <f t="shared" si="46"/>
        <v>329</v>
      </c>
      <c r="B330" s="463" t="str">
        <f t="shared" si="47"/>
        <v>東部</v>
      </c>
      <c r="C330" s="464" t="s">
        <v>1017</v>
      </c>
      <c r="D330" s="464" t="s">
        <v>1602</v>
      </c>
      <c r="E330" s="464">
        <f>VLOOKUP(D330,★折込地区!$A$2:$D$10,4,FALSE)</f>
        <v>2</v>
      </c>
      <c r="F330" s="464" t="s">
        <v>458</v>
      </c>
      <c r="G330" s="464" t="str">
        <f>INDEX(★新聞!$E$4:$I$12, MATCH(LEFT(F330),★新聞!$A$4:$A$12,0), MATCH(LEFT(W330),★新聞!$E$3:$I$3,0))</f>
        <v>AG</v>
      </c>
      <c r="H330" s="475" t="s">
        <v>1107</v>
      </c>
      <c r="I330" s="464" cm="1">
        <f t="array" ref="I330">IFERROR(INDEX(★原価率!$A$2:$E$50,MATCH($C330&amp;$H330,★原価率!$A$2:$A$50&amp;★原価率!$B$2:$B$50,0),3),0)</f>
        <v>82</v>
      </c>
      <c r="J330" s="464" cm="1">
        <f t="array" ref="J330">IFERROR(INDEX(★原価率!$A$2:$E$50,MATCH($C330&amp;$H330,★原価率!$A$2:$A$50&amp;★原価率!$B$2:$B$50,0),4),0)</f>
        <v>82</v>
      </c>
      <c r="K330" s="464" cm="1">
        <f t="array" ref="K330">IFERROR(INDEX(★原価率!$A$2:$E$50,MATCH($C330&amp;$H330,★原価率!$A$2:$A$50&amp;★原価率!$B$2:$B$50,0),5),0)</f>
        <v>100</v>
      </c>
      <c r="L330" s="528">
        <f>IFERROR(VLOOKUP(W330,★商品!$A$1:$H$1231,8,FALSE),0)</f>
        <v>2.8</v>
      </c>
      <c r="M330" s="203" t="str">
        <f ca="1">CONCATENATE(VLOOKUP(B330,★営業所!$A$2:$B$5,2,FALSE),TEXT(NOW(),"yyyy"))</f>
        <v>T2023</v>
      </c>
      <c r="N330" s="203">
        <v>1</v>
      </c>
      <c r="O330" s="203">
        <v>0</v>
      </c>
      <c r="P330" s="213">
        <f>申込書!$B$6</f>
        <v>0</v>
      </c>
      <c r="Q330" s="203">
        <f>申込書!$C$34</f>
        <v>1000040</v>
      </c>
      <c r="R330" s="203">
        <v>0</v>
      </c>
      <c r="U330" s="203">
        <f>VLOOKUP(B330,★営業所!$A$2:$C$5,3,FALSE)</f>
        <v>8</v>
      </c>
      <c r="V330" s="203">
        <f>申込書!$B$9</f>
        <v>0</v>
      </c>
      <c r="W330" s="203" t="str">
        <f>CONCATENATE(VLOOKUP(B330,★営業所!$A$2:$B$5,2,FALSE),VLOOKUP(申込書!$C$32,★サイズ表記!$D$4:$E$55,2,FALSE),VLOOKUP(D330,★折込地区!$A$2:$B$11,2,FALSE))</f>
        <v>T1001Kry</v>
      </c>
      <c r="X330" s="203" t="str">
        <f>CONCATENATE(申込書!$B$9," ",VLOOKUP(RIGHT(W330,3),★折込地区!$B$2:$C$10,2,FALSE),"")</f>
        <v xml:space="preserve"> 倉吉</v>
      </c>
      <c r="Z330" s="206">
        <f t="shared" ca="1" si="40"/>
        <v>0</v>
      </c>
      <c r="AB330" s="383">
        <f t="shared" si="41"/>
        <v>2.8</v>
      </c>
      <c r="AC330" s="203" t="str">
        <f t="shared" si="42"/>
        <v>M1001</v>
      </c>
      <c r="AD330" s="203" t="str">
        <f>VLOOKUP(AC330,★原価商品!$E$6:$F$349,2,FALSE)</f>
        <v>毎日/B4（折り無し）</v>
      </c>
      <c r="AE330" s="203">
        <f t="shared" ca="1" si="43"/>
        <v>0</v>
      </c>
      <c r="AF330" s="383">
        <f ca="1">IFERROR(IF(VLOOKUP(申込書!$C$32,★サイズ表記!$F$4:$H$55,3,FALSE)="切り捨て",ROUNDDOWN(L330*IF(AK330="◎",I330,J330)/100,2),IF(VLOOKUP(申込書!$C$32,★サイズ表記!$F$4:$H$55,3,FALSE)="切り上げ",ROUNDUP(L330*IF(AK330="◎",I330,J330)/100,2),ROUND(L330*IF(AK330="◎",I330,J330)/100,2))),0)</f>
        <v>2.29</v>
      </c>
      <c r="AG330" s="203">
        <f t="shared" ca="1" si="44"/>
        <v>0</v>
      </c>
      <c r="AJ330" s="460" t="str">
        <f>IFERROR(VLOOKUP(申込書!$C$30,★業種!$D$2:$E$87,2,FALSE),"")</f>
        <v>1003</v>
      </c>
      <c r="AK330" s="460" t="str">
        <f ca="1">IF(申込書!$C$36="◎",IF(OR(D330="浜坂・温泉",D330="美方・村岡",D330="香住",D330="岡山",D330="大阪"),"",IF(LEFT(F330)="D","◎",IF(AG330=0,"",IFERROR(IF(VLOOKUP(AG330,★仕入先!$A$2:$C$211,3,FALSE)=0,"","◎"),"")))),"")</f>
        <v/>
      </c>
      <c r="AL330" s="460">
        <f>申込書!$H$14</f>
        <v>0</v>
      </c>
      <c r="AM330" s="460" t="str">
        <f>申込書!$C$32</f>
        <v>B4（折り無し）</v>
      </c>
      <c r="AN330" s="460" t="str">
        <f>VLOOKUP(AM330,★サイズ表記!$D$4:$E$55,2,FALSE)</f>
        <v>1001</v>
      </c>
      <c r="AO330" s="460">
        <f>IF(C330&lt;&gt;"⑧兵庫",VLOOKUP(LEFT(F330),★新聞!$A$4:$B$12,2,FALSE),IF(LEFT(F330)&lt;&gt;"S",VLOOKUP(LEFT(F330),★新聞!$A$4:$B$12,2,FALSE),VLOOKUP("X",★新聞!$A$4:$B$12,2,FALSE)))</f>
        <v>4</v>
      </c>
      <c r="AP330" s="460" t="str">
        <f t="shared" ca="1" si="45"/>
        <v>0</v>
      </c>
      <c r="AQ330" s="460" t="str">
        <f>IF(申込書!$C$38="","",申込書!$C$38)</f>
        <v/>
      </c>
    </row>
    <row r="331" spans="1:43">
      <c r="A331" s="463">
        <f t="shared" si="46"/>
        <v>330</v>
      </c>
      <c r="B331" s="463" t="str">
        <f t="shared" si="47"/>
        <v>東部</v>
      </c>
      <c r="C331" s="464" t="s">
        <v>1017</v>
      </c>
      <c r="D331" s="464" t="s">
        <v>1602</v>
      </c>
      <c r="E331" s="464">
        <f>VLOOKUP(D331,★折込地区!$A$2:$D$10,4,FALSE)</f>
        <v>2</v>
      </c>
      <c r="F331" s="464" t="s">
        <v>459</v>
      </c>
      <c r="G331" s="464" t="str">
        <f>INDEX(★新聞!$E$4:$I$12, MATCH(LEFT(F331),★新聞!$A$4:$A$12,0), MATCH(LEFT(W331),★新聞!$E$3:$I$3,0))</f>
        <v>AG</v>
      </c>
      <c r="H331" s="555" t="s">
        <v>1105</v>
      </c>
      <c r="I331" s="464" cm="1">
        <f t="array" ref="I331">IFERROR(INDEX(★原価率!$A$2:$E$50,MATCH($C331&amp;$H331,★原価率!$A$2:$A$50&amp;★原価率!$B$2:$B$50,0),3),0)</f>
        <v>78</v>
      </c>
      <c r="J331" s="464" cm="1">
        <f t="array" ref="J331">IFERROR(INDEX(★原価率!$A$2:$E$50,MATCH($C331&amp;$H331,★原価率!$A$2:$A$50&amp;★原価率!$B$2:$B$50,0),4),0)</f>
        <v>82</v>
      </c>
      <c r="K331" s="464" cm="1">
        <f t="array" ref="K331">IFERROR(INDEX(★原価率!$A$2:$E$50,MATCH($C331&amp;$H331,★原価率!$A$2:$A$50&amp;★原価率!$B$2:$B$50,0),5),0)</f>
        <v>100</v>
      </c>
      <c r="L331" s="528">
        <f>IFERROR(VLOOKUP(W331,★商品!$A$1:$H$1231,8,FALSE),0)</f>
        <v>2.8</v>
      </c>
      <c r="M331" s="203" t="str">
        <f ca="1">CONCATENATE(VLOOKUP(B331,★営業所!$A$2:$B$5,2,FALSE),TEXT(NOW(),"yyyy"))</f>
        <v>T2023</v>
      </c>
      <c r="N331" s="203">
        <v>1</v>
      </c>
      <c r="O331" s="203">
        <v>0</v>
      </c>
      <c r="P331" s="213">
        <f>申込書!$B$6</f>
        <v>0</v>
      </c>
      <c r="Q331" s="203">
        <f>申込書!$C$34</f>
        <v>1000040</v>
      </c>
      <c r="R331" s="203">
        <v>0</v>
      </c>
      <c r="U331" s="203">
        <f>VLOOKUP(B331,★営業所!$A$2:$C$5,3,FALSE)</f>
        <v>8</v>
      </c>
      <c r="V331" s="203">
        <f>申込書!$B$9</f>
        <v>0</v>
      </c>
      <c r="W331" s="203" t="str">
        <f>CONCATENATE(VLOOKUP(B331,★営業所!$A$2:$B$5,2,FALSE),VLOOKUP(申込書!$C$32,★サイズ表記!$D$4:$E$55,2,FALSE),VLOOKUP(D331,★折込地区!$A$2:$B$11,2,FALSE))</f>
        <v>T1001Kry</v>
      </c>
      <c r="X331" s="203" t="str">
        <f>CONCATENATE(申込書!$B$9," ",VLOOKUP(RIGHT(W331,3),★折込地区!$B$2:$C$10,2,FALSE),"")</f>
        <v xml:space="preserve"> 倉吉</v>
      </c>
      <c r="Z331" s="206">
        <f t="shared" ca="1" si="40"/>
        <v>0</v>
      </c>
      <c r="AB331" s="383">
        <f t="shared" si="41"/>
        <v>2.8</v>
      </c>
      <c r="AC331" s="203" t="str">
        <f t="shared" si="42"/>
        <v>M1001</v>
      </c>
      <c r="AD331" s="203" t="str">
        <f>VLOOKUP(AC331,★原価商品!$E$6:$F$349,2,FALSE)</f>
        <v>毎日/B4（折り無し）</v>
      </c>
      <c r="AE331" s="203">
        <f t="shared" ca="1" si="43"/>
        <v>0</v>
      </c>
      <c r="AF331" s="383">
        <f ca="1">IFERROR(IF(VLOOKUP(申込書!$C$32,★サイズ表記!$F$4:$H$55,3,FALSE)="切り捨て",ROUNDDOWN(L331*IF(AK331="◎",I331,J331)/100,2),IF(VLOOKUP(申込書!$C$32,★サイズ表記!$F$4:$H$55,3,FALSE)="切り上げ",ROUNDUP(L331*IF(AK331="◎",I331,J331)/100,2),ROUND(L331*IF(AK331="◎",I331,J331)/100,2))),0)</f>
        <v>2.29</v>
      </c>
      <c r="AG331" s="203">
        <f t="shared" ca="1" si="44"/>
        <v>10303</v>
      </c>
      <c r="AJ331" s="460" t="str">
        <f>IFERROR(VLOOKUP(申込書!$C$30,★業種!$D$2:$E$87,2,FALSE),"")</f>
        <v>1003</v>
      </c>
      <c r="AK331" s="460" t="str">
        <f ca="1">IF(申込書!$C$36="◎",IF(OR(D331="浜坂・温泉",D331="美方・村岡",D331="香住",D331="岡山",D331="大阪"),"",IF(LEFT(F331)="D","◎",IF(AG331=0,"",IFERROR(IF(VLOOKUP(AG331,★仕入先!$A$2:$C$211,3,FALSE)=0,"","◎"),"")))),"")</f>
        <v/>
      </c>
      <c r="AL331" s="460">
        <f>申込書!$H$14</f>
        <v>0</v>
      </c>
      <c r="AM331" s="460" t="str">
        <f>申込書!$C$32</f>
        <v>B4（折り無し）</v>
      </c>
      <c r="AN331" s="460" t="str">
        <f>VLOOKUP(AM331,★サイズ表記!$D$4:$E$55,2,FALSE)</f>
        <v>1001</v>
      </c>
      <c r="AO331" s="460">
        <f>IF(C331&lt;&gt;"⑧兵庫",VLOOKUP(LEFT(F331),★新聞!$A$4:$B$12,2,FALSE),IF(LEFT(F331)&lt;&gt;"S",VLOOKUP(LEFT(F331),★新聞!$A$4:$B$12,2,FALSE),VLOOKUP("X",★新聞!$A$4:$B$12,2,FALSE)))</f>
        <v>4</v>
      </c>
      <c r="AP331" s="460" t="str">
        <f t="shared" ca="1" si="45"/>
        <v>0</v>
      </c>
      <c r="AQ331" s="460" t="str">
        <f>IF(申込書!$C$38="","",申込書!$C$38)</f>
        <v/>
      </c>
    </row>
    <row r="332" spans="1:43">
      <c r="A332" s="463">
        <f t="shared" si="46"/>
        <v>331</v>
      </c>
      <c r="B332" s="463" t="str">
        <f t="shared" si="47"/>
        <v>東部</v>
      </c>
      <c r="C332" s="464" t="s">
        <v>1017</v>
      </c>
      <c r="D332" s="464" t="s">
        <v>1602</v>
      </c>
      <c r="E332" s="464">
        <f>VLOOKUP(D332,★折込地区!$A$2:$D$10,4,FALSE)</f>
        <v>2</v>
      </c>
      <c r="F332" s="464" t="s">
        <v>460</v>
      </c>
      <c r="G332" s="464" t="str">
        <f>INDEX(★新聞!$E$4:$I$12, MATCH(LEFT(F332),★新聞!$A$4:$A$12,0), MATCH(LEFT(W332),★新聞!$E$3:$I$3,0))</f>
        <v>AG</v>
      </c>
      <c r="H332" s="475" t="s">
        <v>1107</v>
      </c>
      <c r="I332" s="464" cm="1">
        <f t="array" ref="I332">IFERROR(INDEX(★原価率!$A$2:$E$50,MATCH($C332&amp;$H332,★原価率!$A$2:$A$50&amp;★原価率!$B$2:$B$50,0),3),0)</f>
        <v>82</v>
      </c>
      <c r="J332" s="464" cm="1">
        <f t="array" ref="J332">IFERROR(INDEX(★原価率!$A$2:$E$50,MATCH($C332&amp;$H332,★原価率!$A$2:$A$50&amp;★原価率!$B$2:$B$50,0),4),0)</f>
        <v>82</v>
      </c>
      <c r="K332" s="464" cm="1">
        <f t="array" ref="K332">IFERROR(INDEX(★原価率!$A$2:$E$50,MATCH($C332&amp;$H332,★原価率!$A$2:$A$50&amp;★原価率!$B$2:$B$50,0),5),0)</f>
        <v>100</v>
      </c>
      <c r="L332" s="528">
        <f>IFERROR(VLOOKUP(W332,★商品!$A$1:$H$1231,8,FALSE),0)</f>
        <v>2.8</v>
      </c>
      <c r="M332" s="203" t="str">
        <f ca="1">CONCATENATE(VLOOKUP(B332,★営業所!$A$2:$B$5,2,FALSE),TEXT(NOW(),"yyyy"))</f>
        <v>T2023</v>
      </c>
      <c r="N332" s="203">
        <v>1</v>
      </c>
      <c r="O332" s="203">
        <v>0</v>
      </c>
      <c r="P332" s="213">
        <f>申込書!$B$6</f>
        <v>0</v>
      </c>
      <c r="Q332" s="203">
        <f>申込書!$C$34</f>
        <v>1000040</v>
      </c>
      <c r="R332" s="203">
        <v>0</v>
      </c>
      <c r="U332" s="203">
        <f>VLOOKUP(B332,★営業所!$A$2:$C$5,3,FALSE)</f>
        <v>8</v>
      </c>
      <c r="V332" s="203">
        <f>申込書!$B$9</f>
        <v>0</v>
      </c>
      <c r="W332" s="203" t="str">
        <f>CONCATENATE(VLOOKUP(B332,★営業所!$A$2:$B$5,2,FALSE),VLOOKUP(申込書!$C$32,★サイズ表記!$D$4:$E$55,2,FALSE),VLOOKUP(D332,★折込地区!$A$2:$B$11,2,FALSE))</f>
        <v>T1001Kry</v>
      </c>
      <c r="X332" s="203" t="str">
        <f>CONCATENATE(申込書!$B$9," ",VLOOKUP(RIGHT(W332,3),★折込地区!$B$2:$C$10,2,FALSE),"")</f>
        <v xml:space="preserve"> 倉吉</v>
      </c>
      <c r="Z332" s="206">
        <f t="shared" ca="1" si="40"/>
        <v>0</v>
      </c>
      <c r="AB332" s="383">
        <f t="shared" si="41"/>
        <v>2.8</v>
      </c>
      <c r="AC332" s="203" t="str">
        <f t="shared" si="42"/>
        <v>M1001</v>
      </c>
      <c r="AD332" s="203" t="str">
        <f>VLOOKUP(AC332,★原価商品!$E$6:$F$349,2,FALSE)</f>
        <v>毎日/B4（折り無し）</v>
      </c>
      <c r="AE332" s="203">
        <f t="shared" ca="1" si="43"/>
        <v>0</v>
      </c>
      <c r="AF332" s="383">
        <f ca="1">IFERROR(IF(VLOOKUP(申込書!$C$32,★サイズ表記!$F$4:$H$55,3,FALSE)="切り捨て",ROUNDDOWN(L332*IF(AK332="◎",I332,J332)/100,2),IF(VLOOKUP(申込書!$C$32,★サイズ表記!$F$4:$H$55,3,FALSE)="切り上げ",ROUNDUP(L332*IF(AK332="◎",I332,J332)/100,2),ROUND(L332*IF(AK332="◎",I332,J332)/100,2))),0)</f>
        <v>2.29</v>
      </c>
      <c r="AG332" s="203">
        <f t="shared" ca="1" si="44"/>
        <v>10303</v>
      </c>
      <c r="AJ332" s="460" t="str">
        <f>IFERROR(VLOOKUP(申込書!$C$30,★業種!$D$2:$E$87,2,FALSE),"")</f>
        <v>1003</v>
      </c>
      <c r="AK332" s="460" t="str">
        <f ca="1">IF(申込書!$C$36="◎",IF(OR(D332="浜坂・温泉",D332="美方・村岡",D332="香住",D332="岡山",D332="大阪"),"",IF(LEFT(F332)="D","◎",IF(AG332=0,"",IFERROR(IF(VLOOKUP(AG332,★仕入先!$A$2:$C$211,3,FALSE)=0,"","◎"),"")))),"")</f>
        <v/>
      </c>
      <c r="AL332" s="460">
        <f>申込書!$H$14</f>
        <v>0</v>
      </c>
      <c r="AM332" s="460" t="str">
        <f>申込書!$C$32</f>
        <v>B4（折り無し）</v>
      </c>
      <c r="AN332" s="460" t="str">
        <f>VLOOKUP(AM332,★サイズ表記!$D$4:$E$55,2,FALSE)</f>
        <v>1001</v>
      </c>
      <c r="AO332" s="460">
        <f>IF(C332&lt;&gt;"⑧兵庫",VLOOKUP(LEFT(F332),★新聞!$A$4:$B$12,2,FALSE),IF(LEFT(F332)&lt;&gt;"S",VLOOKUP(LEFT(F332),★新聞!$A$4:$B$12,2,FALSE),VLOOKUP("X",★新聞!$A$4:$B$12,2,FALSE)))</f>
        <v>4</v>
      </c>
      <c r="AP332" s="460" t="str">
        <f t="shared" ca="1" si="45"/>
        <v>0</v>
      </c>
      <c r="AQ332" s="460" t="str">
        <f>IF(申込書!$C$38="","",申込書!$C$38)</f>
        <v/>
      </c>
    </row>
    <row r="333" spans="1:43">
      <c r="A333" s="463">
        <f t="shared" si="46"/>
        <v>332</v>
      </c>
      <c r="B333" s="463" t="str">
        <f t="shared" si="47"/>
        <v>東部</v>
      </c>
      <c r="C333" s="464" t="s">
        <v>1017</v>
      </c>
      <c r="D333" s="464" t="s">
        <v>1602</v>
      </c>
      <c r="E333" s="464">
        <f>VLOOKUP(D333,★折込地区!$A$2:$D$10,4,FALSE)</f>
        <v>2</v>
      </c>
      <c r="F333" s="464" t="s">
        <v>461</v>
      </c>
      <c r="G333" s="464" t="str">
        <f>INDEX(★新聞!$E$4:$I$12, MATCH(LEFT(F333),★新聞!$A$4:$A$12,0), MATCH(LEFT(W333),★新聞!$E$3:$I$3,0))</f>
        <v>AG</v>
      </c>
      <c r="H333" s="475" t="s">
        <v>1107</v>
      </c>
      <c r="I333" s="464" cm="1">
        <f t="array" ref="I333">IFERROR(INDEX(★原価率!$A$2:$E$50,MATCH($C333&amp;$H333,★原価率!$A$2:$A$50&amp;★原価率!$B$2:$B$50,0),3),0)</f>
        <v>82</v>
      </c>
      <c r="J333" s="464" cm="1">
        <f t="array" ref="J333">IFERROR(INDEX(★原価率!$A$2:$E$50,MATCH($C333&amp;$H333,★原価率!$A$2:$A$50&amp;★原価率!$B$2:$B$50,0),4),0)</f>
        <v>82</v>
      </c>
      <c r="K333" s="464" cm="1">
        <f t="array" ref="K333">IFERROR(INDEX(★原価率!$A$2:$E$50,MATCH($C333&amp;$H333,★原価率!$A$2:$A$50&amp;★原価率!$B$2:$B$50,0),5),0)</f>
        <v>100</v>
      </c>
      <c r="L333" s="528">
        <f>IFERROR(VLOOKUP(W333,★商品!$A$1:$H$1231,8,FALSE),0)</f>
        <v>2.8</v>
      </c>
      <c r="M333" s="203" t="str">
        <f ca="1">CONCATENATE(VLOOKUP(B333,★営業所!$A$2:$B$5,2,FALSE),TEXT(NOW(),"yyyy"))</f>
        <v>T2023</v>
      </c>
      <c r="N333" s="203">
        <v>1</v>
      </c>
      <c r="O333" s="203">
        <v>0</v>
      </c>
      <c r="P333" s="213">
        <f>申込書!$B$6</f>
        <v>0</v>
      </c>
      <c r="Q333" s="203">
        <f>申込書!$C$34</f>
        <v>1000040</v>
      </c>
      <c r="R333" s="203">
        <v>0</v>
      </c>
      <c r="U333" s="203">
        <f>VLOOKUP(B333,★営業所!$A$2:$C$5,3,FALSE)</f>
        <v>8</v>
      </c>
      <c r="V333" s="203">
        <f>申込書!$B$9</f>
        <v>0</v>
      </c>
      <c r="W333" s="203" t="str">
        <f>CONCATENATE(VLOOKUP(B333,★営業所!$A$2:$B$5,2,FALSE),VLOOKUP(申込書!$C$32,★サイズ表記!$D$4:$E$55,2,FALSE),VLOOKUP(D333,★折込地区!$A$2:$B$11,2,FALSE))</f>
        <v>T1001Kry</v>
      </c>
      <c r="X333" s="203" t="str">
        <f>CONCATENATE(申込書!$B$9," ",VLOOKUP(RIGHT(W333,3),★折込地区!$B$2:$C$10,2,FALSE),"")</f>
        <v xml:space="preserve"> 倉吉</v>
      </c>
      <c r="Z333" s="206">
        <f t="shared" ca="1" si="40"/>
        <v>0</v>
      </c>
      <c r="AB333" s="383">
        <f t="shared" si="41"/>
        <v>2.8</v>
      </c>
      <c r="AC333" s="203" t="str">
        <f t="shared" si="42"/>
        <v>M1001</v>
      </c>
      <c r="AD333" s="203" t="str">
        <f>VLOOKUP(AC333,★原価商品!$E$6:$F$349,2,FALSE)</f>
        <v>毎日/B4（折り無し）</v>
      </c>
      <c r="AE333" s="203">
        <f t="shared" ca="1" si="43"/>
        <v>0</v>
      </c>
      <c r="AF333" s="383">
        <f ca="1">IFERROR(IF(VLOOKUP(申込書!$C$32,★サイズ表記!$F$4:$H$55,3,FALSE)="切り捨て",ROUNDDOWN(L333*IF(AK333="◎",I333,J333)/100,2),IF(VLOOKUP(申込書!$C$32,★サイズ表記!$F$4:$H$55,3,FALSE)="切り上げ",ROUNDUP(L333*IF(AK333="◎",I333,J333)/100,2),ROUND(L333*IF(AK333="◎",I333,J333)/100,2))),0)</f>
        <v>2.29</v>
      </c>
      <c r="AG333" s="203">
        <f t="shared" ca="1" si="44"/>
        <v>10303</v>
      </c>
      <c r="AJ333" s="460" t="str">
        <f>IFERROR(VLOOKUP(申込書!$C$30,★業種!$D$2:$E$87,2,FALSE),"")</f>
        <v>1003</v>
      </c>
      <c r="AK333" s="460" t="str">
        <f ca="1">IF(申込書!$C$36="◎",IF(OR(D333="浜坂・温泉",D333="美方・村岡",D333="香住",D333="岡山",D333="大阪"),"",IF(LEFT(F333)="D","◎",IF(AG333=0,"",IFERROR(IF(VLOOKUP(AG333,★仕入先!$A$2:$C$211,3,FALSE)=0,"","◎"),"")))),"")</f>
        <v/>
      </c>
      <c r="AL333" s="460">
        <f>申込書!$H$14</f>
        <v>0</v>
      </c>
      <c r="AM333" s="460" t="str">
        <f>申込書!$C$32</f>
        <v>B4（折り無し）</v>
      </c>
      <c r="AN333" s="460" t="str">
        <f>VLOOKUP(AM333,★サイズ表記!$D$4:$E$55,2,FALSE)</f>
        <v>1001</v>
      </c>
      <c r="AO333" s="460">
        <f>IF(C333&lt;&gt;"⑧兵庫",VLOOKUP(LEFT(F333),★新聞!$A$4:$B$12,2,FALSE),IF(LEFT(F333)&lt;&gt;"S",VLOOKUP(LEFT(F333),★新聞!$A$4:$B$12,2,FALSE),VLOOKUP("X",★新聞!$A$4:$B$12,2,FALSE)))</f>
        <v>4</v>
      </c>
      <c r="AP333" s="460" t="str">
        <f t="shared" ca="1" si="45"/>
        <v>0</v>
      </c>
      <c r="AQ333" s="460" t="str">
        <f>IF(申込書!$C$38="","",申込書!$C$38)</f>
        <v/>
      </c>
    </row>
    <row r="334" spans="1:43">
      <c r="A334" s="463">
        <f t="shared" si="46"/>
        <v>333</v>
      </c>
      <c r="B334" s="463" t="str">
        <f t="shared" si="47"/>
        <v>東部</v>
      </c>
      <c r="C334" s="464" t="s">
        <v>1017</v>
      </c>
      <c r="D334" s="464" t="s">
        <v>1602</v>
      </c>
      <c r="E334" s="464">
        <f>VLOOKUP(D334,★折込地区!$A$2:$D$10,4,FALSE)</f>
        <v>2</v>
      </c>
      <c r="F334" s="464" t="s">
        <v>462</v>
      </c>
      <c r="G334" s="464" t="str">
        <f>INDEX(★新聞!$E$4:$I$12, MATCH(LEFT(F334),★新聞!$A$4:$A$12,0), MATCH(LEFT(W334),★新聞!$E$3:$I$3,0))</f>
        <v>AG</v>
      </c>
      <c r="H334" s="475" t="s">
        <v>1107</v>
      </c>
      <c r="I334" s="464" cm="1">
        <f t="array" ref="I334">IFERROR(INDEX(★原価率!$A$2:$E$50,MATCH($C334&amp;$H334,★原価率!$A$2:$A$50&amp;★原価率!$B$2:$B$50,0),3),0)</f>
        <v>82</v>
      </c>
      <c r="J334" s="464" cm="1">
        <f t="array" ref="J334">IFERROR(INDEX(★原価率!$A$2:$E$50,MATCH($C334&amp;$H334,★原価率!$A$2:$A$50&amp;★原価率!$B$2:$B$50,0),4),0)</f>
        <v>82</v>
      </c>
      <c r="K334" s="464" cm="1">
        <f t="array" ref="K334">IFERROR(INDEX(★原価率!$A$2:$E$50,MATCH($C334&amp;$H334,★原価率!$A$2:$A$50&amp;★原価率!$B$2:$B$50,0),5),0)</f>
        <v>100</v>
      </c>
      <c r="L334" s="528">
        <f>IFERROR(VLOOKUP(W334,★商品!$A$1:$H$1231,8,FALSE),0)</f>
        <v>2.8</v>
      </c>
      <c r="M334" s="203" t="str">
        <f ca="1">CONCATENATE(VLOOKUP(B334,★営業所!$A$2:$B$5,2,FALSE),TEXT(NOW(),"yyyy"))</f>
        <v>T2023</v>
      </c>
      <c r="N334" s="203">
        <v>1</v>
      </c>
      <c r="O334" s="203">
        <v>0</v>
      </c>
      <c r="P334" s="213">
        <f>申込書!$B$6</f>
        <v>0</v>
      </c>
      <c r="Q334" s="203">
        <f>申込書!$C$34</f>
        <v>1000040</v>
      </c>
      <c r="R334" s="203">
        <v>0</v>
      </c>
      <c r="U334" s="203">
        <f>VLOOKUP(B334,★営業所!$A$2:$C$5,3,FALSE)</f>
        <v>8</v>
      </c>
      <c r="V334" s="203">
        <f>申込書!$B$9</f>
        <v>0</v>
      </c>
      <c r="W334" s="203" t="str">
        <f>CONCATENATE(VLOOKUP(B334,★営業所!$A$2:$B$5,2,FALSE),VLOOKUP(申込書!$C$32,★サイズ表記!$D$4:$E$55,2,FALSE),VLOOKUP(D334,★折込地区!$A$2:$B$11,2,FALSE))</f>
        <v>T1001Kry</v>
      </c>
      <c r="X334" s="203" t="str">
        <f>CONCATENATE(申込書!$B$9," ",VLOOKUP(RIGHT(W334,3),★折込地区!$B$2:$C$10,2,FALSE),"")</f>
        <v xml:space="preserve"> 倉吉</v>
      </c>
      <c r="Z334" s="206">
        <f t="shared" ca="1" si="40"/>
        <v>0</v>
      </c>
      <c r="AB334" s="383">
        <f t="shared" si="41"/>
        <v>2.8</v>
      </c>
      <c r="AC334" s="203" t="str">
        <f t="shared" si="42"/>
        <v>M1001</v>
      </c>
      <c r="AD334" s="203" t="str">
        <f>VLOOKUP(AC334,★原価商品!$E$6:$F$349,2,FALSE)</f>
        <v>毎日/B4（折り無し）</v>
      </c>
      <c r="AE334" s="203">
        <f t="shared" ca="1" si="43"/>
        <v>0</v>
      </c>
      <c r="AF334" s="383">
        <f ca="1">IFERROR(IF(VLOOKUP(申込書!$C$32,★サイズ表記!$F$4:$H$55,3,FALSE)="切り捨て",ROUNDDOWN(L334*IF(AK334="◎",I334,J334)/100,2),IF(VLOOKUP(申込書!$C$32,★サイズ表記!$F$4:$H$55,3,FALSE)="切り上げ",ROUNDUP(L334*IF(AK334="◎",I334,J334)/100,2),ROUND(L334*IF(AK334="◎",I334,J334)/100,2))),0)</f>
        <v>2.29</v>
      </c>
      <c r="AG334" s="203">
        <f t="shared" ca="1" si="44"/>
        <v>10303</v>
      </c>
      <c r="AJ334" s="460" t="str">
        <f>IFERROR(VLOOKUP(申込書!$C$30,★業種!$D$2:$E$87,2,FALSE),"")</f>
        <v>1003</v>
      </c>
      <c r="AK334" s="460" t="str">
        <f ca="1">IF(申込書!$C$36="◎",IF(OR(D334="浜坂・温泉",D334="美方・村岡",D334="香住",D334="岡山",D334="大阪"),"",IF(LEFT(F334)="D","◎",IF(AG334=0,"",IFERROR(IF(VLOOKUP(AG334,★仕入先!$A$2:$C$211,3,FALSE)=0,"","◎"),"")))),"")</f>
        <v/>
      </c>
      <c r="AL334" s="460">
        <f>申込書!$H$14</f>
        <v>0</v>
      </c>
      <c r="AM334" s="460" t="str">
        <f>申込書!$C$32</f>
        <v>B4（折り無し）</v>
      </c>
      <c r="AN334" s="460" t="str">
        <f>VLOOKUP(AM334,★サイズ表記!$D$4:$E$55,2,FALSE)</f>
        <v>1001</v>
      </c>
      <c r="AO334" s="460">
        <f>IF(C334&lt;&gt;"⑧兵庫",VLOOKUP(LEFT(F334),★新聞!$A$4:$B$12,2,FALSE),IF(LEFT(F334)&lt;&gt;"S",VLOOKUP(LEFT(F334),★新聞!$A$4:$B$12,2,FALSE),VLOOKUP("X",★新聞!$A$4:$B$12,2,FALSE)))</f>
        <v>4</v>
      </c>
      <c r="AP334" s="460" t="str">
        <f t="shared" ca="1" si="45"/>
        <v>0</v>
      </c>
      <c r="AQ334" s="460" t="str">
        <f>IF(申込書!$C$38="","",申込書!$C$38)</f>
        <v/>
      </c>
    </row>
    <row r="335" spans="1:43">
      <c r="A335" s="463">
        <f t="shared" si="46"/>
        <v>334</v>
      </c>
      <c r="B335" s="463" t="str">
        <f t="shared" si="47"/>
        <v>東部</v>
      </c>
      <c r="C335" s="464" t="s">
        <v>1017</v>
      </c>
      <c r="D335" s="464" t="s">
        <v>1602</v>
      </c>
      <c r="E335" s="464">
        <f>VLOOKUP(D335,★折込地区!$A$2:$D$10,4,FALSE)</f>
        <v>2</v>
      </c>
      <c r="F335" s="464" t="s">
        <v>463</v>
      </c>
      <c r="G335" s="464" t="str">
        <f>INDEX(★新聞!$E$4:$I$12, MATCH(LEFT(F335),★新聞!$A$4:$A$12,0), MATCH(LEFT(W335),★新聞!$E$3:$I$3,0))</f>
        <v>AG</v>
      </c>
      <c r="H335" s="475" t="s">
        <v>1107</v>
      </c>
      <c r="I335" s="464" cm="1">
        <f t="array" ref="I335">IFERROR(INDEX(★原価率!$A$2:$E$50,MATCH($C335&amp;$H335,★原価率!$A$2:$A$50&amp;★原価率!$B$2:$B$50,0),3),0)</f>
        <v>82</v>
      </c>
      <c r="J335" s="464" cm="1">
        <f t="array" ref="J335">IFERROR(INDEX(★原価率!$A$2:$E$50,MATCH($C335&amp;$H335,★原価率!$A$2:$A$50&amp;★原価率!$B$2:$B$50,0),4),0)</f>
        <v>82</v>
      </c>
      <c r="K335" s="464" cm="1">
        <f t="array" ref="K335">IFERROR(INDEX(★原価率!$A$2:$E$50,MATCH($C335&amp;$H335,★原価率!$A$2:$A$50&amp;★原価率!$B$2:$B$50,0),5),0)</f>
        <v>100</v>
      </c>
      <c r="L335" s="528">
        <f>IFERROR(VLOOKUP(W335,★商品!$A$1:$H$1231,8,FALSE),0)</f>
        <v>2.8</v>
      </c>
      <c r="M335" s="203" t="str">
        <f ca="1">CONCATENATE(VLOOKUP(B335,★営業所!$A$2:$B$5,2,FALSE),TEXT(NOW(),"yyyy"))</f>
        <v>T2023</v>
      </c>
      <c r="N335" s="203">
        <v>1</v>
      </c>
      <c r="O335" s="203">
        <v>0</v>
      </c>
      <c r="P335" s="213">
        <f>申込書!$B$6</f>
        <v>0</v>
      </c>
      <c r="Q335" s="203">
        <f>申込書!$C$34</f>
        <v>1000040</v>
      </c>
      <c r="R335" s="203">
        <v>0</v>
      </c>
      <c r="U335" s="203">
        <f>VLOOKUP(B335,★営業所!$A$2:$C$5,3,FALSE)</f>
        <v>8</v>
      </c>
      <c r="V335" s="203">
        <f>申込書!$B$9</f>
        <v>0</v>
      </c>
      <c r="W335" s="203" t="str">
        <f>CONCATENATE(VLOOKUP(B335,★営業所!$A$2:$B$5,2,FALSE),VLOOKUP(申込書!$C$32,★サイズ表記!$D$4:$E$55,2,FALSE),VLOOKUP(D335,★折込地区!$A$2:$B$11,2,FALSE))</f>
        <v>T1001Kry</v>
      </c>
      <c r="X335" s="203" t="str">
        <f>CONCATENATE(申込書!$B$9," ",VLOOKUP(RIGHT(W335,3),★折込地区!$B$2:$C$10,2,FALSE),"")</f>
        <v xml:space="preserve"> 倉吉</v>
      </c>
      <c r="Z335" s="206">
        <f t="shared" ca="1" si="40"/>
        <v>0</v>
      </c>
      <c r="AB335" s="383">
        <f t="shared" si="41"/>
        <v>2.8</v>
      </c>
      <c r="AC335" s="203" t="str">
        <f t="shared" si="42"/>
        <v>M1001</v>
      </c>
      <c r="AD335" s="203" t="str">
        <f>VLOOKUP(AC335,★原価商品!$E$6:$F$349,2,FALSE)</f>
        <v>毎日/B4（折り無し）</v>
      </c>
      <c r="AE335" s="203">
        <f t="shared" ca="1" si="43"/>
        <v>0</v>
      </c>
      <c r="AF335" s="383">
        <f ca="1">IFERROR(IF(VLOOKUP(申込書!$C$32,★サイズ表記!$F$4:$H$55,3,FALSE)="切り捨て",ROUNDDOWN(L335*IF(AK335="◎",I335,J335)/100,2),IF(VLOOKUP(申込書!$C$32,★サイズ表記!$F$4:$H$55,3,FALSE)="切り上げ",ROUNDUP(L335*IF(AK335="◎",I335,J335)/100,2),ROUND(L335*IF(AK335="◎",I335,J335)/100,2))),0)</f>
        <v>2.29</v>
      </c>
      <c r="AG335" s="203">
        <f t="shared" ca="1" si="44"/>
        <v>10303</v>
      </c>
      <c r="AJ335" s="460" t="str">
        <f>IFERROR(VLOOKUP(申込書!$C$30,★業種!$D$2:$E$87,2,FALSE),"")</f>
        <v>1003</v>
      </c>
      <c r="AK335" s="460" t="str">
        <f ca="1">IF(申込書!$C$36="◎",IF(OR(D335="浜坂・温泉",D335="美方・村岡",D335="香住",D335="岡山",D335="大阪"),"",IF(LEFT(F335)="D","◎",IF(AG335=0,"",IFERROR(IF(VLOOKUP(AG335,★仕入先!$A$2:$C$211,3,FALSE)=0,"","◎"),"")))),"")</f>
        <v/>
      </c>
      <c r="AL335" s="460">
        <f>申込書!$H$14</f>
        <v>0</v>
      </c>
      <c r="AM335" s="460" t="str">
        <f>申込書!$C$32</f>
        <v>B4（折り無し）</v>
      </c>
      <c r="AN335" s="460" t="str">
        <f>VLOOKUP(AM335,★サイズ表記!$D$4:$E$55,2,FALSE)</f>
        <v>1001</v>
      </c>
      <c r="AO335" s="460">
        <f>IF(C335&lt;&gt;"⑧兵庫",VLOOKUP(LEFT(F335),★新聞!$A$4:$B$12,2,FALSE),IF(LEFT(F335)&lt;&gt;"S",VLOOKUP(LEFT(F335),★新聞!$A$4:$B$12,2,FALSE),VLOOKUP("X",★新聞!$A$4:$B$12,2,FALSE)))</f>
        <v>4</v>
      </c>
      <c r="AP335" s="460" t="str">
        <f t="shared" ca="1" si="45"/>
        <v>0</v>
      </c>
      <c r="AQ335" s="460" t="str">
        <f>IF(申込書!$C$38="","",申込書!$C$38)</f>
        <v/>
      </c>
    </row>
    <row r="336" spans="1:43">
      <c r="A336" s="463">
        <f t="shared" si="46"/>
        <v>335</v>
      </c>
      <c r="B336" s="463" t="str">
        <f t="shared" si="47"/>
        <v>東部</v>
      </c>
      <c r="C336" s="464" t="s">
        <v>1017</v>
      </c>
      <c r="D336" s="464" t="s">
        <v>1602</v>
      </c>
      <c r="E336" s="464">
        <f>VLOOKUP(D336,★折込地区!$A$2:$D$10,4,FALSE)</f>
        <v>2</v>
      </c>
      <c r="F336" s="464" t="s">
        <v>464</v>
      </c>
      <c r="G336" s="464" t="str">
        <f>INDEX(★新聞!$E$4:$I$12, MATCH(LEFT(F336),★新聞!$A$4:$A$12,0), MATCH(LEFT(W336),★新聞!$E$3:$I$3,0))</f>
        <v>AG</v>
      </c>
      <c r="H336" s="475" t="s">
        <v>1107</v>
      </c>
      <c r="I336" s="464" cm="1">
        <f t="array" ref="I336">IFERROR(INDEX(★原価率!$A$2:$E$50,MATCH($C336&amp;$H336,★原価率!$A$2:$A$50&amp;★原価率!$B$2:$B$50,0),3),0)</f>
        <v>82</v>
      </c>
      <c r="J336" s="464" cm="1">
        <f t="array" ref="J336">IFERROR(INDEX(★原価率!$A$2:$E$50,MATCH($C336&amp;$H336,★原価率!$A$2:$A$50&amp;★原価率!$B$2:$B$50,0),4),0)</f>
        <v>82</v>
      </c>
      <c r="K336" s="464" cm="1">
        <f t="array" ref="K336">IFERROR(INDEX(★原価率!$A$2:$E$50,MATCH($C336&amp;$H336,★原価率!$A$2:$A$50&amp;★原価率!$B$2:$B$50,0),5),0)</f>
        <v>100</v>
      </c>
      <c r="L336" s="528">
        <f>IFERROR(VLOOKUP(W336,★商品!$A$1:$H$1231,8,FALSE),0)</f>
        <v>2.8</v>
      </c>
      <c r="M336" s="203" t="str">
        <f ca="1">CONCATENATE(VLOOKUP(B336,★営業所!$A$2:$B$5,2,FALSE),TEXT(NOW(),"yyyy"))</f>
        <v>T2023</v>
      </c>
      <c r="N336" s="203">
        <v>1</v>
      </c>
      <c r="O336" s="203">
        <v>0</v>
      </c>
      <c r="P336" s="213">
        <f>申込書!$B$6</f>
        <v>0</v>
      </c>
      <c r="Q336" s="203">
        <f>申込書!$C$34</f>
        <v>1000040</v>
      </c>
      <c r="R336" s="203">
        <v>0</v>
      </c>
      <c r="U336" s="203">
        <f>VLOOKUP(B336,★営業所!$A$2:$C$5,3,FALSE)</f>
        <v>8</v>
      </c>
      <c r="V336" s="203">
        <f>申込書!$B$9</f>
        <v>0</v>
      </c>
      <c r="W336" s="203" t="str">
        <f>CONCATENATE(VLOOKUP(B336,★営業所!$A$2:$B$5,2,FALSE),VLOOKUP(申込書!$C$32,★サイズ表記!$D$4:$E$55,2,FALSE),VLOOKUP(D336,★折込地区!$A$2:$B$11,2,FALSE))</f>
        <v>T1001Kry</v>
      </c>
      <c r="X336" s="203" t="str">
        <f>CONCATENATE(申込書!$B$9," ",VLOOKUP(RIGHT(W336,3),★折込地区!$B$2:$C$10,2,FALSE),"")</f>
        <v xml:space="preserve"> 倉吉</v>
      </c>
      <c r="Z336" s="206">
        <f t="shared" ca="1" si="40"/>
        <v>0</v>
      </c>
      <c r="AB336" s="383">
        <f t="shared" si="41"/>
        <v>2.8</v>
      </c>
      <c r="AC336" s="203" t="str">
        <f t="shared" si="42"/>
        <v>M1001</v>
      </c>
      <c r="AD336" s="203" t="str">
        <f>VLOOKUP(AC336,★原価商品!$E$6:$F$349,2,FALSE)</f>
        <v>毎日/B4（折り無し）</v>
      </c>
      <c r="AE336" s="203">
        <f t="shared" ca="1" si="43"/>
        <v>0</v>
      </c>
      <c r="AF336" s="383">
        <f ca="1">IFERROR(IF(VLOOKUP(申込書!$C$32,★サイズ表記!$F$4:$H$55,3,FALSE)="切り捨て",ROUNDDOWN(L336*IF(AK336="◎",I336,J336)/100,2),IF(VLOOKUP(申込書!$C$32,★サイズ表記!$F$4:$H$55,3,FALSE)="切り上げ",ROUNDUP(L336*IF(AK336="◎",I336,J336)/100,2),ROUND(L336*IF(AK336="◎",I336,J336)/100,2))),0)</f>
        <v>2.29</v>
      </c>
      <c r="AG336" s="203">
        <f t="shared" ca="1" si="44"/>
        <v>10303</v>
      </c>
      <c r="AJ336" s="460" t="str">
        <f>IFERROR(VLOOKUP(申込書!$C$30,★業種!$D$2:$E$87,2,FALSE),"")</f>
        <v>1003</v>
      </c>
      <c r="AK336" s="460" t="str">
        <f ca="1">IF(申込書!$C$36="◎",IF(OR(D336="浜坂・温泉",D336="美方・村岡",D336="香住",D336="岡山",D336="大阪"),"",IF(LEFT(F336)="D","◎",IF(AG336=0,"",IFERROR(IF(VLOOKUP(AG336,★仕入先!$A$2:$C$211,3,FALSE)=0,"","◎"),"")))),"")</f>
        <v/>
      </c>
      <c r="AL336" s="460">
        <f>申込書!$H$14</f>
        <v>0</v>
      </c>
      <c r="AM336" s="460" t="str">
        <f>申込書!$C$32</f>
        <v>B4（折り無し）</v>
      </c>
      <c r="AN336" s="460" t="str">
        <f>VLOOKUP(AM336,★サイズ表記!$D$4:$E$55,2,FALSE)</f>
        <v>1001</v>
      </c>
      <c r="AO336" s="460">
        <f>IF(C336&lt;&gt;"⑧兵庫",VLOOKUP(LEFT(F336),★新聞!$A$4:$B$12,2,FALSE),IF(LEFT(F336)&lt;&gt;"S",VLOOKUP(LEFT(F336),★新聞!$A$4:$B$12,2,FALSE),VLOOKUP("X",★新聞!$A$4:$B$12,2,FALSE)))</f>
        <v>4</v>
      </c>
      <c r="AP336" s="460" t="str">
        <f t="shared" ca="1" si="45"/>
        <v>0</v>
      </c>
      <c r="AQ336" s="460" t="str">
        <f>IF(申込書!$C$38="","",申込書!$C$38)</f>
        <v/>
      </c>
    </row>
    <row r="337" spans="1:43">
      <c r="A337" s="463">
        <f t="shared" si="46"/>
        <v>336</v>
      </c>
      <c r="B337" s="463" t="str">
        <f t="shared" si="47"/>
        <v>東部</v>
      </c>
      <c r="C337" s="464" t="s">
        <v>1017</v>
      </c>
      <c r="D337" s="464" t="s">
        <v>1602</v>
      </c>
      <c r="E337" s="464">
        <f>VLOOKUP(D337,★折込地区!$A$2:$D$10,4,FALSE)</f>
        <v>2</v>
      </c>
      <c r="F337" s="464" t="s">
        <v>465</v>
      </c>
      <c r="G337" s="464" t="str">
        <f>INDEX(★新聞!$E$4:$I$12, MATCH(LEFT(F337),★新聞!$A$4:$A$12,0), MATCH(LEFT(W337),★新聞!$E$3:$I$3,0))</f>
        <v>AG</v>
      </c>
      <c r="H337" s="555" t="s">
        <v>1105</v>
      </c>
      <c r="I337" s="464" cm="1">
        <f t="array" ref="I337">IFERROR(INDEX(★原価率!$A$2:$E$50,MATCH($C337&amp;$H337,★原価率!$A$2:$A$50&amp;★原価率!$B$2:$B$50,0),3),0)</f>
        <v>78</v>
      </c>
      <c r="J337" s="464" cm="1">
        <f t="array" ref="J337">IFERROR(INDEX(★原価率!$A$2:$E$50,MATCH($C337&amp;$H337,★原価率!$A$2:$A$50&amp;★原価率!$B$2:$B$50,0),4),0)</f>
        <v>82</v>
      </c>
      <c r="K337" s="464" cm="1">
        <f t="array" ref="K337">IFERROR(INDEX(★原価率!$A$2:$E$50,MATCH($C337&amp;$H337,★原価率!$A$2:$A$50&amp;★原価率!$B$2:$B$50,0),5),0)</f>
        <v>100</v>
      </c>
      <c r="L337" s="528">
        <f>IFERROR(VLOOKUP(W337,★商品!$A$1:$H$1231,8,FALSE),0)</f>
        <v>2.8</v>
      </c>
      <c r="M337" s="203" t="str">
        <f ca="1">CONCATENATE(VLOOKUP(B337,★営業所!$A$2:$B$5,2,FALSE),TEXT(NOW(),"yyyy"))</f>
        <v>T2023</v>
      </c>
      <c r="N337" s="203">
        <v>1</v>
      </c>
      <c r="O337" s="203">
        <v>0</v>
      </c>
      <c r="P337" s="213">
        <f>申込書!$B$6</f>
        <v>0</v>
      </c>
      <c r="Q337" s="203">
        <f>申込書!$C$34</f>
        <v>1000040</v>
      </c>
      <c r="R337" s="203">
        <v>0</v>
      </c>
      <c r="U337" s="203">
        <f>VLOOKUP(B337,★営業所!$A$2:$C$5,3,FALSE)</f>
        <v>8</v>
      </c>
      <c r="V337" s="203">
        <f>申込書!$B$9</f>
        <v>0</v>
      </c>
      <c r="W337" s="203" t="str">
        <f>CONCATENATE(VLOOKUP(B337,★営業所!$A$2:$B$5,2,FALSE),VLOOKUP(申込書!$C$32,★サイズ表記!$D$4:$E$55,2,FALSE),VLOOKUP(D337,★折込地区!$A$2:$B$11,2,FALSE))</f>
        <v>T1001Kry</v>
      </c>
      <c r="X337" s="203" t="str">
        <f>CONCATENATE(申込書!$B$9," ",VLOOKUP(RIGHT(W337,3),★折込地区!$B$2:$C$10,2,FALSE),"")</f>
        <v xml:space="preserve"> 倉吉</v>
      </c>
      <c r="Z337" s="206">
        <f t="shared" ca="1" si="40"/>
        <v>0</v>
      </c>
      <c r="AB337" s="383">
        <f t="shared" si="41"/>
        <v>2.8</v>
      </c>
      <c r="AC337" s="203" t="str">
        <f t="shared" si="42"/>
        <v>M1001</v>
      </c>
      <c r="AD337" s="203" t="str">
        <f>VLOOKUP(AC337,★原価商品!$E$6:$F$349,2,FALSE)</f>
        <v>毎日/B4（折り無し）</v>
      </c>
      <c r="AE337" s="203">
        <f t="shared" ca="1" si="43"/>
        <v>0</v>
      </c>
      <c r="AF337" s="383">
        <f ca="1">IFERROR(IF(VLOOKUP(申込書!$C$32,★サイズ表記!$F$4:$H$55,3,FALSE)="切り捨て",ROUNDDOWN(L337*IF(AK337="◎",I337,J337)/100,2),IF(VLOOKUP(申込書!$C$32,★サイズ表記!$F$4:$H$55,3,FALSE)="切り上げ",ROUNDUP(L337*IF(AK337="◎",I337,J337)/100,2),ROUND(L337*IF(AK337="◎",I337,J337)/100,2))),0)</f>
        <v>2.29</v>
      </c>
      <c r="AG337" s="203">
        <f t="shared" ca="1" si="44"/>
        <v>10303</v>
      </c>
      <c r="AJ337" s="460" t="str">
        <f>IFERROR(VLOOKUP(申込書!$C$30,★業種!$D$2:$E$87,2,FALSE),"")</f>
        <v>1003</v>
      </c>
      <c r="AK337" s="460" t="str">
        <f ca="1">IF(申込書!$C$36="◎",IF(OR(D337="浜坂・温泉",D337="美方・村岡",D337="香住",D337="岡山",D337="大阪"),"",IF(LEFT(F337)="D","◎",IF(AG337=0,"",IFERROR(IF(VLOOKUP(AG337,★仕入先!$A$2:$C$211,3,FALSE)=0,"","◎"),"")))),"")</f>
        <v/>
      </c>
      <c r="AL337" s="460">
        <f>申込書!$H$14</f>
        <v>0</v>
      </c>
      <c r="AM337" s="460" t="str">
        <f>申込書!$C$32</f>
        <v>B4（折り無し）</v>
      </c>
      <c r="AN337" s="460" t="str">
        <f>VLOOKUP(AM337,★サイズ表記!$D$4:$E$55,2,FALSE)</f>
        <v>1001</v>
      </c>
      <c r="AO337" s="460">
        <f>IF(C337&lt;&gt;"⑧兵庫",VLOOKUP(LEFT(F337),★新聞!$A$4:$B$12,2,FALSE),IF(LEFT(F337)&lt;&gt;"S",VLOOKUP(LEFT(F337),★新聞!$A$4:$B$12,2,FALSE),VLOOKUP("X",★新聞!$A$4:$B$12,2,FALSE)))</f>
        <v>4</v>
      </c>
      <c r="AP337" s="460" t="str">
        <f t="shared" ca="1" si="45"/>
        <v>0</v>
      </c>
      <c r="AQ337" s="460" t="str">
        <f>IF(申込書!$C$38="","",申込書!$C$38)</f>
        <v/>
      </c>
    </row>
    <row r="338" spans="1:43">
      <c r="A338" s="463">
        <f t="shared" si="46"/>
        <v>337</v>
      </c>
      <c r="B338" s="463" t="str">
        <f t="shared" si="47"/>
        <v>東部</v>
      </c>
      <c r="C338" s="464" t="s">
        <v>1017</v>
      </c>
      <c r="D338" s="464" t="s">
        <v>1602</v>
      </c>
      <c r="E338" s="464">
        <f>VLOOKUP(D338,★折込地区!$A$2:$D$10,4,FALSE)</f>
        <v>2</v>
      </c>
      <c r="F338" s="464" t="s">
        <v>466</v>
      </c>
      <c r="G338" s="464" t="str">
        <f>INDEX(★新聞!$E$4:$I$12, MATCH(LEFT(F338),★新聞!$A$4:$A$12,0), MATCH(LEFT(W338),★新聞!$E$3:$I$3,0))</f>
        <v>AG</v>
      </c>
      <c r="H338" s="555" t="s">
        <v>1105</v>
      </c>
      <c r="I338" s="464" cm="1">
        <f t="array" ref="I338">IFERROR(INDEX(★原価率!$A$2:$E$50,MATCH($C338&amp;$H338,★原価率!$A$2:$A$50&amp;★原価率!$B$2:$B$50,0),3),0)</f>
        <v>78</v>
      </c>
      <c r="J338" s="464" cm="1">
        <f t="array" ref="J338">IFERROR(INDEX(★原価率!$A$2:$E$50,MATCH($C338&amp;$H338,★原価率!$A$2:$A$50&amp;★原価率!$B$2:$B$50,0),4),0)</f>
        <v>82</v>
      </c>
      <c r="K338" s="464" cm="1">
        <f t="array" ref="K338">IFERROR(INDEX(★原価率!$A$2:$E$50,MATCH($C338&amp;$H338,★原価率!$A$2:$A$50&amp;★原価率!$B$2:$B$50,0),5),0)</f>
        <v>100</v>
      </c>
      <c r="L338" s="528">
        <f>IFERROR(VLOOKUP(W338,★商品!$A$1:$H$1231,8,FALSE),0)</f>
        <v>2.8</v>
      </c>
      <c r="M338" s="203" t="str">
        <f ca="1">CONCATENATE(VLOOKUP(B338,★営業所!$A$2:$B$5,2,FALSE),TEXT(NOW(),"yyyy"))</f>
        <v>T2023</v>
      </c>
      <c r="N338" s="203">
        <v>1</v>
      </c>
      <c r="O338" s="203">
        <v>0</v>
      </c>
      <c r="P338" s="213">
        <f>申込書!$B$6</f>
        <v>0</v>
      </c>
      <c r="Q338" s="203">
        <f>申込書!$C$34</f>
        <v>1000040</v>
      </c>
      <c r="R338" s="203">
        <v>0</v>
      </c>
      <c r="U338" s="203">
        <f>VLOOKUP(B338,★営業所!$A$2:$C$5,3,FALSE)</f>
        <v>8</v>
      </c>
      <c r="V338" s="203">
        <f>申込書!$B$9</f>
        <v>0</v>
      </c>
      <c r="W338" s="203" t="str">
        <f>CONCATENATE(VLOOKUP(B338,★営業所!$A$2:$B$5,2,FALSE),VLOOKUP(申込書!$C$32,★サイズ表記!$D$4:$E$55,2,FALSE),VLOOKUP(D338,★折込地区!$A$2:$B$11,2,FALSE))</f>
        <v>T1001Kry</v>
      </c>
      <c r="X338" s="203" t="str">
        <f>CONCATENATE(申込書!$B$9," ",VLOOKUP(RIGHT(W338,3),★折込地区!$B$2:$C$10,2,FALSE),"")</f>
        <v xml:space="preserve"> 倉吉</v>
      </c>
      <c r="Z338" s="206">
        <f t="shared" ca="1" si="40"/>
        <v>0</v>
      </c>
      <c r="AB338" s="383">
        <f t="shared" si="41"/>
        <v>2.8</v>
      </c>
      <c r="AC338" s="203" t="str">
        <f t="shared" si="42"/>
        <v>M1001</v>
      </c>
      <c r="AD338" s="203" t="str">
        <f>VLOOKUP(AC338,★原価商品!$E$6:$F$349,2,FALSE)</f>
        <v>毎日/B4（折り無し）</v>
      </c>
      <c r="AE338" s="203">
        <f t="shared" ca="1" si="43"/>
        <v>0</v>
      </c>
      <c r="AF338" s="383">
        <f ca="1">IFERROR(IF(VLOOKUP(申込書!$C$32,★サイズ表記!$F$4:$H$55,3,FALSE)="切り捨て",ROUNDDOWN(L338*IF(AK338="◎",I338,J338)/100,2),IF(VLOOKUP(申込書!$C$32,★サイズ表記!$F$4:$H$55,3,FALSE)="切り上げ",ROUNDUP(L338*IF(AK338="◎",I338,J338)/100,2),ROUND(L338*IF(AK338="◎",I338,J338)/100,2))),0)</f>
        <v>2.29</v>
      </c>
      <c r="AG338" s="203">
        <f t="shared" ca="1" si="44"/>
        <v>10303</v>
      </c>
      <c r="AJ338" s="460" t="str">
        <f>IFERROR(VLOOKUP(申込書!$C$30,★業種!$D$2:$E$87,2,FALSE),"")</f>
        <v>1003</v>
      </c>
      <c r="AK338" s="460" t="str">
        <f ca="1">IF(申込書!$C$36="◎",IF(OR(D338="浜坂・温泉",D338="美方・村岡",D338="香住",D338="岡山",D338="大阪"),"",IF(LEFT(F338)="D","◎",IF(AG338=0,"",IFERROR(IF(VLOOKUP(AG338,★仕入先!$A$2:$C$211,3,FALSE)=0,"","◎"),"")))),"")</f>
        <v/>
      </c>
      <c r="AL338" s="460">
        <f>申込書!$H$14</f>
        <v>0</v>
      </c>
      <c r="AM338" s="460" t="str">
        <f>申込書!$C$32</f>
        <v>B4（折り無し）</v>
      </c>
      <c r="AN338" s="460" t="str">
        <f>VLOOKUP(AM338,★サイズ表記!$D$4:$E$55,2,FALSE)</f>
        <v>1001</v>
      </c>
      <c r="AO338" s="460">
        <f>IF(C338&lt;&gt;"⑧兵庫",VLOOKUP(LEFT(F338),★新聞!$A$4:$B$12,2,FALSE),IF(LEFT(F338)&lt;&gt;"S",VLOOKUP(LEFT(F338),★新聞!$A$4:$B$12,2,FALSE),VLOOKUP("X",★新聞!$A$4:$B$12,2,FALSE)))</f>
        <v>4</v>
      </c>
      <c r="AP338" s="460" t="str">
        <f t="shared" ca="1" si="45"/>
        <v>0</v>
      </c>
      <c r="AQ338" s="460" t="str">
        <f>IF(申込書!$C$38="","",申込書!$C$38)</f>
        <v/>
      </c>
    </row>
    <row r="339" spans="1:43">
      <c r="A339" s="463">
        <f t="shared" si="46"/>
        <v>338</v>
      </c>
      <c r="B339" s="463" t="str">
        <f t="shared" si="47"/>
        <v>東部</v>
      </c>
      <c r="C339" s="464" t="s">
        <v>1017</v>
      </c>
      <c r="D339" s="464" t="s">
        <v>1602</v>
      </c>
      <c r="E339" s="464">
        <f>VLOOKUP(D339,★折込地区!$A$2:$D$10,4,FALSE)</f>
        <v>2</v>
      </c>
      <c r="F339" s="464" t="s">
        <v>469</v>
      </c>
      <c r="G339" s="464" t="str">
        <f>INDEX(★新聞!$E$4:$I$12, MATCH(LEFT(F339),★新聞!$A$4:$A$12,0), MATCH(LEFT(W339),★新聞!$E$3:$I$3,0))</f>
        <v>AJ</v>
      </c>
      <c r="H339" s="475" t="s">
        <v>1104</v>
      </c>
      <c r="I339" s="464" cm="1">
        <f t="array" ref="I339">IFERROR(INDEX(★原価率!$A$2:$E$50,MATCH($C339&amp;$H339,★原価率!$A$2:$A$50&amp;★原価率!$B$2:$B$50,0),3),0)</f>
        <v>86</v>
      </c>
      <c r="J339" s="464" cm="1">
        <f t="array" ref="J339">IFERROR(INDEX(★原価率!$A$2:$E$50,MATCH($C339&amp;$H339,★原価率!$A$2:$A$50&amp;★原価率!$B$2:$B$50,0),4),0)</f>
        <v>86</v>
      </c>
      <c r="K339" s="464" cm="1">
        <f t="array" ref="K339">IFERROR(INDEX(★原価率!$A$2:$E$50,MATCH($C339&amp;$H339,★原価率!$A$2:$A$50&amp;★原価率!$B$2:$B$50,0),5),0)</f>
        <v>100</v>
      </c>
      <c r="L339" s="528">
        <f>IFERROR(VLOOKUP(W339,★商品!$A$1:$H$1231,8,FALSE),0)</f>
        <v>2.8</v>
      </c>
      <c r="M339" s="203" t="str">
        <f ca="1">CONCATENATE(VLOOKUP(B339,★営業所!$A$2:$B$5,2,FALSE),TEXT(NOW(),"yyyy"))</f>
        <v>T2023</v>
      </c>
      <c r="N339" s="203">
        <v>1</v>
      </c>
      <c r="O339" s="203">
        <v>0</v>
      </c>
      <c r="P339" s="213">
        <f>申込書!$B$6</f>
        <v>0</v>
      </c>
      <c r="Q339" s="203">
        <f>申込書!$C$34</f>
        <v>1000040</v>
      </c>
      <c r="R339" s="203">
        <v>0</v>
      </c>
      <c r="U339" s="203">
        <f>VLOOKUP(B339,★営業所!$A$2:$C$5,3,FALSE)</f>
        <v>8</v>
      </c>
      <c r="V339" s="203">
        <f>申込書!$B$9</f>
        <v>0</v>
      </c>
      <c r="W339" s="203" t="str">
        <f>CONCATENATE(VLOOKUP(B339,★営業所!$A$2:$B$5,2,FALSE),VLOOKUP(申込書!$C$32,★サイズ表記!$D$4:$E$55,2,FALSE),VLOOKUP(D339,★折込地区!$A$2:$B$11,2,FALSE))</f>
        <v>T1001Kry</v>
      </c>
      <c r="X339" s="203" t="str">
        <f>CONCATENATE(申込書!$B$9," ",VLOOKUP(RIGHT(W339,3),★折込地区!$B$2:$C$10,2,FALSE),"")</f>
        <v xml:space="preserve"> 倉吉</v>
      </c>
      <c r="Z339" s="206">
        <f t="shared" ca="1" si="40"/>
        <v>0</v>
      </c>
      <c r="AB339" s="383">
        <f t="shared" si="41"/>
        <v>2.8</v>
      </c>
      <c r="AC339" s="203" t="str">
        <f t="shared" si="42"/>
        <v>P1001</v>
      </c>
      <c r="AD339" s="203" t="str">
        <f>VLOOKUP(AC339,★原価商品!$E$6:$F$349,2,FALSE)</f>
        <v>産経/B4（折り無し）</v>
      </c>
      <c r="AE339" s="203">
        <f t="shared" ca="1" si="43"/>
        <v>0</v>
      </c>
      <c r="AF339" s="383">
        <f ca="1">IFERROR(IF(VLOOKUP(申込書!$C$32,★サイズ表記!$F$4:$H$55,3,FALSE)="切り捨て",ROUNDDOWN(L339*IF(AK339="◎",I339,J339)/100,2),IF(VLOOKUP(申込書!$C$32,★サイズ表記!$F$4:$H$55,3,FALSE)="切り上げ",ROUNDUP(L339*IF(AK339="◎",I339,J339)/100,2),ROUND(L339*IF(AK339="◎",I339,J339)/100,2))),0)</f>
        <v>2.4</v>
      </c>
      <c r="AG339" s="203">
        <f t="shared" ca="1" si="44"/>
        <v>10303</v>
      </c>
      <c r="AJ339" s="460" t="str">
        <f>IFERROR(VLOOKUP(申込書!$C$30,★業種!$D$2:$E$87,2,FALSE),"")</f>
        <v>1003</v>
      </c>
      <c r="AK339" s="460" t="str">
        <f ca="1">IF(申込書!$C$36="◎",IF(OR(D339="浜坂・温泉",D339="美方・村岡",D339="香住",D339="岡山",D339="大阪"),"",IF(LEFT(F339)="D","◎",IF(AG339=0,"",IFERROR(IF(VLOOKUP(AG339,★仕入先!$A$2:$C$211,3,FALSE)=0,"","◎"),"")))),"")</f>
        <v/>
      </c>
      <c r="AL339" s="460">
        <f>申込書!$H$14</f>
        <v>0</v>
      </c>
      <c r="AM339" s="460" t="str">
        <f>申込書!$C$32</f>
        <v>B4（折り無し）</v>
      </c>
      <c r="AN339" s="460" t="str">
        <f>VLOOKUP(AM339,★サイズ表記!$D$4:$E$55,2,FALSE)</f>
        <v>1001</v>
      </c>
      <c r="AO339" s="460">
        <f>IF(C339&lt;&gt;"⑧兵庫",VLOOKUP(LEFT(F339),★新聞!$A$4:$B$12,2,FALSE),IF(LEFT(F339)&lt;&gt;"S",VLOOKUP(LEFT(F339),★新聞!$A$4:$B$12,2,FALSE),VLOOKUP("X",★新聞!$A$4:$B$12,2,FALSE)))</f>
        <v>5</v>
      </c>
      <c r="AP339" s="460" t="str">
        <f t="shared" ca="1" si="45"/>
        <v>0</v>
      </c>
      <c r="AQ339" s="460" t="str">
        <f>IF(申込書!$C$38="","",申込書!$C$38)</f>
        <v/>
      </c>
    </row>
    <row r="340" spans="1:43">
      <c r="A340" s="463">
        <f t="shared" si="46"/>
        <v>339</v>
      </c>
      <c r="B340" s="463" t="str">
        <f t="shared" si="47"/>
        <v>東部</v>
      </c>
      <c r="C340" s="464" t="s">
        <v>1017</v>
      </c>
      <c r="D340" s="464" t="s">
        <v>1602</v>
      </c>
      <c r="E340" s="464">
        <f>VLOOKUP(D340,★折込地区!$A$2:$D$10,4,FALSE)</f>
        <v>2</v>
      </c>
      <c r="F340" s="464" t="s">
        <v>470</v>
      </c>
      <c r="G340" s="464" t="str">
        <f>INDEX(★新聞!$E$4:$I$12, MATCH(LEFT(F340),★新聞!$A$4:$A$12,0), MATCH(LEFT(W340),★新聞!$E$3:$I$3,0))</f>
        <v>AJ</v>
      </c>
      <c r="H340" s="475" t="s">
        <v>1104</v>
      </c>
      <c r="I340" s="464" cm="1">
        <f t="array" ref="I340">IFERROR(INDEX(★原価率!$A$2:$E$50,MATCH($C340&amp;$H340,★原価率!$A$2:$A$50&amp;★原価率!$B$2:$B$50,0),3),0)</f>
        <v>86</v>
      </c>
      <c r="J340" s="464" cm="1">
        <f t="array" ref="J340">IFERROR(INDEX(★原価率!$A$2:$E$50,MATCH($C340&amp;$H340,★原価率!$A$2:$A$50&amp;★原価率!$B$2:$B$50,0),4),0)</f>
        <v>86</v>
      </c>
      <c r="K340" s="464" cm="1">
        <f t="array" ref="K340">IFERROR(INDEX(★原価率!$A$2:$E$50,MATCH($C340&amp;$H340,★原価率!$A$2:$A$50&amp;★原価率!$B$2:$B$50,0),5),0)</f>
        <v>100</v>
      </c>
      <c r="L340" s="528">
        <f>IFERROR(VLOOKUP(W340,★商品!$A$1:$H$1231,8,FALSE),0)</f>
        <v>2.8</v>
      </c>
      <c r="M340" s="203" t="str">
        <f ca="1">CONCATENATE(VLOOKUP(B340,★営業所!$A$2:$B$5,2,FALSE),TEXT(NOW(),"yyyy"))</f>
        <v>T2023</v>
      </c>
      <c r="N340" s="203">
        <v>1</v>
      </c>
      <c r="O340" s="203">
        <v>0</v>
      </c>
      <c r="P340" s="213">
        <f>申込書!$B$6</f>
        <v>0</v>
      </c>
      <c r="Q340" s="203">
        <f>申込書!$C$34</f>
        <v>1000040</v>
      </c>
      <c r="R340" s="203">
        <v>0</v>
      </c>
      <c r="U340" s="203">
        <f>VLOOKUP(B340,★営業所!$A$2:$C$5,3,FALSE)</f>
        <v>8</v>
      </c>
      <c r="V340" s="203">
        <f>申込書!$B$9</f>
        <v>0</v>
      </c>
      <c r="W340" s="203" t="str">
        <f>CONCATENATE(VLOOKUP(B340,★営業所!$A$2:$B$5,2,FALSE),VLOOKUP(申込書!$C$32,★サイズ表記!$D$4:$E$55,2,FALSE),VLOOKUP(D340,★折込地区!$A$2:$B$11,2,FALSE))</f>
        <v>T1001Kry</v>
      </c>
      <c r="X340" s="203" t="str">
        <f>CONCATENATE(申込書!$B$9," ",VLOOKUP(RIGHT(W340,3),★折込地区!$B$2:$C$10,2,FALSE),"")</f>
        <v xml:space="preserve"> 倉吉</v>
      </c>
      <c r="Z340" s="206">
        <f t="shared" ca="1" si="40"/>
        <v>0</v>
      </c>
      <c r="AB340" s="383">
        <f t="shared" si="41"/>
        <v>2.8</v>
      </c>
      <c r="AC340" s="203" t="str">
        <f t="shared" si="42"/>
        <v>P1001</v>
      </c>
      <c r="AD340" s="203" t="str">
        <f>VLOOKUP(AC340,★原価商品!$E$6:$F$349,2,FALSE)</f>
        <v>産経/B4（折り無し）</v>
      </c>
      <c r="AE340" s="203">
        <f t="shared" ca="1" si="43"/>
        <v>0</v>
      </c>
      <c r="AF340" s="383">
        <f ca="1">IFERROR(IF(VLOOKUP(申込書!$C$32,★サイズ表記!$F$4:$H$55,3,FALSE)="切り捨て",ROUNDDOWN(L340*IF(AK340="◎",I340,J340)/100,2),IF(VLOOKUP(申込書!$C$32,★サイズ表記!$F$4:$H$55,3,FALSE)="切り上げ",ROUNDUP(L340*IF(AK340="◎",I340,J340)/100,2),ROUND(L340*IF(AK340="◎",I340,J340)/100,2))),0)</f>
        <v>2.4</v>
      </c>
      <c r="AG340" s="203">
        <f t="shared" ca="1" si="44"/>
        <v>10303</v>
      </c>
      <c r="AJ340" s="460" t="str">
        <f>IFERROR(VLOOKUP(申込書!$C$30,★業種!$D$2:$E$87,2,FALSE),"")</f>
        <v>1003</v>
      </c>
      <c r="AK340" s="460" t="str">
        <f ca="1">IF(申込書!$C$36="◎",IF(OR(D340="浜坂・温泉",D340="美方・村岡",D340="香住",D340="岡山",D340="大阪"),"",IF(LEFT(F340)="D","◎",IF(AG340=0,"",IFERROR(IF(VLOOKUP(AG340,★仕入先!$A$2:$C$211,3,FALSE)=0,"","◎"),"")))),"")</f>
        <v/>
      </c>
      <c r="AL340" s="460">
        <f>申込書!$H$14</f>
        <v>0</v>
      </c>
      <c r="AM340" s="460" t="str">
        <f>申込書!$C$32</f>
        <v>B4（折り無し）</v>
      </c>
      <c r="AN340" s="460" t="str">
        <f>VLOOKUP(AM340,★サイズ表記!$D$4:$E$55,2,FALSE)</f>
        <v>1001</v>
      </c>
      <c r="AO340" s="460">
        <f>IF(C340&lt;&gt;"⑧兵庫",VLOOKUP(LEFT(F340),★新聞!$A$4:$B$12,2,FALSE),IF(LEFT(F340)&lt;&gt;"S",VLOOKUP(LEFT(F340),★新聞!$A$4:$B$12,2,FALSE),VLOOKUP("X",★新聞!$A$4:$B$12,2,FALSE)))</f>
        <v>5</v>
      </c>
      <c r="AP340" s="460" t="str">
        <f t="shared" ca="1" si="45"/>
        <v>0</v>
      </c>
      <c r="AQ340" s="460" t="str">
        <f>IF(申込書!$C$38="","",申込書!$C$38)</f>
        <v/>
      </c>
    </row>
    <row r="341" spans="1:43">
      <c r="A341" s="463">
        <f t="shared" si="46"/>
        <v>340</v>
      </c>
      <c r="B341" s="463" t="str">
        <f t="shared" si="47"/>
        <v>東部</v>
      </c>
      <c r="C341" s="464" t="s">
        <v>1017</v>
      </c>
      <c r="D341" s="464" t="s">
        <v>1602</v>
      </c>
      <c r="E341" s="464">
        <f>VLOOKUP(D341,★折込地区!$A$2:$D$10,4,FALSE)</f>
        <v>2</v>
      </c>
      <c r="F341" s="464" t="s">
        <v>471</v>
      </c>
      <c r="G341" s="464" t="str">
        <f>INDEX(★新聞!$E$4:$I$12, MATCH(LEFT(F341),★新聞!$A$4:$A$12,0), MATCH(LEFT(W341),★新聞!$E$3:$I$3,0))</f>
        <v>AJ</v>
      </c>
      <c r="H341" s="475" t="s">
        <v>1104</v>
      </c>
      <c r="I341" s="464" cm="1">
        <f t="array" ref="I341">IFERROR(INDEX(★原価率!$A$2:$E$50,MATCH($C341&amp;$H341,★原価率!$A$2:$A$50&amp;★原価率!$B$2:$B$50,0),3),0)</f>
        <v>86</v>
      </c>
      <c r="J341" s="464" cm="1">
        <f t="array" ref="J341">IFERROR(INDEX(★原価率!$A$2:$E$50,MATCH($C341&amp;$H341,★原価率!$A$2:$A$50&amp;★原価率!$B$2:$B$50,0),4),0)</f>
        <v>86</v>
      </c>
      <c r="K341" s="464" cm="1">
        <f t="array" ref="K341">IFERROR(INDEX(★原価率!$A$2:$E$50,MATCH($C341&amp;$H341,★原価率!$A$2:$A$50&amp;★原価率!$B$2:$B$50,0),5),0)</f>
        <v>100</v>
      </c>
      <c r="L341" s="528">
        <f>IFERROR(VLOOKUP(W341,★商品!$A$1:$H$1231,8,FALSE),0)</f>
        <v>2.8</v>
      </c>
      <c r="M341" s="203" t="str">
        <f ca="1">CONCATENATE(VLOOKUP(B341,★営業所!$A$2:$B$5,2,FALSE),TEXT(NOW(),"yyyy"))</f>
        <v>T2023</v>
      </c>
      <c r="N341" s="203">
        <v>1</v>
      </c>
      <c r="O341" s="203">
        <v>0</v>
      </c>
      <c r="P341" s="213">
        <f>申込書!$B$6</f>
        <v>0</v>
      </c>
      <c r="Q341" s="203">
        <f>申込書!$C$34</f>
        <v>1000040</v>
      </c>
      <c r="R341" s="203">
        <v>0</v>
      </c>
      <c r="U341" s="203">
        <f>VLOOKUP(B341,★営業所!$A$2:$C$5,3,FALSE)</f>
        <v>8</v>
      </c>
      <c r="V341" s="203">
        <f>申込書!$B$9</f>
        <v>0</v>
      </c>
      <c r="W341" s="203" t="str">
        <f>CONCATENATE(VLOOKUP(B341,★営業所!$A$2:$B$5,2,FALSE),VLOOKUP(申込書!$C$32,★サイズ表記!$D$4:$E$55,2,FALSE),VLOOKUP(D341,★折込地区!$A$2:$B$11,2,FALSE))</f>
        <v>T1001Kry</v>
      </c>
      <c r="X341" s="203" t="str">
        <f>CONCATENATE(申込書!$B$9," ",VLOOKUP(RIGHT(W341,3),★折込地区!$B$2:$C$10,2,FALSE),"")</f>
        <v xml:space="preserve"> 倉吉</v>
      </c>
      <c r="Z341" s="206">
        <f t="shared" ca="1" si="40"/>
        <v>0</v>
      </c>
      <c r="AB341" s="383">
        <f t="shared" si="41"/>
        <v>2.8</v>
      </c>
      <c r="AC341" s="203" t="str">
        <f t="shared" si="42"/>
        <v>P1001</v>
      </c>
      <c r="AD341" s="203" t="str">
        <f>VLOOKUP(AC341,★原価商品!$E$6:$F$349,2,FALSE)</f>
        <v>産経/B4（折り無し）</v>
      </c>
      <c r="AE341" s="203">
        <f t="shared" ca="1" si="43"/>
        <v>0</v>
      </c>
      <c r="AF341" s="383">
        <f ca="1">IFERROR(IF(VLOOKUP(申込書!$C$32,★サイズ表記!$F$4:$H$55,3,FALSE)="切り捨て",ROUNDDOWN(L341*IF(AK341="◎",I341,J341)/100,2),IF(VLOOKUP(申込書!$C$32,★サイズ表記!$F$4:$H$55,3,FALSE)="切り上げ",ROUNDUP(L341*IF(AK341="◎",I341,J341)/100,2),ROUND(L341*IF(AK341="◎",I341,J341)/100,2))),0)</f>
        <v>2.4</v>
      </c>
      <c r="AG341" s="203">
        <f t="shared" ca="1" si="44"/>
        <v>0</v>
      </c>
      <c r="AJ341" s="460" t="str">
        <f>IFERROR(VLOOKUP(申込書!$C$30,★業種!$D$2:$E$87,2,FALSE),"")</f>
        <v>1003</v>
      </c>
      <c r="AK341" s="460" t="str">
        <f ca="1">IF(申込書!$C$36="◎",IF(OR(D341="浜坂・温泉",D341="美方・村岡",D341="香住",D341="岡山",D341="大阪"),"",IF(LEFT(F341)="D","◎",IF(AG341=0,"",IFERROR(IF(VLOOKUP(AG341,★仕入先!$A$2:$C$211,3,FALSE)=0,"","◎"),"")))),"")</f>
        <v/>
      </c>
      <c r="AL341" s="460">
        <f>申込書!$H$14</f>
        <v>0</v>
      </c>
      <c r="AM341" s="460" t="str">
        <f>申込書!$C$32</f>
        <v>B4（折り無し）</v>
      </c>
      <c r="AN341" s="460" t="str">
        <f>VLOOKUP(AM341,★サイズ表記!$D$4:$E$55,2,FALSE)</f>
        <v>1001</v>
      </c>
      <c r="AO341" s="460">
        <f>IF(C341&lt;&gt;"⑧兵庫",VLOOKUP(LEFT(F341),★新聞!$A$4:$B$12,2,FALSE),IF(LEFT(F341)&lt;&gt;"S",VLOOKUP(LEFT(F341),★新聞!$A$4:$B$12,2,FALSE),VLOOKUP("X",★新聞!$A$4:$B$12,2,FALSE)))</f>
        <v>5</v>
      </c>
      <c r="AP341" s="460" t="str">
        <f t="shared" ca="1" si="45"/>
        <v>0</v>
      </c>
      <c r="AQ341" s="460" t="str">
        <f>IF(申込書!$C$38="","",申込書!$C$38)</f>
        <v/>
      </c>
    </row>
    <row r="342" spans="1:43">
      <c r="A342" s="463">
        <f t="shared" si="46"/>
        <v>341</v>
      </c>
      <c r="B342" s="463" t="str">
        <f t="shared" si="47"/>
        <v>東部</v>
      </c>
      <c r="C342" s="464" t="s">
        <v>1017</v>
      </c>
      <c r="D342" s="464" t="s">
        <v>1602</v>
      </c>
      <c r="E342" s="464">
        <f>VLOOKUP(D342,★折込地区!$A$2:$D$10,4,FALSE)</f>
        <v>2</v>
      </c>
      <c r="F342" s="464" t="s">
        <v>472</v>
      </c>
      <c r="G342" s="464" t="str">
        <f>INDEX(★新聞!$E$4:$I$12, MATCH(LEFT(F342),★新聞!$A$4:$A$12,0), MATCH(LEFT(W342),★新聞!$E$3:$I$3,0))</f>
        <v>AJ</v>
      </c>
      <c r="H342" s="475" t="s">
        <v>1104</v>
      </c>
      <c r="I342" s="464" cm="1">
        <f t="array" ref="I342">IFERROR(INDEX(★原価率!$A$2:$E$50,MATCH($C342&amp;$H342,★原価率!$A$2:$A$50&amp;★原価率!$B$2:$B$50,0),3),0)</f>
        <v>86</v>
      </c>
      <c r="J342" s="464" cm="1">
        <f t="array" ref="J342">IFERROR(INDEX(★原価率!$A$2:$E$50,MATCH($C342&amp;$H342,★原価率!$A$2:$A$50&amp;★原価率!$B$2:$B$50,0),4),0)</f>
        <v>86</v>
      </c>
      <c r="K342" s="464" cm="1">
        <f t="array" ref="K342">IFERROR(INDEX(★原価率!$A$2:$E$50,MATCH($C342&amp;$H342,★原価率!$A$2:$A$50&amp;★原価率!$B$2:$B$50,0),5),0)</f>
        <v>100</v>
      </c>
      <c r="L342" s="528">
        <f>IFERROR(VLOOKUP(W342,★商品!$A$1:$H$1231,8,FALSE),0)</f>
        <v>2.8</v>
      </c>
      <c r="M342" s="203" t="str">
        <f ca="1">CONCATENATE(VLOOKUP(B342,★営業所!$A$2:$B$5,2,FALSE),TEXT(NOW(),"yyyy"))</f>
        <v>T2023</v>
      </c>
      <c r="N342" s="203">
        <v>1</v>
      </c>
      <c r="O342" s="203">
        <v>0</v>
      </c>
      <c r="P342" s="213">
        <f>申込書!$B$6</f>
        <v>0</v>
      </c>
      <c r="Q342" s="203">
        <f>申込書!$C$34</f>
        <v>1000040</v>
      </c>
      <c r="R342" s="203">
        <v>0</v>
      </c>
      <c r="U342" s="203">
        <f>VLOOKUP(B342,★営業所!$A$2:$C$5,3,FALSE)</f>
        <v>8</v>
      </c>
      <c r="V342" s="203">
        <f>申込書!$B$9</f>
        <v>0</v>
      </c>
      <c r="W342" s="203" t="str">
        <f>CONCATENATE(VLOOKUP(B342,★営業所!$A$2:$B$5,2,FALSE),VLOOKUP(申込書!$C$32,★サイズ表記!$D$4:$E$55,2,FALSE),VLOOKUP(D342,★折込地区!$A$2:$B$11,2,FALSE))</f>
        <v>T1001Kry</v>
      </c>
      <c r="X342" s="203" t="str">
        <f>CONCATENATE(申込書!$B$9," ",VLOOKUP(RIGHT(W342,3),★折込地区!$B$2:$C$10,2,FALSE),"")</f>
        <v xml:space="preserve"> 倉吉</v>
      </c>
      <c r="Z342" s="206">
        <f t="shared" ca="1" si="40"/>
        <v>0</v>
      </c>
      <c r="AB342" s="383">
        <f t="shared" si="41"/>
        <v>2.8</v>
      </c>
      <c r="AC342" s="203" t="str">
        <f t="shared" si="42"/>
        <v>P1001</v>
      </c>
      <c r="AD342" s="203" t="str">
        <f>VLOOKUP(AC342,★原価商品!$E$6:$F$349,2,FALSE)</f>
        <v>産経/B4（折り無し）</v>
      </c>
      <c r="AE342" s="203">
        <f t="shared" ca="1" si="43"/>
        <v>0</v>
      </c>
      <c r="AF342" s="383">
        <f ca="1">IFERROR(IF(VLOOKUP(申込書!$C$32,★サイズ表記!$F$4:$H$55,3,FALSE)="切り捨て",ROUNDDOWN(L342*IF(AK342="◎",I342,J342)/100,2),IF(VLOOKUP(申込書!$C$32,★サイズ表記!$F$4:$H$55,3,FALSE)="切り上げ",ROUNDUP(L342*IF(AK342="◎",I342,J342)/100,2),ROUND(L342*IF(AK342="◎",I342,J342)/100,2))),0)</f>
        <v>2.4</v>
      </c>
      <c r="AG342" s="203">
        <f t="shared" ca="1" si="44"/>
        <v>0</v>
      </c>
      <c r="AJ342" s="460" t="str">
        <f>IFERROR(VLOOKUP(申込書!$C$30,★業種!$D$2:$E$87,2,FALSE),"")</f>
        <v>1003</v>
      </c>
      <c r="AK342" s="460" t="str">
        <f ca="1">IF(申込書!$C$36="◎",IF(OR(D342="浜坂・温泉",D342="美方・村岡",D342="香住",D342="岡山",D342="大阪"),"",IF(LEFT(F342)="D","◎",IF(AG342=0,"",IFERROR(IF(VLOOKUP(AG342,★仕入先!$A$2:$C$211,3,FALSE)=0,"","◎"),"")))),"")</f>
        <v/>
      </c>
      <c r="AL342" s="460">
        <f>申込書!$H$14</f>
        <v>0</v>
      </c>
      <c r="AM342" s="460" t="str">
        <f>申込書!$C$32</f>
        <v>B4（折り無し）</v>
      </c>
      <c r="AN342" s="460" t="str">
        <f>VLOOKUP(AM342,★サイズ表記!$D$4:$E$55,2,FALSE)</f>
        <v>1001</v>
      </c>
      <c r="AO342" s="460">
        <f>IF(C342&lt;&gt;"⑧兵庫",VLOOKUP(LEFT(F342),★新聞!$A$4:$B$12,2,FALSE),IF(LEFT(F342)&lt;&gt;"S",VLOOKUP(LEFT(F342),★新聞!$A$4:$B$12,2,FALSE),VLOOKUP("X",★新聞!$A$4:$B$12,2,FALSE)))</f>
        <v>5</v>
      </c>
      <c r="AP342" s="460" t="str">
        <f t="shared" ca="1" si="45"/>
        <v>0</v>
      </c>
      <c r="AQ342" s="460" t="str">
        <f>IF(申込書!$C$38="","",申込書!$C$38)</f>
        <v/>
      </c>
    </row>
    <row r="343" spans="1:43">
      <c r="A343" s="463">
        <f t="shared" si="46"/>
        <v>342</v>
      </c>
      <c r="B343" s="463" t="str">
        <f t="shared" si="47"/>
        <v>東部</v>
      </c>
      <c r="C343" s="464" t="s">
        <v>1017</v>
      </c>
      <c r="D343" s="464" t="s">
        <v>1602</v>
      </c>
      <c r="E343" s="464">
        <f>VLOOKUP(D343,★折込地区!$A$2:$D$10,4,FALSE)</f>
        <v>2</v>
      </c>
      <c r="F343" s="464" t="s">
        <v>473</v>
      </c>
      <c r="G343" s="464" t="str">
        <f>INDEX(★新聞!$E$4:$I$12, MATCH(LEFT(F343),★新聞!$A$4:$A$12,0), MATCH(LEFT(W343),★新聞!$E$3:$I$3,0))</f>
        <v>AJ</v>
      </c>
      <c r="H343" s="475" t="s">
        <v>1104</v>
      </c>
      <c r="I343" s="464" cm="1">
        <f t="array" ref="I343">IFERROR(INDEX(★原価率!$A$2:$E$50,MATCH($C343&amp;$H343,★原価率!$A$2:$A$50&amp;★原価率!$B$2:$B$50,0),3),0)</f>
        <v>86</v>
      </c>
      <c r="J343" s="464" cm="1">
        <f t="array" ref="J343">IFERROR(INDEX(★原価率!$A$2:$E$50,MATCH($C343&amp;$H343,★原価率!$A$2:$A$50&amp;★原価率!$B$2:$B$50,0),4),0)</f>
        <v>86</v>
      </c>
      <c r="K343" s="464" cm="1">
        <f t="array" ref="K343">IFERROR(INDEX(★原価率!$A$2:$E$50,MATCH($C343&amp;$H343,★原価率!$A$2:$A$50&amp;★原価率!$B$2:$B$50,0),5),0)</f>
        <v>100</v>
      </c>
      <c r="L343" s="528">
        <f>IFERROR(VLOOKUP(W343,★商品!$A$1:$H$1231,8,FALSE),0)</f>
        <v>2.8</v>
      </c>
      <c r="M343" s="203" t="str">
        <f ca="1">CONCATENATE(VLOOKUP(B343,★営業所!$A$2:$B$5,2,FALSE),TEXT(NOW(),"yyyy"))</f>
        <v>T2023</v>
      </c>
      <c r="N343" s="203">
        <v>1</v>
      </c>
      <c r="O343" s="203">
        <v>0</v>
      </c>
      <c r="P343" s="213">
        <f>申込書!$B$6</f>
        <v>0</v>
      </c>
      <c r="Q343" s="203">
        <f>申込書!$C$34</f>
        <v>1000040</v>
      </c>
      <c r="R343" s="203">
        <v>0</v>
      </c>
      <c r="U343" s="203">
        <f>VLOOKUP(B343,★営業所!$A$2:$C$5,3,FALSE)</f>
        <v>8</v>
      </c>
      <c r="V343" s="203">
        <f>申込書!$B$9</f>
        <v>0</v>
      </c>
      <c r="W343" s="203" t="str">
        <f>CONCATENATE(VLOOKUP(B343,★営業所!$A$2:$B$5,2,FALSE),VLOOKUP(申込書!$C$32,★サイズ表記!$D$4:$E$55,2,FALSE),VLOOKUP(D343,★折込地区!$A$2:$B$11,2,FALSE))</f>
        <v>T1001Kry</v>
      </c>
      <c r="X343" s="203" t="str">
        <f>CONCATENATE(申込書!$B$9," ",VLOOKUP(RIGHT(W343,3),★折込地区!$B$2:$C$10,2,FALSE),"")</f>
        <v xml:space="preserve"> 倉吉</v>
      </c>
      <c r="Z343" s="206">
        <f t="shared" ca="1" si="40"/>
        <v>0</v>
      </c>
      <c r="AB343" s="383">
        <f t="shared" si="41"/>
        <v>2.8</v>
      </c>
      <c r="AC343" s="203" t="str">
        <f t="shared" si="42"/>
        <v>P1001</v>
      </c>
      <c r="AD343" s="203" t="str">
        <f>VLOOKUP(AC343,★原価商品!$E$6:$F$349,2,FALSE)</f>
        <v>産経/B4（折り無し）</v>
      </c>
      <c r="AE343" s="203">
        <f t="shared" ca="1" si="43"/>
        <v>0</v>
      </c>
      <c r="AF343" s="383">
        <f ca="1">IFERROR(IF(VLOOKUP(申込書!$C$32,★サイズ表記!$F$4:$H$55,3,FALSE)="切り捨て",ROUNDDOWN(L343*IF(AK343="◎",I343,J343)/100,2),IF(VLOOKUP(申込書!$C$32,★サイズ表記!$F$4:$H$55,3,FALSE)="切り上げ",ROUNDUP(L343*IF(AK343="◎",I343,J343)/100,2),ROUND(L343*IF(AK343="◎",I343,J343)/100,2))),0)</f>
        <v>2.4</v>
      </c>
      <c r="AG343" s="203">
        <f t="shared" ca="1" si="44"/>
        <v>0</v>
      </c>
      <c r="AJ343" s="460" t="str">
        <f>IFERROR(VLOOKUP(申込書!$C$30,★業種!$D$2:$E$87,2,FALSE),"")</f>
        <v>1003</v>
      </c>
      <c r="AK343" s="460" t="str">
        <f ca="1">IF(申込書!$C$36="◎",IF(OR(D343="浜坂・温泉",D343="美方・村岡",D343="香住",D343="岡山",D343="大阪"),"",IF(LEFT(F343)="D","◎",IF(AG343=0,"",IFERROR(IF(VLOOKUP(AG343,★仕入先!$A$2:$C$211,3,FALSE)=0,"","◎"),"")))),"")</f>
        <v/>
      </c>
      <c r="AL343" s="460">
        <f>申込書!$H$14</f>
        <v>0</v>
      </c>
      <c r="AM343" s="460" t="str">
        <f>申込書!$C$32</f>
        <v>B4（折り無し）</v>
      </c>
      <c r="AN343" s="460" t="str">
        <f>VLOOKUP(AM343,★サイズ表記!$D$4:$E$55,2,FALSE)</f>
        <v>1001</v>
      </c>
      <c r="AO343" s="460">
        <f>IF(C343&lt;&gt;"⑧兵庫",VLOOKUP(LEFT(F343),★新聞!$A$4:$B$12,2,FALSE),IF(LEFT(F343)&lt;&gt;"S",VLOOKUP(LEFT(F343),★新聞!$A$4:$B$12,2,FALSE),VLOOKUP("X",★新聞!$A$4:$B$12,2,FALSE)))</f>
        <v>5</v>
      </c>
      <c r="AP343" s="460" t="str">
        <f t="shared" ca="1" si="45"/>
        <v>0</v>
      </c>
      <c r="AQ343" s="460" t="str">
        <f>IF(申込書!$C$38="","",申込書!$C$38)</f>
        <v/>
      </c>
    </row>
    <row r="344" spans="1:43">
      <c r="A344" s="463">
        <f t="shared" si="46"/>
        <v>343</v>
      </c>
      <c r="B344" s="463" t="str">
        <f t="shared" si="47"/>
        <v>東部</v>
      </c>
      <c r="C344" s="464" t="s">
        <v>1017</v>
      </c>
      <c r="D344" s="464" t="s">
        <v>1602</v>
      </c>
      <c r="E344" s="464">
        <f>VLOOKUP(D344,★折込地区!$A$2:$D$10,4,FALSE)</f>
        <v>2</v>
      </c>
      <c r="F344" s="464" t="s">
        <v>474</v>
      </c>
      <c r="G344" s="464" t="str">
        <f>INDEX(★新聞!$E$4:$I$12, MATCH(LEFT(F344),★新聞!$A$4:$A$12,0), MATCH(LEFT(W344),★新聞!$E$3:$I$3,0))</f>
        <v>AJ</v>
      </c>
      <c r="H344" s="475" t="s">
        <v>1107</v>
      </c>
      <c r="I344" s="464" cm="1">
        <f t="array" ref="I344">IFERROR(INDEX(★原価率!$A$2:$E$50,MATCH($C344&amp;$H344,★原価率!$A$2:$A$50&amp;★原価率!$B$2:$B$50,0),3),0)</f>
        <v>82</v>
      </c>
      <c r="J344" s="464" cm="1">
        <f t="array" ref="J344">IFERROR(INDEX(★原価率!$A$2:$E$50,MATCH($C344&amp;$H344,★原価率!$A$2:$A$50&amp;★原価率!$B$2:$B$50,0),4),0)</f>
        <v>82</v>
      </c>
      <c r="K344" s="464" cm="1">
        <f t="array" ref="K344">IFERROR(INDEX(★原価率!$A$2:$E$50,MATCH($C344&amp;$H344,★原価率!$A$2:$A$50&amp;★原価率!$B$2:$B$50,0),5),0)</f>
        <v>100</v>
      </c>
      <c r="L344" s="528">
        <f>IFERROR(VLOOKUP(W344,★商品!$A$1:$H$1231,8,FALSE),0)</f>
        <v>2.8</v>
      </c>
      <c r="M344" s="203" t="str">
        <f ca="1">CONCATENATE(VLOOKUP(B344,★営業所!$A$2:$B$5,2,FALSE),TEXT(NOW(),"yyyy"))</f>
        <v>T2023</v>
      </c>
      <c r="N344" s="203">
        <v>1</v>
      </c>
      <c r="O344" s="203">
        <v>0</v>
      </c>
      <c r="P344" s="213">
        <f>申込書!$B$6</f>
        <v>0</v>
      </c>
      <c r="Q344" s="203">
        <f>申込書!$C$34</f>
        <v>1000040</v>
      </c>
      <c r="R344" s="203">
        <v>0</v>
      </c>
      <c r="U344" s="203">
        <f>VLOOKUP(B344,★営業所!$A$2:$C$5,3,FALSE)</f>
        <v>8</v>
      </c>
      <c r="V344" s="203">
        <f>申込書!$B$9</f>
        <v>0</v>
      </c>
      <c r="W344" s="203" t="str">
        <f>CONCATENATE(VLOOKUP(B344,★営業所!$A$2:$B$5,2,FALSE),VLOOKUP(申込書!$C$32,★サイズ表記!$D$4:$E$55,2,FALSE),VLOOKUP(D344,★折込地区!$A$2:$B$11,2,FALSE))</f>
        <v>T1001Kry</v>
      </c>
      <c r="X344" s="203" t="str">
        <f>CONCATENATE(申込書!$B$9," ",VLOOKUP(RIGHT(W344,3),★折込地区!$B$2:$C$10,2,FALSE),"")</f>
        <v xml:space="preserve"> 倉吉</v>
      </c>
      <c r="Z344" s="206">
        <f t="shared" ca="1" si="40"/>
        <v>0</v>
      </c>
      <c r="AB344" s="383">
        <f t="shared" si="41"/>
        <v>2.8</v>
      </c>
      <c r="AC344" s="203" t="str">
        <f t="shared" si="42"/>
        <v>P1001</v>
      </c>
      <c r="AD344" s="203" t="str">
        <f>VLOOKUP(AC344,★原価商品!$E$6:$F$349,2,FALSE)</f>
        <v>産経/B4（折り無し）</v>
      </c>
      <c r="AE344" s="203">
        <f t="shared" ca="1" si="43"/>
        <v>0</v>
      </c>
      <c r="AF344" s="383">
        <f ca="1">IFERROR(IF(VLOOKUP(申込書!$C$32,★サイズ表記!$F$4:$H$55,3,FALSE)="切り捨て",ROUNDDOWN(L344*IF(AK344="◎",I344,J344)/100,2),IF(VLOOKUP(申込書!$C$32,★サイズ表記!$F$4:$H$55,3,FALSE)="切り上げ",ROUNDUP(L344*IF(AK344="◎",I344,J344)/100,2),ROUND(L344*IF(AK344="◎",I344,J344)/100,2))),0)</f>
        <v>2.29</v>
      </c>
      <c r="AG344" s="203">
        <f t="shared" ca="1" si="44"/>
        <v>10303</v>
      </c>
      <c r="AJ344" s="460" t="str">
        <f>IFERROR(VLOOKUP(申込書!$C$30,★業種!$D$2:$E$87,2,FALSE),"")</f>
        <v>1003</v>
      </c>
      <c r="AK344" s="460" t="str">
        <f ca="1">IF(申込書!$C$36="◎",IF(OR(D344="浜坂・温泉",D344="美方・村岡",D344="香住",D344="岡山",D344="大阪"),"",IF(LEFT(F344)="D","◎",IF(AG344=0,"",IFERROR(IF(VLOOKUP(AG344,★仕入先!$A$2:$C$211,3,FALSE)=0,"","◎"),"")))),"")</f>
        <v/>
      </c>
      <c r="AL344" s="460">
        <f>申込書!$H$14</f>
        <v>0</v>
      </c>
      <c r="AM344" s="460" t="str">
        <f>申込書!$C$32</f>
        <v>B4（折り無し）</v>
      </c>
      <c r="AN344" s="460" t="str">
        <f>VLOOKUP(AM344,★サイズ表記!$D$4:$E$55,2,FALSE)</f>
        <v>1001</v>
      </c>
      <c r="AO344" s="460">
        <f>IF(C344&lt;&gt;"⑧兵庫",VLOOKUP(LEFT(F344),★新聞!$A$4:$B$12,2,FALSE),IF(LEFT(F344)&lt;&gt;"S",VLOOKUP(LEFT(F344),★新聞!$A$4:$B$12,2,FALSE),VLOOKUP("X",★新聞!$A$4:$B$12,2,FALSE)))</f>
        <v>5</v>
      </c>
      <c r="AP344" s="460" t="str">
        <f t="shared" ca="1" si="45"/>
        <v>0</v>
      </c>
      <c r="AQ344" s="460" t="str">
        <f>IF(申込書!$C$38="","",申込書!$C$38)</f>
        <v/>
      </c>
    </row>
    <row r="345" spans="1:43">
      <c r="A345" s="463">
        <f t="shared" si="46"/>
        <v>344</v>
      </c>
      <c r="B345" s="463" t="str">
        <f t="shared" si="47"/>
        <v>東部</v>
      </c>
      <c r="C345" s="464" t="s">
        <v>1017</v>
      </c>
      <c r="D345" s="464" t="s">
        <v>1602</v>
      </c>
      <c r="E345" s="464">
        <f>VLOOKUP(D345,★折込地区!$A$2:$D$10,4,FALSE)</f>
        <v>2</v>
      </c>
      <c r="F345" s="464" t="s">
        <v>475</v>
      </c>
      <c r="G345" s="464" t="str">
        <f>INDEX(★新聞!$E$4:$I$12, MATCH(LEFT(F345),★新聞!$A$4:$A$12,0), MATCH(LEFT(W345),★新聞!$E$3:$I$3,0))</f>
        <v>AJ</v>
      </c>
      <c r="H345" s="475" t="s">
        <v>1107</v>
      </c>
      <c r="I345" s="464" cm="1">
        <f t="array" ref="I345">IFERROR(INDEX(★原価率!$A$2:$E$50,MATCH($C345&amp;$H345,★原価率!$A$2:$A$50&amp;★原価率!$B$2:$B$50,0),3),0)</f>
        <v>82</v>
      </c>
      <c r="J345" s="464" cm="1">
        <f t="array" ref="J345">IFERROR(INDEX(★原価率!$A$2:$E$50,MATCH($C345&amp;$H345,★原価率!$A$2:$A$50&amp;★原価率!$B$2:$B$50,0),4),0)</f>
        <v>82</v>
      </c>
      <c r="K345" s="464" cm="1">
        <f t="array" ref="K345">IFERROR(INDEX(★原価率!$A$2:$E$50,MATCH($C345&amp;$H345,★原価率!$A$2:$A$50&amp;★原価率!$B$2:$B$50,0),5),0)</f>
        <v>100</v>
      </c>
      <c r="L345" s="528">
        <f>IFERROR(VLOOKUP(W345,★商品!$A$1:$H$1231,8,FALSE),0)</f>
        <v>2.8</v>
      </c>
      <c r="M345" s="203" t="str">
        <f ca="1">CONCATENATE(VLOOKUP(B345,★営業所!$A$2:$B$5,2,FALSE),TEXT(NOW(),"yyyy"))</f>
        <v>T2023</v>
      </c>
      <c r="N345" s="203">
        <v>1</v>
      </c>
      <c r="O345" s="203">
        <v>0</v>
      </c>
      <c r="P345" s="213">
        <f>申込書!$B$6</f>
        <v>0</v>
      </c>
      <c r="Q345" s="203">
        <f>申込書!$C$34</f>
        <v>1000040</v>
      </c>
      <c r="R345" s="203">
        <v>0</v>
      </c>
      <c r="U345" s="203">
        <f>VLOOKUP(B345,★営業所!$A$2:$C$5,3,FALSE)</f>
        <v>8</v>
      </c>
      <c r="V345" s="203">
        <f>申込書!$B$9</f>
        <v>0</v>
      </c>
      <c r="W345" s="203" t="str">
        <f>CONCATENATE(VLOOKUP(B345,★営業所!$A$2:$B$5,2,FALSE),VLOOKUP(申込書!$C$32,★サイズ表記!$D$4:$E$55,2,FALSE),VLOOKUP(D345,★折込地区!$A$2:$B$11,2,FALSE))</f>
        <v>T1001Kry</v>
      </c>
      <c r="X345" s="203" t="str">
        <f>CONCATENATE(申込書!$B$9," ",VLOOKUP(RIGHT(W345,3),★折込地区!$B$2:$C$10,2,FALSE),"")</f>
        <v xml:space="preserve"> 倉吉</v>
      </c>
      <c r="Z345" s="206">
        <f t="shared" ca="1" si="40"/>
        <v>0</v>
      </c>
      <c r="AB345" s="383">
        <f t="shared" si="41"/>
        <v>2.8</v>
      </c>
      <c r="AC345" s="203" t="str">
        <f t="shared" si="42"/>
        <v>P1001</v>
      </c>
      <c r="AD345" s="203" t="str">
        <f>VLOOKUP(AC345,★原価商品!$E$6:$F$349,2,FALSE)</f>
        <v>産経/B4（折り無し）</v>
      </c>
      <c r="AE345" s="203">
        <f t="shared" ca="1" si="43"/>
        <v>0</v>
      </c>
      <c r="AF345" s="383">
        <f ca="1">IFERROR(IF(VLOOKUP(申込書!$C$32,★サイズ表記!$F$4:$H$55,3,FALSE)="切り捨て",ROUNDDOWN(L345*IF(AK345="◎",I345,J345)/100,2),IF(VLOOKUP(申込書!$C$32,★サイズ表記!$F$4:$H$55,3,FALSE)="切り上げ",ROUNDUP(L345*IF(AK345="◎",I345,J345)/100,2),ROUND(L345*IF(AK345="◎",I345,J345)/100,2))),0)</f>
        <v>2.29</v>
      </c>
      <c r="AG345" s="203">
        <f t="shared" ca="1" si="44"/>
        <v>0</v>
      </c>
      <c r="AJ345" s="460" t="str">
        <f>IFERROR(VLOOKUP(申込書!$C$30,★業種!$D$2:$E$87,2,FALSE),"")</f>
        <v>1003</v>
      </c>
      <c r="AK345" s="460" t="str">
        <f ca="1">IF(申込書!$C$36="◎",IF(OR(D345="浜坂・温泉",D345="美方・村岡",D345="香住",D345="岡山",D345="大阪"),"",IF(LEFT(F345)="D","◎",IF(AG345=0,"",IFERROR(IF(VLOOKUP(AG345,★仕入先!$A$2:$C$211,3,FALSE)=0,"","◎"),"")))),"")</f>
        <v/>
      </c>
      <c r="AL345" s="460">
        <f>申込書!$H$14</f>
        <v>0</v>
      </c>
      <c r="AM345" s="460" t="str">
        <f>申込書!$C$32</f>
        <v>B4（折り無し）</v>
      </c>
      <c r="AN345" s="460" t="str">
        <f>VLOOKUP(AM345,★サイズ表記!$D$4:$E$55,2,FALSE)</f>
        <v>1001</v>
      </c>
      <c r="AO345" s="460">
        <f>IF(C345&lt;&gt;"⑧兵庫",VLOOKUP(LEFT(F345),★新聞!$A$4:$B$12,2,FALSE),IF(LEFT(F345)&lt;&gt;"S",VLOOKUP(LEFT(F345),★新聞!$A$4:$B$12,2,FALSE),VLOOKUP("X",★新聞!$A$4:$B$12,2,FALSE)))</f>
        <v>5</v>
      </c>
      <c r="AP345" s="460" t="str">
        <f t="shared" ca="1" si="45"/>
        <v>0</v>
      </c>
      <c r="AQ345" s="460" t="str">
        <f>IF(申込書!$C$38="","",申込書!$C$38)</f>
        <v/>
      </c>
    </row>
    <row r="346" spans="1:43">
      <c r="A346" s="463">
        <f t="shared" si="46"/>
        <v>345</v>
      </c>
      <c r="B346" s="463" t="str">
        <f t="shared" si="47"/>
        <v>東部</v>
      </c>
      <c r="C346" s="464" t="s">
        <v>1017</v>
      </c>
      <c r="D346" s="464" t="s">
        <v>1602</v>
      </c>
      <c r="E346" s="464">
        <f>VLOOKUP(D346,★折込地区!$A$2:$D$10,4,FALSE)</f>
        <v>2</v>
      </c>
      <c r="F346" s="464" t="s">
        <v>479</v>
      </c>
      <c r="G346" s="464" t="str">
        <f>INDEX(★新聞!$E$4:$I$12, MATCH(LEFT(F346),★新聞!$A$4:$A$12,0), MATCH(LEFT(W346),★新聞!$E$3:$I$3,0))</f>
        <v>AJ</v>
      </c>
      <c r="H346" s="475" t="s">
        <v>1107</v>
      </c>
      <c r="I346" s="464" cm="1">
        <f t="array" ref="I346">IFERROR(INDEX(★原価率!$A$2:$E$50,MATCH($C346&amp;$H346,★原価率!$A$2:$A$50&amp;★原価率!$B$2:$B$50,0),3),0)</f>
        <v>82</v>
      </c>
      <c r="J346" s="464" cm="1">
        <f t="array" ref="J346">IFERROR(INDEX(★原価率!$A$2:$E$50,MATCH($C346&amp;$H346,★原価率!$A$2:$A$50&amp;★原価率!$B$2:$B$50,0),4),0)</f>
        <v>82</v>
      </c>
      <c r="K346" s="464" cm="1">
        <f t="array" ref="K346">IFERROR(INDEX(★原価率!$A$2:$E$50,MATCH($C346&amp;$H346,★原価率!$A$2:$A$50&amp;★原価率!$B$2:$B$50,0),5),0)</f>
        <v>100</v>
      </c>
      <c r="L346" s="528">
        <f>IFERROR(VLOOKUP(W346,★商品!$A$1:$H$1231,8,FALSE),0)</f>
        <v>2.8</v>
      </c>
      <c r="M346" s="203" t="str">
        <f ca="1">CONCATENATE(VLOOKUP(B346,★営業所!$A$2:$B$5,2,FALSE),TEXT(NOW(),"yyyy"))</f>
        <v>T2023</v>
      </c>
      <c r="N346" s="203">
        <v>1</v>
      </c>
      <c r="O346" s="203">
        <v>0</v>
      </c>
      <c r="P346" s="213">
        <f>申込書!$B$6</f>
        <v>0</v>
      </c>
      <c r="Q346" s="203">
        <f>申込書!$C$34</f>
        <v>1000040</v>
      </c>
      <c r="R346" s="203">
        <v>0</v>
      </c>
      <c r="U346" s="203">
        <f>VLOOKUP(B346,★営業所!$A$2:$C$5,3,FALSE)</f>
        <v>8</v>
      </c>
      <c r="V346" s="203">
        <f>申込書!$B$9</f>
        <v>0</v>
      </c>
      <c r="W346" s="203" t="str">
        <f>CONCATENATE(VLOOKUP(B346,★営業所!$A$2:$B$5,2,FALSE),VLOOKUP(申込書!$C$32,★サイズ表記!$D$4:$E$55,2,FALSE),VLOOKUP(D346,★折込地区!$A$2:$B$11,2,FALSE))</f>
        <v>T1001Kry</v>
      </c>
      <c r="X346" s="203" t="str">
        <f>CONCATENATE(申込書!$B$9," ",VLOOKUP(RIGHT(W346,3),★折込地区!$B$2:$C$10,2,FALSE),"")</f>
        <v xml:space="preserve"> 倉吉</v>
      </c>
      <c r="Z346" s="206">
        <f t="shared" ca="1" si="40"/>
        <v>0</v>
      </c>
      <c r="AB346" s="383">
        <f t="shared" si="41"/>
        <v>2.8</v>
      </c>
      <c r="AC346" s="203" t="str">
        <f t="shared" si="42"/>
        <v>P1001</v>
      </c>
      <c r="AD346" s="203" t="str">
        <f>VLOOKUP(AC346,★原価商品!$E$6:$F$349,2,FALSE)</f>
        <v>産経/B4（折り無し）</v>
      </c>
      <c r="AE346" s="203">
        <f t="shared" ca="1" si="43"/>
        <v>0</v>
      </c>
      <c r="AF346" s="383">
        <f ca="1">IFERROR(IF(VLOOKUP(申込書!$C$32,★サイズ表記!$F$4:$H$55,3,FALSE)="切り捨て",ROUNDDOWN(L346*IF(AK346="◎",I346,J346)/100,2),IF(VLOOKUP(申込書!$C$32,★サイズ表記!$F$4:$H$55,3,FALSE)="切り上げ",ROUNDUP(L346*IF(AK346="◎",I346,J346)/100,2),ROUND(L346*IF(AK346="◎",I346,J346)/100,2))),0)</f>
        <v>2.29</v>
      </c>
      <c r="AG346" s="203">
        <f t="shared" ca="1" si="44"/>
        <v>10303</v>
      </c>
      <c r="AJ346" s="460" t="str">
        <f>IFERROR(VLOOKUP(申込書!$C$30,★業種!$D$2:$E$87,2,FALSE),"")</f>
        <v>1003</v>
      </c>
      <c r="AK346" s="460" t="str">
        <f ca="1">IF(申込書!$C$36="◎",IF(OR(D346="浜坂・温泉",D346="美方・村岡",D346="香住",D346="岡山",D346="大阪"),"",IF(LEFT(F346)="D","◎",IF(AG346=0,"",IFERROR(IF(VLOOKUP(AG346,★仕入先!$A$2:$C$211,3,FALSE)=0,"","◎"),"")))),"")</f>
        <v/>
      </c>
      <c r="AL346" s="460">
        <f>申込書!$H$14</f>
        <v>0</v>
      </c>
      <c r="AM346" s="460" t="str">
        <f>申込書!$C$32</f>
        <v>B4（折り無し）</v>
      </c>
      <c r="AN346" s="460" t="str">
        <f>VLOOKUP(AM346,★サイズ表記!$D$4:$E$55,2,FALSE)</f>
        <v>1001</v>
      </c>
      <c r="AO346" s="460">
        <f>IF(C346&lt;&gt;"⑧兵庫",VLOOKUP(LEFT(F346),★新聞!$A$4:$B$12,2,FALSE),IF(LEFT(F346)&lt;&gt;"S",VLOOKUP(LEFT(F346),★新聞!$A$4:$B$12,2,FALSE),VLOOKUP("X",★新聞!$A$4:$B$12,2,FALSE)))</f>
        <v>5</v>
      </c>
      <c r="AP346" s="460" t="str">
        <f t="shared" ca="1" si="45"/>
        <v>0</v>
      </c>
      <c r="AQ346" s="460" t="str">
        <f>IF(申込書!$C$38="","",申込書!$C$38)</f>
        <v/>
      </c>
    </row>
    <row r="347" spans="1:43">
      <c r="A347" s="463">
        <f t="shared" si="46"/>
        <v>346</v>
      </c>
      <c r="B347" s="463" t="str">
        <f t="shared" si="47"/>
        <v>東部</v>
      </c>
      <c r="C347" s="464" t="s">
        <v>1017</v>
      </c>
      <c r="D347" s="464" t="s">
        <v>1602</v>
      </c>
      <c r="E347" s="464">
        <f>VLOOKUP(D347,★折込地区!$A$2:$D$10,4,FALSE)</f>
        <v>2</v>
      </c>
      <c r="F347" s="464" t="s">
        <v>480</v>
      </c>
      <c r="G347" s="464" t="str">
        <f>INDEX(★新聞!$E$4:$I$12, MATCH(LEFT(F347),★新聞!$A$4:$A$12,0), MATCH(LEFT(W347),★新聞!$E$3:$I$3,0))</f>
        <v>AJ</v>
      </c>
      <c r="H347" s="475" t="s">
        <v>1107</v>
      </c>
      <c r="I347" s="464" cm="1">
        <f t="array" ref="I347">IFERROR(INDEX(★原価率!$A$2:$E$50,MATCH($C347&amp;$H347,★原価率!$A$2:$A$50&amp;★原価率!$B$2:$B$50,0),3),0)</f>
        <v>82</v>
      </c>
      <c r="J347" s="464" cm="1">
        <f t="array" ref="J347">IFERROR(INDEX(★原価率!$A$2:$E$50,MATCH($C347&amp;$H347,★原価率!$A$2:$A$50&amp;★原価率!$B$2:$B$50,0),4),0)</f>
        <v>82</v>
      </c>
      <c r="K347" s="464" cm="1">
        <f t="array" ref="K347">IFERROR(INDEX(★原価率!$A$2:$E$50,MATCH($C347&amp;$H347,★原価率!$A$2:$A$50&amp;★原価率!$B$2:$B$50,0),5),0)</f>
        <v>100</v>
      </c>
      <c r="L347" s="528">
        <f>IFERROR(VLOOKUP(W347,★商品!$A$1:$H$1231,8,FALSE),0)</f>
        <v>2.8</v>
      </c>
      <c r="M347" s="203" t="str">
        <f ca="1">CONCATENATE(VLOOKUP(B347,★営業所!$A$2:$B$5,2,FALSE),TEXT(NOW(),"yyyy"))</f>
        <v>T2023</v>
      </c>
      <c r="N347" s="203">
        <v>1</v>
      </c>
      <c r="O347" s="203">
        <v>0</v>
      </c>
      <c r="P347" s="213">
        <f>申込書!$B$6</f>
        <v>0</v>
      </c>
      <c r="Q347" s="203">
        <f>申込書!$C$34</f>
        <v>1000040</v>
      </c>
      <c r="R347" s="203">
        <v>0</v>
      </c>
      <c r="U347" s="203">
        <f>VLOOKUP(B347,★営業所!$A$2:$C$5,3,FALSE)</f>
        <v>8</v>
      </c>
      <c r="V347" s="203">
        <f>申込書!$B$9</f>
        <v>0</v>
      </c>
      <c r="W347" s="203" t="str">
        <f>CONCATENATE(VLOOKUP(B347,★営業所!$A$2:$B$5,2,FALSE),VLOOKUP(申込書!$C$32,★サイズ表記!$D$4:$E$55,2,FALSE),VLOOKUP(D347,★折込地区!$A$2:$B$11,2,FALSE))</f>
        <v>T1001Kry</v>
      </c>
      <c r="X347" s="203" t="str">
        <f>CONCATENATE(申込書!$B$9," ",VLOOKUP(RIGHT(W347,3),★折込地区!$B$2:$C$10,2,FALSE),"")</f>
        <v xml:space="preserve"> 倉吉</v>
      </c>
      <c r="Z347" s="206">
        <f t="shared" ca="1" si="40"/>
        <v>0</v>
      </c>
      <c r="AB347" s="383">
        <f t="shared" si="41"/>
        <v>2.8</v>
      </c>
      <c r="AC347" s="203" t="str">
        <f t="shared" si="42"/>
        <v>P1001</v>
      </c>
      <c r="AD347" s="203" t="str">
        <f>VLOOKUP(AC347,★原価商品!$E$6:$F$349,2,FALSE)</f>
        <v>産経/B4（折り無し）</v>
      </c>
      <c r="AE347" s="203">
        <f t="shared" ca="1" si="43"/>
        <v>0</v>
      </c>
      <c r="AF347" s="383">
        <f ca="1">IFERROR(IF(VLOOKUP(申込書!$C$32,★サイズ表記!$F$4:$H$55,3,FALSE)="切り捨て",ROUNDDOWN(L347*IF(AK347="◎",I347,J347)/100,2),IF(VLOOKUP(申込書!$C$32,★サイズ表記!$F$4:$H$55,3,FALSE)="切り上げ",ROUNDUP(L347*IF(AK347="◎",I347,J347)/100,2),ROUND(L347*IF(AK347="◎",I347,J347)/100,2))),0)</f>
        <v>2.29</v>
      </c>
      <c r="AG347" s="203">
        <f t="shared" ca="1" si="44"/>
        <v>0</v>
      </c>
      <c r="AJ347" s="460" t="str">
        <f>IFERROR(VLOOKUP(申込書!$C$30,★業種!$D$2:$E$87,2,FALSE),"")</f>
        <v>1003</v>
      </c>
      <c r="AK347" s="460" t="str">
        <f ca="1">IF(申込書!$C$36="◎",IF(OR(D347="浜坂・温泉",D347="美方・村岡",D347="香住",D347="岡山",D347="大阪"),"",IF(LEFT(F347)="D","◎",IF(AG347=0,"",IFERROR(IF(VLOOKUP(AG347,★仕入先!$A$2:$C$211,3,FALSE)=0,"","◎"),"")))),"")</f>
        <v/>
      </c>
      <c r="AL347" s="460">
        <f>申込書!$H$14</f>
        <v>0</v>
      </c>
      <c r="AM347" s="460" t="str">
        <f>申込書!$C$32</f>
        <v>B4（折り無し）</v>
      </c>
      <c r="AN347" s="460" t="str">
        <f>VLOOKUP(AM347,★サイズ表記!$D$4:$E$55,2,FALSE)</f>
        <v>1001</v>
      </c>
      <c r="AO347" s="460">
        <f>IF(C347&lt;&gt;"⑧兵庫",VLOOKUP(LEFT(F347),★新聞!$A$4:$B$12,2,FALSE),IF(LEFT(F347)&lt;&gt;"S",VLOOKUP(LEFT(F347),★新聞!$A$4:$B$12,2,FALSE),VLOOKUP("X",★新聞!$A$4:$B$12,2,FALSE)))</f>
        <v>5</v>
      </c>
      <c r="AP347" s="460" t="str">
        <f t="shared" ca="1" si="45"/>
        <v>0</v>
      </c>
      <c r="AQ347" s="460" t="str">
        <f>IF(申込書!$C$38="","",申込書!$C$38)</f>
        <v/>
      </c>
    </row>
    <row r="348" spans="1:43">
      <c r="A348" s="463">
        <f t="shared" si="46"/>
        <v>347</v>
      </c>
      <c r="B348" s="463" t="str">
        <f t="shared" si="47"/>
        <v>東部</v>
      </c>
      <c r="C348" s="464" t="s">
        <v>1017</v>
      </c>
      <c r="D348" s="464" t="s">
        <v>1602</v>
      </c>
      <c r="E348" s="464">
        <f>VLOOKUP(D348,★折込地区!$A$2:$D$10,4,FALSE)</f>
        <v>2</v>
      </c>
      <c r="F348" s="464" t="s">
        <v>481</v>
      </c>
      <c r="G348" s="464" t="str">
        <f>INDEX(★新聞!$E$4:$I$12, MATCH(LEFT(F348),★新聞!$A$4:$A$12,0), MATCH(LEFT(W348),★新聞!$E$3:$I$3,0))</f>
        <v>AJ</v>
      </c>
      <c r="H348" s="555" t="s">
        <v>1105</v>
      </c>
      <c r="I348" s="464" cm="1">
        <f t="array" ref="I348">IFERROR(INDEX(★原価率!$A$2:$E$50,MATCH($C348&amp;$H348,★原価率!$A$2:$A$50&amp;★原価率!$B$2:$B$50,0),3),0)</f>
        <v>78</v>
      </c>
      <c r="J348" s="464" cm="1">
        <f t="array" ref="J348">IFERROR(INDEX(★原価率!$A$2:$E$50,MATCH($C348&amp;$H348,★原価率!$A$2:$A$50&amp;★原価率!$B$2:$B$50,0),4),0)</f>
        <v>82</v>
      </c>
      <c r="K348" s="464" cm="1">
        <f t="array" ref="K348">IFERROR(INDEX(★原価率!$A$2:$E$50,MATCH($C348&amp;$H348,★原価率!$A$2:$A$50&amp;★原価率!$B$2:$B$50,0),5),0)</f>
        <v>100</v>
      </c>
      <c r="L348" s="528">
        <f>IFERROR(VLOOKUP(W348,★商品!$A$1:$H$1231,8,FALSE),0)</f>
        <v>2.8</v>
      </c>
      <c r="M348" s="203" t="str">
        <f ca="1">CONCATENATE(VLOOKUP(B348,★営業所!$A$2:$B$5,2,FALSE),TEXT(NOW(),"yyyy"))</f>
        <v>T2023</v>
      </c>
      <c r="N348" s="203">
        <v>1</v>
      </c>
      <c r="O348" s="203">
        <v>0</v>
      </c>
      <c r="P348" s="213">
        <f>申込書!$B$6</f>
        <v>0</v>
      </c>
      <c r="Q348" s="203">
        <f>申込書!$C$34</f>
        <v>1000040</v>
      </c>
      <c r="R348" s="203">
        <v>0</v>
      </c>
      <c r="U348" s="203">
        <f>VLOOKUP(B348,★営業所!$A$2:$C$5,3,FALSE)</f>
        <v>8</v>
      </c>
      <c r="V348" s="203">
        <f>申込書!$B$9</f>
        <v>0</v>
      </c>
      <c r="W348" s="203" t="str">
        <f>CONCATENATE(VLOOKUP(B348,★営業所!$A$2:$B$5,2,FALSE),VLOOKUP(申込書!$C$32,★サイズ表記!$D$4:$E$55,2,FALSE),VLOOKUP(D348,★折込地区!$A$2:$B$11,2,FALSE))</f>
        <v>T1001Kry</v>
      </c>
      <c r="X348" s="203" t="str">
        <f>CONCATENATE(申込書!$B$9," ",VLOOKUP(RIGHT(W348,3),★折込地区!$B$2:$C$10,2,FALSE),"")</f>
        <v xml:space="preserve"> 倉吉</v>
      </c>
      <c r="Z348" s="206">
        <f t="shared" ca="1" si="40"/>
        <v>0</v>
      </c>
      <c r="AB348" s="383">
        <f t="shared" si="41"/>
        <v>2.8</v>
      </c>
      <c r="AC348" s="203" t="str">
        <f t="shared" si="42"/>
        <v>P1001</v>
      </c>
      <c r="AD348" s="203" t="str">
        <f>VLOOKUP(AC348,★原価商品!$E$6:$F$349,2,FALSE)</f>
        <v>産経/B4（折り無し）</v>
      </c>
      <c r="AE348" s="203">
        <f t="shared" ca="1" si="43"/>
        <v>0</v>
      </c>
      <c r="AF348" s="383">
        <f ca="1">IFERROR(IF(VLOOKUP(申込書!$C$32,★サイズ表記!$F$4:$H$55,3,FALSE)="切り捨て",ROUNDDOWN(L348*IF(AK348="◎",I348,J348)/100,2),IF(VLOOKUP(申込書!$C$32,★サイズ表記!$F$4:$H$55,3,FALSE)="切り上げ",ROUNDUP(L348*IF(AK348="◎",I348,J348)/100,2),ROUND(L348*IF(AK348="◎",I348,J348)/100,2))),0)</f>
        <v>2.29</v>
      </c>
      <c r="AG348" s="203">
        <f t="shared" ca="1" si="44"/>
        <v>10303</v>
      </c>
      <c r="AJ348" s="460" t="str">
        <f>IFERROR(VLOOKUP(申込書!$C$30,★業種!$D$2:$E$87,2,FALSE),"")</f>
        <v>1003</v>
      </c>
      <c r="AK348" s="460" t="str">
        <f ca="1">IF(申込書!$C$36="◎",IF(OR(D348="浜坂・温泉",D348="美方・村岡",D348="香住",D348="岡山",D348="大阪"),"",IF(LEFT(F348)="D","◎",IF(AG348=0,"",IFERROR(IF(VLOOKUP(AG348,★仕入先!$A$2:$C$211,3,FALSE)=0,"","◎"),"")))),"")</f>
        <v/>
      </c>
      <c r="AL348" s="460">
        <f>申込書!$H$14</f>
        <v>0</v>
      </c>
      <c r="AM348" s="460" t="str">
        <f>申込書!$C$32</f>
        <v>B4（折り無し）</v>
      </c>
      <c r="AN348" s="460" t="str">
        <f>VLOOKUP(AM348,★サイズ表記!$D$4:$E$55,2,FALSE)</f>
        <v>1001</v>
      </c>
      <c r="AO348" s="460">
        <f>IF(C348&lt;&gt;"⑧兵庫",VLOOKUP(LEFT(F348),★新聞!$A$4:$B$12,2,FALSE),IF(LEFT(F348)&lt;&gt;"S",VLOOKUP(LEFT(F348),★新聞!$A$4:$B$12,2,FALSE),VLOOKUP("X",★新聞!$A$4:$B$12,2,FALSE)))</f>
        <v>5</v>
      </c>
      <c r="AP348" s="460" t="str">
        <f t="shared" ca="1" si="45"/>
        <v>0</v>
      </c>
      <c r="AQ348" s="460" t="str">
        <f>IF(申込書!$C$38="","",申込書!$C$38)</f>
        <v/>
      </c>
    </row>
    <row r="349" spans="1:43">
      <c r="A349" s="463">
        <f t="shared" si="46"/>
        <v>348</v>
      </c>
      <c r="B349" s="463" t="str">
        <f t="shared" si="47"/>
        <v>東部</v>
      </c>
      <c r="C349" s="464" t="s">
        <v>1017</v>
      </c>
      <c r="D349" s="464" t="s">
        <v>1602</v>
      </c>
      <c r="E349" s="464">
        <f>VLOOKUP(D349,★折込地区!$A$2:$D$10,4,FALSE)</f>
        <v>2</v>
      </c>
      <c r="F349" s="464" t="s">
        <v>482</v>
      </c>
      <c r="G349" s="464" t="str">
        <f>INDEX(★新聞!$E$4:$I$12, MATCH(LEFT(F349),★新聞!$A$4:$A$12,0), MATCH(LEFT(W349),★新聞!$E$3:$I$3,0))</f>
        <v>AJ</v>
      </c>
      <c r="H349" s="475" t="s">
        <v>1107</v>
      </c>
      <c r="I349" s="464" cm="1">
        <f t="array" ref="I349">IFERROR(INDEX(★原価率!$A$2:$E$50,MATCH($C349&amp;$H349,★原価率!$A$2:$A$50&amp;★原価率!$B$2:$B$50,0),3),0)</f>
        <v>82</v>
      </c>
      <c r="J349" s="464" cm="1">
        <f t="array" ref="J349">IFERROR(INDEX(★原価率!$A$2:$E$50,MATCH($C349&amp;$H349,★原価率!$A$2:$A$50&amp;★原価率!$B$2:$B$50,0),4),0)</f>
        <v>82</v>
      </c>
      <c r="K349" s="464" cm="1">
        <f t="array" ref="K349">IFERROR(INDEX(★原価率!$A$2:$E$50,MATCH($C349&amp;$H349,★原価率!$A$2:$A$50&amp;★原価率!$B$2:$B$50,0),5),0)</f>
        <v>100</v>
      </c>
      <c r="L349" s="528">
        <f>IFERROR(VLOOKUP(W349,★商品!$A$1:$H$1231,8,FALSE),0)</f>
        <v>2.8</v>
      </c>
      <c r="M349" s="203" t="str">
        <f ca="1">CONCATENATE(VLOOKUP(B349,★営業所!$A$2:$B$5,2,FALSE),TEXT(NOW(),"yyyy"))</f>
        <v>T2023</v>
      </c>
      <c r="N349" s="203">
        <v>1</v>
      </c>
      <c r="O349" s="203">
        <v>0</v>
      </c>
      <c r="P349" s="213">
        <f>申込書!$B$6</f>
        <v>0</v>
      </c>
      <c r="Q349" s="203">
        <f>申込書!$C$34</f>
        <v>1000040</v>
      </c>
      <c r="R349" s="203">
        <v>0</v>
      </c>
      <c r="U349" s="203">
        <f>VLOOKUP(B349,★営業所!$A$2:$C$5,3,FALSE)</f>
        <v>8</v>
      </c>
      <c r="V349" s="203">
        <f>申込書!$B$9</f>
        <v>0</v>
      </c>
      <c r="W349" s="203" t="str">
        <f>CONCATENATE(VLOOKUP(B349,★営業所!$A$2:$B$5,2,FALSE),VLOOKUP(申込書!$C$32,★サイズ表記!$D$4:$E$55,2,FALSE),VLOOKUP(D349,★折込地区!$A$2:$B$11,2,FALSE))</f>
        <v>T1001Kry</v>
      </c>
      <c r="X349" s="203" t="str">
        <f>CONCATENATE(申込書!$B$9," ",VLOOKUP(RIGHT(W349,3),★折込地区!$B$2:$C$10,2,FALSE),"")</f>
        <v xml:space="preserve"> 倉吉</v>
      </c>
      <c r="Z349" s="206">
        <f t="shared" ca="1" si="40"/>
        <v>0</v>
      </c>
      <c r="AB349" s="383">
        <f t="shared" si="41"/>
        <v>2.8</v>
      </c>
      <c r="AC349" s="203" t="str">
        <f t="shared" si="42"/>
        <v>P1001</v>
      </c>
      <c r="AD349" s="203" t="str">
        <f>VLOOKUP(AC349,★原価商品!$E$6:$F$349,2,FALSE)</f>
        <v>産経/B4（折り無し）</v>
      </c>
      <c r="AE349" s="203">
        <f t="shared" ca="1" si="43"/>
        <v>0</v>
      </c>
      <c r="AF349" s="383">
        <f ca="1">IFERROR(IF(VLOOKUP(申込書!$C$32,★サイズ表記!$F$4:$H$55,3,FALSE)="切り捨て",ROUNDDOWN(L349*IF(AK349="◎",I349,J349)/100,2),IF(VLOOKUP(申込書!$C$32,★サイズ表記!$F$4:$H$55,3,FALSE)="切り上げ",ROUNDUP(L349*IF(AK349="◎",I349,J349)/100,2),ROUND(L349*IF(AK349="◎",I349,J349)/100,2))),0)</f>
        <v>2.29</v>
      </c>
      <c r="AG349" s="203">
        <f t="shared" ca="1" si="44"/>
        <v>10303</v>
      </c>
      <c r="AJ349" s="460" t="str">
        <f>IFERROR(VLOOKUP(申込書!$C$30,★業種!$D$2:$E$87,2,FALSE),"")</f>
        <v>1003</v>
      </c>
      <c r="AK349" s="460" t="str">
        <f ca="1">IF(申込書!$C$36="◎",IF(OR(D349="浜坂・温泉",D349="美方・村岡",D349="香住",D349="岡山",D349="大阪"),"",IF(LEFT(F349)="D","◎",IF(AG349=0,"",IFERROR(IF(VLOOKUP(AG349,★仕入先!$A$2:$C$211,3,FALSE)=0,"","◎"),"")))),"")</f>
        <v/>
      </c>
      <c r="AL349" s="460">
        <f>申込書!$H$14</f>
        <v>0</v>
      </c>
      <c r="AM349" s="460" t="str">
        <f>申込書!$C$32</f>
        <v>B4（折り無し）</v>
      </c>
      <c r="AN349" s="460" t="str">
        <f>VLOOKUP(AM349,★サイズ表記!$D$4:$E$55,2,FALSE)</f>
        <v>1001</v>
      </c>
      <c r="AO349" s="460">
        <f>IF(C349&lt;&gt;"⑧兵庫",VLOOKUP(LEFT(F349),★新聞!$A$4:$B$12,2,FALSE),IF(LEFT(F349)&lt;&gt;"S",VLOOKUP(LEFT(F349),★新聞!$A$4:$B$12,2,FALSE),VLOOKUP("X",★新聞!$A$4:$B$12,2,FALSE)))</f>
        <v>5</v>
      </c>
      <c r="AP349" s="460" t="str">
        <f t="shared" ca="1" si="45"/>
        <v>0</v>
      </c>
      <c r="AQ349" s="460" t="str">
        <f>IF(申込書!$C$38="","",申込書!$C$38)</f>
        <v/>
      </c>
    </row>
    <row r="350" spans="1:43">
      <c r="A350" s="463">
        <f t="shared" si="46"/>
        <v>349</v>
      </c>
      <c r="B350" s="463" t="str">
        <f t="shared" si="47"/>
        <v>東部</v>
      </c>
      <c r="C350" s="464" t="s">
        <v>1017</v>
      </c>
      <c r="D350" s="464" t="s">
        <v>1602</v>
      </c>
      <c r="E350" s="464">
        <f>VLOOKUP(D350,★折込地区!$A$2:$D$10,4,FALSE)</f>
        <v>2</v>
      </c>
      <c r="F350" s="464" t="s">
        <v>483</v>
      </c>
      <c r="G350" s="464" t="str">
        <f>INDEX(★新聞!$E$4:$I$12, MATCH(LEFT(F350),★新聞!$A$4:$A$12,0), MATCH(LEFT(W350),★新聞!$E$3:$I$3,0))</f>
        <v>AJ</v>
      </c>
      <c r="H350" s="475" t="s">
        <v>1107</v>
      </c>
      <c r="I350" s="464" cm="1">
        <f t="array" ref="I350">IFERROR(INDEX(★原価率!$A$2:$E$50,MATCH($C350&amp;$H350,★原価率!$A$2:$A$50&amp;★原価率!$B$2:$B$50,0),3),0)</f>
        <v>82</v>
      </c>
      <c r="J350" s="464" cm="1">
        <f t="array" ref="J350">IFERROR(INDEX(★原価率!$A$2:$E$50,MATCH($C350&amp;$H350,★原価率!$A$2:$A$50&amp;★原価率!$B$2:$B$50,0),4),0)</f>
        <v>82</v>
      </c>
      <c r="K350" s="464" cm="1">
        <f t="array" ref="K350">IFERROR(INDEX(★原価率!$A$2:$E$50,MATCH($C350&amp;$H350,★原価率!$A$2:$A$50&amp;★原価率!$B$2:$B$50,0),5),0)</f>
        <v>100</v>
      </c>
      <c r="L350" s="528">
        <f>IFERROR(VLOOKUP(W350,★商品!$A$1:$H$1231,8,FALSE),0)</f>
        <v>2.8</v>
      </c>
      <c r="M350" s="203" t="str">
        <f ca="1">CONCATENATE(VLOOKUP(B350,★営業所!$A$2:$B$5,2,FALSE),TEXT(NOW(),"yyyy"))</f>
        <v>T2023</v>
      </c>
      <c r="N350" s="203">
        <v>1</v>
      </c>
      <c r="O350" s="203">
        <v>0</v>
      </c>
      <c r="P350" s="213">
        <f>申込書!$B$6</f>
        <v>0</v>
      </c>
      <c r="Q350" s="203">
        <f>申込書!$C$34</f>
        <v>1000040</v>
      </c>
      <c r="R350" s="203">
        <v>0</v>
      </c>
      <c r="U350" s="203">
        <f>VLOOKUP(B350,★営業所!$A$2:$C$5,3,FALSE)</f>
        <v>8</v>
      </c>
      <c r="V350" s="203">
        <f>申込書!$B$9</f>
        <v>0</v>
      </c>
      <c r="W350" s="203" t="str">
        <f>CONCATENATE(VLOOKUP(B350,★営業所!$A$2:$B$5,2,FALSE),VLOOKUP(申込書!$C$32,★サイズ表記!$D$4:$E$55,2,FALSE),VLOOKUP(D350,★折込地区!$A$2:$B$11,2,FALSE))</f>
        <v>T1001Kry</v>
      </c>
      <c r="X350" s="203" t="str">
        <f>CONCATENATE(申込書!$B$9," ",VLOOKUP(RIGHT(W350,3),★折込地区!$B$2:$C$10,2,FALSE),"")</f>
        <v xml:space="preserve"> 倉吉</v>
      </c>
      <c r="Z350" s="206">
        <f t="shared" ca="1" si="40"/>
        <v>0</v>
      </c>
      <c r="AB350" s="383">
        <f t="shared" si="41"/>
        <v>2.8</v>
      </c>
      <c r="AC350" s="203" t="str">
        <f t="shared" si="42"/>
        <v>P1001</v>
      </c>
      <c r="AD350" s="203" t="str">
        <f>VLOOKUP(AC350,★原価商品!$E$6:$F$349,2,FALSE)</f>
        <v>産経/B4（折り無し）</v>
      </c>
      <c r="AE350" s="203">
        <f t="shared" ca="1" si="43"/>
        <v>0</v>
      </c>
      <c r="AF350" s="383">
        <f ca="1">IFERROR(IF(VLOOKUP(申込書!$C$32,★サイズ表記!$F$4:$H$55,3,FALSE)="切り捨て",ROUNDDOWN(L350*IF(AK350="◎",I350,J350)/100,2),IF(VLOOKUP(申込書!$C$32,★サイズ表記!$F$4:$H$55,3,FALSE)="切り上げ",ROUNDUP(L350*IF(AK350="◎",I350,J350)/100,2),ROUND(L350*IF(AK350="◎",I350,J350)/100,2))),0)</f>
        <v>2.29</v>
      </c>
      <c r="AG350" s="203">
        <f t="shared" ca="1" si="44"/>
        <v>10303</v>
      </c>
      <c r="AJ350" s="460" t="str">
        <f>IFERROR(VLOOKUP(申込書!$C$30,★業種!$D$2:$E$87,2,FALSE),"")</f>
        <v>1003</v>
      </c>
      <c r="AK350" s="460" t="str">
        <f ca="1">IF(申込書!$C$36="◎",IF(OR(D350="浜坂・温泉",D350="美方・村岡",D350="香住",D350="岡山",D350="大阪"),"",IF(LEFT(F350)="D","◎",IF(AG350=0,"",IFERROR(IF(VLOOKUP(AG350,★仕入先!$A$2:$C$211,3,FALSE)=0,"","◎"),"")))),"")</f>
        <v/>
      </c>
      <c r="AL350" s="460">
        <f>申込書!$H$14</f>
        <v>0</v>
      </c>
      <c r="AM350" s="460" t="str">
        <f>申込書!$C$32</f>
        <v>B4（折り無し）</v>
      </c>
      <c r="AN350" s="460" t="str">
        <f>VLOOKUP(AM350,★サイズ表記!$D$4:$E$55,2,FALSE)</f>
        <v>1001</v>
      </c>
      <c r="AO350" s="460">
        <f>IF(C350&lt;&gt;"⑧兵庫",VLOOKUP(LEFT(F350),★新聞!$A$4:$B$12,2,FALSE),IF(LEFT(F350)&lt;&gt;"S",VLOOKUP(LEFT(F350),★新聞!$A$4:$B$12,2,FALSE),VLOOKUP("X",★新聞!$A$4:$B$12,2,FALSE)))</f>
        <v>5</v>
      </c>
      <c r="AP350" s="460" t="str">
        <f t="shared" ca="1" si="45"/>
        <v>0</v>
      </c>
      <c r="AQ350" s="460" t="str">
        <f>IF(申込書!$C$38="","",申込書!$C$38)</f>
        <v/>
      </c>
    </row>
    <row r="351" spans="1:43">
      <c r="A351" s="463">
        <f t="shared" si="46"/>
        <v>350</v>
      </c>
      <c r="B351" s="463" t="str">
        <f t="shared" si="47"/>
        <v>東部</v>
      </c>
      <c r="C351" s="464" t="s">
        <v>1017</v>
      </c>
      <c r="D351" s="464" t="s">
        <v>1602</v>
      </c>
      <c r="E351" s="464">
        <f>VLOOKUP(D351,★折込地区!$A$2:$D$10,4,FALSE)</f>
        <v>2</v>
      </c>
      <c r="F351" s="464" t="s">
        <v>484</v>
      </c>
      <c r="G351" s="464" t="str">
        <f>INDEX(★新聞!$E$4:$I$12, MATCH(LEFT(F351),★新聞!$A$4:$A$12,0), MATCH(LEFT(W351),★新聞!$E$3:$I$3,0))</f>
        <v>AJ</v>
      </c>
      <c r="H351" s="475" t="s">
        <v>1107</v>
      </c>
      <c r="I351" s="464" cm="1">
        <f t="array" ref="I351">IFERROR(INDEX(★原価率!$A$2:$E$50,MATCH($C351&amp;$H351,★原価率!$A$2:$A$50&amp;★原価率!$B$2:$B$50,0),3),0)</f>
        <v>82</v>
      </c>
      <c r="J351" s="464" cm="1">
        <f t="array" ref="J351">IFERROR(INDEX(★原価率!$A$2:$E$50,MATCH($C351&amp;$H351,★原価率!$A$2:$A$50&amp;★原価率!$B$2:$B$50,0),4),0)</f>
        <v>82</v>
      </c>
      <c r="K351" s="464" cm="1">
        <f t="array" ref="K351">IFERROR(INDEX(★原価率!$A$2:$E$50,MATCH($C351&amp;$H351,★原価率!$A$2:$A$50&amp;★原価率!$B$2:$B$50,0),5),0)</f>
        <v>100</v>
      </c>
      <c r="L351" s="528">
        <f>IFERROR(VLOOKUP(W351,★商品!$A$1:$H$1231,8,FALSE),0)</f>
        <v>2.8</v>
      </c>
      <c r="M351" s="203" t="str">
        <f ca="1">CONCATENATE(VLOOKUP(B351,★営業所!$A$2:$B$5,2,FALSE),TEXT(NOW(),"yyyy"))</f>
        <v>T2023</v>
      </c>
      <c r="N351" s="203">
        <v>1</v>
      </c>
      <c r="O351" s="203">
        <v>0</v>
      </c>
      <c r="P351" s="213">
        <f>申込書!$B$6</f>
        <v>0</v>
      </c>
      <c r="Q351" s="203">
        <f>申込書!$C$34</f>
        <v>1000040</v>
      </c>
      <c r="R351" s="203">
        <v>0</v>
      </c>
      <c r="U351" s="203">
        <f>VLOOKUP(B351,★営業所!$A$2:$C$5,3,FALSE)</f>
        <v>8</v>
      </c>
      <c r="V351" s="203">
        <f>申込書!$B$9</f>
        <v>0</v>
      </c>
      <c r="W351" s="203" t="str">
        <f>CONCATENATE(VLOOKUP(B351,★営業所!$A$2:$B$5,2,FALSE),VLOOKUP(申込書!$C$32,★サイズ表記!$D$4:$E$55,2,FALSE),VLOOKUP(D351,★折込地区!$A$2:$B$11,2,FALSE))</f>
        <v>T1001Kry</v>
      </c>
      <c r="X351" s="203" t="str">
        <f>CONCATENATE(申込書!$B$9," ",VLOOKUP(RIGHT(W351,3),★折込地区!$B$2:$C$10,2,FALSE),"")</f>
        <v xml:space="preserve"> 倉吉</v>
      </c>
      <c r="Z351" s="206">
        <f t="shared" ca="1" si="40"/>
        <v>0</v>
      </c>
      <c r="AB351" s="383">
        <f t="shared" si="41"/>
        <v>2.8</v>
      </c>
      <c r="AC351" s="203" t="str">
        <f t="shared" si="42"/>
        <v>P1001</v>
      </c>
      <c r="AD351" s="203" t="str">
        <f>VLOOKUP(AC351,★原価商品!$E$6:$F$349,2,FALSE)</f>
        <v>産経/B4（折り無し）</v>
      </c>
      <c r="AE351" s="203">
        <f t="shared" ca="1" si="43"/>
        <v>0</v>
      </c>
      <c r="AF351" s="383">
        <f ca="1">IFERROR(IF(VLOOKUP(申込書!$C$32,★サイズ表記!$F$4:$H$55,3,FALSE)="切り捨て",ROUNDDOWN(L351*IF(AK351="◎",I351,J351)/100,2),IF(VLOOKUP(申込書!$C$32,★サイズ表記!$F$4:$H$55,3,FALSE)="切り上げ",ROUNDUP(L351*IF(AK351="◎",I351,J351)/100,2),ROUND(L351*IF(AK351="◎",I351,J351)/100,2))),0)</f>
        <v>2.29</v>
      </c>
      <c r="AG351" s="203">
        <f t="shared" ca="1" si="44"/>
        <v>10303</v>
      </c>
      <c r="AJ351" s="460" t="str">
        <f>IFERROR(VLOOKUP(申込書!$C$30,★業種!$D$2:$E$87,2,FALSE),"")</f>
        <v>1003</v>
      </c>
      <c r="AK351" s="460" t="str">
        <f ca="1">IF(申込書!$C$36="◎",IF(OR(D351="浜坂・温泉",D351="美方・村岡",D351="香住",D351="岡山",D351="大阪"),"",IF(LEFT(F351)="D","◎",IF(AG351=0,"",IFERROR(IF(VLOOKUP(AG351,★仕入先!$A$2:$C$211,3,FALSE)=0,"","◎"),"")))),"")</f>
        <v/>
      </c>
      <c r="AL351" s="460">
        <f>申込書!$H$14</f>
        <v>0</v>
      </c>
      <c r="AM351" s="460" t="str">
        <f>申込書!$C$32</f>
        <v>B4（折り無し）</v>
      </c>
      <c r="AN351" s="460" t="str">
        <f>VLOOKUP(AM351,★サイズ表記!$D$4:$E$55,2,FALSE)</f>
        <v>1001</v>
      </c>
      <c r="AO351" s="460">
        <f>IF(C351&lt;&gt;"⑧兵庫",VLOOKUP(LEFT(F351),★新聞!$A$4:$B$12,2,FALSE),IF(LEFT(F351)&lt;&gt;"S",VLOOKUP(LEFT(F351),★新聞!$A$4:$B$12,2,FALSE),VLOOKUP("X",★新聞!$A$4:$B$12,2,FALSE)))</f>
        <v>5</v>
      </c>
      <c r="AP351" s="460" t="str">
        <f t="shared" ca="1" si="45"/>
        <v>0</v>
      </c>
      <c r="AQ351" s="460" t="str">
        <f>IF(申込書!$C$38="","",申込書!$C$38)</f>
        <v/>
      </c>
    </row>
    <row r="352" spans="1:43">
      <c r="A352" s="463">
        <f t="shared" si="46"/>
        <v>351</v>
      </c>
      <c r="B352" s="463" t="str">
        <f t="shared" si="47"/>
        <v>東部</v>
      </c>
      <c r="C352" s="464" t="s">
        <v>1017</v>
      </c>
      <c r="D352" s="464" t="s">
        <v>1602</v>
      </c>
      <c r="E352" s="464">
        <f>VLOOKUP(D352,★折込地区!$A$2:$D$10,4,FALSE)</f>
        <v>2</v>
      </c>
      <c r="F352" s="464" t="s">
        <v>485</v>
      </c>
      <c r="G352" s="464" t="str">
        <f>INDEX(★新聞!$E$4:$I$12, MATCH(LEFT(F352),★新聞!$A$4:$A$12,0), MATCH(LEFT(W352),★新聞!$E$3:$I$3,0))</f>
        <v>AJ</v>
      </c>
      <c r="H352" s="475" t="s">
        <v>1107</v>
      </c>
      <c r="I352" s="464" cm="1">
        <f t="array" ref="I352">IFERROR(INDEX(★原価率!$A$2:$E$50,MATCH($C352&amp;$H352,★原価率!$A$2:$A$50&amp;★原価率!$B$2:$B$50,0),3),0)</f>
        <v>82</v>
      </c>
      <c r="J352" s="464" cm="1">
        <f t="array" ref="J352">IFERROR(INDEX(★原価率!$A$2:$E$50,MATCH($C352&amp;$H352,★原価率!$A$2:$A$50&amp;★原価率!$B$2:$B$50,0),4),0)</f>
        <v>82</v>
      </c>
      <c r="K352" s="464" cm="1">
        <f t="array" ref="K352">IFERROR(INDEX(★原価率!$A$2:$E$50,MATCH($C352&amp;$H352,★原価率!$A$2:$A$50&amp;★原価率!$B$2:$B$50,0),5),0)</f>
        <v>100</v>
      </c>
      <c r="L352" s="528">
        <f>IFERROR(VLOOKUP(W352,★商品!$A$1:$H$1231,8,FALSE),0)</f>
        <v>2.8</v>
      </c>
      <c r="M352" s="203" t="str">
        <f ca="1">CONCATENATE(VLOOKUP(B352,★営業所!$A$2:$B$5,2,FALSE),TEXT(NOW(),"yyyy"))</f>
        <v>T2023</v>
      </c>
      <c r="N352" s="203">
        <v>1</v>
      </c>
      <c r="O352" s="203">
        <v>0</v>
      </c>
      <c r="P352" s="213">
        <f>申込書!$B$6</f>
        <v>0</v>
      </c>
      <c r="Q352" s="203">
        <f>申込書!$C$34</f>
        <v>1000040</v>
      </c>
      <c r="R352" s="203">
        <v>0</v>
      </c>
      <c r="U352" s="203">
        <f>VLOOKUP(B352,★営業所!$A$2:$C$5,3,FALSE)</f>
        <v>8</v>
      </c>
      <c r="V352" s="203">
        <f>申込書!$B$9</f>
        <v>0</v>
      </c>
      <c r="W352" s="203" t="str">
        <f>CONCATENATE(VLOOKUP(B352,★営業所!$A$2:$B$5,2,FALSE),VLOOKUP(申込書!$C$32,★サイズ表記!$D$4:$E$55,2,FALSE),VLOOKUP(D352,★折込地区!$A$2:$B$11,2,FALSE))</f>
        <v>T1001Kry</v>
      </c>
      <c r="X352" s="203" t="str">
        <f>CONCATENATE(申込書!$B$9," ",VLOOKUP(RIGHT(W352,3),★折込地区!$B$2:$C$10,2,FALSE),"")</f>
        <v xml:space="preserve"> 倉吉</v>
      </c>
      <c r="Z352" s="206">
        <f t="shared" ca="1" si="40"/>
        <v>0</v>
      </c>
      <c r="AB352" s="383">
        <f t="shared" si="41"/>
        <v>2.8</v>
      </c>
      <c r="AC352" s="203" t="str">
        <f t="shared" si="42"/>
        <v>P1001</v>
      </c>
      <c r="AD352" s="203" t="str">
        <f>VLOOKUP(AC352,★原価商品!$E$6:$F$349,2,FALSE)</f>
        <v>産経/B4（折り無し）</v>
      </c>
      <c r="AE352" s="203">
        <f t="shared" ca="1" si="43"/>
        <v>0</v>
      </c>
      <c r="AF352" s="383">
        <f ca="1">IFERROR(IF(VLOOKUP(申込書!$C$32,★サイズ表記!$F$4:$H$55,3,FALSE)="切り捨て",ROUNDDOWN(L352*IF(AK352="◎",I352,J352)/100,2),IF(VLOOKUP(申込書!$C$32,★サイズ表記!$F$4:$H$55,3,FALSE)="切り上げ",ROUNDUP(L352*IF(AK352="◎",I352,J352)/100,2),ROUND(L352*IF(AK352="◎",I352,J352)/100,2))),0)</f>
        <v>2.29</v>
      </c>
      <c r="AG352" s="203">
        <f t="shared" ca="1" si="44"/>
        <v>10303</v>
      </c>
      <c r="AJ352" s="460" t="str">
        <f>IFERROR(VLOOKUP(申込書!$C$30,★業種!$D$2:$E$87,2,FALSE),"")</f>
        <v>1003</v>
      </c>
      <c r="AK352" s="460" t="str">
        <f ca="1">IF(申込書!$C$36="◎",IF(OR(D352="浜坂・温泉",D352="美方・村岡",D352="香住",D352="岡山",D352="大阪"),"",IF(LEFT(F352)="D","◎",IF(AG352=0,"",IFERROR(IF(VLOOKUP(AG352,★仕入先!$A$2:$C$211,3,FALSE)=0,"","◎"),"")))),"")</f>
        <v/>
      </c>
      <c r="AL352" s="460">
        <f>申込書!$H$14</f>
        <v>0</v>
      </c>
      <c r="AM352" s="460" t="str">
        <f>申込書!$C$32</f>
        <v>B4（折り無し）</v>
      </c>
      <c r="AN352" s="460" t="str">
        <f>VLOOKUP(AM352,★サイズ表記!$D$4:$E$55,2,FALSE)</f>
        <v>1001</v>
      </c>
      <c r="AO352" s="460">
        <f>IF(C352&lt;&gt;"⑧兵庫",VLOOKUP(LEFT(F352),★新聞!$A$4:$B$12,2,FALSE),IF(LEFT(F352)&lt;&gt;"S",VLOOKUP(LEFT(F352),★新聞!$A$4:$B$12,2,FALSE),VLOOKUP("X",★新聞!$A$4:$B$12,2,FALSE)))</f>
        <v>5</v>
      </c>
      <c r="AP352" s="460" t="str">
        <f t="shared" ca="1" si="45"/>
        <v>0</v>
      </c>
      <c r="AQ352" s="460" t="str">
        <f>IF(申込書!$C$38="","",申込書!$C$38)</f>
        <v/>
      </c>
    </row>
    <row r="353" spans="1:43">
      <c r="A353" s="463">
        <f t="shared" si="46"/>
        <v>352</v>
      </c>
      <c r="B353" s="463" t="str">
        <f t="shared" si="47"/>
        <v>東部</v>
      </c>
      <c r="C353" s="464" t="s">
        <v>1017</v>
      </c>
      <c r="D353" s="464" t="s">
        <v>1602</v>
      </c>
      <c r="E353" s="464">
        <f>VLOOKUP(D353,★折込地区!$A$2:$D$10,4,FALSE)</f>
        <v>2</v>
      </c>
      <c r="F353" s="464" t="s">
        <v>486</v>
      </c>
      <c r="G353" s="464" t="str">
        <f>INDEX(★新聞!$E$4:$I$12, MATCH(LEFT(F353),★新聞!$A$4:$A$12,0), MATCH(LEFT(W353),★新聞!$E$3:$I$3,0))</f>
        <v>AJ</v>
      </c>
      <c r="H353" s="475" t="s">
        <v>1107</v>
      </c>
      <c r="I353" s="464" cm="1">
        <f t="array" ref="I353">IFERROR(INDEX(★原価率!$A$2:$E$50,MATCH($C353&amp;$H353,★原価率!$A$2:$A$50&amp;★原価率!$B$2:$B$50,0),3),0)</f>
        <v>82</v>
      </c>
      <c r="J353" s="464" cm="1">
        <f t="array" ref="J353">IFERROR(INDEX(★原価率!$A$2:$E$50,MATCH($C353&amp;$H353,★原価率!$A$2:$A$50&amp;★原価率!$B$2:$B$50,0),4),0)</f>
        <v>82</v>
      </c>
      <c r="K353" s="464" cm="1">
        <f t="array" ref="K353">IFERROR(INDEX(★原価率!$A$2:$E$50,MATCH($C353&amp;$H353,★原価率!$A$2:$A$50&amp;★原価率!$B$2:$B$50,0),5),0)</f>
        <v>100</v>
      </c>
      <c r="L353" s="528">
        <f>IFERROR(VLOOKUP(W353,★商品!$A$1:$H$1231,8,FALSE),0)</f>
        <v>2.8</v>
      </c>
      <c r="M353" s="203" t="str">
        <f ca="1">CONCATENATE(VLOOKUP(B353,★営業所!$A$2:$B$5,2,FALSE),TEXT(NOW(),"yyyy"))</f>
        <v>T2023</v>
      </c>
      <c r="N353" s="203">
        <v>1</v>
      </c>
      <c r="O353" s="203">
        <v>0</v>
      </c>
      <c r="P353" s="213">
        <f>申込書!$B$6</f>
        <v>0</v>
      </c>
      <c r="Q353" s="203">
        <f>申込書!$C$34</f>
        <v>1000040</v>
      </c>
      <c r="R353" s="203">
        <v>0</v>
      </c>
      <c r="U353" s="203">
        <f>VLOOKUP(B353,★営業所!$A$2:$C$5,3,FALSE)</f>
        <v>8</v>
      </c>
      <c r="V353" s="203">
        <f>申込書!$B$9</f>
        <v>0</v>
      </c>
      <c r="W353" s="203" t="str">
        <f>CONCATENATE(VLOOKUP(B353,★営業所!$A$2:$B$5,2,FALSE),VLOOKUP(申込書!$C$32,★サイズ表記!$D$4:$E$55,2,FALSE),VLOOKUP(D353,★折込地区!$A$2:$B$11,2,FALSE))</f>
        <v>T1001Kry</v>
      </c>
      <c r="X353" s="203" t="str">
        <f>CONCATENATE(申込書!$B$9," ",VLOOKUP(RIGHT(W353,3),★折込地区!$B$2:$C$10,2,FALSE),"")</f>
        <v xml:space="preserve"> 倉吉</v>
      </c>
      <c r="Z353" s="206">
        <f t="shared" ca="1" si="40"/>
        <v>0</v>
      </c>
      <c r="AB353" s="383">
        <f t="shared" si="41"/>
        <v>2.8</v>
      </c>
      <c r="AC353" s="203" t="str">
        <f t="shared" si="42"/>
        <v>P1001</v>
      </c>
      <c r="AD353" s="203" t="str">
        <f>VLOOKUP(AC353,★原価商品!$E$6:$F$349,2,FALSE)</f>
        <v>産経/B4（折り無し）</v>
      </c>
      <c r="AE353" s="203">
        <f t="shared" ca="1" si="43"/>
        <v>0</v>
      </c>
      <c r="AF353" s="383">
        <f ca="1">IFERROR(IF(VLOOKUP(申込書!$C$32,★サイズ表記!$F$4:$H$55,3,FALSE)="切り捨て",ROUNDDOWN(L353*IF(AK353="◎",I353,J353)/100,2),IF(VLOOKUP(申込書!$C$32,★サイズ表記!$F$4:$H$55,3,FALSE)="切り上げ",ROUNDUP(L353*IF(AK353="◎",I353,J353)/100,2),ROUND(L353*IF(AK353="◎",I353,J353)/100,2))),0)</f>
        <v>2.29</v>
      </c>
      <c r="AG353" s="203">
        <f t="shared" ca="1" si="44"/>
        <v>10303</v>
      </c>
      <c r="AJ353" s="460" t="str">
        <f>IFERROR(VLOOKUP(申込書!$C$30,★業種!$D$2:$E$87,2,FALSE),"")</f>
        <v>1003</v>
      </c>
      <c r="AK353" s="460" t="str">
        <f ca="1">IF(申込書!$C$36="◎",IF(OR(D353="浜坂・温泉",D353="美方・村岡",D353="香住",D353="岡山",D353="大阪"),"",IF(LEFT(F353)="D","◎",IF(AG353=0,"",IFERROR(IF(VLOOKUP(AG353,★仕入先!$A$2:$C$211,3,FALSE)=0,"","◎"),"")))),"")</f>
        <v/>
      </c>
      <c r="AL353" s="460">
        <f>申込書!$H$14</f>
        <v>0</v>
      </c>
      <c r="AM353" s="460" t="str">
        <f>申込書!$C$32</f>
        <v>B4（折り無し）</v>
      </c>
      <c r="AN353" s="460" t="str">
        <f>VLOOKUP(AM353,★サイズ表記!$D$4:$E$55,2,FALSE)</f>
        <v>1001</v>
      </c>
      <c r="AO353" s="460">
        <f>IF(C353&lt;&gt;"⑧兵庫",VLOOKUP(LEFT(F353),★新聞!$A$4:$B$12,2,FALSE),IF(LEFT(F353)&lt;&gt;"S",VLOOKUP(LEFT(F353),★新聞!$A$4:$B$12,2,FALSE),VLOOKUP("X",★新聞!$A$4:$B$12,2,FALSE)))</f>
        <v>5</v>
      </c>
      <c r="AP353" s="460" t="str">
        <f t="shared" ca="1" si="45"/>
        <v>0</v>
      </c>
      <c r="AQ353" s="460" t="str">
        <f>IF(申込書!$C$38="","",申込書!$C$38)</f>
        <v/>
      </c>
    </row>
    <row r="354" spans="1:43">
      <c r="A354" s="463">
        <f t="shared" si="46"/>
        <v>353</v>
      </c>
      <c r="B354" s="463" t="str">
        <f t="shared" si="47"/>
        <v>東部</v>
      </c>
      <c r="C354" s="464" t="s">
        <v>1017</v>
      </c>
      <c r="D354" s="464" t="s">
        <v>1602</v>
      </c>
      <c r="E354" s="464">
        <f>VLOOKUP(D354,★折込地区!$A$2:$D$10,4,FALSE)</f>
        <v>2</v>
      </c>
      <c r="F354" s="464" t="s">
        <v>487</v>
      </c>
      <c r="G354" s="464" t="str">
        <f>INDEX(★新聞!$E$4:$I$12, MATCH(LEFT(F354),★新聞!$A$4:$A$12,0), MATCH(LEFT(W354),★新聞!$E$3:$I$3,0))</f>
        <v>AJ</v>
      </c>
      <c r="H354" s="555" t="s">
        <v>1105</v>
      </c>
      <c r="I354" s="464" cm="1">
        <f t="array" ref="I354">IFERROR(INDEX(★原価率!$A$2:$E$50,MATCH($C354&amp;$H354,★原価率!$A$2:$A$50&amp;★原価率!$B$2:$B$50,0),3),0)</f>
        <v>78</v>
      </c>
      <c r="J354" s="464" cm="1">
        <f t="array" ref="J354">IFERROR(INDEX(★原価率!$A$2:$E$50,MATCH($C354&amp;$H354,★原価率!$A$2:$A$50&amp;★原価率!$B$2:$B$50,0),4),0)</f>
        <v>82</v>
      </c>
      <c r="K354" s="464" cm="1">
        <f t="array" ref="K354">IFERROR(INDEX(★原価率!$A$2:$E$50,MATCH($C354&amp;$H354,★原価率!$A$2:$A$50&amp;★原価率!$B$2:$B$50,0),5),0)</f>
        <v>100</v>
      </c>
      <c r="L354" s="528">
        <f>IFERROR(VLOOKUP(W354,★商品!$A$1:$H$1231,8,FALSE),0)</f>
        <v>2.8</v>
      </c>
      <c r="M354" s="203" t="str">
        <f ca="1">CONCATENATE(VLOOKUP(B354,★営業所!$A$2:$B$5,2,FALSE),TEXT(NOW(),"yyyy"))</f>
        <v>T2023</v>
      </c>
      <c r="N354" s="203">
        <v>1</v>
      </c>
      <c r="O354" s="203">
        <v>0</v>
      </c>
      <c r="P354" s="213">
        <f>申込書!$B$6</f>
        <v>0</v>
      </c>
      <c r="Q354" s="203">
        <f>申込書!$C$34</f>
        <v>1000040</v>
      </c>
      <c r="R354" s="203">
        <v>0</v>
      </c>
      <c r="U354" s="203">
        <f>VLOOKUP(B354,★営業所!$A$2:$C$5,3,FALSE)</f>
        <v>8</v>
      </c>
      <c r="V354" s="203">
        <f>申込書!$B$9</f>
        <v>0</v>
      </c>
      <c r="W354" s="203" t="str">
        <f>CONCATENATE(VLOOKUP(B354,★営業所!$A$2:$B$5,2,FALSE),VLOOKUP(申込書!$C$32,★サイズ表記!$D$4:$E$55,2,FALSE),VLOOKUP(D354,★折込地区!$A$2:$B$11,2,FALSE))</f>
        <v>T1001Kry</v>
      </c>
      <c r="X354" s="203" t="str">
        <f>CONCATENATE(申込書!$B$9," ",VLOOKUP(RIGHT(W354,3),★折込地区!$B$2:$C$10,2,FALSE),"")</f>
        <v xml:space="preserve"> 倉吉</v>
      </c>
      <c r="Z354" s="206">
        <f t="shared" ca="1" si="40"/>
        <v>0</v>
      </c>
      <c r="AB354" s="383">
        <f t="shared" si="41"/>
        <v>2.8</v>
      </c>
      <c r="AC354" s="203" t="str">
        <f t="shared" si="42"/>
        <v>P1001</v>
      </c>
      <c r="AD354" s="203" t="str">
        <f>VLOOKUP(AC354,★原価商品!$E$6:$F$349,2,FALSE)</f>
        <v>産経/B4（折り無し）</v>
      </c>
      <c r="AE354" s="203">
        <f t="shared" ca="1" si="43"/>
        <v>0</v>
      </c>
      <c r="AF354" s="383">
        <f ca="1">IFERROR(IF(VLOOKUP(申込書!$C$32,★サイズ表記!$F$4:$H$55,3,FALSE)="切り捨て",ROUNDDOWN(L354*IF(AK354="◎",I354,J354)/100,2),IF(VLOOKUP(申込書!$C$32,★サイズ表記!$F$4:$H$55,3,FALSE)="切り上げ",ROUNDUP(L354*IF(AK354="◎",I354,J354)/100,2),ROUND(L354*IF(AK354="◎",I354,J354)/100,2))),0)</f>
        <v>2.29</v>
      </c>
      <c r="AG354" s="203">
        <f t="shared" ca="1" si="44"/>
        <v>10303</v>
      </c>
      <c r="AJ354" s="460" t="str">
        <f>IFERROR(VLOOKUP(申込書!$C$30,★業種!$D$2:$E$87,2,FALSE),"")</f>
        <v>1003</v>
      </c>
      <c r="AK354" s="460" t="str">
        <f ca="1">IF(申込書!$C$36="◎",IF(OR(D354="浜坂・温泉",D354="美方・村岡",D354="香住",D354="岡山",D354="大阪"),"",IF(LEFT(F354)="D","◎",IF(AG354=0,"",IFERROR(IF(VLOOKUP(AG354,★仕入先!$A$2:$C$211,3,FALSE)=0,"","◎"),"")))),"")</f>
        <v/>
      </c>
      <c r="AL354" s="460">
        <f>申込書!$H$14</f>
        <v>0</v>
      </c>
      <c r="AM354" s="460" t="str">
        <f>申込書!$C$32</f>
        <v>B4（折り無し）</v>
      </c>
      <c r="AN354" s="460" t="str">
        <f>VLOOKUP(AM354,★サイズ表記!$D$4:$E$55,2,FALSE)</f>
        <v>1001</v>
      </c>
      <c r="AO354" s="460">
        <f>IF(C354&lt;&gt;"⑧兵庫",VLOOKUP(LEFT(F354),★新聞!$A$4:$B$12,2,FALSE),IF(LEFT(F354)&lt;&gt;"S",VLOOKUP(LEFT(F354),★新聞!$A$4:$B$12,2,FALSE),VLOOKUP("X",★新聞!$A$4:$B$12,2,FALSE)))</f>
        <v>5</v>
      </c>
      <c r="AP354" s="460" t="str">
        <f t="shared" ca="1" si="45"/>
        <v>0</v>
      </c>
      <c r="AQ354" s="460" t="str">
        <f>IF(申込書!$C$38="","",申込書!$C$38)</f>
        <v/>
      </c>
    </row>
    <row r="355" spans="1:43">
      <c r="A355" s="463">
        <f t="shared" si="46"/>
        <v>354</v>
      </c>
      <c r="B355" s="463" t="str">
        <f t="shared" si="47"/>
        <v>東部</v>
      </c>
      <c r="C355" s="464" t="s">
        <v>1017</v>
      </c>
      <c r="D355" s="464" t="s">
        <v>1602</v>
      </c>
      <c r="E355" s="464">
        <f>VLOOKUP(D355,★折込地区!$A$2:$D$10,4,FALSE)</f>
        <v>2</v>
      </c>
      <c r="F355" s="464" t="s">
        <v>488</v>
      </c>
      <c r="G355" s="464" t="str">
        <f>INDEX(★新聞!$E$4:$I$12, MATCH(LEFT(F355),★新聞!$A$4:$A$12,0), MATCH(LEFT(W355),★新聞!$E$3:$I$3,0))</f>
        <v>AJ</v>
      </c>
      <c r="H355" s="555" t="s">
        <v>1105</v>
      </c>
      <c r="I355" s="464" cm="1">
        <f t="array" ref="I355">IFERROR(INDEX(★原価率!$A$2:$E$50,MATCH($C355&amp;$H355,★原価率!$A$2:$A$50&amp;★原価率!$B$2:$B$50,0),3),0)</f>
        <v>78</v>
      </c>
      <c r="J355" s="464" cm="1">
        <f t="array" ref="J355">IFERROR(INDEX(★原価率!$A$2:$E$50,MATCH($C355&amp;$H355,★原価率!$A$2:$A$50&amp;★原価率!$B$2:$B$50,0),4),0)</f>
        <v>82</v>
      </c>
      <c r="K355" s="464" cm="1">
        <f t="array" ref="K355">IFERROR(INDEX(★原価率!$A$2:$E$50,MATCH($C355&amp;$H355,★原価率!$A$2:$A$50&amp;★原価率!$B$2:$B$50,0),5),0)</f>
        <v>100</v>
      </c>
      <c r="L355" s="528">
        <f>IFERROR(VLOOKUP(W355,★商品!$A$1:$H$1231,8,FALSE),0)</f>
        <v>2.8</v>
      </c>
      <c r="M355" s="203" t="str">
        <f ca="1">CONCATENATE(VLOOKUP(B355,★営業所!$A$2:$B$5,2,FALSE),TEXT(NOW(),"yyyy"))</f>
        <v>T2023</v>
      </c>
      <c r="N355" s="203">
        <v>1</v>
      </c>
      <c r="O355" s="203">
        <v>0</v>
      </c>
      <c r="P355" s="213">
        <f>申込書!$B$6</f>
        <v>0</v>
      </c>
      <c r="Q355" s="203">
        <f>申込書!$C$34</f>
        <v>1000040</v>
      </c>
      <c r="R355" s="203">
        <v>0</v>
      </c>
      <c r="U355" s="203">
        <f>VLOOKUP(B355,★営業所!$A$2:$C$5,3,FALSE)</f>
        <v>8</v>
      </c>
      <c r="V355" s="203">
        <f>申込書!$B$9</f>
        <v>0</v>
      </c>
      <c r="W355" s="203" t="str">
        <f>CONCATENATE(VLOOKUP(B355,★営業所!$A$2:$B$5,2,FALSE),VLOOKUP(申込書!$C$32,★サイズ表記!$D$4:$E$55,2,FALSE),VLOOKUP(D355,★折込地区!$A$2:$B$11,2,FALSE))</f>
        <v>T1001Kry</v>
      </c>
      <c r="X355" s="203" t="str">
        <f>CONCATENATE(申込書!$B$9," ",VLOOKUP(RIGHT(W355,3),★折込地区!$B$2:$C$10,2,FALSE),"")</f>
        <v xml:space="preserve"> 倉吉</v>
      </c>
      <c r="Z355" s="206">
        <f t="shared" ca="1" si="40"/>
        <v>0</v>
      </c>
      <c r="AB355" s="383">
        <f t="shared" si="41"/>
        <v>2.8</v>
      </c>
      <c r="AC355" s="203" t="str">
        <f t="shared" si="42"/>
        <v>P1001</v>
      </c>
      <c r="AD355" s="203" t="str">
        <f>VLOOKUP(AC355,★原価商品!$E$6:$F$349,2,FALSE)</f>
        <v>産経/B4（折り無し）</v>
      </c>
      <c r="AE355" s="203">
        <f t="shared" ca="1" si="43"/>
        <v>0</v>
      </c>
      <c r="AF355" s="383">
        <f ca="1">IFERROR(IF(VLOOKUP(申込書!$C$32,★サイズ表記!$F$4:$H$55,3,FALSE)="切り捨て",ROUNDDOWN(L355*IF(AK355="◎",I355,J355)/100,2),IF(VLOOKUP(申込書!$C$32,★サイズ表記!$F$4:$H$55,3,FALSE)="切り上げ",ROUNDUP(L355*IF(AK355="◎",I355,J355)/100,2),ROUND(L355*IF(AK355="◎",I355,J355)/100,2))),0)</f>
        <v>2.29</v>
      </c>
      <c r="AG355" s="203">
        <f t="shared" ca="1" si="44"/>
        <v>10303</v>
      </c>
      <c r="AJ355" s="460" t="str">
        <f>IFERROR(VLOOKUP(申込書!$C$30,★業種!$D$2:$E$87,2,FALSE),"")</f>
        <v>1003</v>
      </c>
      <c r="AK355" s="460" t="str">
        <f ca="1">IF(申込書!$C$36="◎",IF(OR(D355="浜坂・温泉",D355="美方・村岡",D355="香住",D355="岡山",D355="大阪"),"",IF(LEFT(F355)="D","◎",IF(AG355=0,"",IFERROR(IF(VLOOKUP(AG355,★仕入先!$A$2:$C$211,3,FALSE)=0,"","◎"),"")))),"")</f>
        <v/>
      </c>
      <c r="AL355" s="460">
        <f>申込書!$H$14</f>
        <v>0</v>
      </c>
      <c r="AM355" s="460" t="str">
        <f>申込書!$C$32</f>
        <v>B4（折り無し）</v>
      </c>
      <c r="AN355" s="460" t="str">
        <f>VLOOKUP(AM355,★サイズ表記!$D$4:$E$55,2,FALSE)</f>
        <v>1001</v>
      </c>
      <c r="AO355" s="460">
        <f>IF(C355&lt;&gt;"⑧兵庫",VLOOKUP(LEFT(F355),★新聞!$A$4:$B$12,2,FALSE),IF(LEFT(F355)&lt;&gt;"S",VLOOKUP(LEFT(F355),★新聞!$A$4:$B$12,2,FALSE),VLOOKUP("X",★新聞!$A$4:$B$12,2,FALSE)))</f>
        <v>5</v>
      </c>
      <c r="AP355" s="460" t="str">
        <f t="shared" ca="1" si="45"/>
        <v>0</v>
      </c>
      <c r="AQ355" s="460" t="str">
        <f>IF(申込書!$C$38="","",申込書!$C$38)</f>
        <v/>
      </c>
    </row>
    <row r="356" spans="1:43">
      <c r="A356" s="463">
        <f t="shared" si="46"/>
        <v>355</v>
      </c>
      <c r="B356" s="463" t="str">
        <f t="shared" si="47"/>
        <v>東部</v>
      </c>
      <c r="C356" s="464" t="s">
        <v>1017</v>
      </c>
      <c r="D356" s="464" t="s">
        <v>1602</v>
      </c>
      <c r="E356" s="464">
        <f>VLOOKUP(D356,★折込地区!$A$2:$D$10,4,FALSE)</f>
        <v>2</v>
      </c>
      <c r="F356" s="464" t="s">
        <v>491</v>
      </c>
      <c r="G356" s="464" t="str">
        <f>INDEX(★新聞!$E$4:$I$12, MATCH(LEFT(F356),★新聞!$A$4:$A$12,0), MATCH(LEFT(W356),★新聞!$E$3:$I$3,0))</f>
        <v>AM</v>
      </c>
      <c r="H356" s="475" t="s">
        <v>1103</v>
      </c>
      <c r="I356" s="464" cm="1">
        <f t="array" ref="I356">IFERROR(INDEX(★原価率!$A$2:$E$50,MATCH($C356&amp;$H356,★原価率!$A$2:$A$50&amp;★原価率!$B$2:$B$50,0),3),0)</f>
        <v>86</v>
      </c>
      <c r="J356" s="464" cm="1">
        <f t="array" ref="J356">IFERROR(INDEX(★原価率!$A$2:$E$50,MATCH($C356&amp;$H356,★原価率!$A$2:$A$50&amp;★原価率!$B$2:$B$50,0),4),0)</f>
        <v>86</v>
      </c>
      <c r="K356" s="464" cm="1">
        <f t="array" ref="K356">IFERROR(INDEX(★原価率!$A$2:$E$50,MATCH($C356&amp;$H356,★原価率!$A$2:$A$50&amp;★原価率!$B$2:$B$50,0),5),0)</f>
        <v>100</v>
      </c>
      <c r="L356" s="528">
        <f>IFERROR(VLOOKUP(W356,★商品!$A$1:$H$1231,8,FALSE),0)</f>
        <v>2.8</v>
      </c>
      <c r="M356" s="203" t="str">
        <f ca="1">CONCATENATE(VLOOKUP(B356,★営業所!$A$2:$B$5,2,FALSE),TEXT(NOW(),"yyyy"))</f>
        <v>T2023</v>
      </c>
      <c r="N356" s="203">
        <v>1</v>
      </c>
      <c r="O356" s="203">
        <v>0</v>
      </c>
      <c r="P356" s="213">
        <f>申込書!$B$6</f>
        <v>0</v>
      </c>
      <c r="Q356" s="203">
        <f>申込書!$C$34</f>
        <v>1000040</v>
      </c>
      <c r="R356" s="203">
        <v>0</v>
      </c>
      <c r="U356" s="203">
        <f>VLOOKUP(B356,★営業所!$A$2:$C$5,3,FALSE)</f>
        <v>8</v>
      </c>
      <c r="V356" s="203">
        <f>申込書!$B$9</f>
        <v>0</v>
      </c>
      <c r="W356" s="203" t="str">
        <f>CONCATENATE(VLOOKUP(B356,★営業所!$A$2:$B$5,2,FALSE),VLOOKUP(申込書!$C$32,★サイズ表記!$D$4:$E$55,2,FALSE),VLOOKUP(D356,★折込地区!$A$2:$B$11,2,FALSE))</f>
        <v>T1001Kry</v>
      </c>
      <c r="X356" s="203" t="str">
        <f>CONCATENATE(申込書!$B$9," ",VLOOKUP(RIGHT(W356,3),★折込地区!$B$2:$C$10,2,FALSE),"")</f>
        <v xml:space="preserve"> 倉吉</v>
      </c>
      <c r="Z356" s="206">
        <f t="shared" ca="1" si="40"/>
        <v>0</v>
      </c>
      <c r="AB356" s="383">
        <f t="shared" si="41"/>
        <v>2.8</v>
      </c>
      <c r="AC356" s="203" t="str">
        <f t="shared" si="42"/>
        <v>S1001</v>
      </c>
      <c r="AD356" s="203" t="str">
        <f>VLOOKUP(AC356,★原価商品!$E$6:$F$349,2,FALSE)</f>
        <v>山陰中央/B4（折り無し）</v>
      </c>
      <c r="AE356" s="203">
        <f t="shared" ca="1" si="43"/>
        <v>0</v>
      </c>
      <c r="AF356" s="383">
        <f ca="1">IFERROR(IF(VLOOKUP(申込書!$C$32,★サイズ表記!$F$4:$H$55,3,FALSE)="切り捨て",ROUNDDOWN(L356*IF(AK356="◎",I356,J356)/100,2),IF(VLOOKUP(申込書!$C$32,★サイズ表記!$F$4:$H$55,3,FALSE)="切り上げ",ROUNDUP(L356*IF(AK356="◎",I356,J356)/100,2),ROUND(L356*IF(AK356="◎",I356,J356)/100,2))),0)</f>
        <v>2.4</v>
      </c>
      <c r="AG356" s="203">
        <f t="shared" ca="1" si="44"/>
        <v>10303</v>
      </c>
      <c r="AJ356" s="460" t="str">
        <f>IFERROR(VLOOKUP(申込書!$C$30,★業種!$D$2:$E$87,2,FALSE),"")</f>
        <v>1003</v>
      </c>
      <c r="AK356" s="460" t="str">
        <f ca="1">IF(申込書!$C$36="◎",IF(OR(D356="浜坂・温泉",D356="美方・村岡",D356="香住",D356="岡山",D356="大阪"),"",IF(LEFT(F356)="D","◎",IF(AG356=0,"",IFERROR(IF(VLOOKUP(AG356,★仕入先!$A$2:$C$211,3,FALSE)=0,"","◎"),"")))),"")</f>
        <v/>
      </c>
      <c r="AL356" s="460">
        <f>申込書!$H$14</f>
        <v>0</v>
      </c>
      <c r="AM356" s="460" t="str">
        <f>申込書!$C$32</f>
        <v>B4（折り無し）</v>
      </c>
      <c r="AN356" s="460" t="str">
        <f>VLOOKUP(AM356,★サイズ表記!$D$4:$E$55,2,FALSE)</f>
        <v>1001</v>
      </c>
      <c r="AO356" s="460">
        <f>IF(C356&lt;&gt;"⑧兵庫",VLOOKUP(LEFT(F356),★新聞!$A$4:$B$12,2,FALSE),IF(LEFT(F356)&lt;&gt;"S",VLOOKUP(LEFT(F356),★新聞!$A$4:$B$12,2,FALSE),VLOOKUP("X",★新聞!$A$4:$B$12,2,FALSE)))</f>
        <v>6</v>
      </c>
      <c r="AP356" s="460" t="str">
        <f t="shared" ca="1" si="45"/>
        <v>0</v>
      </c>
      <c r="AQ356" s="460" t="str">
        <f>IF(申込書!$C$38="","",申込書!$C$38)</f>
        <v/>
      </c>
    </row>
    <row r="357" spans="1:43">
      <c r="A357" s="463">
        <f t="shared" si="46"/>
        <v>356</v>
      </c>
      <c r="B357" s="463" t="str">
        <f t="shared" si="47"/>
        <v>東部</v>
      </c>
      <c r="C357" s="464" t="s">
        <v>1017</v>
      </c>
      <c r="D357" s="464" t="s">
        <v>1602</v>
      </c>
      <c r="E357" s="464">
        <f>VLOOKUP(D357,★折込地区!$A$2:$D$10,4,FALSE)</f>
        <v>2</v>
      </c>
      <c r="F357" s="464" t="s">
        <v>492</v>
      </c>
      <c r="G357" s="464" t="str">
        <f>INDEX(★新聞!$E$4:$I$12, MATCH(LEFT(F357),★新聞!$A$4:$A$12,0), MATCH(LEFT(W357),★新聞!$E$3:$I$3,0))</f>
        <v>AM</v>
      </c>
      <c r="H357" s="475" t="s">
        <v>1103</v>
      </c>
      <c r="I357" s="464" cm="1">
        <f t="array" ref="I357">IFERROR(INDEX(★原価率!$A$2:$E$50,MATCH($C357&amp;$H357,★原価率!$A$2:$A$50&amp;★原価率!$B$2:$B$50,0),3),0)</f>
        <v>86</v>
      </c>
      <c r="J357" s="464" cm="1">
        <f t="array" ref="J357">IFERROR(INDEX(★原価率!$A$2:$E$50,MATCH($C357&amp;$H357,★原価率!$A$2:$A$50&amp;★原価率!$B$2:$B$50,0),4),0)</f>
        <v>86</v>
      </c>
      <c r="K357" s="464" cm="1">
        <f t="array" ref="K357">IFERROR(INDEX(★原価率!$A$2:$E$50,MATCH($C357&amp;$H357,★原価率!$A$2:$A$50&amp;★原価率!$B$2:$B$50,0),5),0)</f>
        <v>100</v>
      </c>
      <c r="L357" s="528">
        <f>IFERROR(VLOOKUP(W357,★商品!$A$1:$H$1231,8,FALSE),0)</f>
        <v>2.8</v>
      </c>
      <c r="M357" s="203" t="str">
        <f ca="1">CONCATENATE(VLOOKUP(B357,★営業所!$A$2:$B$5,2,FALSE),TEXT(NOW(),"yyyy"))</f>
        <v>T2023</v>
      </c>
      <c r="N357" s="203">
        <v>1</v>
      </c>
      <c r="O357" s="203">
        <v>0</v>
      </c>
      <c r="P357" s="213">
        <f>申込書!$B$6</f>
        <v>0</v>
      </c>
      <c r="Q357" s="203">
        <f>申込書!$C$34</f>
        <v>1000040</v>
      </c>
      <c r="R357" s="203">
        <v>0</v>
      </c>
      <c r="U357" s="203">
        <f>VLOOKUP(B357,★営業所!$A$2:$C$5,3,FALSE)</f>
        <v>8</v>
      </c>
      <c r="V357" s="203">
        <f>申込書!$B$9</f>
        <v>0</v>
      </c>
      <c r="W357" s="203" t="str">
        <f>CONCATENATE(VLOOKUP(B357,★営業所!$A$2:$B$5,2,FALSE),VLOOKUP(申込書!$C$32,★サイズ表記!$D$4:$E$55,2,FALSE),VLOOKUP(D357,★折込地区!$A$2:$B$11,2,FALSE))</f>
        <v>T1001Kry</v>
      </c>
      <c r="X357" s="203" t="str">
        <f>CONCATENATE(申込書!$B$9," ",VLOOKUP(RIGHT(W357,3),★折込地区!$B$2:$C$10,2,FALSE),"")</f>
        <v xml:space="preserve"> 倉吉</v>
      </c>
      <c r="Z357" s="206">
        <f t="shared" ca="1" si="40"/>
        <v>0</v>
      </c>
      <c r="AB357" s="383">
        <f t="shared" si="41"/>
        <v>2.8</v>
      </c>
      <c r="AC357" s="203" t="str">
        <f t="shared" si="42"/>
        <v>S1001</v>
      </c>
      <c r="AD357" s="203" t="str">
        <f>VLOOKUP(AC357,★原価商品!$E$6:$F$349,2,FALSE)</f>
        <v>山陰中央/B4（折り無し）</v>
      </c>
      <c r="AE357" s="203">
        <f t="shared" ca="1" si="43"/>
        <v>0</v>
      </c>
      <c r="AF357" s="383">
        <f ca="1">IFERROR(IF(VLOOKUP(申込書!$C$32,★サイズ表記!$F$4:$H$55,3,FALSE)="切り捨て",ROUNDDOWN(L357*IF(AK357="◎",I357,J357)/100,2),IF(VLOOKUP(申込書!$C$32,★サイズ表記!$F$4:$H$55,3,FALSE)="切り上げ",ROUNDUP(L357*IF(AK357="◎",I357,J357)/100,2),ROUND(L357*IF(AK357="◎",I357,J357)/100,2))),0)</f>
        <v>2.4</v>
      </c>
      <c r="AG357" s="203">
        <f t="shared" ca="1" si="44"/>
        <v>0</v>
      </c>
      <c r="AJ357" s="460" t="str">
        <f>IFERROR(VLOOKUP(申込書!$C$30,★業種!$D$2:$E$87,2,FALSE),"")</f>
        <v>1003</v>
      </c>
      <c r="AK357" s="460" t="str">
        <f ca="1">IF(申込書!$C$36="◎",IF(OR(D357="浜坂・温泉",D357="美方・村岡",D357="香住",D357="岡山",D357="大阪"),"",IF(LEFT(F357)="D","◎",IF(AG357=0,"",IFERROR(IF(VLOOKUP(AG357,★仕入先!$A$2:$C$211,3,FALSE)=0,"","◎"),"")))),"")</f>
        <v/>
      </c>
      <c r="AL357" s="460">
        <f>申込書!$H$14</f>
        <v>0</v>
      </c>
      <c r="AM357" s="460" t="str">
        <f>申込書!$C$32</f>
        <v>B4（折り無し）</v>
      </c>
      <c r="AN357" s="460" t="str">
        <f>VLOOKUP(AM357,★サイズ表記!$D$4:$E$55,2,FALSE)</f>
        <v>1001</v>
      </c>
      <c r="AO357" s="460">
        <f>IF(C357&lt;&gt;"⑧兵庫",VLOOKUP(LEFT(F357),★新聞!$A$4:$B$12,2,FALSE),IF(LEFT(F357)&lt;&gt;"S",VLOOKUP(LEFT(F357),★新聞!$A$4:$B$12,2,FALSE),VLOOKUP("X",★新聞!$A$4:$B$12,2,FALSE)))</f>
        <v>6</v>
      </c>
      <c r="AP357" s="460" t="str">
        <f t="shared" ca="1" si="45"/>
        <v>0</v>
      </c>
      <c r="AQ357" s="460" t="str">
        <f>IF(申込書!$C$38="","",申込書!$C$38)</f>
        <v/>
      </c>
    </row>
    <row r="358" spans="1:43">
      <c r="A358" s="463">
        <f t="shared" si="46"/>
        <v>357</v>
      </c>
      <c r="B358" s="463" t="str">
        <f t="shared" si="47"/>
        <v>東部</v>
      </c>
      <c r="C358" s="464" t="s">
        <v>1017</v>
      </c>
      <c r="D358" s="464" t="s">
        <v>1602</v>
      </c>
      <c r="E358" s="464">
        <f>VLOOKUP(D358,★折込地区!$A$2:$D$10,4,FALSE)</f>
        <v>2</v>
      </c>
      <c r="F358" s="464" t="s">
        <v>493</v>
      </c>
      <c r="G358" s="464" t="str">
        <f>INDEX(★新聞!$E$4:$I$12, MATCH(LEFT(F358),★新聞!$A$4:$A$12,0), MATCH(LEFT(W358),★新聞!$E$3:$I$3,0))</f>
        <v>AM</v>
      </c>
      <c r="H358" s="475" t="s">
        <v>1103</v>
      </c>
      <c r="I358" s="464" cm="1">
        <f t="array" ref="I358">IFERROR(INDEX(★原価率!$A$2:$E$50,MATCH($C358&amp;$H358,★原価率!$A$2:$A$50&amp;★原価率!$B$2:$B$50,0),3),0)</f>
        <v>86</v>
      </c>
      <c r="J358" s="464" cm="1">
        <f t="array" ref="J358">IFERROR(INDEX(★原価率!$A$2:$E$50,MATCH($C358&amp;$H358,★原価率!$A$2:$A$50&amp;★原価率!$B$2:$B$50,0),4),0)</f>
        <v>86</v>
      </c>
      <c r="K358" s="464" cm="1">
        <f t="array" ref="K358">IFERROR(INDEX(★原価率!$A$2:$E$50,MATCH($C358&amp;$H358,★原価率!$A$2:$A$50&amp;★原価率!$B$2:$B$50,0),5),0)</f>
        <v>100</v>
      </c>
      <c r="L358" s="528">
        <f>IFERROR(VLOOKUP(W358,★商品!$A$1:$H$1231,8,FALSE),0)</f>
        <v>2.8</v>
      </c>
      <c r="M358" s="203" t="str">
        <f ca="1">CONCATENATE(VLOOKUP(B358,★営業所!$A$2:$B$5,2,FALSE),TEXT(NOW(),"yyyy"))</f>
        <v>T2023</v>
      </c>
      <c r="N358" s="203">
        <v>1</v>
      </c>
      <c r="O358" s="203">
        <v>0</v>
      </c>
      <c r="P358" s="213">
        <f>申込書!$B$6</f>
        <v>0</v>
      </c>
      <c r="Q358" s="203">
        <f>申込書!$C$34</f>
        <v>1000040</v>
      </c>
      <c r="R358" s="203">
        <v>0</v>
      </c>
      <c r="U358" s="203">
        <f>VLOOKUP(B358,★営業所!$A$2:$C$5,3,FALSE)</f>
        <v>8</v>
      </c>
      <c r="V358" s="203">
        <f>申込書!$B$9</f>
        <v>0</v>
      </c>
      <c r="W358" s="203" t="str">
        <f>CONCATENATE(VLOOKUP(B358,★営業所!$A$2:$B$5,2,FALSE),VLOOKUP(申込書!$C$32,★サイズ表記!$D$4:$E$55,2,FALSE),VLOOKUP(D358,★折込地区!$A$2:$B$11,2,FALSE))</f>
        <v>T1001Kry</v>
      </c>
      <c r="X358" s="203" t="str">
        <f>CONCATENATE(申込書!$B$9," ",VLOOKUP(RIGHT(W358,3),★折込地区!$B$2:$C$10,2,FALSE),"")</f>
        <v xml:space="preserve"> 倉吉</v>
      </c>
      <c r="Z358" s="206">
        <f t="shared" ca="1" si="40"/>
        <v>0</v>
      </c>
      <c r="AB358" s="383">
        <f t="shared" si="41"/>
        <v>2.8</v>
      </c>
      <c r="AC358" s="203" t="str">
        <f t="shared" si="42"/>
        <v>S1001</v>
      </c>
      <c r="AD358" s="203" t="str">
        <f>VLOOKUP(AC358,★原価商品!$E$6:$F$349,2,FALSE)</f>
        <v>山陰中央/B4（折り無し）</v>
      </c>
      <c r="AE358" s="203">
        <f t="shared" ca="1" si="43"/>
        <v>0</v>
      </c>
      <c r="AF358" s="383">
        <f ca="1">IFERROR(IF(VLOOKUP(申込書!$C$32,★サイズ表記!$F$4:$H$55,3,FALSE)="切り捨て",ROUNDDOWN(L358*IF(AK358="◎",I358,J358)/100,2),IF(VLOOKUP(申込書!$C$32,★サイズ表記!$F$4:$H$55,3,FALSE)="切り上げ",ROUNDUP(L358*IF(AK358="◎",I358,J358)/100,2),ROUND(L358*IF(AK358="◎",I358,J358)/100,2))),0)</f>
        <v>2.4</v>
      </c>
      <c r="AG358" s="203">
        <f t="shared" ca="1" si="44"/>
        <v>0</v>
      </c>
      <c r="AJ358" s="460" t="str">
        <f>IFERROR(VLOOKUP(申込書!$C$30,★業種!$D$2:$E$87,2,FALSE),"")</f>
        <v>1003</v>
      </c>
      <c r="AK358" s="460" t="str">
        <f ca="1">IF(申込書!$C$36="◎",IF(OR(D358="浜坂・温泉",D358="美方・村岡",D358="香住",D358="岡山",D358="大阪"),"",IF(LEFT(F358)="D","◎",IF(AG358=0,"",IFERROR(IF(VLOOKUP(AG358,★仕入先!$A$2:$C$211,3,FALSE)=0,"","◎"),"")))),"")</f>
        <v/>
      </c>
      <c r="AL358" s="460">
        <f>申込書!$H$14</f>
        <v>0</v>
      </c>
      <c r="AM358" s="460" t="str">
        <f>申込書!$C$32</f>
        <v>B4（折り無し）</v>
      </c>
      <c r="AN358" s="460" t="str">
        <f>VLOOKUP(AM358,★サイズ表記!$D$4:$E$55,2,FALSE)</f>
        <v>1001</v>
      </c>
      <c r="AO358" s="460">
        <f>IF(C358&lt;&gt;"⑧兵庫",VLOOKUP(LEFT(F358),★新聞!$A$4:$B$12,2,FALSE),IF(LEFT(F358)&lt;&gt;"S",VLOOKUP(LEFT(F358),★新聞!$A$4:$B$12,2,FALSE),VLOOKUP("X",★新聞!$A$4:$B$12,2,FALSE)))</f>
        <v>6</v>
      </c>
      <c r="AP358" s="460" t="str">
        <f t="shared" ca="1" si="45"/>
        <v>0</v>
      </c>
      <c r="AQ358" s="460" t="str">
        <f>IF(申込書!$C$38="","",申込書!$C$38)</f>
        <v/>
      </c>
    </row>
    <row r="359" spans="1:43">
      <c r="A359" s="463">
        <f t="shared" si="46"/>
        <v>358</v>
      </c>
      <c r="B359" s="463" t="str">
        <f t="shared" si="47"/>
        <v>東部</v>
      </c>
      <c r="C359" s="464" t="s">
        <v>1017</v>
      </c>
      <c r="D359" s="464" t="s">
        <v>1602</v>
      </c>
      <c r="E359" s="464">
        <f>VLOOKUP(D359,★折込地区!$A$2:$D$10,4,FALSE)</f>
        <v>2</v>
      </c>
      <c r="F359" s="464" t="s">
        <v>494</v>
      </c>
      <c r="G359" s="464" t="str">
        <f>INDEX(★新聞!$E$4:$I$12, MATCH(LEFT(F359),★新聞!$A$4:$A$12,0), MATCH(LEFT(W359),★新聞!$E$3:$I$3,0))</f>
        <v>AM</v>
      </c>
      <c r="H359" s="475" t="s">
        <v>1103</v>
      </c>
      <c r="I359" s="464" cm="1">
        <f t="array" ref="I359">IFERROR(INDEX(★原価率!$A$2:$E$50,MATCH($C359&amp;$H359,★原価率!$A$2:$A$50&amp;★原価率!$B$2:$B$50,0),3),0)</f>
        <v>86</v>
      </c>
      <c r="J359" s="464" cm="1">
        <f t="array" ref="J359">IFERROR(INDEX(★原価率!$A$2:$E$50,MATCH($C359&amp;$H359,★原価率!$A$2:$A$50&amp;★原価率!$B$2:$B$50,0),4),0)</f>
        <v>86</v>
      </c>
      <c r="K359" s="464" cm="1">
        <f t="array" ref="K359">IFERROR(INDEX(★原価率!$A$2:$E$50,MATCH($C359&amp;$H359,★原価率!$A$2:$A$50&amp;★原価率!$B$2:$B$50,0),5),0)</f>
        <v>100</v>
      </c>
      <c r="L359" s="528">
        <f>IFERROR(VLOOKUP(W359,★商品!$A$1:$H$1231,8,FALSE),0)</f>
        <v>2.8</v>
      </c>
      <c r="M359" s="203" t="str">
        <f ca="1">CONCATENATE(VLOOKUP(B359,★営業所!$A$2:$B$5,2,FALSE),TEXT(NOW(),"yyyy"))</f>
        <v>T2023</v>
      </c>
      <c r="N359" s="203">
        <v>1</v>
      </c>
      <c r="O359" s="203">
        <v>0</v>
      </c>
      <c r="P359" s="213">
        <f>申込書!$B$6</f>
        <v>0</v>
      </c>
      <c r="Q359" s="203">
        <f>申込書!$C$34</f>
        <v>1000040</v>
      </c>
      <c r="R359" s="203">
        <v>0</v>
      </c>
      <c r="U359" s="203">
        <f>VLOOKUP(B359,★営業所!$A$2:$C$5,3,FALSE)</f>
        <v>8</v>
      </c>
      <c r="V359" s="203">
        <f>申込書!$B$9</f>
        <v>0</v>
      </c>
      <c r="W359" s="203" t="str">
        <f>CONCATENATE(VLOOKUP(B359,★営業所!$A$2:$B$5,2,FALSE),VLOOKUP(申込書!$C$32,★サイズ表記!$D$4:$E$55,2,FALSE),VLOOKUP(D359,★折込地区!$A$2:$B$11,2,FALSE))</f>
        <v>T1001Kry</v>
      </c>
      <c r="X359" s="203" t="str">
        <f>CONCATENATE(申込書!$B$9," ",VLOOKUP(RIGHT(W359,3),★折込地区!$B$2:$C$10,2,FALSE),"")</f>
        <v xml:space="preserve"> 倉吉</v>
      </c>
      <c r="Z359" s="206">
        <f t="shared" ca="1" si="40"/>
        <v>0</v>
      </c>
      <c r="AB359" s="383">
        <f t="shared" si="41"/>
        <v>2.8</v>
      </c>
      <c r="AC359" s="203" t="str">
        <f t="shared" si="42"/>
        <v>S1001</v>
      </c>
      <c r="AD359" s="203" t="str">
        <f>VLOOKUP(AC359,★原価商品!$E$6:$F$349,2,FALSE)</f>
        <v>山陰中央/B4（折り無し）</v>
      </c>
      <c r="AE359" s="203">
        <f t="shared" ca="1" si="43"/>
        <v>0</v>
      </c>
      <c r="AF359" s="383">
        <f ca="1">IFERROR(IF(VLOOKUP(申込書!$C$32,★サイズ表記!$F$4:$H$55,3,FALSE)="切り捨て",ROUNDDOWN(L359*IF(AK359="◎",I359,J359)/100,2),IF(VLOOKUP(申込書!$C$32,★サイズ表記!$F$4:$H$55,3,FALSE)="切り上げ",ROUNDUP(L359*IF(AK359="◎",I359,J359)/100,2),ROUND(L359*IF(AK359="◎",I359,J359)/100,2))),0)</f>
        <v>2.4</v>
      </c>
      <c r="AG359" s="203">
        <f t="shared" ca="1" si="44"/>
        <v>0</v>
      </c>
      <c r="AJ359" s="460" t="str">
        <f>IFERROR(VLOOKUP(申込書!$C$30,★業種!$D$2:$E$87,2,FALSE),"")</f>
        <v>1003</v>
      </c>
      <c r="AK359" s="460" t="str">
        <f ca="1">IF(申込書!$C$36="◎",IF(OR(D359="浜坂・温泉",D359="美方・村岡",D359="香住",D359="岡山",D359="大阪"),"",IF(LEFT(F359)="D","◎",IF(AG359=0,"",IFERROR(IF(VLOOKUP(AG359,★仕入先!$A$2:$C$211,3,FALSE)=0,"","◎"),"")))),"")</f>
        <v/>
      </c>
      <c r="AL359" s="460">
        <f>申込書!$H$14</f>
        <v>0</v>
      </c>
      <c r="AM359" s="460" t="str">
        <f>申込書!$C$32</f>
        <v>B4（折り無し）</v>
      </c>
      <c r="AN359" s="460" t="str">
        <f>VLOOKUP(AM359,★サイズ表記!$D$4:$E$55,2,FALSE)</f>
        <v>1001</v>
      </c>
      <c r="AO359" s="460">
        <f>IF(C359&lt;&gt;"⑧兵庫",VLOOKUP(LEFT(F359),★新聞!$A$4:$B$12,2,FALSE),IF(LEFT(F359)&lt;&gt;"S",VLOOKUP(LEFT(F359),★新聞!$A$4:$B$12,2,FALSE),VLOOKUP("X",★新聞!$A$4:$B$12,2,FALSE)))</f>
        <v>6</v>
      </c>
      <c r="AP359" s="460" t="str">
        <f t="shared" ca="1" si="45"/>
        <v>0</v>
      </c>
      <c r="AQ359" s="460" t="str">
        <f>IF(申込書!$C$38="","",申込書!$C$38)</f>
        <v/>
      </c>
    </row>
    <row r="360" spans="1:43">
      <c r="A360" s="463">
        <f t="shared" si="46"/>
        <v>359</v>
      </c>
      <c r="B360" s="463" t="str">
        <f t="shared" si="47"/>
        <v>東部</v>
      </c>
      <c r="C360" s="464" t="s">
        <v>1017</v>
      </c>
      <c r="D360" s="464" t="s">
        <v>1602</v>
      </c>
      <c r="E360" s="464">
        <f>VLOOKUP(D360,★折込地区!$A$2:$D$10,4,FALSE)</f>
        <v>2</v>
      </c>
      <c r="F360" s="464" t="s">
        <v>495</v>
      </c>
      <c r="G360" s="464" t="str">
        <f>INDEX(★新聞!$E$4:$I$12, MATCH(LEFT(F360),★新聞!$A$4:$A$12,0), MATCH(LEFT(W360),★新聞!$E$3:$I$3,0))</f>
        <v>AM</v>
      </c>
      <c r="H360" s="475" t="s">
        <v>1103</v>
      </c>
      <c r="I360" s="464" cm="1">
        <f t="array" ref="I360">IFERROR(INDEX(★原価率!$A$2:$E$50,MATCH($C360&amp;$H360,★原価率!$A$2:$A$50&amp;★原価率!$B$2:$B$50,0),3),0)</f>
        <v>86</v>
      </c>
      <c r="J360" s="464" cm="1">
        <f t="array" ref="J360">IFERROR(INDEX(★原価率!$A$2:$E$50,MATCH($C360&amp;$H360,★原価率!$A$2:$A$50&amp;★原価率!$B$2:$B$50,0),4),0)</f>
        <v>86</v>
      </c>
      <c r="K360" s="464" cm="1">
        <f t="array" ref="K360">IFERROR(INDEX(★原価率!$A$2:$E$50,MATCH($C360&amp;$H360,★原価率!$A$2:$A$50&amp;★原価率!$B$2:$B$50,0),5),0)</f>
        <v>100</v>
      </c>
      <c r="L360" s="528">
        <f>IFERROR(VLOOKUP(W360,★商品!$A$1:$H$1231,8,FALSE),0)</f>
        <v>2.8</v>
      </c>
      <c r="M360" s="203" t="str">
        <f ca="1">CONCATENATE(VLOOKUP(B360,★営業所!$A$2:$B$5,2,FALSE),TEXT(NOW(),"yyyy"))</f>
        <v>T2023</v>
      </c>
      <c r="N360" s="203">
        <v>1</v>
      </c>
      <c r="O360" s="203">
        <v>0</v>
      </c>
      <c r="P360" s="213">
        <f>申込書!$B$6</f>
        <v>0</v>
      </c>
      <c r="Q360" s="203">
        <f>申込書!$C$34</f>
        <v>1000040</v>
      </c>
      <c r="R360" s="203">
        <v>0</v>
      </c>
      <c r="U360" s="203">
        <f>VLOOKUP(B360,★営業所!$A$2:$C$5,3,FALSE)</f>
        <v>8</v>
      </c>
      <c r="V360" s="203">
        <f>申込書!$B$9</f>
        <v>0</v>
      </c>
      <c r="W360" s="203" t="str">
        <f>CONCATENATE(VLOOKUP(B360,★営業所!$A$2:$B$5,2,FALSE),VLOOKUP(申込書!$C$32,★サイズ表記!$D$4:$E$55,2,FALSE),VLOOKUP(D360,★折込地区!$A$2:$B$11,2,FALSE))</f>
        <v>T1001Kry</v>
      </c>
      <c r="X360" s="203" t="str">
        <f>CONCATENATE(申込書!$B$9," ",VLOOKUP(RIGHT(W360,3),★折込地区!$B$2:$C$10,2,FALSE),"")</f>
        <v xml:space="preserve"> 倉吉</v>
      </c>
      <c r="Z360" s="206">
        <f t="shared" ca="1" si="40"/>
        <v>0</v>
      </c>
      <c r="AB360" s="383">
        <f t="shared" si="41"/>
        <v>2.8</v>
      </c>
      <c r="AC360" s="203" t="str">
        <f t="shared" si="42"/>
        <v>S1001</v>
      </c>
      <c r="AD360" s="203" t="str">
        <f>VLOOKUP(AC360,★原価商品!$E$6:$F$349,2,FALSE)</f>
        <v>山陰中央/B4（折り無し）</v>
      </c>
      <c r="AE360" s="203">
        <f t="shared" ca="1" si="43"/>
        <v>0</v>
      </c>
      <c r="AF360" s="383">
        <f ca="1">IFERROR(IF(VLOOKUP(申込書!$C$32,★サイズ表記!$F$4:$H$55,3,FALSE)="切り捨て",ROUNDDOWN(L360*IF(AK360="◎",I360,J360)/100,2),IF(VLOOKUP(申込書!$C$32,★サイズ表記!$F$4:$H$55,3,FALSE)="切り上げ",ROUNDUP(L360*IF(AK360="◎",I360,J360)/100,2),ROUND(L360*IF(AK360="◎",I360,J360)/100,2))),0)</f>
        <v>2.4</v>
      </c>
      <c r="AG360" s="203">
        <f t="shared" ca="1" si="44"/>
        <v>0</v>
      </c>
      <c r="AJ360" s="460" t="str">
        <f>IFERROR(VLOOKUP(申込書!$C$30,★業種!$D$2:$E$87,2,FALSE),"")</f>
        <v>1003</v>
      </c>
      <c r="AK360" s="460" t="str">
        <f ca="1">IF(申込書!$C$36="◎",IF(OR(D360="浜坂・温泉",D360="美方・村岡",D360="香住",D360="岡山",D360="大阪"),"",IF(LEFT(F360)="D","◎",IF(AG360=0,"",IFERROR(IF(VLOOKUP(AG360,★仕入先!$A$2:$C$211,3,FALSE)=0,"","◎"),"")))),"")</f>
        <v/>
      </c>
      <c r="AL360" s="460">
        <f>申込書!$H$14</f>
        <v>0</v>
      </c>
      <c r="AM360" s="460" t="str">
        <f>申込書!$C$32</f>
        <v>B4（折り無し）</v>
      </c>
      <c r="AN360" s="460" t="str">
        <f>VLOOKUP(AM360,★サイズ表記!$D$4:$E$55,2,FALSE)</f>
        <v>1001</v>
      </c>
      <c r="AO360" s="460">
        <f>IF(C360&lt;&gt;"⑧兵庫",VLOOKUP(LEFT(F360),★新聞!$A$4:$B$12,2,FALSE),IF(LEFT(F360)&lt;&gt;"S",VLOOKUP(LEFT(F360),★新聞!$A$4:$B$12,2,FALSE),VLOOKUP("X",★新聞!$A$4:$B$12,2,FALSE)))</f>
        <v>6</v>
      </c>
      <c r="AP360" s="460" t="str">
        <f t="shared" ca="1" si="45"/>
        <v>0</v>
      </c>
      <c r="AQ360" s="460" t="str">
        <f>IF(申込書!$C$38="","",申込書!$C$38)</f>
        <v/>
      </c>
    </row>
    <row r="361" spans="1:43">
      <c r="A361" s="463">
        <f t="shared" si="46"/>
        <v>360</v>
      </c>
      <c r="B361" s="463" t="str">
        <f t="shared" si="47"/>
        <v>東部</v>
      </c>
      <c r="C361" s="464" t="s">
        <v>1017</v>
      </c>
      <c r="D361" s="464" t="s">
        <v>1602</v>
      </c>
      <c r="E361" s="464">
        <f>VLOOKUP(D361,★折込地区!$A$2:$D$10,4,FALSE)</f>
        <v>2</v>
      </c>
      <c r="F361" s="464" t="s">
        <v>496</v>
      </c>
      <c r="G361" s="464" t="str">
        <f>INDEX(★新聞!$E$4:$I$12, MATCH(LEFT(F361),★新聞!$A$4:$A$12,0), MATCH(LEFT(W361),★新聞!$E$3:$I$3,0))</f>
        <v>AM</v>
      </c>
      <c r="H361" s="475" t="s">
        <v>1109</v>
      </c>
      <c r="I361" s="464" cm="1">
        <f t="array" ref="I361">IFERROR(INDEX(★原価率!$A$2:$E$50,MATCH($C361&amp;$H361,★原価率!$A$2:$A$50&amp;★原価率!$B$2:$B$50,0),3),0)</f>
        <v>82</v>
      </c>
      <c r="J361" s="464" cm="1">
        <f t="array" ref="J361">IFERROR(INDEX(★原価率!$A$2:$E$50,MATCH($C361&amp;$H361,★原価率!$A$2:$A$50&amp;★原価率!$B$2:$B$50,0),4),0)</f>
        <v>82</v>
      </c>
      <c r="K361" s="464" cm="1">
        <f t="array" ref="K361">IFERROR(INDEX(★原価率!$A$2:$E$50,MATCH($C361&amp;$H361,★原価率!$A$2:$A$50&amp;★原価率!$B$2:$B$50,0),5),0)</f>
        <v>100</v>
      </c>
      <c r="L361" s="528">
        <f>IFERROR(VLOOKUP(W361,★商品!$A$1:$H$1231,8,FALSE),0)</f>
        <v>2.8</v>
      </c>
      <c r="M361" s="203" t="str">
        <f ca="1">CONCATENATE(VLOOKUP(B361,★営業所!$A$2:$B$5,2,FALSE),TEXT(NOW(),"yyyy"))</f>
        <v>T2023</v>
      </c>
      <c r="N361" s="203">
        <v>1</v>
      </c>
      <c r="O361" s="203">
        <v>0</v>
      </c>
      <c r="P361" s="213">
        <f>申込書!$B$6</f>
        <v>0</v>
      </c>
      <c r="Q361" s="203">
        <f>申込書!$C$34</f>
        <v>1000040</v>
      </c>
      <c r="R361" s="203">
        <v>0</v>
      </c>
      <c r="U361" s="203">
        <f>VLOOKUP(B361,★営業所!$A$2:$C$5,3,FALSE)</f>
        <v>8</v>
      </c>
      <c r="V361" s="203">
        <f>申込書!$B$9</f>
        <v>0</v>
      </c>
      <c r="W361" s="203" t="str">
        <f>CONCATENATE(VLOOKUP(B361,★営業所!$A$2:$B$5,2,FALSE),VLOOKUP(申込書!$C$32,★サイズ表記!$D$4:$E$55,2,FALSE),VLOOKUP(D361,★折込地区!$A$2:$B$11,2,FALSE))</f>
        <v>T1001Kry</v>
      </c>
      <c r="X361" s="203" t="str">
        <f>CONCATENATE(申込書!$B$9," ",VLOOKUP(RIGHT(W361,3),★折込地区!$B$2:$C$10,2,FALSE),"")</f>
        <v xml:space="preserve"> 倉吉</v>
      </c>
      <c r="Z361" s="206">
        <f t="shared" ca="1" si="40"/>
        <v>0</v>
      </c>
      <c r="AB361" s="383">
        <f t="shared" si="41"/>
        <v>2.8</v>
      </c>
      <c r="AC361" s="203" t="str">
        <f t="shared" si="42"/>
        <v>S1001</v>
      </c>
      <c r="AD361" s="203" t="str">
        <f>VLOOKUP(AC361,★原価商品!$E$6:$F$349,2,FALSE)</f>
        <v>山陰中央/B4（折り無し）</v>
      </c>
      <c r="AE361" s="203">
        <f t="shared" ca="1" si="43"/>
        <v>0</v>
      </c>
      <c r="AF361" s="383">
        <f ca="1">IFERROR(IF(VLOOKUP(申込書!$C$32,★サイズ表記!$F$4:$H$55,3,FALSE)="切り捨て",ROUNDDOWN(L361*IF(AK361="◎",I361,J361)/100,2),IF(VLOOKUP(申込書!$C$32,★サイズ表記!$F$4:$H$55,3,FALSE)="切り上げ",ROUNDUP(L361*IF(AK361="◎",I361,J361)/100,2),ROUND(L361*IF(AK361="◎",I361,J361)/100,2))),0)</f>
        <v>2.29</v>
      </c>
      <c r="AG361" s="203">
        <f t="shared" ca="1" si="44"/>
        <v>0</v>
      </c>
      <c r="AJ361" s="460" t="str">
        <f>IFERROR(VLOOKUP(申込書!$C$30,★業種!$D$2:$E$87,2,FALSE),"")</f>
        <v>1003</v>
      </c>
      <c r="AK361" s="460" t="str">
        <f ca="1">IF(申込書!$C$36="◎",IF(OR(D361="浜坂・温泉",D361="美方・村岡",D361="香住",D361="岡山",D361="大阪"),"",IF(LEFT(F361)="D","◎",IF(AG361=0,"",IFERROR(IF(VLOOKUP(AG361,★仕入先!$A$2:$C$211,3,FALSE)=0,"","◎"),"")))),"")</f>
        <v/>
      </c>
      <c r="AL361" s="460">
        <f>申込書!$H$14</f>
        <v>0</v>
      </c>
      <c r="AM361" s="460" t="str">
        <f>申込書!$C$32</f>
        <v>B4（折り無し）</v>
      </c>
      <c r="AN361" s="460" t="str">
        <f>VLOOKUP(AM361,★サイズ表記!$D$4:$E$55,2,FALSE)</f>
        <v>1001</v>
      </c>
      <c r="AO361" s="460">
        <f>IF(C361&lt;&gt;"⑧兵庫",VLOOKUP(LEFT(F361),★新聞!$A$4:$B$12,2,FALSE),IF(LEFT(F361)&lt;&gt;"S",VLOOKUP(LEFT(F361),★新聞!$A$4:$B$12,2,FALSE),VLOOKUP("X",★新聞!$A$4:$B$12,2,FALSE)))</f>
        <v>6</v>
      </c>
      <c r="AP361" s="460" t="str">
        <f t="shared" ca="1" si="45"/>
        <v>0</v>
      </c>
      <c r="AQ361" s="460" t="str">
        <f>IF(申込書!$C$38="","",申込書!$C$38)</f>
        <v/>
      </c>
    </row>
    <row r="362" spans="1:43">
      <c r="A362" s="463">
        <f t="shared" si="46"/>
        <v>361</v>
      </c>
      <c r="B362" s="463" t="str">
        <f t="shared" si="47"/>
        <v>東部</v>
      </c>
      <c r="C362" s="464" t="s">
        <v>1017</v>
      </c>
      <c r="D362" s="464" t="s">
        <v>1602</v>
      </c>
      <c r="E362" s="464">
        <f>VLOOKUP(D362,★折込地区!$A$2:$D$10,4,FALSE)</f>
        <v>2</v>
      </c>
      <c r="F362" s="464" t="s">
        <v>497</v>
      </c>
      <c r="G362" s="464" t="str">
        <f>INDEX(★新聞!$E$4:$I$12, MATCH(LEFT(F362),★新聞!$A$4:$A$12,0), MATCH(LEFT(W362),★新聞!$E$3:$I$3,0))</f>
        <v>AM</v>
      </c>
      <c r="H362" s="475" t="s">
        <v>1109</v>
      </c>
      <c r="I362" s="464" cm="1">
        <f t="array" ref="I362">IFERROR(INDEX(★原価率!$A$2:$E$50,MATCH($C362&amp;$H362,★原価率!$A$2:$A$50&amp;★原価率!$B$2:$B$50,0),3),0)</f>
        <v>82</v>
      </c>
      <c r="J362" s="464" cm="1">
        <f t="array" ref="J362">IFERROR(INDEX(★原価率!$A$2:$E$50,MATCH($C362&amp;$H362,★原価率!$A$2:$A$50&amp;★原価率!$B$2:$B$50,0),4),0)</f>
        <v>82</v>
      </c>
      <c r="K362" s="464" cm="1">
        <f t="array" ref="K362">IFERROR(INDEX(★原価率!$A$2:$E$50,MATCH($C362&amp;$H362,★原価率!$A$2:$A$50&amp;★原価率!$B$2:$B$50,0),5),0)</f>
        <v>100</v>
      </c>
      <c r="L362" s="528">
        <f>IFERROR(VLOOKUP(W362,★商品!$A$1:$H$1231,8,FALSE),0)</f>
        <v>2.8</v>
      </c>
      <c r="M362" s="203" t="str">
        <f ca="1">CONCATENATE(VLOOKUP(B362,★営業所!$A$2:$B$5,2,FALSE),TEXT(NOW(),"yyyy"))</f>
        <v>T2023</v>
      </c>
      <c r="N362" s="203">
        <v>1</v>
      </c>
      <c r="O362" s="203">
        <v>0</v>
      </c>
      <c r="P362" s="213">
        <f>申込書!$B$6</f>
        <v>0</v>
      </c>
      <c r="Q362" s="203">
        <f>申込書!$C$34</f>
        <v>1000040</v>
      </c>
      <c r="R362" s="203">
        <v>0</v>
      </c>
      <c r="U362" s="203">
        <f>VLOOKUP(B362,★営業所!$A$2:$C$5,3,FALSE)</f>
        <v>8</v>
      </c>
      <c r="V362" s="203">
        <f>申込書!$B$9</f>
        <v>0</v>
      </c>
      <c r="W362" s="203" t="str">
        <f>CONCATENATE(VLOOKUP(B362,★営業所!$A$2:$B$5,2,FALSE),VLOOKUP(申込書!$C$32,★サイズ表記!$D$4:$E$55,2,FALSE),VLOOKUP(D362,★折込地区!$A$2:$B$11,2,FALSE))</f>
        <v>T1001Kry</v>
      </c>
      <c r="X362" s="203" t="str">
        <f>CONCATENATE(申込書!$B$9," ",VLOOKUP(RIGHT(W362,3),★折込地区!$B$2:$C$10,2,FALSE),"")</f>
        <v xml:space="preserve"> 倉吉</v>
      </c>
      <c r="Z362" s="206">
        <f t="shared" ca="1" si="40"/>
        <v>0</v>
      </c>
      <c r="AB362" s="383">
        <f t="shared" si="41"/>
        <v>2.8</v>
      </c>
      <c r="AC362" s="203" t="str">
        <f t="shared" si="42"/>
        <v>S1001</v>
      </c>
      <c r="AD362" s="203" t="str">
        <f>VLOOKUP(AC362,★原価商品!$E$6:$F$349,2,FALSE)</f>
        <v>山陰中央/B4（折り無し）</v>
      </c>
      <c r="AE362" s="203">
        <f t="shared" ca="1" si="43"/>
        <v>0</v>
      </c>
      <c r="AF362" s="383">
        <f ca="1">IFERROR(IF(VLOOKUP(申込書!$C$32,★サイズ表記!$F$4:$H$55,3,FALSE)="切り捨て",ROUNDDOWN(L362*IF(AK362="◎",I362,J362)/100,2),IF(VLOOKUP(申込書!$C$32,★サイズ表記!$F$4:$H$55,3,FALSE)="切り上げ",ROUNDUP(L362*IF(AK362="◎",I362,J362)/100,2),ROUND(L362*IF(AK362="◎",I362,J362)/100,2))),0)</f>
        <v>2.29</v>
      </c>
      <c r="AG362" s="203">
        <f t="shared" ca="1" si="44"/>
        <v>0</v>
      </c>
      <c r="AJ362" s="460" t="str">
        <f>IFERROR(VLOOKUP(申込書!$C$30,★業種!$D$2:$E$87,2,FALSE),"")</f>
        <v>1003</v>
      </c>
      <c r="AK362" s="460" t="str">
        <f ca="1">IF(申込書!$C$36="◎",IF(OR(D362="浜坂・温泉",D362="美方・村岡",D362="香住",D362="岡山",D362="大阪"),"",IF(LEFT(F362)="D","◎",IF(AG362=0,"",IFERROR(IF(VLOOKUP(AG362,★仕入先!$A$2:$C$211,3,FALSE)=0,"","◎"),"")))),"")</f>
        <v/>
      </c>
      <c r="AL362" s="460">
        <f>申込書!$H$14</f>
        <v>0</v>
      </c>
      <c r="AM362" s="460" t="str">
        <f>申込書!$C$32</f>
        <v>B4（折り無し）</v>
      </c>
      <c r="AN362" s="460" t="str">
        <f>VLOOKUP(AM362,★サイズ表記!$D$4:$E$55,2,FALSE)</f>
        <v>1001</v>
      </c>
      <c r="AO362" s="460">
        <f>IF(C362&lt;&gt;"⑧兵庫",VLOOKUP(LEFT(F362),★新聞!$A$4:$B$12,2,FALSE),IF(LEFT(F362)&lt;&gt;"S",VLOOKUP(LEFT(F362),★新聞!$A$4:$B$12,2,FALSE),VLOOKUP("X",★新聞!$A$4:$B$12,2,FALSE)))</f>
        <v>6</v>
      </c>
      <c r="AP362" s="460" t="str">
        <f t="shared" ca="1" si="45"/>
        <v>0</v>
      </c>
      <c r="AQ362" s="460" t="str">
        <f>IF(申込書!$C$38="","",申込書!$C$38)</f>
        <v/>
      </c>
    </row>
    <row r="363" spans="1:43">
      <c r="A363" s="463">
        <f t="shared" si="46"/>
        <v>362</v>
      </c>
      <c r="B363" s="463" t="str">
        <f t="shared" si="47"/>
        <v>東部</v>
      </c>
      <c r="C363" s="464" t="s">
        <v>1017</v>
      </c>
      <c r="D363" s="464" t="s">
        <v>1602</v>
      </c>
      <c r="E363" s="464">
        <f>VLOOKUP(D363,★折込地区!$A$2:$D$10,4,FALSE)</f>
        <v>2</v>
      </c>
      <c r="F363" s="464" t="s">
        <v>501</v>
      </c>
      <c r="G363" s="464" t="str">
        <f>INDEX(★新聞!$E$4:$I$12, MATCH(LEFT(F363),★新聞!$A$4:$A$12,0), MATCH(LEFT(W363),★新聞!$E$3:$I$3,0))</f>
        <v>AM</v>
      </c>
      <c r="H363" s="475" t="s">
        <v>1109</v>
      </c>
      <c r="I363" s="464" cm="1">
        <f t="array" ref="I363">IFERROR(INDEX(★原価率!$A$2:$E$50,MATCH($C363&amp;$H363,★原価率!$A$2:$A$50&amp;★原価率!$B$2:$B$50,0),3),0)</f>
        <v>82</v>
      </c>
      <c r="J363" s="464" cm="1">
        <f t="array" ref="J363">IFERROR(INDEX(★原価率!$A$2:$E$50,MATCH($C363&amp;$H363,★原価率!$A$2:$A$50&amp;★原価率!$B$2:$B$50,0),4),0)</f>
        <v>82</v>
      </c>
      <c r="K363" s="464" cm="1">
        <f t="array" ref="K363">IFERROR(INDEX(★原価率!$A$2:$E$50,MATCH($C363&amp;$H363,★原価率!$A$2:$A$50&amp;★原価率!$B$2:$B$50,0),5),0)</f>
        <v>100</v>
      </c>
      <c r="L363" s="528">
        <f>IFERROR(VLOOKUP(W363,★商品!$A$1:$H$1231,8,FALSE),0)</f>
        <v>2.8</v>
      </c>
      <c r="M363" s="203" t="str">
        <f ca="1">CONCATENATE(VLOOKUP(B363,★営業所!$A$2:$B$5,2,FALSE),TEXT(NOW(),"yyyy"))</f>
        <v>T2023</v>
      </c>
      <c r="N363" s="203">
        <v>1</v>
      </c>
      <c r="O363" s="203">
        <v>0</v>
      </c>
      <c r="P363" s="213">
        <f>申込書!$B$6</f>
        <v>0</v>
      </c>
      <c r="Q363" s="203">
        <f>申込書!$C$34</f>
        <v>1000040</v>
      </c>
      <c r="R363" s="203">
        <v>0</v>
      </c>
      <c r="U363" s="203">
        <f>VLOOKUP(B363,★営業所!$A$2:$C$5,3,FALSE)</f>
        <v>8</v>
      </c>
      <c r="V363" s="203">
        <f>申込書!$B$9</f>
        <v>0</v>
      </c>
      <c r="W363" s="203" t="str">
        <f>CONCATENATE(VLOOKUP(B363,★営業所!$A$2:$B$5,2,FALSE),VLOOKUP(申込書!$C$32,★サイズ表記!$D$4:$E$55,2,FALSE),VLOOKUP(D363,★折込地区!$A$2:$B$11,2,FALSE))</f>
        <v>T1001Kry</v>
      </c>
      <c r="X363" s="203" t="str">
        <f>CONCATENATE(申込書!$B$9," ",VLOOKUP(RIGHT(W363,3),★折込地区!$B$2:$C$10,2,FALSE),"")</f>
        <v xml:space="preserve"> 倉吉</v>
      </c>
      <c r="Z363" s="206">
        <f t="shared" ca="1" si="40"/>
        <v>0</v>
      </c>
      <c r="AB363" s="383">
        <f t="shared" si="41"/>
        <v>2.8</v>
      </c>
      <c r="AC363" s="203" t="str">
        <f t="shared" si="42"/>
        <v>S1001</v>
      </c>
      <c r="AD363" s="203" t="str">
        <f>VLOOKUP(AC363,★原価商品!$E$6:$F$349,2,FALSE)</f>
        <v>山陰中央/B4（折り無し）</v>
      </c>
      <c r="AE363" s="203">
        <f t="shared" ca="1" si="43"/>
        <v>0</v>
      </c>
      <c r="AF363" s="383">
        <f ca="1">IFERROR(IF(VLOOKUP(申込書!$C$32,★サイズ表記!$F$4:$H$55,3,FALSE)="切り捨て",ROUNDDOWN(L363*IF(AK363="◎",I363,J363)/100,2),IF(VLOOKUP(申込書!$C$32,★サイズ表記!$F$4:$H$55,3,FALSE)="切り上げ",ROUNDUP(L363*IF(AK363="◎",I363,J363)/100,2),ROUND(L363*IF(AK363="◎",I363,J363)/100,2))),0)</f>
        <v>2.29</v>
      </c>
      <c r="AG363" s="203">
        <f t="shared" ca="1" si="44"/>
        <v>10303</v>
      </c>
      <c r="AJ363" s="460" t="str">
        <f>IFERROR(VLOOKUP(申込書!$C$30,★業種!$D$2:$E$87,2,FALSE),"")</f>
        <v>1003</v>
      </c>
      <c r="AK363" s="460" t="str">
        <f ca="1">IF(申込書!$C$36="◎",IF(OR(D363="浜坂・温泉",D363="美方・村岡",D363="香住",D363="岡山",D363="大阪"),"",IF(LEFT(F363)="D","◎",IF(AG363=0,"",IFERROR(IF(VLOOKUP(AG363,★仕入先!$A$2:$C$211,3,FALSE)=0,"","◎"),"")))),"")</f>
        <v/>
      </c>
      <c r="AL363" s="460">
        <f>申込書!$H$14</f>
        <v>0</v>
      </c>
      <c r="AM363" s="460" t="str">
        <f>申込書!$C$32</f>
        <v>B4（折り無し）</v>
      </c>
      <c r="AN363" s="460" t="str">
        <f>VLOOKUP(AM363,★サイズ表記!$D$4:$E$55,2,FALSE)</f>
        <v>1001</v>
      </c>
      <c r="AO363" s="460">
        <f>IF(C363&lt;&gt;"⑧兵庫",VLOOKUP(LEFT(F363),★新聞!$A$4:$B$12,2,FALSE),IF(LEFT(F363)&lt;&gt;"S",VLOOKUP(LEFT(F363),★新聞!$A$4:$B$12,2,FALSE),VLOOKUP("X",★新聞!$A$4:$B$12,2,FALSE)))</f>
        <v>6</v>
      </c>
      <c r="AP363" s="460" t="str">
        <f t="shared" ca="1" si="45"/>
        <v>0</v>
      </c>
      <c r="AQ363" s="460" t="str">
        <f>IF(申込書!$C$38="","",申込書!$C$38)</f>
        <v/>
      </c>
    </row>
    <row r="364" spans="1:43">
      <c r="A364" s="463">
        <f t="shared" si="46"/>
        <v>363</v>
      </c>
      <c r="B364" s="463" t="str">
        <f t="shared" si="47"/>
        <v>東部</v>
      </c>
      <c r="C364" s="464" t="s">
        <v>1017</v>
      </c>
      <c r="D364" s="464" t="s">
        <v>1602</v>
      </c>
      <c r="E364" s="464">
        <f>VLOOKUP(D364,★折込地区!$A$2:$D$10,4,FALSE)</f>
        <v>2</v>
      </c>
      <c r="F364" s="464" t="s">
        <v>502</v>
      </c>
      <c r="G364" s="464" t="str">
        <f>INDEX(★新聞!$E$4:$I$12, MATCH(LEFT(F364),★新聞!$A$4:$A$12,0), MATCH(LEFT(W364),★新聞!$E$3:$I$3,0))</f>
        <v>AM</v>
      </c>
      <c r="H364" s="475" t="s">
        <v>1109</v>
      </c>
      <c r="I364" s="464" cm="1">
        <f t="array" ref="I364">IFERROR(INDEX(★原価率!$A$2:$E$50,MATCH($C364&amp;$H364,★原価率!$A$2:$A$50&amp;★原価率!$B$2:$B$50,0),3),0)</f>
        <v>82</v>
      </c>
      <c r="J364" s="464" cm="1">
        <f t="array" ref="J364">IFERROR(INDEX(★原価率!$A$2:$E$50,MATCH($C364&amp;$H364,★原価率!$A$2:$A$50&amp;★原価率!$B$2:$B$50,0),4),0)</f>
        <v>82</v>
      </c>
      <c r="K364" s="464" cm="1">
        <f t="array" ref="K364">IFERROR(INDEX(★原価率!$A$2:$E$50,MATCH($C364&amp;$H364,★原価率!$A$2:$A$50&amp;★原価率!$B$2:$B$50,0),5),0)</f>
        <v>100</v>
      </c>
      <c r="L364" s="528">
        <f>IFERROR(VLOOKUP(W364,★商品!$A$1:$H$1231,8,FALSE),0)</f>
        <v>2.8</v>
      </c>
      <c r="M364" s="203" t="str">
        <f ca="1">CONCATENATE(VLOOKUP(B364,★営業所!$A$2:$B$5,2,FALSE),TEXT(NOW(),"yyyy"))</f>
        <v>T2023</v>
      </c>
      <c r="N364" s="203">
        <v>1</v>
      </c>
      <c r="O364" s="203">
        <v>0</v>
      </c>
      <c r="P364" s="213">
        <f>申込書!$B$6</f>
        <v>0</v>
      </c>
      <c r="Q364" s="203">
        <f>申込書!$C$34</f>
        <v>1000040</v>
      </c>
      <c r="R364" s="203">
        <v>0</v>
      </c>
      <c r="U364" s="203">
        <f>VLOOKUP(B364,★営業所!$A$2:$C$5,3,FALSE)</f>
        <v>8</v>
      </c>
      <c r="V364" s="203">
        <f>申込書!$B$9</f>
        <v>0</v>
      </c>
      <c r="W364" s="203" t="str">
        <f>CONCATENATE(VLOOKUP(B364,★営業所!$A$2:$B$5,2,FALSE),VLOOKUP(申込書!$C$32,★サイズ表記!$D$4:$E$55,2,FALSE),VLOOKUP(D364,★折込地区!$A$2:$B$11,2,FALSE))</f>
        <v>T1001Kry</v>
      </c>
      <c r="X364" s="203" t="str">
        <f>CONCATENATE(申込書!$B$9," ",VLOOKUP(RIGHT(W364,3),★折込地区!$B$2:$C$10,2,FALSE),"")</f>
        <v xml:space="preserve"> 倉吉</v>
      </c>
      <c r="Z364" s="206">
        <f t="shared" ca="1" si="40"/>
        <v>0</v>
      </c>
      <c r="AB364" s="383">
        <f t="shared" si="41"/>
        <v>2.8</v>
      </c>
      <c r="AC364" s="203" t="str">
        <f t="shared" si="42"/>
        <v>S1001</v>
      </c>
      <c r="AD364" s="203" t="str">
        <f>VLOOKUP(AC364,★原価商品!$E$6:$F$349,2,FALSE)</f>
        <v>山陰中央/B4（折り無し）</v>
      </c>
      <c r="AE364" s="203">
        <f t="shared" ca="1" si="43"/>
        <v>0</v>
      </c>
      <c r="AF364" s="383">
        <f ca="1">IFERROR(IF(VLOOKUP(申込書!$C$32,★サイズ表記!$F$4:$H$55,3,FALSE)="切り捨て",ROUNDDOWN(L364*IF(AK364="◎",I364,J364)/100,2),IF(VLOOKUP(申込書!$C$32,★サイズ表記!$F$4:$H$55,3,FALSE)="切り上げ",ROUNDUP(L364*IF(AK364="◎",I364,J364)/100,2),ROUND(L364*IF(AK364="◎",I364,J364)/100,2))),0)</f>
        <v>2.29</v>
      </c>
      <c r="AG364" s="203">
        <f t="shared" ca="1" si="44"/>
        <v>0</v>
      </c>
      <c r="AJ364" s="460" t="str">
        <f>IFERROR(VLOOKUP(申込書!$C$30,★業種!$D$2:$E$87,2,FALSE),"")</f>
        <v>1003</v>
      </c>
      <c r="AK364" s="460" t="str">
        <f ca="1">IF(申込書!$C$36="◎",IF(OR(D364="浜坂・温泉",D364="美方・村岡",D364="香住",D364="岡山",D364="大阪"),"",IF(LEFT(F364)="D","◎",IF(AG364=0,"",IFERROR(IF(VLOOKUP(AG364,★仕入先!$A$2:$C$211,3,FALSE)=0,"","◎"),"")))),"")</f>
        <v/>
      </c>
      <c r="AL364" s="460">
        <f>申込書!$H$14</f>
        <v>0</v>
      </c>
      <c r="AM364" s="460" t="str">
        <f>申込書!$C$32</f>
        <v>B4（折り無し）</v>
      </c>
      <c r="AN364" s="460" t="str">
        <f>VLOOKUP(AM364,★サイズ表記!$D$4:$E$55,2,FALSE)</f>
        <v>1001</v>
      </c>
      <c r="AO364" s="460">
        <f>IF(C364&lt;&gt;"⑧兵庫",VLOOKUP(LEFT(F364),★新聞!$A$4:$B$12,2,FALSE),IF(LEFT(F364)&lt;&gt;"S",VLOOKUP(LEFT(F364),★新聞!$A$4:$B$12,2,FALSE),VLOOKUP("X",★新聞!$A$4:$B$12,2,FALSE)))</f>
        <v>6</v>
      </c>
      <c r="AP364" s="460" t="str">
        <f t="shared" ca="1" si="45"/>
        <v>0</v>
      </c>
      <c r="AQ364" s="460" t="str">
        <f>IF(申込書!$C$38="","",申込書!$C$38)</f>
        <v/>
      </c>
    </row>
    <row r="365" spans="1:43">
      <c r="A365" s="463">
        <f t="shared" si="46"/>
        <v>364</v>
      </c>
      <c r="B365" s="463" t="str">
        <f t="shared" si="47"/>
        <v>東部</v>
      </c>
      <c r="C365" s="464" t="s">
        <v>1017</v>
      </c>
      <c r="D365" s="464" t="s">
        <v>1602</v>
      </c>
      <c r="E365" s="464">
        <f>VLOOKUP(D365,★折込地区!$A$2:$D$10,4,FALSE)</f>
        <v>2</v>
      </c>
      <c r="F365" s="464" t="s">
        <v>503</v>
      </c>
      <c r="G365" s="464" t="str">
        <f>INDEX(★新聞!$E$4:$I$12, MATCH(LEFT(F365),★新聞!$A$4:$A$12,0), MATCH(LEFT(W365),★新聞!$E$3:$I$3,0))</f>
        <v>AM</v>
      </c>
      <c r="H365" s="475" t="s">
        <v>1109</v>
      </c>
      <c r="I365" s="464" cm="1">
        <f t="array" ref="I365">IFERROR(INDEX(★原価率!$A$2:$E$50,MATCH($C365&amp;$H365,★原価率!$A$2:$A$50&amp;★原価率!$B$2:$B$50,0),3),0)</f>
        <v>82</v>
      </c>
      <c r="J365" s="464" cm="1">
        <f t="array" ref="J365">IFERROR(INDEX(★原価率!$A$2:$E$50,MATCH($C365&amp;$H365,★原価率!$A$2:$A$50&amp;★原価率!$B$2:$B$50,0),4),0)</f>
        <v>82</v>
      </c>
      <c r="K365" s="464" cm="1">
        <f t="array" ref="K365">IFERROR(INDEX(★原価率!$A$2:$E$50,MATCH($C365&amp;$H365,★原価率!$A$2:$A$50&amp;★原価率!$B$2:$B$50,0),5),0)</f>
        <v>100</v>
      </c>
      <c r="L365" s="528">
        <f>IFERROR(VLOOKUP(W365,★商品!$A$1:$H$1231,8,FALSE),0)</f>
        <v>2.8</v>
      </c>
      <c r="M365" s="203" t="str">
        <f ca="1">CONCATENATE(VLOOKUP(B365,★営業所!$A$2:$B$5,2,FALSE),TEXT(NOW(),"yyyy"))</f>
        <v>T2023</v>
      </c>
      <c r="N365" s="203">
        <v>1</v>
      </c>
      <c r="O365" s="203">
        <v>0</v>
      </c>
      <c r="P365" s="213">
        <f>申込書!$B$6</f>
        <v>0</v>
      </c>
      <c r="Q365" s="203">
        <f>申込書!$C$34</f>
        <v>1000040</v>
      </c>
      <c r="R365" s="203">
        <v>0</v>
      </c>
      <c r="U365" s="203">
        <f>VLOOKUP(B365,★営業所!$A$2:$C$5,3,FALSE)</f>
        <v>8</v>
      </c>
      <c r="V365" s="203">
        <f>申込書!$B$9</f>
        <v>0</v>
      </c>
      <c r="W365" s="203" t="str">
        <f>CONCATENATE(VLOOKUP(B365,★営業所!$A$2:$B$5,2,FALSE),VLOOKUP(申込書!$C$32,★サイズ表記!$D$4:$E$55,2,FALSE),VLOOKUP(D365,★折込地区!$A$2:$B$11,2,FALSE))</f>
        <v>T1001Kry</v>
      </c>
      <c r="X365" s="203" t="str">
        <f>CONCATENATE(申込書!$B$9," ",VLOOKUP(RIGHT(W365,3),★折込地区!$B$2:$C$10,2,FALSE),"")</f>
        <v xml:space="preserve"> 倉吉</v>
      </c>
      <c r="Z365" s="206">
        <f t="shared" ca="1" si="40"/>
        <v>0</v>
      </c>
      <c r="AB365" s="383">
        <f t="shared" si="41"/>
        <v>2.8</v>
      </c>
      <c r="AC365" s="203" t="str">
        <f t="shared" si="42"/>
        <v>S1001</v>
      </c>
      <c r="AD365" s="203" t="str">
        <f>VLOOKUP(AC365,★原価商品!$E$6:$F$349,2,FALSE)</f>
        <v>山陰中央/B4（折り無し）</v>
      </c>
      <c r="AE365" s="203">
        <f t="shared" ca="1" si="43"/>
        <v>0</v>
      </c>
      <c r="AF365" s="383">
        <f ca="1">IFERROR(IF(VLOOKUP(申込書!$C$32,★サイズ表記!$F$4:$H$55,3,FALSE)="切り捨て",ROUNDDOWN(L365*IF(AK365="◎",I365,J365)/100,2),IF(VLOOKUP(申込書!$C$32,★サイズ表記!$F$4:$H$55,3,FALSE)="切り上げ",ROUNDUP(L365*IF(AK365="◎",I365,J365)/100,2),ROUND(L365*IF(AK365="◎",I365,J365)/100,2))),0)</f>
        <v>2.29</v>
      </c>
      <c r="AG365" s="203">
        <f t="shared" ca="1" si="44"/>
        <v>10303</v>
      </c>
      <c r="AJ365" s="460" t="str">
        <f>IFERROR(VLOOKUP(申込書!$C$30,★業種!$D$2:$E$87,2,FALSE),"")</f>
        <v>1003</v>
      </c>
      <c r="AK365" s="460" t="str">
        <f ca="1">IF(申込書!$C$36="◎",IF(OR(D365="浜坂・温泉",D365="美方・村岡",D365="香住",D365="岡山",D365="大阪"),"",IF(LEFT(F365)="D","◎",IF(AG365=0,"",IFERROR(IF(VLOOKUP(AG365,★仕入先!$A$2:$C$211,3,FALSE)=0,"","◎"),"")))),"")</f>
        <v/>
      </c>
      <c r="AL365" s="460">
        <f>申込書!$H$14</f>
        <v>0</v>
      </c>
      <c r="AM365" s="460" t="str">
        <f>申込書!$C$32</f>
        <v>B4（折り無し）</v>
      </c>
      <c r="AN365" s="460" t="str">
        <f>VLOOKUP(AM365,★サイズ表記!$D$4:$E$55,2,FALSE)</f>
        <v>1001</v>
      </c>
      <c r="AO365" s="460">
        <f>IF(C365&lt;&gt;"⑧兵庫",VLOOKUP(LEFT(F365),★新聞!$A$4:$B$12,2,FALSE),IF(LEFT(F365)&lt;&gt;"S",VLOOKUP(LEFT(F365),★新聞!$A$4:$B$12,2,FALSE),VLOOKUP("X",★新聞!$A$4:$B$12,2,FALSE)))</f>
        <v>6</v>
      </c>
      <c r="AP365" s="460" t="str">
        <f t="shared" ca="1" si="45"/>
        <v>0</v>
      </c>
      <c r="AQ365" s="460" t="str">
        <f>IF(申込書!$C$38="","",申込書!$C$38)</f>
        <v/>
      </c>
    </row>
    <row r="366" spans="1:43">
      <c r="A366" s="463">
        <f t="shared" si="46"/>
        <v>365</v>
      </c>
      <c r="B366" s="463" t="str">
        <f t="shared" si="47"/>
        <v>東部</v>
      </c>
      <c r="C366" s="464" t="s">
        <v>1017</v>
      </c>
      <c r="D366" s="464" t="s">
        <v>1602</v>
      </c>
      <c r="E366" s="464">
        <f>VLOOKUP(D366,★折込地区!$A$2:$D$10,4,FALSE)</f>
        <v>2</v>
      </c>
      <c r="F366" s="464" t="s">
        <v>504</v>
      </c>
      <c r="G366" s="464" t="str">
        <f>INDEX(★新聞!$E$4:$I$12, MATCH(LEFT(F366),★新聞!$A$4:$A$12,0), MATCH(LEFT(W366),★新聞!$E$3:$I$3,0))</f>
        <v>AM</v>
      </c>
      <c r="H366" s="475" t="s">
        <v>1109</v>
      </c>
      <c r="I366" s="464" cm="1">
        <f t="array" ref="I366">IFERROR(INDEX(★原価率!$A$2:$E$50,MATCH($C366&amp;$H366,★原価率!$A$2:$A$50&amp;★原価率!$B$2:$B$50,0),3),0)</f>
        <v>82</v>
      </c>
      <c r="J366" s="464" cm="1">
        <f t="array" ref="J366">IFERROR(INDEX(★原価率!$A$2:$E$50,MATCH($C366&amp;$H366,★原価率!$A$2:$A$50&amp;★原価率!$B$2:$B$50,0),4),0)</f>
        <v>82</v>
      </c>
      <c r="K366" s="464" cm="1">
        <f t="array" ref="K366">IFERROR(INDEX(★原価率!$A$2:$E$50,MATCH($C366&amp;$H366,★原価率!$A$2:$A$50&amp;★原価率!$B$2:$B$50,0),5),0)</f>
        <v>100</v>
      </c>
      <c r="L366" s="528">
        <f>IFERROR(VLOOKUP(W366,★商品!$A$1:$H$1231,8,FALSE),0)</f>
        <v>2.8</v>
      </c>
      <c r="M366" s="203" t="str">
        <f ca="1">CONCATENATE(VLOOKUP(B366,★営業所!$A$2:$B$5,2,FALSE),TEXT(NOW(),"yyyy"))</f>
        <v>T2023</v>
      </c>
      <c r="N366" s="203">
        <v>1</v>
      </c>
      <c r="O366" s="203">
        <v>0</v>
      </c>
      <c r="P366" s="213">
        <f>申込書!$B$6</f>
        <v>0</v>
      </c>
      <c r="Q366" s="203">
        <f>申込書!$C$34</f>
        <v>1000040</v>
      </c>
      <c r="R366" s="203">
        <v>0</v>
      </c>
      <c r="U366" s="203">
        <f>VLOOKUP(B366,★営業所!$A$2:$C$5,3,FALSE)</f>
        <v>8</v>
      </c>
      <c r="V366" s="203">
        <f>申込書!$B$9</f>
        <v>0</v>
      </c>
      <c r="W366" s="203" t="str">
        <f>CONCATENATE(VLOOKUP(B366,★営業所!$A$2:$B$5,2,FALSE),VLOOKUP(申込書!$C$32,★サイズ表記!$D$4:$E$55,2,FALSE),VLOOKUP(D366,★折込地区!$A$2:$B$11,2,FALSE))</f>
        <v>T1001Kry</v>
      </c>
      <c r="X366" s="203" t="str">
        <f>CONCATENATE(申込書!$B$9," ",VLOOKUP(RIGHT(W366,3),★折込地区!$B$2:$C$10,2,FALSE),"")</f>
        <v xml:space="preserve"> 倉吉</v>
      </c>
      <c r="Z366" s="206">
        <f t="shared" ca="1" si="40"/>
        <v>0</v>
      </c>
      <c r="AB366" s="383">
        <f t="shared" si="41"/>
        <v>2.8</v>
      </c>
      <c r="AC366" s="203" t="str">
        <f t="shared" si="42"/>
        <v>S1001</v>
      </c>
      <c r="AD366" s="203" t="str">
        <f>VLOOKUP(AC366,★原価商品!$E$6:$F$349,2,FALSE)</f>
        <v>山陰中央/B4（折り無し）</v>
      </c>
      <c r="AE366" s="203">
        <f t="shared" ca="1" si="43"/>
        <v>0</v>
      </c>
      <c r="AF366" s="383">
        <f ca="1">IFERROR(IF(VLOOKUP(申込書!$C$32,★サイズ表記!$F$4:$H$55,3,FALSE)="切り捨て",ROUNDDOWN(L366*IF(AK366="◎",I366,J366)/100,2),IF(VLOOKUP(申込書!$C$32,★サイズ表記!$F$4:$H$55,3,FALSE)="切り上げ",ROUNDUP(L366*IF(AK366="◎",I366,J366)/100,2),ROUND(L366*IF(AK366="◎",I366,J366)/100,2))),0)</f>
        <v>2.29</v>
      </c>
      <c r="AG366" s="203">
        <f t="shared" ca="1" si="44"/>
        <v>0</v>
      </c>
      <c r="AJ366" s="460" t="str">
        <f>IFERROR(VLOOKUP(申込書!$C$30,★業種!$D$2:$E$87,2,FALSE),"")</f>
        <v>1003</v>
      </c>
      <c r="AK366" s="460" t="str">
        <f ca="1">IF(申込書!$C$36="◎",IF(OR(D366="浜坂・温泉",D366="美方・村岡",D366="香住",D366="岡山",D366="大阪"),"",IF(LEFT(F366)="D","◎",IF(AG366=0,"",IFERROR(IF(VLOOKUP(AG366,★仕入先!$A$2:$C$211,3,FALSE)=0,"","◎"),"")))),"")</f>
        <v/>
      </c>
      <c r="AL366" s="460">
        <f>申込書!$H$14</f>
        <v>0</v>
      </c>
      <c r="AM366" s="460" t="str">
        <f>申込書!$C$32</f>
        <v>B4（折り無し）</v>
      </c>
      <c r="AN366" s="460" t="str">
        <f>VLOOKUP(AM366,★サイズ表記!$D$4:$E$55,2,FALSE)</f>
        <v>1001</v>
      </c>
      <c r="AO366" s="460">
        <f>IF(C366&lt;&gt;"⑧兵庫",VLOOKUP(LEFT(F366),★新聞!$A$4:$B$12,2,FALSE),IF(LEFT(F366)&lt;&gt;"S",VLOOKUP(LEFT(F366),★新聞!$A$4:$B$12,2,FALSE),VLOOKUP("X",★新聞!$A$4:$B$12,2,FALSE)))</f>
        <v>6</v>
      </c>
      <c r="AP366" s="460" t="str">
        <f t="shared" ca="1" si="45"/>
        <v>0</v>
      </c>
      <c r="AQ366" s="460" t="str">
        <f>IF(申込書!$C$38="","",申込書!$C$38)</f>
        <v/>
      </c>
    </row>
    <row r="367" spans="1:43">
      <c r="A367" s="463">
        <f t="shared" si="46"/>
        <v>366</v>
      </c>
      <c r="B367" s="463" t="str">
        <f t="shared" si="47"/>
        <v>東部</v>
      </c>
      <c r="C367" s="464" t="s">
        <v>1017</v>
      </c>
      <c r="D367" s="464" t="s">
        <v>1602</v>
      </c>
      <c r="E367" s="464">
        <f>VLOOKUP(D367,★折込地区!$A$2:$D$10,4,FALSE)</f>
        <v>2</v>
      </c>
      <c r="F367" s="464" t="s">
        <v>505</v>
      </c>
      <c r="G367" s="464" t="str">
        <f>INDEX(★新聞!$E$4:$I$12, MATCH(LEFT(F367),★新聞!$A$4:$A$12,0), MATCH(LEFT(W367),★新聞!$E$3:$I$3,0))</f>
        <v>AM</v>
      </c>
      <c r="H367" s="475" t="s">
        <v>1109</v>
      </c>
      <c r="I367" s="464" cm="1">
        <f t="array" ref="I367">IFERROR(INDEX(★原価率!$A$2:$E$50,MATCH($C367&amp;$H367,★原価率!$A$2:$A$50&amp;★原価率!$B$2:$B$50,0),3),0)</f>
        <v>82</v>
      </c>
      <c r="J367" s="464" cm="1">
        <f t="array" ref="J367">IFERROR(INDEX(★原価率!$A$2:$E$50,MATCH($C367&amp;$H367,★原価率!$A$2:$A$50&amp;★原価率!$B$2:$B$50,0),4),0)</f>
        <v>82</v>
      </c>
      <c r="K367" s="464" cm="1">
        <f t="array" ref="K367">IFERROR(INDEX(★原価率!$A$2:$E$50,MATCH($C367&amp;$H367,★原価率!$A$2:$A$50&amp;★原価率!$B$2:$B$50,0),5),0)</f>
        <v>100</v>
      </c>
      <c r="L367" s="528">
        <f>IFERROR(VLOOKUP(W367,★商品!$A$1:$H$1231,8,FALSE),0)</f>
        <v>2.8</v>
      </c>
      <c r="M367" s="203" t="str">
        <f ca="1">CONCATENATE(VLOOKUP(B367,★営業所!$A$2:$B$5,2,FALSE),TEXT(NOW(),"yyyy"))</f>
        <v>T2023</v>
      </c>
      <c r="N367" s="203">
        <v>1</v>
      </c>
      <c r="O367" s="203">
        <v>0</v>
      </c>
      <c r="P367" s="213">
        <f>申込書!$B$6</f>
        <v>0</v>
      </c>
      <c r="Q367" s="203">
        <f>申込書!$C$34</f>
        <v>1000040</v>
      </c>
      <c r="R367" s="203">
        <v>0</v>
      </c>
      <c r="U367" s="203">
        <f>VLOOKUP(B367,★営業所!$A$2:$C$5,3,FALSE)</f>
        <v>8</v>
      </c>
      <c r="V367" s="203">
        <f>申込書!$B$9</f>
        <v>0</v>
      </c>
      <c r="W367" s="203" t="str">
        <f>CONCATENATE(VLOOKUP(B367,★営業所!$A$2:$B$5,2,FALSE),VLOOKUP(申込書!$C$32,★サイズ表記!$D$4:$E$55,2,FALSE),VLOOKUP(D367,★折込地区!$A$2:$B$11,2,FALSE))</f>
        <v>T1001Kry</v>
      </c>
      <c r="X367" s="203" t="str">
        <f>CONCATENATE(申込書!$B$9," ",VLOOKUP(RIGHT(W367,3),★折込地区!$B$2:$C$10,2,FALSE),"")</f>
        <v xml:space="preserve"> 倉吉</v>
      </c>
      <c r="Z367" s="206">
        <f t="shared" ca="1" si="40"/>
        <v>0</v>
      </c>
      <c r="AB367" s="383">
        <f t="shared" si="41"/>
        <v>2.8</v>
      </c>
      <c r="AC367" s="203" t="str">
        <f t="shared" si="42"/>
        <v>S1001</v>
      </c>
      <c r="AD367" s="203" t="str">
        <f>VLOOKUP(AC367,★原価商品!$E$6:$F$349,2,FALSE)</f>
        <v>山陰中央/B4（折り無し）</v>
      </c>
      <c r="AE367" s="203">
        <f t="shared" ca="1" si="43"/>
        <v>0</v>
      </c>
      <c r="AF367" s="383">
        <f ca="1">IFERROR(IF(VLOOKUP(申込書!$C$32,★サイズ表記!$F$4:$H$55,3,FALSE)="切り捨て",ROUNDDOWN(L367*IF(AK367="◎",I367,J367)/100,2),IF(VLOOKUP(申込書!$C$32,★サイズ表記!$F$4:$H$55,3,FALSE)="切り上げ",ROUNDUP(L367*IF(AK367="◎",I367,J367)/100,2),ROUND(L367*IF(AK367="◎",I367,J367)/100,2))),0)</f>
        <v>2.29</v>
      </c>
      <c r="AG367" s="203">
        <f t="shared" ca="1" si="44"/>
        <v>10303</v>
      </c>
      <c r="AJ367" s="460" t="str">
        <f>IFERROR(VLOOKUP(申込書!$C$30,★業種!$D$2:$E$87,2,FALSE),"")</f>
        <v>1003</v>
      </c>
      <c r="AK367" s="460" t="str">
        <f ca="1">IF(申込書!$C$36="◎",IF(OR(D367="浜坂・温泉",D367="美方・村岡",D367="香住",D367="岡山",D367="大阪"),"",IF(LEFT(F367)="D","◎",IF(AG367=0,"",IFERROR(IF(VLOOKUP(AG367,★仕入先!$A$2:$C$211,3,FALSE)=0,"","◎"),"")))),"")</f>
        <v/>
      </c>
      <c r="AL367" s="460">
        <f>申込書!$H$14</f>
        <v>0</v>
      </c>
      <c r="AM367" s="460" t="str">
        <f>申込書!$C$32</f>
        <v>B4（折り無し）</v>
      </c>
      <c r="AN367" s="460" t="str">
        <f>VLOOKUP(AM367,★サイズ表記!$D$4:$E$55,2,FALSE)</f>
        <v>1001</v>
      </c>
      <c r="AO367" s="460">
        <f>IF(C367&lt;&gt;"⑧兵庫",VLOOKUP(LEFT(F367),★新聞!$A$4:$B$12,2,FALSE),IF(LEFT(F367)&lt;&gt;"S",VLOOKUP(LEFT(F367),★新聞!$A$4:$B$12,2,FALSE),VLOOKUP("X",★新聞!$A$4:$B$12,2,FALSE)))</f>
        <v>6</v>
      </c>
      <c r="AP367" s="460" t="str">
        <f t="shared" ca="1" si="45"/>
        <v>0</v>
      </c>
      <c r="AQ367" s="460" t="str">
        <f>IF(申込書!$C$38="","",申込書!$C$38)</f>
        <v/>
      </c>
    </row>
    <row r="368" spans="1:43">
      <c r="A368" s="463">
        <f t="shared" si="46"/>
        <v>367</v>
      </c>
      <c r="B368" s="463" t="str">
        <f t="shared" si="47"/>
        <v>東部</v>
      </c>
      <c r="C368" s="464" t="s">
        <v>1017</v>
      </c>
      <c r="D368" s="464" t="s">
        <v>1602</v>
      </c>
      <c r="E368" s="464">
        <f>VLOOKUP(D368,★折込地区!$A$2:$D$10,4,FALSE)</f>
        <v>2</v>
      </c>
      <c r="F368" s="464" t="s">
        <v>506</v>
      </c>
      <c r="G368" s="464" t="str">
        <f>INDEX(★新聞!$E$4:$I$12, MATCH(LEFT(F368),★新聞!$A$4:$A$12,0), MATCH(LEFT(W368),★新聞!$E$3:$I$3,0))</f>
        <v>AM</v>
      </c>
      <c r="H368" s="475" t="s">
        <v>1109</v>
      </c>
      <c r="I368" s="464" cm="1">
        <f t="array" ref="I368">IFERROR(INDEX(★原価率!$A$2:$E$50,MATCH($C368&amp;$H368,★原価率!$A$2:$A$50&amp;★原価率!$B$2:$B$50,0),3),0)</f>
        <v>82</v>
      </c>
      <c r="J368" s="464" cm="1">
        <f t="array" ref="J368">IFERROR(INDEX(★原価率!$A$2:$E$50,MATCH($C368&amp;$H368,★原価率!$A$2:$A$50&amp;★原価率!$B$2:$B$50,0),4),0)</f>
        <v>82</v>
      </c>
      <c r="K368" s="464" cm="1">
        <f t="array" ref="K368">IFERROR(INDEX(★原価率!$A$2:$E$50,MATCH($C368&amp;$H368,★原価率!$A$2:$A$50&amp;★原価率!$B$2:$B$50,0),5),0)</f>
        <v>100</v>
      </c>
      <c r="L368" s="528">
        <f>IFERROR(VLOOKUP(W368,★商品!$A$1:$H$1231,8,FALSE),0)</f>
        <v>2.8</v>
      </c>
      <c r="M368" s="203" t="str">
        <f ca="1">CONCATENATE(VLOOKUP(B368,★営業所!$A$2:$B$5,2,FALSE),TEXT(NOW(),"yyyy"))</f>
        <v>T2023</v>
      </c>
      <c r="N368" s="203">
        <v>1</v>
      </c>
      <c r="O368" s="203">
        <v>0</v>
      </c>
      <c r="P368" s="213">
        <f>申込書!$B$6</f>
        <v>0</v>
      </c>
      <c r="Q368" s="203">
        <f>申込書!$C$34</f>
        <v>1000040</v>
      </c>
      <c r="R368" s="203">
        <v>0</v>
      </c>
      <c r="U368" s="203">
        <f>VLOOKUP(B368,★営業所!$A$2:$C$5,3,FALSE)</f>
        <v>8</v>
      </c>
      <c r="V368" s="203">
        <f>申込書!$B$9</f>
        <v>0</v>
      </c>
      <c r="W368" s="203" t="str">
        <f>CONCATENATE(VLOOKUP(B368,★営業所!$A$2:$B$5,2,FALSE),VLOOKUP(申込書!$C$32,★サイズ表記!$D$4:$E$55,2,FALSE),VLOOKUP(D368,★折込地区!$A$2:$B$11,2,FALSE))</f>
        <v>T1001Kry</v>
      </c>
      <c r="X368" s="203" t="str">
        <f>CONCATENATE(申込書!$B$9," ",VLOOKUP(RIGHT(W368,3),★折込地区!$B$2:$C$10,2,FALSE),"")</f>
        <v xml:space="preserve"> 倉吉</v>
      </c>
      <c r="Z368" s="206">
        <f t="shared" ca="1" si="40"/>
        <v>0</v>
      </c>
      <c r="AB368" s="383">
        <f t="shared" si="41"/>
        <v>2.8</v>
      </c>
      <c r="AC368" s="203" t="str">
        <f t="shared" si="42"/>
        <v>S1001</v>
      </c>
      <c r="AD368" s="203" t="str">
        <f>VLOOKUP(AC368,★原価商品!$E$6:$F$349,2,FALSE)</f>
        <v>山陰中央/B4（折り無し）</v>
      </c>
      <c r="AE368" s="203">
        <f t="shared" ca="1" si="43"/>
        <v>0</v>
      </c>
      <c r="AF368" s="383">
        <f ca="1">IFERROR(IF(VLOOKUP(申込書!$C$32,★サイズ表記!$F$4:$H$55,3,FALSE)="切り捨て",ROUNDDOWN(L368*IF(AK368="◎",I368,J368)/100,2),IF(VLOOKUP(申込書!$C$32,★サイズ表記!$F$4:$H$55,3,FALSE)="切り上げ",ROUNDUP(L368*IF(AK368="◎",I368,J368)/100,2),ROUND(L368*IF(AK368="◎",I368,J368)/100,2))),0)</f>
        <v>2.29</v>
      </c>
      <c r="AG368" s="203">
        <f t="shared" ca="1" si="44"/>
        <v>10303</v>
      </c>
      <c r="AJ368" s="460" t="str">
        <f>IFERROR(VLOOKUP(申込書!$C$30,★業種!$D$2:$E$87,2,FALSE),"")</f>
        <v>1003</v>
      </c>
      <c r="AK368" s="460" t="str">
        <f ca="1">IF(申込書!$C$36="◎",IF(OR(D368="浜坂・温泉",D368="美方・村岡",D368="香住",D368="岡山",D368="大阪"),"",IF(LEFT(F368)="D","◎",IF(AG368=0,"",IFERROR(IF(VLOOKUP(AG368,★仕入先!$A$2:$C$211,3,FALSE)=0,"","◎"),"")))),"")</f>
        <v/>
      </c>
      <c r="AL368" s="460">
        <f>申込書!$H$14</f>
        <v>0</v>
      </c>
      <c r="AM368" s="460" t="str">
        <f>申込書!$C$32</f>
        <v>B4（折り無し）</v>
      </c>
      <c r="AN368" s="460" t="str">
        <f>VLOOKUP(AM368,★サイズ表記!$D$4:$E$55,2,FALSE)</f>
        <v>1001</v>
      </c>
      <c r="AO368" s="460">
        <f>IF(C368&lt;&gt;"⑧兵庫",VLOOKUP(LEFT(F368),★新聞!$A$4:$B$12,2,FALSE),IF(LEFT(F368)&lt;&gt;"S",VLOOKUP(LEFT(F368),★新聞!$A$4:$B$12,2,FALSE),VLOOKUP("X",★新聞!$A$4:$B$12,2,FALSE)))</f>
        <v>6</v>
      </c>
      <c r="AP368" s="460" t="str">
        <f t="shared" ca="1" si="45"/>
        <v>0</v>
      </c>
      <c r="AQ368" s="460" t="str">
        <f>IF(申込書!$C$38="","",申込書!$C$38)</f>
        <v/>
      </c>
    </row>
    <row r="369" spans="1:43">
      <c r="A369" s="463">
        <f t="shared" si="46"/>
        <v>368</v>
      </c>
      <c r="B369" s="463" t="str">
        <f t="shared" si="47"/>
        <v>東部</v>
      </c>
      <c r="C369" s="464" t="s">
        <v>1017</v>
      </c>
      <c r="D369" s="464" t="s">
        <v>1602</v>
      </c>
      <c r="E369" s="464">
        <f>VLOOKUP(D369,★折込地区!$A$2:$D$10,4,FALSE)</f>
        <v>2</v>
      </c>
      <c r="F369" s="464" t="s">
        <v>507</v>
      </c>
      <c r="G369" s="464" t="str">
        <f>INDEX(★新聞!$E$4:$I$12, MATCH(LEFT(F369),★新聞!$A$4:$A$12,0), MATCH(LEFT(W369),★新聞!$E$3:$I$3,0))</f>
        <v>AM</v>
      </c>
      <c r="H369" s="475" t="s">
        <v>1109</v>
      </c>
      <c r="I369" s="464" cm="1">
        <f t="array" ref="I369">IFERROR(INDEX(★原価率!$A$2:$E$50,MATCH($C369&amp;$H369,★原価率!$A$2:$A$50&amp;★原価率!$B$2:$B$50,0),3),0)</f>
        <v>82</v>
      </c>
      <c r="J369" s="464" cm="1">
        <f t="array" ref="J369">IFERROR(INDEX(★原価率!$A$2:$E$50,MATCH($C369&amp;$H369,★原価率!$A$2:$A$50&amp;★原価率!$B$2:$B$50,0),4),0)</f>
        <v>82</v>
      </c>
      <c r="K369" s="464" cm="1">
        <f t="array" ref="K369">IFERROR(INDEX(★原価率!$A$2:$E$50,MATCH($C369&amp;$H369,★原価率!$A$2:$A$50&amp;★原価率!$B$2:$B$50,0),5),0)</f>
        <v>100</v>
      </c>
      <c r="L369" s="528">
        <f>IFERROR(VLOOKUP(W369,★商品!$A$1:$H$1231,8,FALSE),0)</f>
        <v>2.8</v>
      </c>
      <c r="M369" s="203" t="str">
        <f ca="1">CONCATENATE(VLOOKUP(B369,★営業所!$A$2:$B$5,2,FALSE),TEXT(NOW(),"yyyy"))</f>
        <v>T2023</v>
      </c>
      <c r="N369" s="203">
        <v>1</v>
      </c>
      <c r="O369" s="203">
        <v>0</v>
      </c>
      <c r="P369" s="213">
        <f>申込書!$B$6</f>
        <v>0</v>
      </c>
      <c r="Q369" s="203">
        <f>申込書!$C$34</f>
        <v>1000040</v>
      </c>
      <c r="R369" s="203">
        <v>0</v>
      </c>
      <c r="U369" s="203">
        <f>VLOOKUP(B369,★営業所!$A$2:$C$5,3,FALSE)</f>
        <v>8</v>
      </c>
      <c r="V369" s="203">
        <f>申込書!$B$9</f>
        <v>0</v>
      </c>
      <c r="W369" s="203" t="str">
        <f>CONCATENATE(VLOOKUP(B369,★営業所!$A$2:$B$5,2,FALSE),VLOOKUP(申込書!$C$32,★サイズ表記!$D$4:$E$55,2,FALSE),VLOOKUP(D369,★折込地区!$A$2:$B$11,2,FALSE))</f>
        <v>T1001Kry</v>
      </c>
      <c r="X369" s="203" t="str">
        <f>CONCATENATE(申込書!$B$9," ",VLOOKUP(RIGHT(W369,3),★折込地区!$B$2:$C$10,2,FALSE),"")</f>
        <v xml:space="preserve"> 倉吉</v>
      </c>
      <c r="Z369" s="206">
        <f t="shared" ca="1" si="40"/>
        <v>0</v>
      </c>
      <c r="AB369" s="383">
        <f t="shared" si="41"/>
        <v>2.8</v>
      </c>
      <c r="AC369" s="203" t="str">
        <f t="shared" si="42"/>
        <v>S1001</v>
      </c>
      <c r="AD369" s="203" t="str">
        <f>VLOOKUP(AC369,★原価商品!$E$6:$F$349,2,FALSE)</f>
        <v>山陰中央/B4（折り無し）</v>
      </c>
      <c r="AE369" s="203">
        <f t="shared" ca="1" si="43"/>
        <v>0</v>
      </c>
      <c r="AF369" s="383">
        <f ca="1">IFERROR(IF(VLOOKUP(申込書!$C$32,★サイズ表記!$F$4:$H$55,3,FALSE)="切り捨て",ROUNDDOWN(L369*IF(AK369="◎",I369,J369)/100,2),IF(VLOOKUP(申込書!$C$32,★サイズ表記!$F$4:$H$55,3,FALSE)="切り上げ",ROUNDUP(L369*IF(AK369="◎",I369,J369)/100,2),ROUND(L369*IF(AK369="◎",I369,J369)/100,2))),0)</f>
        <v>2.29</v>
      </c>
      <c r="AG369" s="203">
        <f t="shared" ca="1" si="44"/>
        <v>10303</v>
      </c>
      <c r="AJ369" s="460" t="str">
        <f>IFERROR(VLOOKUP(申込書!$C$30,★業種!$D$2:$E$87,2,FALSE),"")</f>
        <v>1003</v>
      </c>
      <c r="AK369" s="460" t="str">
        <f ca="1">IF(申込書!$C$36="◎",IF(OR(D369="浜坂・温泉",D369="美方・村岡",D369="香住",D369="岡山",D369="大阪"),"",IF(LEFT(F369)="D","◎",IF(AG369=0,"",IFERROR(IF(VLOOKUP(AG369,★仕入先!$A$2:$C$211,3,FALSE)=0,"","◎"),"")))),"")</f>
        <v/>
      </c>
      <c r="AL369" s="460">
        <f>申込書!$H$14</f>
        <v>0</v>
      </c>
      <c r="AM369" s="460" t="str">
        <f>申込書!$C$32</f>
        <v>B4（折り無し）</v>
      </c>
      <c r="AN369" s="460" t="str">
        <f>VLOOKUP(AM369,★サイズ表記!$D$4:$E$55,2,FALSE)</f>
        <v>1001</v>
      </c>
      <c r="AO369" s="460">
        <f>IF(C369&lt;&gt;"⑧兵庫",VLOOKUP(LEFT(F369),★新聞!$A$4:$B$12,2,FALSE),IF(LEFT(F369)&lt;&gt;"S",VLOOKUP(LEFT(F369),★新聞!$A$4:$B$12,2,FALSE),VLOOKUP("X",★新聞!$A$4:$B$12,2,FALSE)))</f>
        <v>6</v>
      </c>
      <c r="AP369" s="460" t="str">
        <f t="shared" ca="1" si="45"/>
        <v>0</v>
      </c>
      <c r="AQ369" s="460" t="str">
        <f>IF(申込書!$C$38="","",申込書!$C$38)</f>
        <v/>
      </c>
    </row>
    <row r="370" spans="1:43">
      <c r="A370" s="463">
        <f t="shared" si="46"/>
        <v>369</v>
      </c>
      <c r="B370" s="463" t="str">
        <f t="shared" si="47"/>
        <v>東部</v>
      </c>
      <c r="C370" s="464" t="s">
        <v>1017</v>
      </c>
      <c r="D370" s="464" t="s">
        <v>1602</v>
      </c>
      <c r="E370" s="464">
        <f>VLOOKUP(D370,★折込地区!$A$2:$D$10,4,FALSE)</f>
        <v>2</v>
      </c>
      <c r="F370" s="464" t="s">
        <v>508</v>
      </c>
      <c r="G370" s="464" t="str">
        <f>INDEX(★新聞!$E$4:$I$12, MATCH(LEFT(F370),★新聞!$A$4:$A$12,0), MATCH(LEFT(W370),★新聞!$E$3:$I$3,0))</f>
        <v>AM</v>
      </c>
      <c r="H370" s="475" t="s">
        <v>1109</v>
      </c>
      <c r="I370" s="464" cm="1">
        <f t="array" ref="I370">IFERROR(INDEX(★原価率!$A$2:$E$50,MATCH($C370&amp;$H370,★原価率!$A$2:$A$50&amp;★原価率!$B$2:$B$50,0),3),0)</f>
        <v>82</v>
      </c>
      <c r="J370" s="464" cm="1">
        <f t="array" ref="J370">IFERROR(INDEX(★原価率!$A$2:$E$50,MATCH($C370&amp;$H370,★原価率!$A$2:$A$50&amp;★原価率!$B$2:$B$50,0),4),0)</f>
        <v>82</v>
      </c>
      <c r="K370" s="464" cm="1">
        <f t="array" ref="K370">IFERROR(INDEX(★原価率!$A$2:$E$50,MATCH($C370&amp;$H370,★原価率!$A$2:$A$50&amp;★原価率!$B$2:$B$50,0),5),0)</f>
        <v>100</v>
      </c>
      <c r="L370" s="528">
        <f>IFERROR(VLOOKUP(W370,★商品!$A$1:$H$1231,8,FALSE),0)</f>
        <v>2.8</v>
      </c>
      <c r="M370" s="203" t="str">
        <f ca="1">CONCATENATE(VLOOKUP(B370,★営業所!$A$2:$B$5,2,FALSE),TEXT(NOW(),"yyyy"))</f>
        <v>T2023</v>
      </c>
      <c r="N370" s="203">
        <v>1</v>
      </c>
      <c r="O370" s="203">
        <v>0</v>
      </c>
      <c r="P370" s="213">
        <f>申込書!$B$6</f>
        <v>0</v>
      </c>
      <c r="Q370" s="203">
        <f>申込書!$C$34</f>
        <v>1000040</v>
      </c>
      <c r="R370" s="203">
        <v>0</v>
      </c>
      <c r="U370" s="203">
        <f>VLOOKUP(B370,★営業所!$A$2:$C$5,3,FALSE)</f>
        <v>8</v>
      </c>
      <c r="V370" s="203">
        <f>申込書!$B$9</f>
        <v>0</v>
      </c>
      <c r="W370" s="203" t="str">
        <f>CONCATENATE(VLOOKUP(B370,★営業所!$A$2:$B$5,2,FALSE),VLOOKUP(申込書!$C$32,★サイズ表記!$D$4:$E$55,2,FALSE),VLOOKUP(D370,★折込地区!$A$2:$B$11,2,FALSE))</f>
        <v>T1001Kry</v>
      </c>
      <c r="X370" s="203" t="str">
        <f>CONCATENATE(申込書!$B$9," ",VLOOKUP(RIGHT(W370,3),★折込地区!$B$2:$C$10,2,FALSE),"")</f>
        <v xml:space="preserve"> 倉吉</v>
      </c>
      <c r="Z370" s="206">
        <f t="shared" ca="1" si="40"/>
        <v>0</v>
      </c>
      <c r="AB370" s="383">
        <f t="shared" si="41"/>
        <v>2.8</v>
      </c>
      <c r="AC370" s="203" t="str">
        <f t="shared" si="42"/>
        <v>S1001</v>
      </c>
      <c r="AD370" s="203" t="str">
        <f>VLOOKUP(AC370,★原価商品!$E$6:$F$349,2,FALSE)</f>
        <v>山陰中央/B4（折り無し）</v>
      </c>
      <c r="AE370" s="203">
        <f t="shared" ca="1" si="43"/>
        <v>0</v>
      </c>
      <c r="AF370" s="383">
        <f ca="1">IFERROR(IF(VLOOKUP(申込書!$C$32,★サイズ表記!$F$4:$H$55,3,FALSE)="切り捨て",ROUNDDOWN(L370*IF(AK370="◎",I370,J370)/100,2),IF(VLOOKUP(申込書!$C$32,★サイズ表記!$F$4:$H$55,3,FALSE)="切り上げ",ROUNDUP(L370*IF(AK370="◎",I370,J370)/100,2),ROUND(L370*IF(AK370="◎",I370,J370)/100,2))),0)</f>
        <v>2.29</v>
      </c>
      <c r="AG370" s="203">
        <f t="shared" ca="1" si="44"/>
        <v>0</v>
      </c>
      <c r="AJ370" s="460" t="str">
        <f>IFERROR(VLOOKUP(申込書!$C$30,★業種!$D$2:$E$87,2,FALSE),"")</f>
        <v>1003</v>
      </c>
      <c r="AK370" s="460" t="str">
        <f ca="1">IF(申込書!$C$36="◎",IF(OR(D370="浜坂・温泉",D370="美方・村岡",D370="香住",D370="岡山",D370="大阪"),"",IF(LEFT(F370)="D","◎",IF(AG370=0,"",IFERROR(IF(VLOOKUP(AG370,★仕入先!$A$2:$C$211,3,FALSE)=0,"","◎"),"")))),"")</f>
        <v/>
      </c>
      <c r="AL370" s="460">
        <f>申込書!$H$14</f>
        <v>0</v>
      </c>
      <c r="AM370" s="460" t="str">
        <f>申込書!$C$32</f>
        <v>B4（折り無し）</v>
      </c>
      <c r="AN370" s="460" t="str">
        <f>VLOOKUP(AM370,★サイズ表記!$D$4:$E$55,2,FALSE)</f>
        <v>1001</v>
      </c>
      <c r="AO370" s="460">
        <f>IF(C370&lt;&gt;"⑧兵庫",VLOOKUP(LEFT(F370),★新聞!$A$4:$B$12,2,FALSE),IF(LEFT(F370)&lt;&gt;"S",VLOOKUP(LEFT(F370),★新聞!$A$4:$B$12,2,FALSE),VLOOKUP("X",★新聞!$A$4:$B$12,2,FALSE)))</f>
        <v>6</v>
      </c>
      <c r="AP370" s="460" t="str">
        <f t="shared" ca="1" si="45"/>
        <v>0</v>
      </c>
      <c r="AQ370" s="460" t="str">
        <f>IF(申込書!$C$38="","",申込書!$C$38)</f>
        <v/>
      </c>
    </row>
    <row r="371" spans="1:43">
      <c r="A371" s="463">
        <f t="shared" si="46"/>
        <v>370</v>
      </c>
      <c r="B371" s="463" t="str">
        <f t="shared" si="47"/>
        <v>東部</v>
      </c>
      <c r="C371" s="464" t="s">
        <v>1017</v>
      </c>
      <c r="D371" s="464" t="s">
        <v>1602</v>
      </c>
      <c r="E371" s="464">
        <f>VLOOKUP(D371,★折込地区!$A$2:$D$10,4,FALSE)</f>
        <v>2</v>
      </c>
      <c r="F371" s="464" t="s">
        <v>509</v>
      </c>
      <c r="G371" s="464" t="str">
        <f>INDEX(★新聞!$E$4:$I$12, MATCH(LEFT(F371),★新聞!$A$4:$A$12,0), MATCH(LEFT(W371),★新聞!$E$3:$I$3,0))</f>
        <v>AM</v>
      </c>
      <c r="H371" s="475" t="s">
        <v>1109</v>
      </c>
      <c r="I371" s="464" cm="1">
        <f t="array" ref="I371">IFERROR(INDEX(★原価率!$A$2:$E$50,MATCH($C371&amp;$H371,★原価率!$A$2:$A$50&amp;★原価率!$B$2:$B$50,0),3),0)</f>
        <v>82</v>
      </c>
      <c r="J371" s="464" cm="1">
        <f t="array" ref="J371">IFERROR(INDEX(★原価率!$A$2:$E$50,MATCH($C371&amp;$H371,★原価率!$A$2:$A$50&amp;★原価率!$B$2:$B$50,0),4),0)</f>
        <v>82</v>
      </c>
      <c r="K371" s="464" cm="1">
        <f t="array" ref="K371">IFERROR(INDEX(★原価率!$A$2:$E$50,MATCH($C371&amp;$H371,★原価率!$A$2:$A$50&amp;★原価率!$B$2:$B$50,0),5),0)</f>
        <v>100</v>
      </c>
      <c r="L371" s="528">
        <f>IFERROR(VLOOKUP(W371,★商品!$A$1:$H$1231,8,FALSE),0)</f>
        <v>2.8</v>
      </c>
      <c r="M371" s="203" t="str">
        <f ca="1">CONCATENATE(VLOOKUP(B371,★営業所!$A$2:$B$5,2,FALSE),TEXT(NOW(),"yyyy"))</f>
        <v>T2023</v>
      </c>
      <c r="N371" s="203">
        <v>1</v>
      </c>
      <c r="O371" s="203">
        <v>0</v>
      </c>
      <c r="P371" s="213">
        <f>申込書!$B$6</f>
        <v>0</v>
      </c>
      <c r="Q371" s="203">
        <f>申込書!$C$34</f>
        <v>1000040</v>
      </c>
      <c r="R371" s="203">
        <v>0</v>
      </c>
      <c r="U371" s="203">
        <f>VLOOKUP(B371,★営業所!$A$2:$C$5,3,FALSE)</f>
        <v>8</v>
      </c>
      <c r="V371" s="203">
        <f>申込書!$B$9</f>
        <v>0</v>
      </c>
      <c r="W371" s="203" t="str">
        <f>CONCATENATE(VLOOKUP(B371,★営業所!$A$2:$B$5,2,FALSE),VLOOKUP(申込書!$C$32,★サイズ表記!$D$4:$E$55,2,FALSE),VLOOKUP(D371,★折込地区!$A$2:$B$11,2,FALSE))</f>
        <v>T1001Kry</v>
      </c>
      <c r="X371" s="203" t="str">
        <f>CONCATENATE(申込書!$B$9," ",VLOOKUP(RIGHT(W371,3),★折込地区!$B$2:$C$10,2,FALSE),"")</f>
        <v xml:space="preserve"> 倉吉</v>
      </c>
      <c r="Z371" s="206">
        <f t="shared" ca="1" si="40"/>
        <v>0</v>
      </c>
      <c r="AB371" s="383">
        <f t="shared" si="41"/>
        <v>2.8</v>
      </c>
      <c r="AC371" s="203" t="str">
        <f t="shared" si="42"/>
        <v>S1001</v>
      </c>
      <c r="AD371" s="203" t="str">
        <f>VLOOKUP(AC371,★原価商品!$E$6:$F$349,2,FALSE)</f>
        <v>山陰中央/B4（折り無し）</v>
      </c>
      <c r="AE371" s="203">
        <f t="shared" ca="1" si="43"/>
        <v>0</v>
      </c>
      <c r="AF371" s="383">
        <f ca="1">IFERROR(IF(VLOOKUP(申込書!$C$32,★サイズ表記!$F$4:$H$55,3,FALSE)="切り捨て",ROUNDDOWN(L371*IF(AK371="◎",I371,J371)/100,2),IF(VLOOKUP(申込書!$C$32,★サイズ表記!$F$4:$H$55,3,FALSE)="切り上げ",ROUNDUP(L371*IF(AK371="◎",I371,J371)/100,2),ROUND(L371*IF(AK371="◎",I371,J371)/100,2))),0)</f>
        <v>2.29</v>
      </c>
      <c r="AG371" s="203">
        <f t="shared" ca="1" si="44"/>
        <v>10303</v>
      </c>
      <c r="AJ371" s="460" t="str">
        <f>IFERROR(VLOOKUP(申込書!$C$30,★業種!$D$2:$E$87,2,FALSE),"")</f>
        <v>1003</v>
      </c>
      <c r="AK371" s="460" t="str">
        <f ca="1">IF(申込書!$C$36="◎",IF(OR(D371="浜坂・温泉",D371="美方・村岡",D371="香住",D371="岡山",D371="大阪"),"",IF(LEFT(F371)="D","◎",IF(AG371=0,"",IFERROR(IF(VLOOKUP(AG371,★仕入先!$A$2:$C$211,3,FALSE)=0,"","◎"),"")))),"")</f>
        <v/>
      </c>
      <c r="AL371" s="460">
        <f>申込書!$H$14</f>
        <v>0</v>
      </c>
      <c r="AM371" s="460" t="str">
        <f>申込書!$C$32</f>
        <v>B4（折り無し）</v>
      </c>
      <c r="AN371" s="460" t="str">
        <f>VLOOKUP(AM371,★サイズ表記!$D$4:$E$55,2,FALSE)</f>
        <v>1001</v>
      </c>
      <c r="AO371" s="460">
        <f>IF(C371&lt;&gt;"⑧兵庫",VLOOKUP(LEFT(F371),★新聞!$A$4:$B$12,2,FALSE),IF(LEFT(F371)&lt;&gt;"S",VLOOKUP(LEFT(F371),★新聞!$A$4:$B$12,2,FALSE),VLOOKUP("X",★新聞!$A$4:$B$12,2,FALSE)))</f>
        <v>6</v>
      </c>
      <c r="AP371" s="460" t="str">
        <f t="shared" ca="1" si="45"/>
        <v>0</v>
      </c>
      <c r="AQ371" s="460" t="str">
        <f>IF(申込書!$C$38="","",申込書!$C$38)</f>
        <v/>
      </c>
    </row>
    <row r="372" spans="1:43">
      <c r="A372" s="463">
        <f t="shared" si="46"/>
        <v>371</v>
      </c>
      <c r="B372" s="463" t="str">
        <f t="shared" si="47"/>
        <v>東部</v>
      </c>
      <c r="C372" s="464" t="s">
        <v>1017</v>
      </c>
      <c r="D372" s="464" t="s">
        <v>1602</v>
      </c>
      <c r="E372" s="464">
        <f>VLOOKUP(D372,★折込地区!$A$2:$D$10,4,FALSE)</f>
        <v>2</v>
      </c>
      <c r="F372" s="464" t="s">
        <v>510</v>
      </c>
      <c r="G372" s="464" t="str">
        <f>INDEX(★新聞!$E$4:$I$12, MATCH(LEFT(F372),★新聞!$A$4:$A$12,0), MATCH(LEFT(W372),★新聞!$E$3:$I$3,0))</f>
        <v>AM</v>
      </c>
      <c r="H372" s="475" t="s">
        <v>1109</v>
      </c>
      <c r="I372" s="464" cm="1">
        <f t="array" ref="I372">IFERROR(INDEX(★原価率!$A$2:$E$50,MATCH($C372&amp;$H372,★原価率!$A$2:$A$50&amp;★原価率!$B$2:$B$50,0),3),0)</f>
        <v>82</v>
      </c>
      <c r="J372" s="464" cm="1">
        <f t="array" ref="J372">IFERROR(INDEX(★原価率!$A$2:$E$50,MATCH($C372&amp;$H372,★原価率!$A$2:$A$50&amp;★原価率!$B$2:$B$50,0),4),0)</f>
        <v>82</v>
      </c>
      <c r="K372" s="464" cm="1">
        <f t="array" ref="K372">IFERROR(INDEX(★原価率!$A$2:$E$50,MATCH($C372&amp;$H372,★原価率!$A$2:$A$50&amp;★原価率!$B$2:$B$50,0),5),0)</f>
        <v>100</v>
      </c>
      <c r="L372" s="528">
        <f>IFERROR(VLOOKUP(W372,★商品!$A$1:$H$1231,8,FALSE),0)</f>
        <v>2.8</v>
      </c>
      <c r="M372" s="203" t="str">
        <f ca="1">CONCATENATE(VLOOKUP(B372,★営業所!$A$2:$B$5,2,FALSE),TEXT(NOW(),"yyyy"))</f>
        <v>T2023</v>
      </c>
      <c r="N372" s="203">
        <v>1</v>
      </c>
      <c r="O372" s="203">
        <v>0</v>
      </c>
      <c r="P372" s="213">
        <f>申込書!$B$6</f>
        <v>0</v>
      </c>
      <c r="Q372" s="203">
        <f>申込書!$C$34</f>
        <v>1000040</v>
      </c>
      <c r="R372" s="203">
        <v>0</v>
      </c>
      <c r="U372" s="203">
        <f>VLOOKUP(B372,★営業所!$A$2:$C$5,3,FALSE)</f>
        <v>8</v>
      </c>
      <c r="V372" s="203">
        <f>申込書!$B$9</f>
        <v>0</v>
      </c>
      <c r="W372" s="203" t="str">
        <f>CONCATENATE(VLOOKUP(B372,★営業所!$A$2:$B$5,2,FALSE),VLOOKUP(申込書!$C$32,★サイズ表記!$D$4:$E$55,2,FALSE),VLOOKUP(D372,★折込地区!$A$2:$B$11,2,FALSE))</f>
        <v>T1001Kry</v>
      </c>
      <c r="X372" s="203" t="str">
        <f>CONCATENATE(申込書!$B$9," ",VLOOKUP(RIGHT(W372,3),★折込地区!$B$2:$C$10,2,FALSE),"")</f>
        <v xml:space="preserve"> 倉吉</v>
      </c>
      <c r="Z372" s="206">
        <f t="shared" ca="1" si="40"/>
        <v>0</v>
      </c>
      <c r="AB372" s="383">
        <f t="shared" si="41"/>
        <v>2.8</v>
      </c>
      <c r="AC372" s="203" t="str">
        <f t="shared" si="42"/>
        <v>S1001</v>
      </c>
      <c r="AD372" s="203" t="str">
        <f>VLOOKUP(AC372,★原価商品!$E$6:$F$349,2,FALSE)</f>
        <v>山陰中央/B4（折り無し）</v>
      </c>
      <c r="AE372" s="203">
        <f t="shared" ca="1" si="43"/>
        <v>0</v>
      </c>
      <c r="AF372" s="383">
        <f ca="1">IFERROR(IF(VLOOKUP(申込書!$C$32,★サイズ表記!$F$4:$H$55,3,FALSE)="切り捨て",ROUNDDOWN(L372*IF(AK372="◎",I372,J372)/100,2),IF(VLOOKUP(申込書!$C$32,★サイズ表記!$F$4:$H$55,3,FALSE)="切り上げ",ROUNDUP(L372*IF(AK372="◎",I372,J372)/100,2),ROUND(L372*IF(AK372="◎",I372,J372)/100,2))),0)</f>
        <v>2.29</v>
      </c>
      <c r="AG372" s="203">
        <f t="shared" ca="1" si="44"/>
        <v>10303</v>
      </c>
      <c r="AJ372" s="460" t="str">
        <f>IFERROR(VLOOKUP(申込書!$C$30,★業種!$D$2:$E$87,2,FALSE),"")</f>
        <v>1003</v>
      </c>
      <c r="AK372" s="460" t="str">
        <f ca="1">IF(申込書!$C$36="◎",IF(OR(D372="浜坂・温泉",D372="美方・村岡",D372="香住",D372="岡山",D372="大阪"),"",IF(LEFT(F372)="D","◎",IF(AG372=0,"",IFERROR(IF(VLOOKUP(AG372,★仕入先!$A$2:$C$211,3,FALSE)=0,"","◎"),"")))),"")</f>
        <v/>
      </c>
      <c r="AL372" s="460">
        <f>申込書!$H$14</f>
        <v>0</v>
      </c>
      <c r="AM372" s="460" t="str">
        <f>申込書!$C$32</f>
        <v>B4（折り無し）</v>
      </c>
      <c r="AN372" s="460" t="str">
        <f>VLOOKUP(AM372,★サイズ表記!$D$4:$E$55,2,FALSE)</f>
        <v>1001</v>
      </c>
      <c r="AO372" s="460">
        <f>IF(C372&lt;&gt;"⑧兵庫",VLOOKUP(LEFT(F372),★新聞!$A$4:$B$12,2,FALSE),IF(LEFT(F372)&lt;&gt;"S",VLOOKUP(LEFT(F372),★新聞!$A$4:$B$12,2,FALSE),VLOOKUP("X",★新聞!$A$4:$B$12,2,FALSE)))</f>
        <v>6</v>
      </c>
      <c r="AP372" s="460" t="str">
        <f t="shared" ca="1" si="45"/>
        <v>0</v>
      </c>
      <c r="AQ372" s="460" t="str">
        <f>IF(申込書!$C$38="","",申込書!$C$38)</f>
        <v/>
      </c>
    </row>
    <row r="373" spans="1:43">
      <c r="A373" s="463">
        <f t="shared" si="46"/>
        <v>372</v>
      </c>
      <c r="B373" s="463" t="str">
        <f t="shared" si="47"/>
        <v>東部</v>
      </c>
      <c r="C373" s="464" t="s">
        <v>1017</v>
      </c>
      <c r="D373" s="464" t="s">
        <v>1602</v>
      </c>
      <c r="E373" s="464">
        <f>VLOOKUP(D373,★折込地区!$A$2:$D$10,4,FALSE)</f>
        <v>2</v>
      </c>
      <c r="F373" s="464" t="s">
        <v>513</v>
      </c>
      <c r="G373" s="464" t="str">
        <f>INDEX(★新聞!$E$4:$I$12, MATCH(LEFT(F373),★新聞!$A$4:$A$12,0), MATCH(LEFT(W373),★新聞!$E$3:$I$3,0))</f>
        <v>AP</v>
      </c>
      <c r="H373" s="475" t="s">
        <v>1104</v>
      </c>
      <c r="I373" s="464" cm="1">
        <f t="array" ref="I373">IFERROR(INDEX(★原価率!$A$2:$E$50,MATCH($C373&amp;$H373,★原価率!$A$2:$A$50&amp;★原価率!$B$2:$B$50,0),3),0)</f>
        <v>86</v>
      </c>
      <c r="J373" s="464" cm="1">
        <f t="array" ref="J373">IFERROR(INDEX(★原価率!$A$2:$E$50,MATCH($C373&amp;$H373,★原価率!$A$2:$A$50&amp;★原価率!$B$2:$B$50,0),4),0)</f>
        <v>86</v>
      </c>
      <c r="K373" s="464" cm="1">
        <f t="array" ref="K373">IFERROR(INDEX(★原価率!$A$2:$E$50,MATCH($C373&amp;$H373,★原価率!$A$2:$A$50&amp;★原価率!$B$2:$B$50,0),5),0)</f>
        <v>100</v>
      </c>
      <c r="L373" s="528">
        <f>IFERROR(VLOOKUP(W373,★商品!$A$1:$H$1231,8,FALSE),0)</f>
        <v>2.8</v>
      </c>
      <c r="M373" s="203" t="str">
        <f ca="1">CONCATENATE(VLOOKUP(B373,★営業所!$A$2:$B$5,2,FALSE),TEXT(NOW(),"yyyy"))</f>
        <v>T2023</v>
      </c>
      <c r="N373" s="203">
        <v>1</v>
      </c>
      <c r="O373" s="203">
        <v>0</v>
      </c>
      <c r="P373" s="213">
        <f>申込書!$B$6</f>
        <v>0</v>
      </c>
      <c r="Q373" s="203">
        <f>申込書!$C$34</f>
        <v>1000040</v>
      </c>
      <c r="R373" s="203">
        <v>0</v>
      </c>
      <c r="U373" s="203">
        <f>VLOOKUP(B373,★営業所!$A$2:$C$5,3,FALSE)</f>
        <v>8</v>
      </c>
      <c r="V373" s="203">
        <f>申込書!$B$9</f>
        <v>0</v>
      </c>
      <c r="W373" s="203" t="str">
        <f>CONCATENATE(VLOOKUP(B373,★営業所!$A$2:$B$5,2,FALSE),VLOOKUP(申込書!$C$32,★サイズ表記!$D$4:$E$55,2,FALSE),VLOOKUP(D373,★折込地区!$A$2:$B$11,2,FALSE))</f>
        <v>T1001Kry</v>
      </c>
      <c r="X373" s="203" t="str">
        <f>CONCATENATE(申込書!$B$9," ",VLOOKUP(RIGHT(W373,3),★折込地区!$B$2:$C$10,2,FALSE),"")</f>
        <v xml:space="preserve"> 倉吉</v>
      </c>
      <c r="Z373" s="206">
        <f t="shared" ca="1" si="40"/>
        <v>0</v>
      </c>
      <c r="AB373" s="383">
        <f t="shared" si="41"/>
        <v>2.8</v>
      </c>
      <c r="AC373" s="203" t="str">
        <f t="shared" si="42"/>
        <v>V1001</v>
      </c>
      <c r="AD373" s="203" t="str">
        <f>VLOOKUP(AC373,★原価商品!$E$6:$F$349,2,FALSE)</f>
        <v>日経/B4（折り無し）</v>
      </c>
      <c r="AE373" s="203">
        <f t="shared" ca="1" si="43"/>
        <v>0</v>
      </c>
      <c r="AF373" s="383">
        <f ca="1">IFERROR(IF(VLOOKUP(申込書!$C$32,★サイズ表記!$F$4:$H$55,3,FALSE)="切り捨て",ROUNDDOWN(L373*IF(AK373="◎",I373,J373)/100,2),IF(VLOOKUP(申込書!$C$32,★サイズ表記!$F$4:$H$55,3,FALSE)="切り上げ",ROUNDUP(L373*IF(AK373="◎",I373,J373)/100,2),ROUND(L373*IF(AK373="◎",I373,J373)/100,2))),0)</f>
        <v>2.4</v>
      </c>
      <c r="AG373" s="203">
        <f t="shared" ca="1" si="44"/>
        <v>10303</v>
      </c>
      <c r="AJ373" s="460" t="str">
        <f>IFERROR(VLOOKUP(申込書!$C$30,★業種!$D$2:$E$87,2,FALSE),"")</f>
        <v>1003</v>
      </c>
      <c r="AK373" s="460" t="str">
        <f ca="1">IF(申込書!$C$36="◎",IF(OR(D373="浜坂・温泉",D373="美方・村岡",D373="香住",D373="岡山",D373="大阪"),"",IF(LEFT(F373)="D","◎",IF(AG373=0,"",IFERROR(IF(VLOOKUP(AG373,★仕入先!$A$2:$C$211,3,FALSE)=0,"","◎"),"")))),"")</f>
        <v/>
      </c>
      <c r="AL373" s="460">
        <f>申込書!$H$14</f>
        <v>0</v>
      </c>
      <c r="AM373" s="460" t="str">
        <f>申込書!$C$32</f>
        <v>B4（折り無し）</v>
      </c>
      <c r="AN373" s="460" t="str">
        <f>VLOOKUP(AM373,★サイズ表記!$D$4:$E$55,2,FALSE)</f>
        <v>1001</v>
      </c>
      <c r="AO373" s="460">
        <f>IF(C373&lt;&gt;"⑧兵庫",VLOOKUP(LEFT(F373),★新聞!$A$4:$B$12,2,FALSE),IF(LEFT(F373)&lt;&gt;"S",VLOOKUP(LEFT(F373),★新聞!$A$4:$B$12,2,FALSE),VLOOKUP("X",★新聞!$A$4:$B$12,2,FALSE)))</f>
        <v>7</v>
      </c>
      <c r="AP373" s="460" t="str">
        <f t="shared" ca="1" si="45"/>
        <v>0</v>
      </c>
      <c r="AQ373" s="460" t="str">
        <f>IF(申込書!$C$38="","",申込書!$C$38)</f>
        <v/>
      </c>
    </row>
    <row r="374" spans="1:43">
      <c r="A374" s="463">
        <f t="shared" si="46"/>
        <v>373</v>
      </c>
      <c r="B374" s="463" t="str">
        <f t="shared" si="47"/>
        <v>東部</v>
      </c>
      <c r="C374" s="464" t="s">
        <v>1017</v>
      </c>
      <c r="D374" s="464" t="s">
        <v>1602</v>
      </c>
      <c r="E374" s="464">
        <f>VLOOKUP(D374,★折込地区!$A$2:$D$10,4,FALSE)</f>
        <v>2</v>
      </c>
      <c r="F374" s="464" t="s">
        <v>514</v>
      </c>
      <c r="G374" s="464" t="str">
        <f>INDEX(★新聞!$E$4:$I$12, MATCH(LEFT(F374),★新聞!$A$4:$A$12,0), MATCH(LEFT(W374),★新聞!$E$3:$I$3,0))</f>
        <v>AP</v>
      </c>
      <c r="H374" s="475" t="s">
        <v>1104</v>
      </c>
      <c r="I374" s="464" cm="1">
        <f t="array" ref="I374">IFERROR(INDEX(★原価率!$A$2:$E$50,MATCH($C374&amp;$H374,★原価率!$A$2:$A$50&amp;★原価率!$B$2:$B$50,0),3),0)</f>
        <v>86</v>
      </c>
      <c r="J374" s="464" cm="1">
        <f t="array" ref="J374">IFERROR(INDEX(★原価率!$A$2:$E$50,MATCH($C374&amp;$H374,★原価率!$A$2:$A$50&amp;★原価率!$B$2:$B$50,0),4),0)</f>
        <v>86</v>
      </c>
      <c r="K374" s="464" cm="1">
        <f t="array" ref="K374">IFERROR(INDEX(★原価率!$A$2:$E$50,MATCH($C374&amp;$H374,★原価率!$A$2:$A$50&amp;★原価率!$B$2:$B$50,0),5),0)</f>
        <v>100</v>
      </c>
      <c r="L374" s="528">
        <f>IFERROR(VLOOKUP(W374,★商品!$A$1:$H$1231,8,FALSE),0)</f>
        <v>2.8</v>
      </c>
      <c r="M374" s="203" t="str">
        <f ca="1">CONCATENATE(VLOOKUP(B374,★営業所!$A$2:$B$5,2,FALSE),TEXT(NOW(),"yyyy"))</f>
        <v>T2023</v>
      </c>
      <c r="N374" s="203">
        <v>1</v>
      </c>
      <c r="O374" s="203">
        <v>0</v>
      </c>
      <c r="P374" s="213">
        <f>申込書!$B$6</f>
        <v>0</v>
      </c>
      <c r="Q374" s="203">
        <f>申込書!$C$34</f>
        <v>1000040</v>
      </c>
      <c r="R374" s="203">
        <v>0</v>
      </c>
      <c r="U374" s="203">
        <f>VLOOKUP(B374,★営業所!$A$2:$C$5,3,FALSE)</f>
        <v>8</v>
      </c>
      <c r="V374" s="203">
        <f>申込書!$B$9</f>
        <v>0</v>
      </c>
      <c r="W374" s="203" t="str">
        <f>CONCATENATE(VLOOKUP(B374,★営業所!$A$2:$B$5,2,FALSE),VLOOKUP(申込書!$C$32,★サイズ表記!$D$4:$E$55,2,FALSE),VLOOKUP(D374,★折込地区!$A$2:$B$11,2,FALSE))</f>
        <v>T1001Kry</v>
      </c>
      <c r="X374" s="203" t="str">
        <f>CONCATENATE(申込書!$B$9," ",VLOOKUP(RIGHT(W374,3),★折込地区!$B$2:$C$10,2,FALSE),"")</f>
        <v xml:space="preserve"> 倉吉</v>
      </c>
      <c r="Z374" s="206">
        <f t="shared" ca="1" si="40"/>
        <v>0</v>
      </c>
      <c r="AB374" s="383">
        <f t="shared" si="41"/>
        <v>2.8</v>
      </c>
      <c r="AC374" s="203" t="str">
        <f t="shared" si="42"/>
        <v>V1001</v>
      </c>
      <c r="AD374" s="203" t="str">
        <f>VLOOKUP(AC374,★原価商品!$E$6:$F$349,2,FALSE)</f>
        <v>日経/B4（折り無し）</v>
      </c>
      <c r="AE374" s="203">
        <f t="shared" ca="1" si="43"/>
        <v>0</v>
      </c>
      <c r="AF374" s="383">
        <f ca="1">IFERROR(IF(VLOOKUP(申込書!$C$32,★サイズ表記!$F$4:$H$55,3,FALSE)="切り捨て",ROUNDDOWN(L374*IF(AK374="◎",I374,J374)/100,2),IF(VLOOKUP(申込書!$C$32,★サイズ表記!$F$4:$H$55,3,FALSE)="切り上げ",ROUNDUP(L374*IF(AK374="◎",I374,J374)/100,2),ROUND(L374*IF(AK374="◎",I374,J374)/100,2))),0)</f>
        <v>2.4</v>
      </c>
      <c r="AG374" s="203">
        <f t="shared" ca="1" si="44"/>
        <v>10303</v>
      </c>
      <c r="AJ374" s="460" t="str">
        <f>IFERROR(VLOOKUP(申込書!$C$30,★業種!$D$2:$E$87,2,FALSE),"")</f>
        <v>1003</v>
      </c>
      <c r="AK374" s="460" t="str">
        <f ca="1">IF(申込書!$C$36="◎",IF(OR(D374="浜坂・温泉",D374="美方・村岡",D374="香住",D374="岡山",D374="大阪"),"",IF(LEFT(F374)="D","◎",IF(AG374=0,"",IFERROR(IF(VLOOKUP(AG374,★仕入先!$A$2:$C$211,3,FALSE)=0,"","◎"),"")))),"")</f>
        <v/>
      </c>
      <c r="AL374" s="460">
        <f>申込書!$H$14</f>
        <v>0</v>
      </c>
      <c r="AM374" s="460" t="str">
        <f>申込書!$C$32</f>
        <v>B4（折り無し）</v>
      </c>
      <c r="AN374" s="460" t="str">
        <f>VLOOKUP(AM374,★サイズ表記!$D$4:$E$55,2,FALSE)</f>
        <v>1001</v>
      </c>
      <c r="AO374" s="460">
        <f>IF(C374&lt;&gt;"⑧兵庫",VLOOKUP(LEFT(F374),★新聞!$A$4:$B$12,2,FALSE),IF(LEFT(F374)&lt;&gt;"S",VLOOKUP(LEFT(F374),★新聞!$A$4:$B$12,2,FALSE),VLOOKUP("X",★新聞!$A$4:$B$12,2,FALSE)))</f>
        <v>7</v>
      </c>
      <c r="AP374" s="460" t="str">
        <f t="shared" ca="1" si="45"/>
        <v>0</v>
      </c>
      <c r="AQ374" s="460" t="str">
        <f>IF(申込書!$C$38="","",申込書!$C$38)</f>
        <v/>
      </c>
    </row>
    <row r="375" spans="1:43">
      <c r="A375" s="463">
        <f t="shared" si="46"/>
        <v>374</v>
      </c>
      <c r="B375" s="463" t="str">
        <f t="shared" si="47"/>
        <v>東部</v>
      </c>
      <c r="C375" s="464" t="s">
        <v>1017</v>
      </c>
      <c r="D375" s="464" t="s">
        <v>1602</v>
      </c>
      <c r="E375" s="464">
        <f>VLOOKUP(D375,★折込地区!$A$2:$D$10,4,FALSE)</f>
        <v>2</v>
      </c>
      <c r="F375" s="464" t="s">
        <v>515</v>
      </c>
      <c r="G375" s="464" t="str">
        <f>INDEX(★新聞!$E$4:$I$12, MATCH(LEFT(F375),★新聞!$A$4:$A$12,0), MATCH(LEFT(W375),★新聞!$E$3:$I$3,0))</f>
        <v>AP</v>
      </c>
      <c r="H375" s="475" t="s">
        <v>1104</v>
      </c>
      <c r="I375" s="464" cm="1">
        <f t="array" ref="I375">IFERROR(INDEX(★原価率!$A$2:$E$50,MATCH($C375&amp;$H375,★原価率!$A$2:$A$50&amp;★原価率!$B$2:$B$50,0),3),0)</f>
        <v>86</v>
      </c>
      <c r="J375" s="464" cm="1">
        <f t="array" ref="J375">IFERROR(INDEX(★原価率!$A$2:$E$50,MATCH($C375&amp;$H375,★原価率!$A$2:$A$50&amp;★原価率!$B$2:$B$50,0),4),0)</f>
        <v>86</v>
      </c>
      <c r="K375" s="464" cm="1">
        <f t="array" ref="K375">IFERROR(INDEX(★原価率!$A$2:$E$50,MATCH($C375&amp;$H375,★原価率!$A$2:$A$50&amp;★原価率!$B$2:$B$50,0),5),0)</f>
        <v>100</v>
      </c>
      <c r="L375" s="528">
        <f>IFERROR(VLOOKUP(W375,★商品!$A$1:$H$1231,8,FALSE),0)</f>
        <v>2.8</v>
      </c>
      <c r="M375" s="203" t="str">
        <f ca="1">CONCATENATE(VLOOKUP(B375,★営業所!$A$2:$B$5,2,FALSE),TEXT(NOW(),"yyyy"))</f>
        <v>T2023</v>
      </c>
      <c r="N375" s="203">
        <v>1</v>
      </c>
      <c r="O375" s="203">
        <v>0</v>
      </c>
      <c r="P375" s="213">
        <f>申込書!$B$6</f>
        <v>0</v>
      </c>
      <c r="Q375" s="203">
        <f>申込書!$C$34</f>
        <v>1000040</v>
      </c>
      <c r="R375" s="203">
        <v>0</v>
      </c>
      <c r="U375" s="203">
        <f>VLOOKUP(B375,★営業所!$A$2:$C$5,3,FALSE)</f>
        <v>8</v>
      </c>
      <c r="V375" s="203">
        <f>申込書!$B$9</f>
        <v>0</v>
      </c>
      <c r="W375" s="203" t="str">
        <f>CONCATENATE(VLOOKUP(B375,★営業所!$A$2:$B$5,2,FALSE),VLOOKUP(申込書!$C$32,★サイズ表記!$D$4:$E$55,2,FALSE),VLOOKUP(D375,★折込地区!$A$2:$B$11,2,FALSE))</f>
        <v>T1001Kry</v>
      </c>
      <c r="X375" s="203" t="str">
        <f>CONCATENATE(申込書!$B$9," ",VLOOKUP(RIGHT(W375,3),★折込地区!$B$2:$C$10,2,FALSE),"")</f>
        <v xml:space="preserve"> 倉吉</v>
      </c>
      <c r="Z375" s="206">
        <f t="shared" ca="1" si="40"/>
        <v>0</v>
      </c>
      <c r="AB375" s="383">
        <f t="shared" si="41"/>
        <v>2.8</v>
      </c>
      <c r="AC375" s="203" t="str">
        <f t="shared" si="42"/>
        <v>V1001</v>
      </c>
      <c r="AD375" s="203" t="str">
        <f>VLOOKUP(AC375,★原価商品!$E$6:$F$349,2,FALSE)</f>
        <v>日経/B4（折り無し）</v>
      </c>
      <c r="AE375" s="203">
        <f t="shared" ca="1" si="43"/>
        <v>0</v>
      </c>
      <c r="AF375" s="383">
        <f ca="1">IFERROR(IF(VLOOKUP(申込書!$C$32,★サイズ表記!$F$4:$H$55,3,FALSE)="切り捨て",ROUNDDOWN(L375*IF(AK375="◎",I375,J375)/100,2),IF(VLOOKUP(申込書!$C$32,★サイズ表記!$F$4:$H$55,3,FALSE)="切り上げ",ROUNDUP(L375*IF(AK375="◎",I375,J375)/100,2),ROUND(L375*IF(AK375="◎",I375,J375)/100,2))),0)</f>
        <v>2.4</v>
      </c>
      <c r="AG375" s="203">
        <f t="shared" ca="1" si="44"/>
        <v>10303</v>
      </c>
      <c r="AJ375" s="460" t="str">
        <f>IFERROR(VLOOKUP(申込書!$C$30,★業種!$D$2:$E$87,2,FALSE),"")</f>
        <v>1003</v>
      </c>
      <c r="AK375" s="460" t="str">
        <f ca="1">IF(申込書!$C$36="◎",IF(OR(D375="浜坂・温泉",D375="美方・村岡",D375="香住",D375="岡山",D375="大阪"),"",IF(LEFT(F375)="D","◎",IF(AG375=0,"",IFERROR(IF(VLOOKUP(AG375,★仕入先!$A$2:$C$211,3,FALSE)=0,"","◎"),"")))),"")</f>
        <v/>
      </c>
      <c r="AL375" s="460">
        <f>申込書!$H$14</f>
        <v>0</v>
      </c>
      <c r="AM375" s="460" t="str">
        <f>申込書!$C$32</f>
        <v>B4（折り無し）</v>
      </c>
      <c r="AN375" s="460" t="str">
        <f>VLOOKUP(AM375,★サイズ表記!$D$4:$E$55,2,FALSE)</f>
        <v>1001</v>
      </c>
      <c r="AO375" s="460">
        <f>IF(C375&lt;&gt;"⑧兵庫",VLOOKUP(LEFT(F375),★新聞!$A$4:$B$12,2,FALSE),IF(LEFT(F375)&lt;&gt;"S",VLOOKUP(LEFT(F375),★新聞!$A$4:$B$12,2,FALSE),VLOOKUP("X",★新聞!$A$4:$B$12,2,FALSE)))</f>
        <v>7</v>
      </c>
      <c r="AP375" s="460" t="str">
        <f t="shared" ca="1" si="45"/>
        <v>0</v>
      </c>
      <c r="AQ375" s="460" t="str">
        <f>IF(申込書!$C$38="","",申込書!$C$38)</f>
        <v/>
      </c>
    </row>
    <row r="376" spans="1:43">
      <c r="A376" s="463">
        <f t="shared" si="46"/>
        <v>375</v>
      </c>
      <c r="B376" s="463" t="str">
        <f t="shared" si="47"/>
        <v>東部</v>
      </c>
      <c r="C376" s="464" t="s">
        <v>1017</v>
      </c>
      <c r="D376" s="464" t="s">
        <v>1602</v>
      </c>
      <c r="E376" s="464">
        <f>VLOOKUP(D376,★折込地区!$A$2:$D$10,4,FALSE)</f>
        <v>2</v>
      </c>
      <c r="F376" s="464" t="s">
        <v>516</v>
      </c>
      <c r="G376" s="464" t="str">
        <f>INDEX(★新聞!$E$4:$I$12, MATCH(LEFT(F376),★新聞!$A$4:$A$12,0), MATCH(LEFT(W376),★新聞!$E$3:$I$3,0))</f>
        <v>AP</v>
      </c>
      <c r="H376" s="475" t="s">
        <v>1104</v>
      </c>
      <c r="I376" s="464" cm="1">
        <f t="array" ref="I376">IFERROR(INDEX(★原価率!$A$2:$E$50,MATCH($C376&amp;$H376,★原価率!$A$2:$A$50&amp;★原価率!$B$2:$B$50,0),3),0)</f>
        <v>86</v>
      </c>
      <c r="J376" s="464" cm="1">
        <f t="array" ref="J376">IFERROR(INDEX(★原価率!$A$2:$E$50,MATCH($C376&amp;$H376,★原価率!$A$2:$A$50&amp;★原価率!$B$2:$B$50,0),4),0)</f>
        <v>86</v>
      </c>
      <c r="K376" s="464" cm="1">
        <f t="array" ref="K376">IFERROR(INDEX(★原価率!$A$2:$E$50,MATCH($C376&amp;$H376,★原価率!$A$2:$A$50&amp;★原価率!$B$2:$B$50,0),5),0)</f>
        <v>100</v>
      </c>
      <c r="L376" s="528">
        <f>IFERROR(VLOOKUP(W376,★商品!$A$1:$H$1231,8,FALSE),0)</f>
        <v>2.8</v>
      </c>
      <c r="M376" s="203" t="str">
        <f ca="1">CONCATENATE(VLOOKUP(B376,★営業所!$A$2:$B$5,2,FALSE),TEXT(NOW(),"yyyy"))</f>
        <v>T2023</v>
      </c>
      <c r="N376" s="203">
        <v>1</v>
      </c>
      <c r="O376" s="203">
        <v>0</v>
      </c>
      <c r="P376" s="213">
        <f>申込書!$B$6</f>
        <v>0</v>
      </c>
      <c r="Q376" s="203">
        <f>申込書!$C$34</f>
        <v>1000040</v>
      </c>
      <c r="R376" s="203">
        <v>0</v>
      </c>
      <c r="U376" s="203">
        <f>VLOOKUP(B376,★営業所!$A$2:$C$5,3,FALSE)</f>
        <v>8</v>
      </c>
      <c r="V376" s="203">
        <f>申込書!$B$9</f>
        <v>0</v>
      </c>
      <c r="W376" s="203" t="str">
        <f>CONCATENATE(VLOOKUP(B376,★営業所!$A$2:$B$5,2,FALSE),VLOOKUP(申込書!$C$32,★サイズ表記!$D$4:$E$55,2,FALSE),VLOOKUP(D376,★折込地区!$A$2:$B$11,2,FALSE))</f>
        <v>T1001Kry</v>
      </c>
      <c r="X376" s="203" t="str">
        <f>CONCATENATE(申込書!$B$9," ",VLOOKUP(RIGHT(W376,3),★折込地区!$B$2:$C$10,2,FALSE),"")</f>
        <v xml:space="preserve"> 倉吉</v>
      </c>
      <c r="Z376" s="206">
        <f t="shared" ca="1" si="40"/>
        <v>0</v>
      </c>
      <c r="AB376" s="383">
        <f t="shared" si="41"/>
        <v>2.8</v>
      </c>
      <c r="AC376" s="203" t="str">
        <f t="shared" si="42"/>
        <v>V1001</v>
      </c>
      <c r="AD376" s="203" t="str">
        <f>VLOOKUP(AC376,★原価商品!$E$6:$F$349,2,FALSE)</f>
        <v>日経/B4（折り無し）</v>
      </c>
      <c r="AE376" s="203">
        <f t="shared" ca="1" si="43"/>
        <v>0</v>
      </c>
      <c r="AF376" s="383">
        <f ca="1">IFERROR(IF(VLOOKUP(申込書!$C$32,★サイズ表記!$F$4:$H$55,3,FALSE)="切り捨て",ROUNDDOWN(L376*IF(AK376="◎",I376,J376)/100,2),IF(VLOOKUP(申込書!$C$32,★サイズ表記!$F$4:$H$55,3,FALSE)="切り上げ",ROUNDUP(L376*IF(AK376="◎",I376,J376)/100,2),ROUND(L376*IF(AK376="◎",I376,J376)/100,2))),0)</f>
        <v>2.4</v>
      </c>
      <c r="AG376" s="203">
        <f t="shared" ca="1" si="44"/>
        <v>0</v>
      </c>
      <c r="AJ376" s="460" t="str">
        <f>IFERROR(VLOOKUP(申込書!$C$30,★業種!$D$2:$E$87,2,FALSE),"")</f>
        <v>1003</v>
      </c>
      <c r="AK376" s="460" t="str">
        <f ca="1">IF(申込書!$C$36="◎",IF(OR(D376="浜坂・温泉",D376="美方・村岡",D376="香住",D376="岡山",D376="大阪"),"",IF(LEFT(F376)="D","◎",IF(AG376=0,"",IFERROR(IF(VLOOKUP(AG376,★仕入先!$A$2:$C$211,3,FALSE)=0,"","◎"),"")))),"")</f>
        <v/>
      </c>
      <c r="AL376" s="460">
        <f>申込書!$H$14</f>
        <v>0</v>
      </c>
      <c r="AM376" s="460" t="str">
        <f>申込書!$C$32</f>
        <v>B4（折り無し）</v>
      </c>
      <c r="AN376" s="460" t="str">
        <f>VLOOKUP(AM376,★サイズ表記!$D$4:$E$55,2,FALSE)</f>
        <v>1001</v>
      </c>
      <c r="AO376" s="460">
        <f>IF(C376&lt;&gt;"⑧兵庫",VLOOKUP(LEFT(F376),★新聞!$A$4:$B$12,2,FALSE),IF(LEFT(F376)&lt;&gt;"S",VLOOKUP(LEFT(F376),★新聞!$A$4:$B$12,2,FALSE),VLOOKUP("X",★新聞!$A$4:$B$12,2,FALSE)))</f>
        <v>7</v>
      </c>
      <c r="AP376" s="460" t="str">
        <f t="shared" ca="1" si="45"/>
        <v>0</v>
      </c>
      <c r="AQ376" s="460" t="str">
        <f>IF(申込書!$C$38="","",申込書!$C$38)</f>
        <v/>
      </c>
    </row>
    <row r="377" spans="1:43">
      <c r="A377" s="463">
        <f t="shared" si="46"/>
        <v>376</v>
      </c>
      <c r="B377" s="463" t="str">
        <f t="shared" si="47"/>
        <v>東部</v>
      </c>
      <c r="C377" s="464" t="s">
        <v>1017</v>
      </c>
      <c r="D377" s="464" t="s">
        <v>1602</v>
      </c>
      <c r="E377" s="464">
        <f>VLOOKUP(D377,★折込地区!$A$2:$D$10,4,FALSE)</f>
        <v>2</v>
      </c>
      <c r="F377" s="464" t="s">
        <v>517</v>
      </c>
      <c r="G377" s="464" t="str">
        <f>INDEX(★新聞!$E$4:$I$12, MATCH(LEFT(F377),★新聞!$A$4:$A$12,0), MATCH(LEFT(W377),★新聞!$E$3:$I$3,0))</f>
        <v>AP</v>
      </c>
      <c r="H377" s="475" t="s">
        <v>1104</v>
      </c>
      <c r="I377" s="464" cm="1">
        <f t="array" ref="I377">IFERROR(INDEX(★原価率!$A$2:$E$50,MATCH($C377&amp;$H377,★原価率!$A$2:$A$50&amp;★原価率!$B$2:$B$50,0),3),0)</f>
        <v>86</v>
      </c>
      <c r="J377" s="464" cm="1">
        <f t="array" ref="J377">IFERROR(INDEX(★原価率!$A$2:$E$50,MATCH($C377&amp;$H377,★原価率!$A$2:$A$50&amp;★原価率!$B$2:$B$50,0),4),0)</f>
        <v>86</v>
      </c>
      <c r="K377" s="464" cm="1">
        <f t="array" ref="K377">IFERROR(INDEX(★原価率!$A$2:$E$50,MATCH($C377&amp;$H377,★原価率!$A$2:$A$50&amp;★原価率!$B$2:$B$50,0),5),0)</f>
        <v>100</v>
      </c>
      <c r="L377" s="528">
        <f>IFERROR(VLOOKUP(W377,★商品!$A$1:$H$1231,8,FALSE),0)</f>
        <v>2.8</v>
      </c>
      <c r="M377" s="203" t="str">
        <f ca="1">CONCATENATE(VLOOKUP(B377,★営業所!$A$2:$B$5,2,FALSE),TEXT(NOW(),"yyyy"))</f>
        <v>T2023</v>
      </c>
      <c r="N377" s="203">
        <v>1</v>
      </c>
      <c r="O377" s="203">
        <v>0</v>
      </c>
      <c r="P377" s="213">
        <f>申込書!$B$6</f>
        <v>0</v>
      </c>
      <c r="Q377" s="203">
        <f>申込書!$C$34</f>
        <v>1000040</v>
      </c>
      <c r="R377" s="203">
        <v>0</v>
      </c>
      <c r="U377" s="203">
        <f>VLOOKUP(B377,★営業所!$A$2:$C$5,3,FALSE)</f>
        <v>8</v>
      </c>
      <c r="V377" s="203">
        <f>申込書!$B$9</f>
        <v>0</v>
      </c>
      <c r="W377" s="203" t="str">
        <f>CONCATENATE(VLOOKUP(B377,★営業所!$A$2:$B$5,2,FALSE),VLOOKUP(申込書!$C$32,★サイズ表記!$D$4:$E$55,2,FALSE),VLOOKUP(D377,★折込地区!$A$2:$B$11,2,FALSE))</f>
        <v>T1001Kry</v>
      </c>
      <c r="X377" s="203" t="str">
        <f>CONCATENATE(申込書!$B$9," ",VLOOKUP(RIGHT(W377,3),★折込地区!$B$2:$C$10,2,FALSE),"")</f>
        <v xml:space="preserve"> 倉吉</v>
      </c>
      <c r="Z377" s="206">
        <f t="shared" ca="1" si="40"/>
        <v>0</v>
      </c>
      <c r="AB377" s="383">
        <f t="shared" si="41"/>
        <v>2.8</v>
      </c>
      <c r="AC377" s="203" t="str">
        <f t="shared" si="42"/>
        <v>V1001</v>
      </c>
      <c r="AD377" s="203" t="str">
        <f>VLOOKUP(AC377,★原価商品!$E$6:$F$349,2,FALSE)</f>
        <v>日経/B4（折り無し）</v>
      </c>
      <c r="AE377" s="203">
        <f t="shared" ca="1" si="43"/>
        <v>0</v>
      </c>
      <c r="AF377" s="383">
        <f ca="1">IFERROR(IF(VLOOKUP(申込書!$C$32,★サイズ表記!$F$4:$H$55,3,FALSE)="切り捨て",ROUNDDOWN(L377*IF(AK377="◎",I377,J377)/100,2),IF(VLOOKUP(申込書!$C$32,★サイズ表記!$F$4:$H$55,3,FALSE)="切り上げ",ROUNDUP(L377*IF(AK377="◎",I377,J377)/100,2),ROUND(L377*IF(AK377="◎",I377,J377)/100,2))),0)</f>
        <v>2.4</v>
      </c>
      <c r="AG377" s="203">
        <f t="shared" ca="1" si="44"/>
        <v>0</v>
      </c>
      <c r="AJ377" s="460" t="str">
        <f>IFERROR(VLOOKUP(申込書!$C$30,★業種!$D$2:$E$87,2,FALSE),"")</f>
        <v>1003</v>
      </c>
      <c r="AK377" s="460" t="str">
        <f ca="1">IF(申込書!$C$36="◎",IF(OR(D377="浜坂・温泉",D377="美方・村岡",D377="香住",D377="岡山",D377="大阪"),"",IF(LEFT(F377)="D","◎",IF(AG377=0,"",IFERROR(IF(VLOOKUP(AG377,★仕入先!$A$2:$C$211,3,FALSE)=0,"","◎"),"")))),"")</f>
        <v/>
      </c>
      <c r="AL377" s="460">
        <f>申込書!$H$14</f>
        <v>0</v>
      </c>
      <c r="AM377" s="460" t="str">
        <f>申込書!$C$32</f>
        <v>B4（折り無し）</v>
      </c>
      <c r="AN377" s="460" t="str">
        <f>VLOOKUP(AM377,★サイズ表記!$D$4:$E$55,2,FALSE)</f>
        <v>1001</v>
      </c>
      <c r="AO377" s="460">
        <f>IF(C377&lt;&gt;"⑧兵庫",VLOOKUP(LEFT(F377),★新聞!$A$4:$B$12,2,FALSE),IF(LEFT(F377)&lt;&gt;"S",VLOOKUP(LEFT(F377),★新聞!$A$4:$B$12,2,FALSE),VLOOKUP("X",★新聞!$A$4:$B$12,2,FALSE)))</f>
        <v>7</v>
      </c>
      <c r="AP377" s="460" t="str">
        <f t="shared" ca="1" si="45"/>
        <v>0</v>
      </c>
      <c r="AQ377" s="460" t="str">
        <f>IF(申込書!$C$38="","",申込書!$C$38)</f>
        <v/>
      </c>
    </row>
    <row r="378" spans="1:43">
      <c r="A378" s="463">
        <f t="shared" si="46"/>
        <v>377</v>
      </c>
      <c r="B378" s="463" t="str">
        <f t="shared" si="47"/>
        <v>東部</v>
      </c>
      <c r="C378" s="464" t="s">
        <v>1017</v>
      </c>
      <c r="D378" s="464" t="s">
        <v>1602</v>
      </c>
      <c r="E378" s="464">
        <f>VLOOKUP(D378,★折込地区!$A$2:$D$10,4,FALSE)</f>
        <v>2</v>
      </c>
      <c r="F378" s="464" t="s">
        <v>518</v>
      </c>
      <c r="G378" s="464" t="str">
        <f>INDEX(★新聞!$E$4:$I$12, MATCH(LEFT(F378),★新聞!$A$4:$A$12,0), MATCH(LEFT(W378),★新聞!$E$3:$I$3,0))</f>
        <v>AP</v>
      </c>
      <c r="H378" s="475" t="s">
        <v>1107</v>
      </c>
      <c r="I378" s="464" cm="1">
        <f t="array" ref="I378">IFERROR(INDEX(★原価率!$A$2:$E$50,MATCH($C378&amp;$H378,★原価率!$A$2:$A$50&amp;★原価率!$B$2:$B$50,0),3),0)</f>
        <v>82</v>
      </c>
      <c r="J378" s="464" cm="1">
        <f t="array" ref="J378">IFERROR(INDEX(★原価率!$A$2:$E$50,MATCH($C378&amp;$H378,★原価率!$A$2:$A$50&amp;★原価率!$B$2:$B$50,0),4),0)</f>
        <v>82</v>
      </c>
      <c r="K378" s="464" cm="1">
        <f t="array" ref="K378">IFERROR(INDEX(★原価率!$A$2:$E$50,MATCH($C378&amp;$H378,★原価率!$A$2:$A$50&amp;★原価率!$B$2:$B$50,0),5),0)</f>
        <v>100</v>
      </c>
      <c r="L378" s="528">
        <f>IFERROR(VLOOKUP(W378,★商品!$A$1:$H$1231,8,FALSE),0)</f>
        <v>2.8</v>
      </c>
      <c r="M378" s="203" t="str">
        <f ca="1">CONCATENATE(VLOOKUP(B378,★営業所!$A$2:$B$5,2,FALSE),TEXT(NOW(),"yyyy"))</f>
        <v>T2023</v>
      </c>
      <c r="N378" s="203">
        <v>1</v>
      </c>
      <c r="O378" s="203">
        <v>0</v>
      </c>
      <c r="P378" s="213">
        <f>申込書!$B$6</f>
        <v>0</v>
      </c>
      <c r="Q378" s="203">
        <f>申込書!$C$34</f>
        <v>1000040</v>
      </c>
      <c r="R378" s="203">
        <v>0</v>
      </c>
      <c r="U378" s="203">
        <f>VLOOKUP(B378,★営業所!$A$2:$C$5,3,FALSE)</f>
        <v>8</v>
      </c>
      <c r="V378" s="203">
        <f>申込書!$B$9</f>
        <v>0</v>
      </c>
      <c r="W378" s="203" t="str">
        <f>CONCATENATE(VLOOKUP(B378,★営業所!$A$2:$B$5,2,FALSE),VLOOKUP(申込書!$C$32,★サイズ表記!$D$4:$E$55,2,FALSE),VLOOKUP(D378,★折込地区!$A$2:$B$11,2,FALSE))</f>
        <v>T1001Kry</v>
      </c>
      <c r="X378" s="203" t="str">
        <f>CONCATENATE(申込書!$B$9," ",VLOOKUP(RIGHT(W378,3),★折込地区!$B$2:$C$10,2,FALSE),"")</f>
        <v xml:space="preserve"> 倉吉</v>
      </c>
      <c r="Z378" s="206">
        <f t="shared" ca="1" si="40"/>
        <v>0</v>
      </c>
      <c r="AB378" s="383">
        <f t="shared" si="41"/>
        <v>2.8</v>
      </c>
      <c r="AC378" s="203" t="str">
        <f t="shared" si="42"/>
        <v>V1001</v>
      </c>
      <c r="AD378" s="203" t="str">
        <f>VLOOKUP(AC378,★原価商品!$E$6:$F$349,2,FALSE)</f>
        <v>日経/B4（折り無し）</v>
      </c>
      <c r="AE378" s="203">
        <f t="shared" ca="1" si="43"/>
        <v>0</v>
      </c>
      <c r="AF378" s="383">
        <f ca="1">IFERROR(IF(VLOOKUP(申込書!$C$32,★サイズ表記!$F$4:$H$55,3,FALSE)="切り捨て",ROUNDDOWN(L378*IF(AK378="◎",I378,J378)/100,2),IF(VLOOKUP(申込書!$C$32,★サイズ表記!$F$4:$H$55,3,FALSE)="切り上げ",ROUNDUP(L378*IF(AK378="◎",I378,J378)/100,2),ROUND(L378*IF(AK378="◎",I378,J378)/100,2))),0)</f>
        <v>2.29</v>
      </c>
      <c r="AG378" s="203">
        <f t="shared" ca="1" si="44"/>
        <v>10303</v>
      </c>
      <c r="AJ378" s="460" t="str">
        <f>IFERROR(VLOOKUP(申込書!$C$30,★業種!$D$2:$E$87,2,FALSE),"")</f>
        <v>1003</v>
      </c>
      <c r="AK378" s="460" t="str">
        <f ca="1">IF(申込書!$C$36="◎",IF(OR(D378="浜坂・温泉",D378="美方・村岡",D378="香住",D378="岡山",D378="大阪"),"",IF(LEFT(F378)="D","◎",IF(AG378=0,"",IFERROR(IF(VLOOKUP(AG378,★仕入先!$A$2:$C$211,3,FALSE)=0,"","◎"),"")))),"")</f>
        <v/>
      </c>
      <c r="AL378" s="460">
        <f>申込書!$H$14</f>
        <v>0</v>
      </c>
      <c r="AM378" s="460" t="str">
        <f>申込書!$C$32</f>
        <v>B4（折り無し）</v>
      </c>
      <c r="AN378" s="460" t="str">
        <f>VLOOKUP(AM378,★サイズ表記!$D$4:$E$55,2,FALSE)</f>
        <v>1001</v>
      </c>
      <c r="AO378" s="460">
        <f>IF(C378&lt;&gt;"⑧兵庫",VLOOKUP(LEFT(F378),★新聞!$A$4:$B$12,2,FALSE),IF(LEFT(F378)&lt;&gt;"S",VLOOKUP(LEFT(F378),★新聞!$A$4:$B$12,2,FALSE),VLOOKUP("X",★新聞!$A$4:$B$12,2,FALSE)))</f>
        <v>7</v>
      </c>
      <c r="AP378" s="460" t="str">
        <f t="shared" ca="1" si="45"/>
        <v>0</v>
      </c>
      <c r="AQ378" s="460" t="str">
        <f>IF(申込書!$C$38="","",申込書!$C$38)</f>
        <v/>
      </c>
    </row>
    <row r="379" spans="1:43">
      <c r="A379" s="463">
        <f t="shared" si="46"/>
        <v>378</v>
      </c>
      <c r="B379" s="463" t="str">
        <f t="shared" si="47"/>
        <v>東部</v>
      </c>
      <c r="C379" s="464" t="s">
        <v>1017</v>
      </c>
      <c r="D379" s="464" t="s">
        <v>1602</v>
      </c>
      <c r="E379" s="464">
        <f>VLOOKUP(D379,★折込地区!$A$2:$D$10,4,FALSE)</f>
        <v>2</v>
      </c>
      <c r="F379" s="464" t="s">
        <v>519</v>
      </c>
      <c r="G379" s="464" t="str">
        <f>INDEX(★新聞!$E$4:$I$12, MATCH(LEFT(F379),★新聞!$A$4:$A$12,0), MATCH(LEFT(W379),★新聞!$E$3:$I$3,0))</f>
        <v>AP</v>
      </c>
      <c r="H379" s="475" t="s">
        <v>1107</v>
      </c>
      <c r="I379" s="464" cm="1">
        <f t="array" ref="I379">IFERROR(INDEX(★原価率!$A$2:$E$50,MATCH($C379&amp;$H379,★原価率!$A$2:$A$50&amp;★原価率!$B$2:$B$50,0),3),0)</f>
        <v>82</v>
      </c>
      <c r="J379" s="464" cm="1">
        <f t="array" ref="J379">IFERROR(INDEX(★原価率!$A$2:$E$50,MATCH($C379&amp;$H379,★原価率!$A$2:$A$50&amp;★原価率!$B$2:$B$50,0),4),0)</f>
        <v>82</v>
      </c>
      <c r="K379" s="464" cm="1">
        <f t="array" ref="K379">IFERROR(INDEX(★原価率!$A$2:$E$50,MATCH($C379&amp;$H379,★原価率!$A$2:$A$50&amp;★原価率!$B$2:$B$50,0),5),0)</f>
        <v>100</v>
      </c>
      <c r="L379" s="528">
        <f>IFERROR(VLOOKUP(W379,★商品!$A$1:$H$1231,8,FALSE),0)</f>
        <v>2.8</v>
      </c>
      <c r="M379" s="203" t="str">
        <f ca="1">CONCATENATE(VLOOKUP(B379,★営業所!$A$2:$B$5,2,FALSE),TEXT(NOW(),"yyyy"))</f>
        <v>T2023</v>
      </c>
      <c r="N379" s="203">
        <v>1</v>
      </c>
      <c r="O379" s="203">
        <v>0</v>
      </c>
      <c r="P379" s="213">
        <f>申込書!$B$6</f>
        <v>0</v>
      </c>
      <c r="Q379" s="203">
        <f>申込書!$C$34</f>
        <v>1000040</v>
      </c>
      <c r="R379" s="203">
        <v>0</v>
      </c>
      <c r="U379" s="203">
        <f>VLOOKUP(B379,★営業所!$A$2:$C$5,3,FALSE)</f>
        <v>8</v>
      </c>
      <c r="V379" s="203">
        <f>申込書!$B$9</f>
        <v>0</v>
      </c>
      <c r="W379" s="203" t="str">
        <f>CONCATENATE(VLOOKUP(B379,★営業所!$A$2:$B$5,2,FALSE),VLOOKUP(申込書!$C$32,★サイズ表記!$D$4:$E$55,2,FALSE),VLOOKUP(D379,★折込地区!$A$2:$B$11,2,FALSE))</f>
        <v>T1001Kry</v>
      </c>
      <c r="X379" s="203" t="str">
        <f>CONCATENATE(申込書!$B$9," ",VLOOKUP(RIGHT(W379,3),★折込地区!$B$2:$C$10,2,FALSE),"")</f>
        <v xml:space="preserve"> 倉吉</v>
      </c>
      <c r="Z379" s="206">
        <f t="shared" ca="1" si="40"/>
        <v>0</v>
      </c>
      <c r="AB379" s="383">
        <f t="shared" si="41"/>
        <v>2.8</v>
      </c>
      <c r="AC379" s="203" t="str">
        <f t="shared" si="42"/>
        <v>V1001</v>
      </c>
      <c r="AD379" s="203" t="str">
        <f>VLOOKUP(AC379,★原価商品!$E$6:$F$349,2,FALSE)</f>
        <v>日経/B4（折り無し）</v>
      </c>
      <c r="AE379" s="203">
        <f t="shared" ca="1" si="43"/>
        <v>0</v>
      </c>
      <c r="AF379" s="383">
        <f ca="1">IFERROR(IF(VLOOKUP(申込書!$C$32,★サイズ表記!$F$4:$H$55,3,FALSE)="切り捨て",ROUNDDOWN(L379*IF(AK379="◎",I379,J379)/100,2),IF(VLOOKUP(申込書!$C$32,★サイズ表記!$F$4:$H$55,3,FALSE)="切り上げ",ROUNDUP(L379*IF(AK379="◎",I379,J379)/100,2),ROUND(L379*IF(AK379="◎",I379,J379)/100,2))),0)</f>
        <v>2.29</v>
      </c>
      <c r="AG379" s="203">
        <f t="shared" ca="1" si="44"/>
        <v>0</v>
      </c>
      <c r="AJ379" s="460" t="str">
        <f>IFERROR(VLOOKUP(申込書!$C$30,★業種!$D$2:$E$87,2,FALSE),"")</f>
        <v>1003</v>
      </c>
      <c r="AK379" s="460" t="str">
        <f ca="1">IF(申込書!$C$36="◎",IF(OR(D379="浜坂・温泉",D379="美方・村岡",D379="香住",D379="岡山",D379="大阪"),"",IF(LEFT(F379)="D","◎",IF(AG379=0,"",IFERROR(IF(VLOOKUP(AG379,★仕入先!$A$2:$C$211,3,FALSE)=0,"","◎"),"")))),"")</f>
        <v/>
      </c>
      <c r="AL379" s="460">
        <f>申込書!$H$14</f>
        <v>0</v>
      </c>
      <c r="AM379" s="460" t="str">
        <f>申込書!$C$32</f>
        <v>B4（折り無し）</v>
      </c>
      <c r="AN379" s="460" t="str">
        <f>VLOOKUP(AM379,★サイズ表記!$D$4:$E$55,2,FALSE)</f>
        <v>1001</v>
      </c>
      <c r="AO379" s="460">
        <f>IF(C379&lt;&gt;"⑧兵庫",VLOOKUP(LEFT(F379),★新聞!$A$4:$B$12,2,FALSE),IF(LEFT(F379)&lt;&gt;"S",VLOOKUP(LEFT(F379),★新聞!$A$4:$B$12,2,FALSE),VLOOKUP("X",★新聞!$A$4:$B$12,2,FALSE)))</f>
        <v>7</v>
      </c>
      <c r="AP379" s="460" t="str">
        <f t="shared" ca="1" si="45"/>
        <v>0</v>
      </c>
      <c r="AQ379" s="460" t="str">
        <f>IF(申込書!$C$38="","",申込書!$C$38)</f>
        <v/>
      </c>
    </row>
    <row r="380" spans="1:43">
      <c r="A380" s="463">
        <f t="shared" si="46"/>
        <v>379</v>
      </c>
      <c r="B380" s="463" t="str">
        <f t="shared" si="47"/>
        <v>東部</v>
      </c>
      <c r="C380" s="464" t="s">
        <v>1017</v>
      </c>
      <c r="D380" s="464" t="s">
        <v>1602</v>
      </c>
      <c r="E380" s="464">
        <f>VLOOKUP(D380,★折込地区!$A$2:$D$10,4,FALSE)</f>
        <v>2</v>
      </c>
      <c r="F380" s="464" t="s">
        <v>523</v>
      </c>
      <c r="G380" s="464" t="str">
        <f>INDEX(★新聞!$E$4:$I$12, MATCH(LEFT(F380),★新聞!$A$4:$A$12,0), MATCH(LEFT(W380),★新聞!$E$3:$I$3,0))</f>
        <v>AP</v>
      </c>
      <c r="H380" s="555" t="s">
        <v>1105</v>
      </c>
      <c r="I380" s="464" cm="1">
        <f t="array" ref="I380">IFERROR(INDEX(★原価率!$A$2:$E$50,MATCH($C380&amp;$H380,★原価率!$A$2:$A$50&amp;★原価率!$B$2:$B$50,0),3),0)</f>
        <v>78</v>
      </c>
      <c r="J380" s="464" cm="1">
        <f t="array" ref="J380">IFERROR(INDEX(★原価率!$A$2:$E$50,MATCH($C380&amp;$H380,★原価率!$A$2:$A$50&amp;★原価率!$B$2:$B$50,0),4),0)</f>
        <v>82</v>
      </c>
      <c r="K380" s="464" cm="1">
        <f t="array" ref="K380">IFERROR(INDEX(★原価率!$A$2:$E$50,MATCH($C380&amp;$H380,★原価率!$A$2:$A$50&amp;★原価率!$B$2:$B$50,0),5),0)</f>
        <v>100</v>
      </c>
      <c r="L380" s="528">
        <f>IFERROR(VLOOKUP(W380,★商品!$A$1:$H$1231,8,FALSE),0)</f>
        <v>2.8</v>
      </c>
      <c r="M380" s="203" t="str">
        <f ca="1">CONCATENATE(VLOOKUP(B380,★営業所!$A$2:$B$5,2,FALSE),TEXT(NOW(),"yyyy"))</f>
        <v>T2023</v>
      </c>
      <c r="N380" s="203">
        <v>1</v>
      </c>
      <c r="O380" s="203">
        <v>0</v>
      </c>
      <c r="P380" s="213">
        <f>申込書!$B$6</f>
        <v>0</v>
      </c>
      <c r="Q380" s="203">
        <f>申込書!$C$34</f>
        <v>1000040</v>
      </c>
      <c r="R380" s="203">
        <v>0</v>
      </c>
      <c r="U380" s="203">
        <f>VLOOKUP(B380,★営業所!$A$2:$C$5,3,FALSE)</f>
        <v>8</v>
      </c>
      <c r="V380" s="203">
        <f>申込書!$B$9</f>
        <v>0</v>
      </c>
      <c r="W380" s="203" t="str">
        <f>CONCATENATE(VLOOKUP(B380,★営業所!$A$2:$B$5,2,FALSE),VLOOKUP(申込書!$C$32,★サイズ表記!$D$4:$E$55,2,FALSE),VLOOKUP(D380,★折込地区!$A$2:$B$11,2,FALSE))</f>
        <v>T1001Kry</v>
      </c>
      <c r="X380" s="203" t="str">
        <f>CONCATENATE(申込書!$B$9," ",VLOOKUP(RIGHT(W380,3),★折込地区!$B$2:$C$10,2,FALSE),"")</f>
        <v xml:space="preserve"> 倉吉</v>
      </c>
      <c r="Z380" s="206">
        <f t="shared" ca="1" si="40"/>
        <v>0</v>
      </c>
      <c r="AB380" s="383">
        <f t="shared" si="41"/>
        <v>2.8</v>
      </c>
      <c r="AC380" s="203" t="str">
        <f t="shared" si="42"/>
        <v>V1001</v>
      </c>
      <c r="AD380" s="203" t="str">
        <f>VLOOKUP(AC380,★原価商品!$E$6:$F$349,2,FALSE)</f>
        <v>日経/B4（折り無し）</v>
      </c>
      <c r="AE380" s="203">
        <f t="shared" ca="1" si="43"/>
        <v>0</v>
      </c>
      <c r="AF380" s="383">
        <f ca="1">IFERROR(IF(VLOOKUP(申込書!$C$32,★サイズ表記!$F$4:$H$55,3,FALSE)="切り捨て",ROUNDDOWN(L380*IF(AK380="◎",I380,J380)/100,2),IF(VLOOKUP(申込書!$C$32,★サイズ表記!$F$4:$H$55,3,FALSE)="切り上げ",ROUNDUP(L380*IF(AK380="◎",I380,J380)/100,2),ROUND(L380*IF(AK380="◎",I380,J380)/100,2))),0)</f>
        <v>2.29</v>
      </c>
      <c r="AG380" s="203">
        <f t="shared" ca="1" si="44"/>
        <v>10303</v>
      </c>
      <c r="AJ380" s="460" t="str">
        <f>IFERROR(VLOOKUP(申込書!$C$30,★業種!$D$2:$E$87,2,FALSE),"")</f>
        <v>1003</v>
      </c>
      <c r="AK380" s="460" t="str">
        <f ca="1">IF(申込書!$C$36="◎",IF(OR(D380="浜坂・温泉",D380="美方・村岡",D380="香住",D380="岡山",D380="大阪"),"",IF(LEFT(F380)="D","◎",IF(AG380=0,"",IFERROR(IF(VLOOKUP(AG380,★仕入先!$A$2:$C$211,3,FALSE)=0,"","◎"),"")))),"")</f>
        <v/>
      </c>
      <c r="AL380" s="460">
        <f>申込書!$H$14</f>
        <v>0</v>
      </c>
      <c r="AM380" s="460" t="str">
        <f>申込書!$C$32</f>
        <v>B4（折り無し）</v>
      </c>
      <c r="AN380" s="460" t="str">
        <f>VLOOKUP(AM380,★サイズ表記!$D$4:$E$55,2,FALSE)</f>
        <v>1001</v>
      </c>
      <c r="AO380" s="460">
        <f>IF(C380&lt;&gt;"⑧兵庫",VLOOKUP(LEFT(F380),★新聞!$A$4:$B$12,2,FALSE),IF(LEFT(F380)&lt;&gt;"S",VLOOKUP(LEFT(F380),★新聞!$A$4:$B$12,2,FALSE),VLOOKUP("X",★新聞!$A$4:$B$12,2,FALSE)))</f>
        <v>7</v>
      </c>
      <c r="AP380" s="460" t="str">
        <f t="shared" ca="1" si="45"/>
        <v>0</v>
      </c>
      <c r="AQ380" s="460" t="str">
        <f>IF(申込書!$C$38="","",申込書!$C$38)</f>
        <v/>
      </c>
    </row>
    <row r="381" spans="1:43">
      <c r="A381" s="463">
        <f t="shared" si="46"/>
        <v>380</v>
      </c>
      <c r="B381" s="463" t="str">
        <f t="shared" si="47"/>
        <v>東部</v>
      </c>
      <c r="C381" s="464" t="s">
        <v>1017</v>
      </c>
      <c r="D381" s="464" t="s">
        <v>1602</v>
      </c>
      <c r="E381" s="464">
        <f>VLOOKUP(D381,★折込地区!$A$2:$D$10,4,FALSE)</f>
        <v>2</v>
      </c>
      <c r="F381" s="464" t="s">
        <v>524</v>
      </c>
      <c r="G381" s="464" t="str">
        <f>INDEX(★新聞!$E$4:$I$12, MATCH(LEFT(F381),★新聞!$A$4:$A$12,0), MATCH(LEFT(W381),★新聞!$E$3:$I$3,0))</f>
        <v>AP</v>
      </c>
      <c r="H381" s="475" t="s">
        <v>1107</v>
      </c>
      <c r="I381" s="464" cm="1">
        <f t="array" ref="I381">IFERROR(INDEX(★原価率!$A$2:$E$50,MATCH($C381&amp;$H381,★原価率!$A$2:$A$50&amp;★原価率!$B$2:$B$50,0),3),0)</f>
        <v>82</v>
      </c>
      <c r="J381" s="464" cm="1">
        <f t="array" ref="J381">IFERROR(INDEX(★原価率!$A$2:$E$50,MATCH($C381&amp;$H381,★原価率!$A$2:$A$50&amp;★原価率!$B$2:$B$50,0),4),0)</f>
        <v>82</v>
      </c>
      <c r="K381" s="464" cm="1">
        <f t="array" ref="K381">IFERROR(INDEX(★原価率!$A$2:$E$50,MATCH($C381&amp;$H381,★原価率!$A$2:$A$50&amp;★原価率!$B$2:$B$50,0),5),0)</f>
        <v>100</v>
      </c>
      <c r="L381" s="528">
        <f>IFERROR(VLOOKUP(W381,★商品!$A$1:$H$1231,8,FALSE),0)</f>
        <v>2.8</v>
      </c>
      <c r="M381" s="203" t="str">
        <f ca="1">CONCATENATE(VLOOKUP(B381,★営業所!$A$2:$B$5,2,FALSE),TEXT(NOW(),"yyyy"))</f>
        <v>T2023</v>
      </c>
      <c r="N381" s="203">
        <v>1</v>
      </c>
      <c r="O381" s="203">
        <v>0</v>
      </c>
      <c r="P381" s="213">
        <f>申込書!$B$6</f>
        <v>0</v>
      </c>
      <c r="Q381" s="203">
        <f>申込書!$C$34</f>
        <v>1000040</v>
      </c>
      <c r="R381" s="203">
        <v>0</v>
      </c>
      <c r="U381" s="203">
        <f>VLOOKUP(B381,★営業所!$A$2:$C$5,3,FALSE)</f>
        <v>8</v>
      </c>
      <c r="V381" s="203">
        <f>申込書!$B$9</f>
        <v>0</v>
      </c>
      <c r="W381" s="203" t="str">
        <f>CONCATENATE(VLOOKUP(B381,★営業所!$A$2:$B$5,2,FALSE),VLOOKUP(申込書!$C$32,★サイズ表記!$D$4:$E$55,2,FALSE),VLOOKUP(D381,★折込地区!$A$2:$B$11,2,FALSE))</f>
        <v>T1001Kry</v>
      </c>
      <c r="X381" s="203" t="str">
        <f>CONCATENATE(申込書!$B$9," ",VLOOKUP(RIGHT(W381,3),★折込地区!$B$2:$C$10,2,FALSE),"")</f>
        <v xml:space="preserve"> 倉吉</v>
      </c>
      <c r="Z381" s="206">
        <f t="shared" ca="1" si="40"/>
        <v>0</v>
      </c>
      <c r="AB381" s="383">
        <f t="shared" si="41"/>
        <v>2.8</v>
      </c>
      <c r="AC381" s="203" t="str">
        <f t="shared" si="42"/>
        <v>V1001</v>
      </c>
      <c r="AD381" s="203" t="str">
        <f>VLOOKUP(AC381,★原価商品!$E$6:$F$349,2,FALSE)</f>
        <v>日経/B4（折り無し）</v>
      </c>
      <c r="AE381" s="203">
        <f t="shared" ca="1" si="43"/>
        <v>0</v>
      </c>
      <c r="AF381" s="383">
        <f ca="1">IFERROR(IF(VLOOKUP(申込書!$C$32,★サイズ表記!$F$4:$H$55,3,FALSE)="切り捨て",ROUNDDOWN(L381*IF(AK381="◎",I381,J381)/100,2),IF(VLOOKUP(申込書!$C$32,★サイズ表記!$F$4:$H$55,3,FALSE)="切り上げ",ROUNDUP(L381*IF(AK381="◎",I381,J381)/100,2),ROUND(L381*IF(AK381="◎",I381,J381)/100,2))),0)</f>
        <v>2.29</v>
      </c>
      <c r="AG381" s="203">
        <f t="shared" ca="1" si="44"/>
        <v>0</v>
      </c>
      <c r="AJ381" s="460" t="str">
        <f>IFERROR(VLOOKUP(申込書!$C$30,★業種!$D$2:$E$87,2,FALSE),"")</f>
        <v>1003</v>
      </c>
      <c r="AK381" s="460" t="str">
        <f ca="1">IF(申込書!$C$36="◎",IF(OR(D381="浜坂・温泉",D381="美方・村岡",D381="香住",D381="岡山",D381="大阪"),"",IF(LEFT(F381)="D","◎",IF(AG381=0,"",IFERROR(IF(VLOOKUP(AG381,★仕入先!$A$2:$C$211,3,FALSE)=0,"","◎"),"")))),"")</f>
        <v/>
      </c>
      <c r="AL381" s="460">
        <f>申込書!$H$14</f>
        <v>0</v>
      </c>
      <c r="AM381" s="460" t="str">
        <f>申込書!$C$32</f>
        <v>B4（折り無し）</v>
      </c>
      <c r="AN381" s="460" t="str">
        <f>VLOOKUP(AM381,★サイズ表記!$D$4:$E$55,2,FALSE)</f>
        <v>1001</v>
      </c>
      <c r="AO381" s="460">
        <f>IF(C381&lt;&gt;"⑧兵庫",VLOOKUP(LEFT(F381),★新聞!$A$4:$B$12,2,FALSE),IF(LEFT(F381)&lt;&gt;"S",VLOOKUP(LEFT(F381),★新聞!$A$4:$B$12,2,FALSE),VLOOKUP("X",★新聞!$A$4:$B$12,2,FALSE)))</f>
        <v>7</v>
      </c>
      <c r="AP381" s="460" t="str">
        <f t="shared" ca="1" si="45"/>
        <v>0</v>
      </c>
      <c r="AQ381" s="460" t="str">
        <f>IF(申込書!$C$38="","",申込書!$C$38)</f>
        <v/>
      </c>
    </row>
    <row r="382" spans="1:43">
      <c r="A382" s="463">
        <f t="shared" si="46"/>
        <v>381</v>
      </c>
      <c r="B382" s="463" t="str">
        <f t="shared" si="47"/>
        <v>東部</v>
      </c>
      <c r="C382" s="464" t="s">
        <v>1017</v>
      </c>
      <c r="D382" s="464" t="s">
        <v>1602</v>
      </c>
      <c r="E382" s="464">
        <f>VLOOKUP(D382,★折込地区!$A$2:$D$10,4,FALSE)</f>
        <v>2</v>
      </c>
      <c r="F382" s="464" t="s">
        <v>525</v>
      </c>
      <c r="G382" s="464" t="str">
        <f>INDEX(★新聞!$E$4:$I$12, MATCH(LEFT(F382),★新聞!$A$4:$A$12,0), MATCH(LEFT(W382),★新聞!$E$3:$I$3,0))</f>
        <v>AP</v>
      </c>
      <c r="H382" s="475" t="s">
        <v>1107</v>
      </c>
      <c r="I382" s="464" cm="1">
        <f t="array" ref="I382">IFERROR(INDEX(★原価率!$A$2:$E$50,MATCH($C382&amp;$H382,★原価率!$A$2:$A$50&amp;★原価率!$B$2:$B$50,0),3),0)</f>
        <v>82</v>
      </c>
      <c r="J382" s="464" cm="1">
        <f t="array" ref="J382">IFERROR(INDEX(★原価率!$A$2:$E$50,MATCH($C382&amp;$H382,★原価率!$A$2:$A$50&amp;★原価率!$B$2:$B$50,0),4),0)</f>
        <v>82</v>
      </c>
      <c r="K382" s="464" cm="1">
        <f t="array" ref="K382">IFERROR(INDEX(★原価率!$A$2:$E$50,MATCH($C382&amp;$H382,★原価率!$A$2:$A$50&amp;★原価率!$B$2:$B$50,0),5),0)</f>
        <v>100</v>
      </c>
      <c r="L382" s="528">
        <f>IFERROR(VLOOKUP(W382,★商品!$A$1:$H$1231,8,FALSE),0)</f>
        <v>2.8</v>
      </c>
      <c r="M382" s="203" t="str">
        <f ca="1">CONCATENATE(VLOOKUP(B382,★営業所!$A$2:$B$5,2,FALSE),TEXT(NOW(),"yyyy"))</f>
        <v>T2023</v>
      </c>
      <c r="N382" s="203">
        <v>1</v>
      </c>
      <c r="O382" s="203">
        <v>0</v>
      </c>
      <c r="P382" s="213">
        <f>申込書!$B$6</f>
        <v>0</v>
      </c>
      <c r="Q382" s="203">
        <f>申込書!$C$34</f>
        <v>1000040</v>
      </c>
      <c r="R382" s="203">
        <v>0</v>
      </c>
      <c r="U382" s="203">
        <f>VLOOKUP(B382,★営業所!$A$2:$C$5,3,FALSE)</f>
        <v>8</v>
      </c>
      <c r="V382" s="203">
        <f>申込書!$B$9</f>
        <v>0</v>
      </c>
      <c r="W382" s="203" t="str">
        <f>CONCATENATE(VLOOKUP(B382,★営業所!$A$2:$B$5,2,FALSE),VLOOKUP(申込書!$C$32,★サイズ表記!$D$4:$E$55,2,FALSE),VLOOKUP(D382,★折込地区!$A$2:$B$11,2,FALSE))</f>
        <v>T1001Kry</v>
      </c>
      <c r="X382" s="203" t="str">
        <f>CONCATENATE(申込書!$B$9," ",VLOOKUP(RIGHT(W382,3),★折込地区!$B$2:$C$10,2,FALSE),"")</f>
        <v xml:space="preserve"> 倉吉</v>
      </c>
      <c r="Z382" s="206">
        <f t="shared" ca="1" si="40"/>
        <v>0</v>
      </c>
      <c r="AB382" s="383">
        <f t="shared" si="41"/>
        <v>2.8</v>
      </c>
      <c r="AC382" s="203" t="str">
        <f t="shared" si="42"/>
        <v>V1001</v>
      </c>
      <c r="AD382" s="203" t="str">
        <f>VLOOKUP(AC382,★原価商品!$E$6:$F$349,2,FALSE)</f>
        <v>日経/B4（折り無し）</v>
      </c>
      <c r="AE382" s="203">
        <f t="shared" ca="1" si="43"/>
        <v>0</v>
      </c>
      <c r="AF382" s="383">
        <f ca="1">IFERROR(IF(VLOOKUP(申込書!$C$32,★サイズ表記!$F$4:$H$55,3,FALSE)="切り捨て",ROUNDDOWN(L382*IF(AK382="◎",I382,J382)/100,2),IF(VLOOKUP(申込書!$C$32,★サイズ表記!$F$4:$H$55,3,FALSE)="切り上げ",ROUNDUP(L382*IF(AK382="◎",I382,J382)/100,2),ROUND(L382*IF(AK382="◎",I382,J382)/100,2))),0)</f>
        <v>2.29</v>
      </c>
      <c r="AG382" s="203">
        <f t="shared" ca="1" si="44"/>
        <v>10303</v>
      </c>
      <c r="AJ382" s="460" t="str">
        <f>IFERROR(VLOOKUP(申込書!$C$30,★業種!$D$2:$E$87,2,FALSE),"")</f>
        <v>1003</v>
      </c>
      <c r="AK382" s="460" t="str">
        <f ca="1">IF(申込書!$C$36="◎",IF(OR(D382="浜坂・温泉",D382="美方・村岡",D382="香住",D382="岡山",D382="大阪"),"",IF(LEFT(F382)="D","◎",IF(AG382=0,"",IFERROR(IF(VLOOKUP(AG382,★仕入先!$A$2:$C$211,3,FALSE)=0,"","◎"),"")))),"")</f>
        <v/>
      </c>
      <c r="AL382" s="460">
        <f>申込書!$H$14</f>
        <v>0</v>
      </c>
      <c r="AM382" s="460" t="str">
        <f>申込書!$C$32</f>
        <v>B4（折り無し）</v>
      </c>
      <c r="AN382" s="460" t="str">
        <f>VLOOKUP(AM382,★サイズ表記!$D$4:$E$55,2,FALSE)</f>
        <v>1001</v>
      </c>
      <c r="AO382" s="460">
        <f>IF(C382&lt;&gt;"⑧兵庫",VLOOKUP(LEFT(F382),★新聞!$A$4:$B$12,2,FALSE),IF(LEFT(F382)&lt;&gt;"S",VLOOKUP(LEFT(F382),★新聞!$A$4:$B$12,2,FALSE),VLOOKUP("X",★新聞!$A$4:$B$12,2,FALSE)))</f>
        <v>7</v>
      </c>
      <c r="AP382" s="460" t="str">
        <f t="shared" ca="1" si="45"/>
        <v>0</v>
      </c>
      <c r="AQ382" s="460" t="str">
        <f>IF(申込書!$C$38="","",申込書!$C$38)</f>
        <v/>
      </c>
    </row>
    <row r="383" spans="1:43">
      <c r="A383" s="463">
        <f t="shared" si="46"/>
        <v>382</v>
      </c>
      <c r="B383" s="463" t="str">
        <f t="shared" si="47"/>
        <v>東部</v>
      </c>
      <c r="C383" s="464" t="s">
        <v>1017</v>
      </c>
      <c r="D383" s="464" t="s">
        <v>1602</v>
      </c>
      <c r="E383" s="464">
        <f>VLOOKUP(D383,★折込地区!$A$2:$D$10,4,FALSE)</f>
        <v>2</v>
      </c>
      <c r="F383" s="464" t="s">
        <v>526</v>
      </c>
      <c r="G383" s="464" t="str">
        <f>INDEX(★新聞!$E$4:$I$12, MATCH(LEFT(F383),★新聞!$A$4:$A$12,0), MATCH(LEFT(W383),★新聞!$E$3:$I$3,0))</f>
        <v>AP</v>
      </c>
      <c r="H383" s="475" t="s">
        <v>1107</v>
      </c>
      <c r="I383" s="464" cm="1">
        <f t="array" ref="I383">IFERROR(INDEX(★原価率!$A$2:$E$50,MATCH($C383&amp;$H383,★原価率!$A$2:$A$50&amp;★原価率!$B$2:$B$50,0),3),0)</f>
        <v>82</v>
      </c>
      <c r="J383" s="464" cm="1">
        <f t="array" ref="J383">IFERROR(INDEX(★原価率!$A$2:$E$50,MATCH($C383&amp;$H383,★原価率!$A$2:$A$50&amp;★原価率!$B$2:$B$50,0),4),0)</f>
        <v>82</v>
      </c>
      <c r="K383" s="464" cm="1">
        <f t="array" ref="K383">IFERROR(INDEX(★原価率!$A$2:$E$50,MATCH($C383&amp;$H383,★原価率!$A$2:$A$50&amp;★原価率!$B$2:$B$50,0),5),0)</f>
        <v>100</v>
      </c>
      <c r="L383" s="528">
        <f>IFERROR(VLOOKUP(W383,★商品!$A$1:$H$1231,8,FALSE),0)</f>
        <v>2.8</v>
      </c>
      <c r="M383" s="203" t="str">
        <f ca="1">CONCATENATE(VLOOKUP(B383,★営業所!$A$2:$B$5,2,FALSE),TEXT(NOW(),"yyyy"))</f>
        <v>T2023</v>
      </c>
      <c r="N383" s="203">
        <v>1</v>
      </c>
      <c r="O383" s="203">
        <v>0</v>
      </c>
      <c r="P383" s="213">
        <f>申込書!$B$6</f>
        <v>0</v>
      </c>
      <c r="Q383" s="203">
        <f>申込書!$C$34</f>
        <v>1000040</v>
      </c>
      <c r="R383" s="203">
        <v>0</v>
      </c>
      <c r="U383" s="203">
        <f>VLOOKUP(B383,★営業所!$A$2:$C$5,3,FALSE)</f>
        <v>8</v>
      </c>
      <c r="V383" s="203">
        <f>申込書!$B$9</f>
        <v>0</v>
      </c>
      <c r="W383" s="203" t="str">
        <f>CONCATENATE(VLOOKUP(B383,★営業所!$A$2:$B$5,2,FALSE),VLOOKUP(申込書!$C$32,★サイズ表記!$D$4:$E$55,2,FALSE),VLOOKUP(D383,★折込地区!$A$2:$B$11,2,FALSE))</f>
        <v>T1001Kry</v>
      </c>
      <c r="X383" s="203" t="str">
        <f>CONCATENATE(申込書!$B$9," ",VLOOKUP(RIGHT(W383,3),★折込地区!$B$2:$C$10,2,FALSE),"")</f>
        <v xml:space="preserve"> 倉吉</v>
      </c>
      <c r="Z383" s="206">
        <f t="shared" ca="1" si="40"/>
        <v>0</v>
      </c>
      <c r="AB383" s="383">
        <f t="shared" si="41"/>
        <v>2.8</v>
      </c>
      <c r="AC383" s="203" t="str">
        <f t="shared" si="42"/>
        <v>V1001</v>
      </c>
      <c r="AD383" s="203" t="str">
        <f>VLOOKUP(AC383,★原価商品!$E$6:$F$349,2,FALSE)</f>
        <v>日経/B4（折り無し）</v>
      </c>
      <c r="AE383" s="203">
        <f t="shared" ca="1" si="43"/>
        <v>0</v>
      </c>
      <c r="AF383" s="383">
        <f ca="1">IFERROR(IF(VLOOKUP(申込書!$C$32,★サイズ表記!$F$4:$H$55,3,FALSE)="切り捨て",ROUNDDOWN(L383*IF(AK383="◎",I383,J383)/100,2),IF(VLOOKUP(申込書!$C$32,★サイズ表記!$F$4:$H$55,3,FALSE)="切り上げ",ROUNDUP(L383*IF(AK383="◎",I383,J383)/100,2),ROUND(L383*IF(AK383="◎",I383,J383)/100,2))),0)</f>
        <v>2.29</v>
      </c>
      <c r="AG383" s="203">
        <f t="shared" ca="1" si="44"/>
        <v>10303</v>
      </c>
      <c r="AJ383" s="460" t="str">
        <f>IFERROR(VLOOKUP(申込書!$C$30,★業種!$D$2:$E$87,2,FALSE),"")</f>
        <v>1003</v>
      </c>
      <c r="AK383" s="460" t="str">
        <f ca="1">IF(申込書!$C$36="◎",IF(OR(D383="浜坂・温泉",D383="美方・村岡",D383="香住",D383="岡山",D383="大阪"),"",IF(LEFT(F383)="D","◎",IF(AG383=0,"",IFERROR(IF(VLOOKUP(AG383,★仕入先!$A$2:$C$211,3,FALSE)=0,"","◎"),"")))),"")</f>
        <v/>
      </c>
      <c r="AL383" s="460">
        <f>申込書!$H$14</f>
        <v>0</v>
      </c>
      <c r="AM383" s="460" t="str">
        <f>申込書!$C$32</f>
        <v>B4（折り無し）</v>
      </c>
      <c r="AN383" s="460" t="str">
        <f>VLOOKUP(AM383,★サイズ表記!$D$4:$E$55,2,FALSE)</f>
        <v>1001</v>
      </c>
      <c r="AO383" s="460">
        <f>IF(C383&lt;&gt;"⑧兵庫",VLOOKUP(LEFT(F383),★新聞!$A$4:$B$12,2,FALSE),IF(LEFT(F383)&lt;&gt;"S",VLOOKUP(LEFT(F383),★新聞!$A$4:$B$12,2,FALSE),VLOOKUP("X",★新聞!$A$4:$B$12,2,FALSE)))</f>
        <v>7</v>
      </c>
      <c r="AP383" s="460" t="str">
        <f t="shared" ca="1" si="45"/>
        <v>0</v>
      </c>
      <c r="AQ383" s="460" t="str">
        <f>IF(申込書!$C$38="","",申込書!$C$38)</f>
        <v/>
      </c>
    </row>
    <row r="384" spans="1:43">
      <c r="A384" s="463">
        <f t="shared" si="46"/>
        <v>383</v>
      </c>
      <c r="B384" s="463" t="str">
        <f t="shared" si="47"/>
        <v>東部</v>
      </c>
      <c r="C384" s="464" t="s">
        <v>1017</v>
      </c>
      <c r="D384" s="464" t="s">
        <v>1602</v>
      </c>
      <c r="E384" s="464">
        <f>VLOOKUP(D384,★折込地区!$A$2:$D$10,4,FALSE)</f>
        <v>2</v>
      </c>
      <c r="F384" s="464" t="s">
        <v>527</v>
      </c>
      <c r="G384" s="464" t="str">
        <f>INDEX(★新聞!$E$4:$I$12, MATCH(LEFT(F384),★新聞!$A$4:$A$12,0), MATCH(LEFT(W384),★新聞!$E$3:$I$3,0))</f>
        <v>AP</v>
      </c>
      <c r="H384" s="475" t="s">
        <v>1107</v>
      </c>
      <c r="I384" s="464" cm="1">
        <f t="array" ref="I384">IFERROR(INDEX(★原価率!$A$2:$E$50,MATCH($C384&amp;$H384,★原価率!$A$2:$A$50&amp;★原価率!$B$2:$B$50,0),3),0)</f>
        <v>82</v>
      </c>
      <c r="J384" s="464" cm="1">
        <f t="array" ref="J384">IFERROR(INDEX(★原価率!$A$2:$E$50,MATCH($C384&amp;$H384,★原価率!$A$2:$A$50&amp;★原価率!$B$2:$B$50,0),4),0)</f>
        <v>82</v>
      </c>
      <c r="K384" s="464" cm="1">
        <f t="array" ref="K384">IFERROR(INDEX(★原価率!$A$2:$E$50,MATCH($C384&amp;$H384,★原価率!$A$2:$A$50&amp;★原価率!$B$2:$B$50,0),5),0)</f>
        <v>100</v>
      </c>
      <c r="L384" s="528">
        <f>IFERROR(VLOOKUP(W384,★商品!$A$1:$H$1231,8,FALSE),0)</f>
        <v>2.8</v>
      </c>
      <c r="M384" s="203" t="str">
        <f ca="1">CONCATENATE(VLOOKUP(B384,★営業所!$A$2:$B$5,2,FALSE),TEXT(NOW(),"yyyy"))</f>
        <v>T2023</v>
      </c>
      <c r="N384" s="203">
        <v>1</v>
      </c>
      <c r="O384" s="203">
        <v>0</v>
      </c>
      <c r="P384" s="213">
        <f>申込書!$B$6</f>
        <v>0</v>
      </c>
      <c r="Q384" s="203">
        <f>申込書!$C$34</f>
        <v>1000040</v>
      </c>
      <c r="R384" s="203">
        <v>0</v>
      </c>
      <c r="U384" s="203">
        <f>VLOOKUP(B384,★営業所!$A$2:$C$5,3,FALSE)</f>
        <v>8</v>
      </c>
      <c r="V384" s="203">
        <f>申込書!$B$9</f>
        <v>0</v>
      </c>
      <c r="W384" s="203" t="str">
        <f>CONCATENATE(VLOOKUP(B384,★営業所!$A$2:$B$5,2,FALSE),VLOOKUP(申込書!$C$32,★サイズ表記!$D$4:$E$55,2,FALSE),VLOOKUP(D384,★折込地区!$A$2:$B$11,2,FALSE))</f>
        <v>T1001Kry</v>
      </c>
      <c r="X384" s="203" t="str">
        <f>CONCATENATE(申込書!$B$9," ",VLOOKUP(RIGHT(W384,3),★折込地区!$B$2:$C$10,2,FALSE),"")</f>
        <v xml:space="preserve"> 倉吉</v>
      </c>
      <c r="Z384" s="206">
        <f t="shared" ca="1" si="40"/>
        <v>0</v>
      </c>
      <c r="AB384" s="383">
        <f t="shared" si="41"/>
        <v>2.8</v>
      </c>
      <c r="AC384" s="203" t="str">
        <f t="shared" si="42"/>
        <v>V1001</v>
      </c>
      <c r="AD384" s="203" t="str">
        <f>VLOOKUP(AC384,★原価商品!$E$6:$F$349,2,FALSE)</f>
        <v>日経/B4（折り無し）</v>
      </c>
      <c r="AE384" s="203">
        <f t="shared" ca="1" si="43"/>
        <v>0</v>
      </c>
      <c r="AF384" s="383">
        <f ca="1">IFERROR(IF(VLOOKUP(申込書!$C$32,★サイズ表記!$F$4:$H$55,3,FALSE)="切り捨て",ROUNDDOWN(L384*IF(AK384="◎",I384,J384)/100,2),IF(VLOOKUP(申込書!$C$32,★サイズ表記!$F$4:$H$55,3,FALSE)="切り上げ",ROUNDUP(L384*IF(AK384="◎",I384,J384)/100,2),ROUND(L384*IF(AK384="◎",I384,J384)/100,2))),0)</f>
        <v>2.29</v>
      </c>
      <c r="AG384" s="203">
        <f t="shared" ca="1" si="44"/>
        <v>10303</v>
      </c>
      <c r="AJ384" s="460" t="str">
        <f>IFERROR(VLOOKUP(申込書!$C$30,★業種!$D$2:$E$87,2,FALSE),"")</f>
        <v>1003</v>
      </c>
      <c r="AK384" s="460" t="str">
        <f ca="1">IF(申込書!$C$36="◎",IF(OR(D384="浜坂・温泉",D384="美方・村岡",D384="香住",D384="岡山",D384="大阪"),"",IF(LEFT(F384)="D","◎",IF(AG384=0,"",IFERROR(IF(VLOOKUP(AG384,★仕入先!$A$2:$C$211,3,FALSE)=0,"","◎"),"")))),"")</f>
        <v/>
      </c>
      <c r="AL384" s="460">
        <f>申込書!$H$14</f>
        <v>0</v>
      </c>
      <c r="AM384" s="460" t="str">
        <f>申込書!$C$32</f>
        <v>B4（折り無し）</v>
      </c>
      <c r="AN384" s="460" t="str">
        <f>VLOOKUP(AM384,★サイズ表記!$D$4:$E$55,2,FALSE)</f>
        <v>1001</v>
      </c>
      <c r="AO384" s="460">
        <f>IF(C384&lt;&gt;"⑧兵庫",VLOOKUP(LEFT(F384),★新聞!$A$4:$B$12,2,FALSE),IF(LEFT(F384)&lt;&gt;"S",VLOOKUP(LEFT(F384),★新聞!$A$4:$B$12,2,FALSE),VLOOKUP("X",★新聞!$A$4:$B$12,2,FALSE)))</f>
        <v>7</v>
      </c>
      <c r="AP384" s="460" t="str">
        <f t="shared" ca="1" si="45"/>
        <v>0</v>
      </c>
      <c r="AQ384" s="460" t="str">
        <f>IF(申込書!$C$38="","",申込書!$C$38)</f>
        <v/>
      </c>
    </row>
    <row r="385" spans="1:43">
      <c r="A385" s="463">
        <f t="shared" si="46"/>
        <v>384</v>
      </c>
      <c r="B385" s="463" t="str">
        <f t="shared" si="47"/>
        <v>東部</v>
      </c>
      <c r="C385" s="464" t="s">
        <v>1017</v>
      </c>
      <c r="D385" s="464" t="s">
        <v>1602</v>
      </c>
      <c r="E385" s="464">
        <f>VLOOKUP(D385,★折込地区!$A$2:$D$10,4,FALSE)</f>
        <v>2</v>
      </c>
      <c r="F385" s="464" t="s">
        <v>528</v>
      </c>
      <c r="G385" s="464" t="str">
        <f>INDEX(★新聞!$E$4:$I$12, MATCH(LEFT(F385),★新聞!$A$4:$A$12,0), MATCH(LEFT(W385),★新聞!$E$3:$I$3,0))</f>
        <v>AP</v>
      </c>
      <c r="H385" s="555" t="s">
        <v>1105</v>
      </c>
      <c r="I385" s="464" cm="1">
        <f t="array" ref="I385">IFERROR(INDEX(★原価率!$A$2:$E$50,MATCH($C385&amp;$H385,★原価率!$A$2:$A$50&amp;★原価率!$B$2:$B$50,0),3),0)</f>
        <v>78</v>
      </c>
      <c r="J385" s="464" cm="1">
        <f t="array" ref="J385">IFERROR(INDEX(★原価率!$A$2:$E$50,MATCH($C385&amp;$H385,★原価率!$A$2:$A$50&amp;★原価率!$B$2:$B$50,0),4),0)</f>
        <v>82</v>
      </c>
      <c r="K385" s="464" cm="1">
        <f t="array" ref="K385">IFERROR(INDEX(★原価率!$A$2:$E$50,MATCH($C385&amp;$H385,★原価率!$A$2:$A$50&amp;★原価率!$B$2:$B$50,0),5),0)</f>
        <v>100</v>
      </c>
      <c r="L385" s="528">
        <f>IFERROR(VLOOKUP(W385,★商品!$A$1:$H$1231,8,FALSE),0)</f>
        <v>2.8</v>
      </c>
      <c r="M385" s="203" t="str">
        <f ca="1">CONCATENATE(VLOOKUP(B385,★営業所!$A$2:$B$5,2,FALSE),TEXT(NOW(),"yyyy"))</f>
        <v>T2023</v>
      </c>
      <c r="N385" s="203">
        <v>1</v>
      </c>
      <c r="O385" s="203">
        <v>0</v>
      </c>
      <c r="P385" s="213">
        <f>申込書!$B$6</f>
        <v>0</v>
      </c>
      <c r="Q385" s="203">
        <f>申込書!$C$34</f>
        <v>1000040</v>
      </c>
      <c r="R385" s="203">
        <v>0</v>
      </c>
      <c r="U385" s="203">
        <f>VLOOKUP(B385,★営業所!$A$2:$C$5,3,FALSE)</f>
        <v>8</v>
      </c>
      <c r="V385" s="203">
        <f>申込書!$B$9</f>
        <v>0</v>
      </c>
      <c r="W385" s="203" t="str">
        <f>CONCATENATE(VLOOKUP(B385,★営業所!$A$2:$B$5,2,FALSE),VLOOKUP(申込書!$C$32,★サイズ表記!$D$4:$E$55,2,FALSE),VLOOKUP(D385,★折込地区!$A$2:$B$11,2,FALSE))</f>
        <v>T1001Kry</v>
      </c>
      <c r="X385" s="203" t="str">
        <f>CONCATENATE(申込書!$B$9," ",VLOOKUP(RIGHT(W385,3),★折込地区!$B$2:$C$10,2,FALSE),"")</f>
        <v xml:space="preserve"> 倉吉</v>
      </c>
      <c r="Z385" s="206">
        <f t="shared" ca="1" si="40"/>
        <v>0</v>
      </c>
      <c r="AB385" s="383">
        <f t="shared" si="41"/>
        <v>2.8</v>
      </c>
      <c r="AC385" s="203" t="str">
        <f t="shared" si="42"/>
        <v>V1001</v>
      </c>
      <c r="AD385" s="203" t="str">
        <f>VLOOKUP(AC385,★原価商品!$E$6:$F$349,2,FALSE)</f>
        <v>日経/B4（折り無し）</v>
      </c>
      <c r="AE385" s="203">
        <f t="shared" ca="1" si="43"/>
        <v>0</v>
      </c>
      <c r="AF385" s="383">
        <f ca="1">IFERROR(IF(VLOOKUP(申込書!$C$32,★サイズ表記!$F$4:$H$55,3,FALSE)="切り捨て",ROUNDDOWN(L385*IF(AK385="◎",I385,J385)/100,2),IF(VLOOKUP(申込書!$C$32,★サイズ表記!$F$4:$H$55,3,FALSE)="切り上げ",ROUNDUP(L385*IF(AK385="◎",I385,J385)/100,2),ROUND(L385*IF(AK385="◎",I385,J385)/100,2))),0)</f>
        <v>2.29</v>
      </c>
      <c r="AG385" s="203">
        <f t="shared" ca="1" si="44"/>
        <v>10303</v>
      </c>
      <c r="AJ385" s="460" t="str">
        <f>IFERROR(VLOOKUP(申込書!$C$30,★業種!$D$2:$E$87,2,FALSE),"")</f>
        <v>1003</v>
      </c>
      <c r="AK385" s="460" t="str">
        <f ca="1">IF(申込書!$C$36="◎",IF(OR(D385="浜坂・温泉",D385="美方・村岡",D385="香住",D385="岡山",D385="大阪"),"",IF(LEFT(F385)="D","◎",IF(AG385=0,"",IFERROR(IF(VLOOKUP(AG385,★仕入先!$A$2:$C$211,3,FALSE)=0,"","◎"),"")))),"")</f>
        <v/>
      </c>
      <c r="AL385" s="460">
        <f>申込書!$H$14</f>
        <v>0</v>
      </c>
      <c r="AM385" s="460" t="str">
        <f>申込書!$C$32</f>
        <v>B4（折り無し）</v>
      </c>
      <c r="AN385" s="460" t="str">
        <f>VLOOKUP(AM385,★サイズ表記!$D$4:$E$55,2,FALSE)</f>
        <v>1001</v>
      </c>
      <c r="AO385" s="460">
        <f>IF(C385&lt;&gt;"⑧兵庫",VLOOKUP(LEFT(F385),★新聞!$A$4:$B$12,2,FALSE),IF(LEFT(F385)&lt;&gt;"S",VLOOKUP(LEFT(F385),★新聞!$A$4:$B$12,2,FALSE),VLOOKUP("X",★新聞!$A$4:$B$12,2,FALSE)))</f>
        <v>7</v>
      </c>
      <c r="AP385" s="460" t="str">
        <f t="shared" ca="1" si="45"/>
        <v>0</v>
      </c>
      <c r="AQ385" s="460" t="str">
        <f>IF(申込書!$C$38="","",申込書!$C$38)</f>
        <v/>
      </c>
    </row>
    <row r="386" spans="1:43">
      <c r="A386" s="463">
        <f t="shared" si="46"/>
        <v>385</v>
      </c>
      <c r="B386" s="463" t="str">
        <f t="shared" si="47"/>
        <v>東部</v>
      </c>
      <c r="C386" s="464" t="s">
        <v>1017</v>
      </c>
      <c r="D386" s="464" t="s">
        <v>1602</v>
      </c>
      <c r="E386" s="464">
        <f>VLOOKUP(D386,★折込地区!$A$2:$D$10,4,FALSE)</f>
        <v>2</v>
      </c>
      <c r="F386" s="464" t="s">
        <v>529</v>
      </c>
      <c r="G386" s="464" t="str">
        <f>INDEX(★新聞!$E$4:$I$12, MATCH(LEFT(F386),★新聞!$A$4:$A$12,0), MATCH(LEFT(W386),★新聞!$E$3:$I$3,0))</f>
        <v>AP</v>
      </c>
      <c r="H386" s="475" t="s">
        <v>1107</v>
      </c>
      <c r="I386" s="464" cm="1">
        <f t="array" ref="I386">IFERROR(INDEX(★原価率!$A$2:$E$50,MATCH($C386&amp;$H386,★原価率!$A$2:$A$50&amp;★原価率!$B$2:$B$50,0),3),0)</f>
        <v>82</v>
      </c>
      <c r="J386" s="464" cm="1">
        <f t="array" ref="J386">IFERROR(INDEX(★原価率!$A$2:$E$50,MATCH($C386&amp;$H386,★原価率!$A$2:$A$50&amp;★原価率!$B$2:$B$50,0),4),0)</f>
        <v>82</v>
      </c>
      <c r="K386" s="464" cm="1">
        <f t="array" ref="K386">IFERROR(INDEX(★原価率!$A$2:$E$50,MATCH($C386&amp;$H386,★原価率!$A$2:$A$50&amp;★原価率!$B$2:$B$50,0),5),0)</f>
        <v>100</v>
      </c>
      <c r="L386" s="528">
        <f>IFERROR(VLOOKUP(W386,★商品!$A$1:$H$1231,8,FALSE),0)</f>
        <v>2.8</v>
      </c>
      <c r="M386" s="203" t="str">
        <f ca="1">CONCATENATE(VLOOKUP(B386,★営業所!$A$2:$B$5,2,FALSE),TEXT(NOW(),"yyyy"))</f>
        <v>T2023</v>
      </c>
      <c r="N386" s="203">
        <v>1</v>
      </c>
      <c r="O386" s="203">
        <v>0</v>
      </c>
      <c r="P386" s="213">
        <f>申込書!$B$6</f>
        <v>0</v>
      </c>
      <c r="Q386" s="203">
        <f>申込書!$C$34</f>
        <v>1000040</v>
      </c>
      <c r="R386" s="203">
        <v>0</v>
      </c>
      <c r="U386" s="203">
        <f>VLOOKUP(B386,★営業所!$A$2:$C$5,3,FALSE)</f>
        <v>8</v>
      </c>
      <c r="V386" s="203">
        <f>申込書!$B$9</f>
        <v>0</v>
      </c>
      <c r="W386" s="203" t="str">
        <f>CONCATENATE(VLOOKUP(B386,★営業所!$A$2:$B$5,2,FALSE),VLOOKUP(申込書!$C$32,★サイズ表記!$D$4:$E$55,2,FALSE),VLOOKUP(D386,★折込地区!$A$2:$B$11,2,FALSE))</f>
        <v>T1001Kry</v>
      </c>
      <c r="X386" s="203" t="str">
        <f>CONCATENATE(申込書!$B$9," ",VLOOKUP(RIGHT(W386,3),★折込地区!$B$2:$C$10,2,FALSE),"")</f>
        <v xml:space="preserve"> 倉吉</v>
      </c>
      <c r="Z386" s="206">
        <f t="shared" ref="Z386:Z449" ca="1" si="48">SUMIFS($AE$2:$AE$977,$W$2:$W$977,W386,$AG$2:$AG$977,"&lt;&gt;0")</f>
        <v>0</v>
      </c>
      <c r="AB386" s="383">
        <f t="shared" ref="AB386:AB449" si="49">IFERROR(L386*K386/100,0)</f>
        <v>2.8</v>
      </c>
      <c r="AC386" s="203" t="str">
        <f t="shared" ref="AC386:AC449" si="50">CONCATENATE(LEFT(F386),AN386)</f>
        <v>V1001</v>
      </c>
      <c r="AD386" s="203" t="str">
        <f>VLOOKUP(AC386,★原価商品!$E$6:$F$349,2,FALSE)</f>
        <v>日経/B4（折り無し）</v>
      </c>
      <c r="AE386" s="203">
        <f t="shared" ref="AE386:AE449" ca="1" si="51">INDIRECT(C386 &amp; "!" &amp; F386)</f>
        <v>0</v>
      </c>
      <c r="AF386" s="383">
        <f ca="1">IFERROR(IF(VLOOKUP(申込書!$C$32,★サイズ表記!$F$4:$H$55,3,FALSE)="切り捨て",ROUNDDOWN(L386*IF(AK386="◎",I386,J386)/100,2),IF(VLOOKUP(申込書!$C$32,★サイズ表記!$F$4:$H$55,3,FALSE)="切り上げ",ROUNDUP(L386*IF(AK386="◎",I386,J386)/100,2),ROUND(L386*IF(AK386="◎",I386,J386)/100,2))),0)</f>
        <v>2.29</v>
      </c>
      <c r="AG386" s="203">
        <f t="shared" ref="AG386:AG449" ca="1" si="52">IFERROR(INDIRECT(C386 &amp; "!" &amp; G386 &amp; MID(F386,2,1000)),0)</f>
        <v>10303</v>
      </c>
      <c r="AJ386" s="460" t="str">
        <f>IFERROR(VLOOKUP(申込書!$C$30,★業種!$D$2:$E$87,2,FALSE),"")</f>
        <v>1003</v>
      </c>
      <c r="AK386" s="460" t="str">
        <f ca="1">IF(申込書!$C$36="◎",IF(OR(D386="浜坂・温泉",D386="美方・村岡",D386="香住",D386="岡山",D386="大阪"),"",IF(LEFT(F386)="D","◎",IF(AG386=0,"",IFERROR(IF(VLOOKUP(AG386,★仕入先!$A$2:$C$211,3,FALSE)=0,"","◎"),"")))),"")</f>
        <v/>
      </c>
      <c r="AL386" s="460">
        <f>申込書!$H$14</f>
        <v>0</v>
      </c>
      <c r="AM386" s="460" t="str">
        <f>申込書!$C$32</f>
        <v>B4（折り無し）</v>
      </c>
      <c r="AN386" s="460" t="str">
        <f>VLOOKUP(AM386,★サイズ表記!$D$4:$E$55,2,FALSE)</f>
        <v>1001</v>
      </c>
      <c r="AO386" s="460">
        <f>IF(C386&lt;&gt;"⑧兵庫",VLOOKUP(LEFT(F386),★新聞!$A$4:$B$12,2,FALSE),IF(LEFT(F386)&lt;&gt;"S",VLOOKUP(LEFT(F386),★新聞!$A$4:$B$12,2,FALSE),VLOOKUP("X",★新聞!$A$4:$B$12,2,FALSE)))</f>
        <v>7</v>
      </c>
      <c r="AP386" s="460" t="str">
        <f t="shared" ref="AP386:AP449" ca="1" si="53">FIXED(SUM($AE$2:$AE$977),0,FALSE)</f>
        <v>0</v>
      </c>
      <c r="AQ386" s="460" t="str">
        <f>IF(申込書!$C$38="","",申込書!$C$38)</f>
        <v/>
      </c>
    </row>
    <row r="387" spans="1:43">
      <c r="A387" s="463">
        <f t="shared" si="46"/>
        <v>386</v>
      </c>
      <c r="B387" s="463" t="str">
        <f t="shared" si="47"/>
        <v>東部</v>
      </c>
      <c r="C387" s="464" t="s">
        <v>1017</v>
      </c>
      <c r="D387" s="464" t="s">
        <v>1602</v>
      </c>
      <c r="E387" s="464">
        <f>VLOOKUP(D387,★折込地区!$A$2:$D$10,4,FALSE)</f>
        <v>2</v>
      </c>
      <c r="F387" s="464" t="s">
        <v>530</v>
      </c>
      <c r="G387" s="464" t="str">
        <f>INDEX(★新聞!$E$4:$I$12, MATCH(LEFT(F387),★新聞!$A$4:$A$12,0), MATCH(LEFT(W387),★新聞!$E$3:$I$3,0))</f>
        <v>AP</v>
      </c>
      <c r="H387" s="555" t="s">
        <v>1105</v>
      </c>
      <c r="I387" s="464" cm="1">
        <f t="array" ref="I387">IFERROR(INDEX(★原価率!$A$2:$E$50,MATCH($C387&amp;$H387,★原価率!$A$2:$A$50&amp;★原価率!$B$2:$B$50,0),3),0)</f>
        <v>78</v>
      </c>
      <c r="J387" s="464" cm="1">
        <f t="array" ref="J387">IFERROR(INDEX(★原価率!$A$2:$E$50,MATCH($C387&amp;$H387,★原価率!$A$2:$A$50&amp;★原価率!$B$2:$B$50,0),4),0)</f>
        <v>82</v>
      </c>
      <c r="K387" s="464" cm="1">
        <f t="array" ref="K387">IFERROR(INDEX(★原価率!$A$2:$E$50,MATCH($C387&amp;$H387,★原価率!$A$2:$A$50&amp;★原価率!$B$2:$B$50,0),5),0)</f>
        <v>100</v>
      </c>
      <c r="L387" s="528">
        <f>IFERROR(VLOOKUP(W387,★商品!$A$1:$H$1231,8,FALSE),0)</f>
        <v>2.8</v>
      </c>
      <c r="M387" s="203" t="str">
        <f ca="1">CONCATENATE(VLOOKUP(B387,★営業所!$A$2:$B$5,2,FALSE),TEXT(NOW(),"yyyy"))</f>
        <v>T2023</v>
      </c>
      <c r="N387" s="203">
        <v>1</v>
      </c>
      <c r="O387" s="203">
        <v>0</v>
      </c>
      <c r="P387" s="213">
        <f>申込書!$B$6</f>
        <v>0</v>
      </c>
      <c r="Q387" s="203">
        <f>申込書!$C$34</f>
        <v>1000040</v>
      </c>
      <c r="R387" s="203">
        <v>0</v>
      </c>
      <c r="U387" s="203">
        <f>VLOOKUP(B387,★営業所!$A$2:$C$5,3,FALSE)</f>
        <v>8</v>
      </c>
      <c r="V387" s="203">
        <f>申込書!$B$9</f>
        <v>0</v>
      </c>
      <c r="W387" s="203" t="str">
        <f>CONCATENATE(VLOOKUP(B387,★営業所!$A$2:$B$5,2,FALSE),VLOOKUP(申込書!$C$32,★サイズ表記!$D$4:$E$55,2,FALSE),VLOOKUP(D387,★折込地区!$A$2:$B$11,2,FALSE))</f>
        <v>T1001Kry</v>
      </c>
      <c r="X387" s="203" t="str">
        <f>CONCATENATE(申込書!$B$9," ",VLOOKUP(RIGHT(W387,3),★折込地区!$B$2:$C$10,2,FALSE),"")</f>
        <v xml:space="preserve"> 倉吉</v>
      </c>
      <c r="Z387" s="206">
        <f t="shared" ca="1" si="48"/>
        <v>0</v>
      </c>
      <c r="AB387" s="383">
        <f t="shared" si="49"/>
        <v>2.8</v>
      </c>
      <c r="AC387" s="203" t="str">
        <f t="shared" si="50"/>
        <v>V1001</v>
      </c>
      <c r="AD387" s="203" t="str">
        <f>VLOOKUP(AC387,★原価商品!$E$6:$F$349,2,FALSE)</f>
        <v>日経/B4（折り無し）</v>
      </c>
      <c r="AE387" s="203">
        <f t="shared" ca="1" si="51"/>
        <v>0</v>
      </c>
      <c r="AF387" s="383">
        <f ca="1">IFERROR(IF(VLOOKUP(申込書!$C$32,★サイズ表記!$F$4:$H$55,3,FALSE)="切り捨て",ROUNDDOWN(L387*IF(AK387="◎",I387,J387)/100,2),IF(VLOOKUP(申込書!$C$32,★サイズ表記!$F$4:$H$55,3,FALSE)="切り上げ",ROUNDUP(L387*IF(AK387="◎",I387,J387)/100,2),ROUND(L387*IF(AK387="◎",I387,J387)/100,2))),0)</f>
        <v>2.29</v>
      </c>
      <c r="AG387" s="203">
        <f t="shared" ca="1" si="52"/>
        <v>10303</v>
      </c>
      <c r="AJ387" s="460" t="str">
        <f>IFERROR(VLOOKUP(申込書!$C$30,★業種!$D$2:$E$87,2,FALSE),"")</f>
        <v>1003</v>
      </c>
      <c r="AK387" s="460" t="str">
        <f ca="1">IF(申込書!$C$36="◎",IF(OR(D387="浜坂・温泉",D387="美方・村岡",D387="香住",D387="岡山",D387="大阪"),"",IF(LEFT(F387)="D","◎",IF(AG387=0,"",IFERROR(IF(VLOOKUP(AG387,★仕入先!$A$2:$C$211,3,FALSE)=0,"","◎"),"")))),"")</f>
        <v/>
      </c>
      <c r="AL387" s="460">
        <f>申込書!$H$14</f>
        <v>0</v>
      </c>
      <c r="AM387" s="460" t="str">
        <f>申込書!$C$32</f>
        <v>B4（折り無し）</v>
      </c>
      <c r="AN387" s="460" t="str">
        <f>VLOOKUP(AM387,★サイズ表記!$D$4:$E$55,2,FALSE)</f>
        <v>1001</v>
      </c>
      <c r="AO387" s="460">
        <f>IF(C387&lt;&gt;"⑧兵庫",VLOOKUP(LEFT(F387),★新聞!$A$4:$B$12,2,FALSE),IF(LEFT(F387)&lt;&gt;"S",VLOOKUP(LEFT(F387),★新聞!$A$4:$B$12,2,FALSE),VLOOKUP("X",★新聞!$A$4:$B$12,2,FALSE)))</f>
        <v>7</v>
      </c>
      <c r="AP387" s="460" t="str">
        <f t="shared" ca="1" si="53"/>
        <v>0</v>
      </c>
      <c r="AQ387" s="460" t="str">
        <f>IF(申込書!$C$38="","",申込書!$C$38)</f>
        <v/>
      </c>
    </row>
    <row r="388" spans="1:43">
      <c r="A388" s="463">
        <f t="shared" ref="A388:A451" si="54">A387+1</f>
        <v>387</v>
      </c>
      <c r="B388" s="463" t="str">
        <f t="shared" ref="B388:B573" si="55">$B$2</f>
        <v>東部</v>
      </c>
      <c r="C388" s="464" t="s">
        <v>1017</v>
      </c>
      <c r="D388" s="464" t="s">
        <v>1602</v>
      </c>
      <c r="E388" s="464">
        <f>VLOOKUP(D388,★折込地区!$A$2:$D$10,4,FALSE)</f>
        <v>2</v>
      </c>
      <c r="F388" s="464" t="s">
        <v>531</v>
      </c>
      <c r="G388" s="464" t="str">
        <f>INDEX(★新聞!$E$4:$I$12, MATCH(LEFT(F388),★新聞!$A$4:$A$12,0), MATCH(LEFT(W388),★新聞!$E$3:$I$3,0))</f>
        <v>AP</v>
      </c>
      <c r="H388" s="555" t="s">
        <v>1105</v>
      </c>
      <c r="I388" s="464" cm="1">
        <f t="array" ref="I388">IFERROR(INDEX(★原価率!$A$2:$E$50,MATCH($C388&amp;$H388,★原価率!$A$2:$A$50&amp;★原価率!$B$2:$B$50,0),3),0)</f>
        <v>78</v>
      </c>
      <c r="J388" s="464" cm="1">
        <f t="array" ref="J388">IFERROR(INDEX(★原価率!$A$2:$E$50,MATCH($C388&amp;$H388,★原価率!$A$2:$A$50&amp;★原価率!$B$2:$B$50,0),4),0)</f>
        <v>82</v>
      </c>
      <c r="K388" s="464" cm="1">
        <f t="array" ref="K388">IFERROR(INDEX(★原価率!$A$2:$E$50,MATCH($C388&amp;$H388,★原価率!$A$2:$A$50&amp;★原価率!$B$2:$B$50,0),5),0)</f>
        <v>100</v>
      </c>
      <c r="L388" s="528">
        <f>IFERROR(VLOOKUP(W388,★商品!$A$1:$H$1231,8,FALSE),0)</f>
        <v>2.8</v>
      </c>
      <c r="M388" s="203" t="str">
        <f ca="1">CONCATENATE(VLOOKUP(B388,★営業所!$A$2:$B$5,2,FALSE),TEXT(NOW(),"yyyy"))</f>
        <v>T2023</v>
      </c>
      <c r="N388" s="203">
        <v>1</v>
      </c>
      <c r="O388" s="203">
        <v>0</v>
      </c>
      <c r="P388" s="213">
        <f>申込書!$B$6</f>
        <v>0</v>
      </c>
      <c r="Q388" s="203">
        <f>申込書!$C$34</f>
        <v>1000040</v>
      </c>
      <c r="R388" s="203">
        <v>0</v>
      </c>
      <c r="U388" s="203">
        <f>VLOOKUP(B388,★営業所!$A$2:$C$5,3,FALSE)</f>
        <v>8</v>
      </c>
      <c r="V388" s="203">
        <f>申込書!$B$9</f>
        <v>0</v>
      </c>
      <c r="W388" s="203" t="str">
        <f>CONCATENATE(VLOOKUP(B388,★営業所!$A$2:$B$5,2,FALSE),VLOOKUP(申込書!$C$32,★サイズ表記!$D$4:$E$55,2,FALSE),VLOOKUP(D388,★折込地区!$A$2:$B$11,2,FALSE))</f>
        <v>T1001Kry</v>
      </c>
      <c r="X388" s="203" t="str">
        <f>CONCATENATE(申込書!$B$9," ",VLOOKUP(RIGHT(W388,3),★折込地区!$B$2:$C$10,2,FALSE),"")</f>
        <v xml:space="preserve"> 倉吉</v>
      </c>
      <c r="Z388" s="206">
        <f t="shared" ca="1" si="48"/>
        <v>0</v>
      </c>
      <c r="AB388" s="383">
        <f t="shared" si="49"/>
        <v>2.8</v>
      </c>
      <c r="AC388" s="203" t="str">
        <f t="shared" si="50"/>
        <v>V1001</v>
      </c>
      <c r="AD388" s="203" t="str">
        <f>VLOOKUP(AC388,★原価商品!$E$6:$F$349,2,FALSE)</f>
        <v>日経/B4（折り無し）</v>
      </c>
      <c r="AE388" s="203">
        <f t="shared" ca="1" si="51"/>
        <v>0</v>
      </c>
      <c r="AF388" s="383">
        <f ca="1">IFERROR(IF(VLOOKUP(申込書!$C$32,★サイズ表記!$F$4:$H$55,3,FALSE)="切り捨て",ROUNDDOWN(L388*IF(AK388="◎",I388,J388)/100,2),IF(VLOOKUP(申込書!$C$32,★サイズ表記!$F$4:$H$55,3,FALSE)="切り上げ",ROUNDUP(L388*IF(AK388="◎",I388,J388)/100,2),ROUND(L388*IF(AK388="◎",I388,J388)/100,2))),0)</f>
        <v>2.29</v>
      </c>
      <c r="AG388" s="203">
        <f t="shared" ca="1" si="52"/>
        <v>10303</v>
      </c>
      <c r="AJ388" s="460" t="str">
        <f>IFERROR(VLOOKUP(申込書!$C$30,★業種!$D$2:$E$87,2,FALSE),"")</f>
        <v>1003</v>
      </c>
      <c r="AK388" s="460" t="str">
        <f ca="1">IF(申込書!$C$36="◎",IF(OR(D388="浜坂・温泉",D388="美方・村岡",D388="香住",D388="岡山",D388="大阪"),"",IF(LEFT(F388)="D","◎",IF(AG388=0,"",IFERROR(IF(VLOOKUP(AG388,★仕入先!$A$2:$C$211,3,FALSE)=0,"","◎"),"")))),"")</f>
        <v/>
      </c>
      <c r="AL388" s="460">
        <f>申込書!$H$14</f>
        <v>0</v>
      </c>
      <c r="AM388" s="460" t="str">
        <f>申込書!$C$32</f>
        <v>B4（折り無し）</v>
      </c>
      <c r="AN388" s="460" t="str">
        <f>VLOOKUP(AM388,★サイズ表記!$D$4:$E$55,2,FALSE)</f>
        <v>1001</v>
      </c>
      <c r="AO388" s="460">
        <f>IF(C388&lt;&gt;"⑧兵庫",VLOOKUP(LEFT(F388),★新聞!$A$4:$B$12,2,FALSE),IF(LEFT(F388)&lt;&gt;"S",VLOOKUP(LEFT(F388),★新聞!$A$4:$B$12,2,FALSE),VLOOKUP("X",★新聞!$A$4:$B$12,2,FALSE)))</f>
        <v>7</v>
      </c>
      <c r="AP388" s="460" t="str">
        <f t="shared" ca="1" si="53"/>
        <v>0</v>
      </c>
      <c r="AQ388" s="460" t="str">
        <f>IF(申込書!$C$38="","",申込書!$C$38)</f>
        <v/>
      </c>
    </row>
    <row r="389" spans="1:43">
      <c r="A389" s="463">
        <f t="shared" si="54"/>
        <v>388</v>
      </c>
      <c r="B389" s="463" t="str">
        <f t="shared" si="55"/>
        <v>東部</v>
      </c>
      <c r="C389" s="464" t="s">
        <v>1017</v>
      </c>
      <c r="D389" s="464" t="s">
        <v>1602</v>
      </c>
      <c r="E389" s="464">
        <f>VLOOKUP(D389,★折込地区!$A$2:$D$10,4,FALSE)</f>
        <v>2</v>
      </c>
      <c r="F389" s="464" t="s">
        <v>532</v>
      </c>
      <c r="G389" s="464" t="str">
        <f>INDEX(★新聞!$E$4:$I$12, MATCH(LEFT(F389),★新聞!$A$4:$A$12,0), MATCH(LEFT(W389),★新聞!$E$3:$I$3,0))</f>
        <v>AP</v>
      </c>
      <c r="H389" s="475" t="s">
        <v>1107</v>
      </c>
      <c r="I389" s="464" cm="1">
        <f t="array" ref="I389">IFERROR(INDEX(★原価率!$A$2:$E$50,MATCH($C389&amp;$H389,★原価率!$A$2:$A$50&amp;★原価率!$B$2:$B$50,0),3),0)</f>
        <v>82</v>
      </c>
      <c r="J389" s="464" cm="1">
        <f t="array" ref="J389">IFERROR(INDEX(★原価率!$A$2:$E$50,MATCH($C389&amp;$H389,★原価率!$A$2:$A$50&amp;★原価率!$B$2:$B$50,0),4),0)</f>
        <v>82</v>
      </c>
      <c r="K389" s="464" cm="1">
        <f t="array" ref="K389">IFERROR(INDEX(★原価率!$A$2:$E$50,MATCH($C389&amp;$H389,★原価率!$A$2:$A$50&amp;★原価率!$B$2:$B$50,0),5),0)</f>
        <v>100</v>
      </c>
      <c r="L389" s="528">
        <f>IFERROR(VLOOKUP(W389,★商品!$A$1:$H$1231,8,FALSE),0)</f>
        <v>2.8</v>
      </c>
      <c r="M389" s="203" t="str">
        <f ca="1">CONCATENATE(VLOOKUP(B389,★営業所!$A$2:$B$5,2,FALSE),TEXT(NOW(),"yyyy"))</f>
        <v>T2023</v>
      </c>
      <c r="N389" s="203">
        <v>1</v>
      </c>
      <c r="O389" s="203">
        <v>0</v>
      </c>
      <c r="P389" s="213">
        <f>申込書!$B$6</f>
        <v>0</v>
      </c>
      <c r="Q389" s="203">
        <f>申込書!$C$34</f>
        <v>1000040</v>
      </c>
      <c r="R389" s="203">
        <v>0</v>
      </c>
      <c r="U389" s="203">
        <f>VLOOKUP(B389,★営業所!$A$2:$C$5,3,FALSE)</f>
        <v>8</v>
      </c>
      <c r="V389" s="203">
        <f>申込書!$B$9</f>
        <v>0</v>
      </c>
      <c r="W389" s="203" t="str">
        <f>CONCATENATE(VLOOKUP(B389,★営業所!$A$2:$B$5,2,FALSE),VLOOKUP(申込書!$C$32,★サイズ表記!$D$4:$E$55,2,FALSE),VLOOKUP(D389,★折込地区!$A$2:$B$11,2,FALSE))</f>
        <v>T1001Kry</v>
      </c>
      <c r="X389" s="203" t="str">
        <f>CONCATENATE(申込書!$B$9," ",VLOOKUP(RIGHT(W389,3),★折込地区!$B$2:$C$10,2,FALSE),"")</f>
        <v xml:space="preserve"> 倉吉</v>
      </c>
      <c r="Z389" s="206">
        <f t="shared" ca="1" si="48"/>
        <v>0</v>
      </c>
      <c r="AB389" s="383">
        <f t="shared" si="49"/>
        <v>2.8</v>
      </c>
      <c r="AC389" s="203" t="str">
        <f t="shared" si="50"/>
        <v>V1001</v>
      </c>
      <c r="AD389" s="203" t="str">
        <f>VLOOKUP(AC389,★原価商品!$E$6:$F$349,2,FALSE)</f>
        <v>日経/B4（折り無し）</v>
      </c>
      <c r="AE389" s="203">
        <f t="shared" ca="1" si="51"/>
        <v>0</v>
      </c>
      <c r="AF389" s="383">
        <f ca="1">IFERROR(IF(VLOOKUP(申込書!$C$32,★サイズ表記!$F$4:$H$55,3,FALSE)="切り捨て",ROUNDDOWN(L389*IF(AK389="◎",I389,J389)/100,2),IF(VLOOKUP(申込書!$C$32,★サイズ表記!$F$4:$H$55,3,FALSE)="切り上げ",ROUNDUP(L389*IF(AK389="◎",I389,J389)/100,2),ROUND(L389*IF(AK389="◎",I389,J389)/100,2))),0)</f>
        <v>2.29</v>
      </c>
      <c r="AG389" s="203">
        <f t="shared" ca="1" si="52"/>
        <v>10303</v>
      </c>
      <c r="AJ389" s="460" t="str">
        <f>IFERROR(VLOOKUP(申込書!$C$30,★業種!$D$2:$E$87,2,FALSE),"")</f>
        <v>1003</v>
      </c>
      <c r="AK389" s="460" t="str">
        <f ca="1">IF(申込書!$C$36="◎",IF(OR(D389="浜坂・温泉",D389="美方・村岡",D389="香住",D389="岡山",D389="大阪"),"",IF(LEFT(F389)="D","◎",IF(AG389=0,"",IFERROR(IF(VLOOKUP(AG389,★仕入先!$A$2:$C$211,3,FALSE)=0,"","◎"),"")))),"")</f>
        <v/>
      </c>
      <c r="AL389" s="460">
        <f>申込書!$H$14</f>
        <v>0</v>
      </c>
      <c r="AM389" s="460" t="str">
        <f>申込書!$C$32</f>
        <v>B4（折り無し）</v>
      </c>
      <c r="AN389" s="460" t="str">
        <f>VLOOKUP(AM389,★サイズ表記!$D$4:$E$55,2,FALSE)</f>
        <v>1001</v>
      </c>
      <c r="AO389" s="460">
        <f>IF(C389&lt;&gt;"⑧兵庫",VLOOKUP(LEFT(F389),★新聞!$A$4:$B$12,2,FALSE),IF(LEFT(F389)&lt;&gt;"S",VLOOKUP(LEFT(F389),★新聞!$A$4:$B$12,2,FALSE),VLOOKUP("X",★新聞!$A$4:$B$12,2,FALSE)))</f>
        <v>7</v>
      </c>
      <c r="AP389" s="460" t="str">
        <f t="shared" ca="1" si="53"/>
        <v>0</v>
      </c>
      <c r="AQ389" s="460" t="str">
        <f>IF(申込書!$C$38="","",申込書!$C$38)</f>
        <v/>
      </c>
    </row>
    <row r="390" spans="1:43">
      <c r="A390" s="463">
        <f t="shared" si="54"/>
        <v>389</v>
      </c>
      <c r="B390" s="463" t="str">
        <f t="shared" si="55"/>
        <v>東部</v>
      </c>
      <c r="C390" s="464" t="s">
        <v>1151</v>
      </c>
      <c r="D390" s="464" t="s">
        <v>1602</v>
      </c>
      <c r="E390" s="464">
        <f>VLOOKUP(D390,★折込地区!$A$2:$D$10,4,FALSE)</f>
        <v>2</v>
      </c>
      <c r="F390" s="464" t="s">
        <v>362</v>
      </c>
      <c r="G390" s="464" t="str">
        <f>INDEX(★新聞!$E$4:$I$12, MATCH(LEFT(F390),★新聞!$A$4:$A$12,0), MATCH(LEFT(W390),★新聞!$E$3:$I$3,0))</f>
        <v>X</v>
      </c>
      <c r="H390" s="475" t="s">
        <v>1108</v>
      </c>
      <c r="I390" s="464" cm="1">
        <f t="array" ref="I390">IFERROR(INDEX(★原価率!$A$2:$E$50,MATCH($C390&amp;$H390,★原価率!$A$2:$A$50&amp;★原価率!$B$2:$B$50,0),3),0)</f>
        <v>82</v>
      </c>
      <c r="J390" s="464" cm="1">
        <f t="array" ref="J390">IFERROR(INDEX(★原価率!$A$2:$E$50,MATCH($C390&amp;$H390,★原価率!$A$2:$A$50&amp;★原価率!$B$2:$B$50,0),4),0)</f>
        <v>86</v>
      </c>
      <c r="K390" s="464" cm="1">
        <f t="array" ref="K390">IFERROR(INDEX(★原価率!$A$2:$E$50,MATCH($C390&amp;$H390,★原価率!$A$2:$A$50&amp;★原価率!$B$2:$B$50,0),5),0)</f>
        <v>100</v>
      </c>
      <c r="L390" s="528">
        <f>IFERROR(VLOOKUP(W390,★商品!$A$1:$H$1231,8,FALSE),0)</f>
        <v>2.8</v>
      </c>
      <c r="M390" s="203" t="str">
        <f ca="1">CONCATENATE(VLOOKUP(B390,★営業所!$A$2:$B$5,2,FALSE),TEXT(NOW(),"yyyy"))</f>
        <v>T2023</v>
      </c>
      <c r="N390" s="203">
        <v>1</v>
      </c>
      <c r="O390" s="203">
        <v>0</v>
      </c>
      <c r="P390" s="213">
        <f>申込書!$B$6</f>
        <v>0</v>
      </c>
      <c r="Q390" s="203">
        <f>申込書!$C$34</f>
        <v>1000040</v>
      </c>
      <c r="R390" s="203">
        <v>0</v>
      </c>
      <c r="U390" s="203">
        <f>VLOOKUP(B390,★営業所!$A$2:$C$5,3,FALSE)</f>
        <v>8</v>
      </c>
      <c r="V390" s="203">
        <f>申込書!$B$9</f>
        <v>0</v>
      </c>
      <c r="W390" s="203" t="str">
        <f>CONCATENATE(VLOOKUP(B390,★営業所!$A$2:$B$5,2,FALSE),VLOOKUP(申込書!$C$32,★サイズ表記!$D$4:$E$55,2,FALSE),VLOOKUP(D390,★折込地区!$A$2:$B$11,2,FALSE))</f>
        <v>T1001Kry</v>
      </c>
      <c r="X390" s="203" t="str">
        <f>CONCATENATE(申込書!$B$9," ",VLOOKUP(RIGHT(W390,3),★折込地区!$B$2:$C$10,2,FALSE),"")</f>
        <v xml:space="preserve"> 倉吉</v>
      </c>
      <c r="Z390" s="206">
        <f t="shared" ca="1" si="48"/>
        <v>0</v>
      </c>
      <c r="AB390" s="383">
        <f t="shared" si="49"/>
        <v>2.8</v>
      </c>
      <c r="AC390" s="203" t="str">
        <f t="shared" si="50"/>
        <v>D1001</v>
      </c>
      <c r="AD390" s="203" t="str">
        <f>VLOOKUP(AC390,★原価商品!$E$6:$F$349,2,FALSE)</f>
        <v>日本海/B4（折り無し）</v>
      </c>
      <c r="AE390" s="203">
        <f t="shared" ca="1" si="51"/>
        <v>0</v>
      </c>
      <c r="AF390" s="383">
        <f>IFERROR(IF(VLOOKUP(申込書!$C$32,★サイズ表記!$F$4:$H$55,3,FALSE)="切り捨て",ROUNDDOWN(L390*IF(AK390="◎",I390,J390)/100,2),IF(VLOOKUP(申込書!$C$32,★サイズ表記!$F$4:$H$55,3,FALSE)="切り上げ",ROUNDUP(L390*IF(AK390="◎",I390,J390)/100,2),ROUND(L390*IF(AK390="◎",I390,J390)/100,2))),0)</f>
        <v>2.29</v>
      </c>
      <c r="AG390" s="203">
        <f t="shared" ca="1" si="52"/>
        <v>10303</v>
      </c>
      <c r="AJ390" s="460" t="str">
        <f>IFERROR(VLOOKUP(申込書!$C$30,★業種!$D$2:$E$87,2,FALSE),"")</f>
        <v>1003</v>
      </c>
      <c r="AK390" s="460" t="str">
        <f>IF(申込書!$C$36="◎",IF(OR(D390="浜坂・温泉",D390="美方・村岡",D390="香住",D390="岡山",D390="大阪"),"",IF(LEFT(F390)="D","◎",IF(AG390=0,"",IFERROR(IF(VLOOKUP(AG390,★仕入先!$A$2:$C$211,3,FALSE)=0,"","◎"),"")))),"")</f>
        <v>◎</v>
      </c>
      <c r="AL390" s="460">
        <f>申込書!$H$14</f>
        <v>0</v>
      </c>
      <c r="AM390" s="460" t="str">
        <f>申込書!$C$32</f>
        <v>B4（折り無し）</v>
      </c>
      <c r="AN390" s="460" t="str">
        <f>VLOOKUP(AM390,★サイズ表記!$D$4:$E$55,2,FALSE)</f>
        <v>1001</v>
      </c>
      <c r="AO390" s="460">
        <f>IF(C390&lt;&gt;"⑧兵庫",VLOOKUP(LEFT(F390),★新聞!$A$4:$B$12,2,FALSE),IF(LEFT(F390)&lt;&gt;"S",VLOOKUP(LEFT(F390),★新聞!$A$4:$B$12,2,FALSE),VLOOKUP("X",★新聞!$A$4:$B$12,2,FALSE)))</f>
        <v>1</v>
      </c>
      <c r="AP390" s="460" t="str">
        <f t="shared" ca="1" si="53"/>
        <v>0</v>
      </c>
      <c r="AQ390" s="460" t="str">
        <f>IF(申込書!$C$38="","",申込書!$C$38)</f>
        <v/>
      </c>
    </row>
    <row r="391" spans="1:43">
      <c r="A391" s="463">
        <f t="shared" si="54"/>
        <v>390</v>
      </c>
      <c r="B391" s="463" t="str">
        <f t="shared" si="55"/>
        <v>東部</v>
      </c>
      <c r="C391" s="464" t="s">
        <v>1151</v>
      </c>
      <c r="D391" s="464" t="s">
        <v>1602</v>
      </c>
      <c r="E391" s="464">
        <f>VLOOKUP(D391,★折込地区!$A$2:$D$10,4,FALSE)</f>
        <v>2</v>
      </c>
      <c r="F391" s="464" t="s">
        <v>385</v>
      </c>
      <c r="G391" s="464" t="str">
        <f>INDEX(★新聞!$E$4:$I$12, MATCH(LEFT(F391),★新聞!$A$4:$A$12,0), MATCH(LEFT(W391),★新聞!$E$3:$I$3,0))</f>
        <v>X</v>
      </c>
      <c r="H391" s="475" t="s">
        <v>1108</v>
      </c>
      <c r="I391" s="464" cm="1">
        <f t="array" ref="I391">IFERROR(INDEX(★原価率!$A$2:$E$50,MATCH($C391&amp;$H391,★原価率!$A$2:$A$50&amp;★原価率!$B$2:$B$50,0),3),0)</f>
        <v>82</v>
      </c>
      <c r="J391" s="464" cm="1">
        <f t="array" ref="J391">IFERROR(INDEX(★原価率!$A$2:$E$50,MATCH($C391&amp;$H391,★原価率!$A$2:$A$50&amp;★原価率!$B$2:$B$50,0),4),0)</f>
        <v>86</v>
      </c>
      <c r="K391" s="464" cm="1">
        <f t="array" ref="K391">IFERROR(INDEX(★原価率!$A$2:$E$50,MATCH($C391&amp;$H391,★原価率!$A$2:$A$50&amp;★原価率!$B$2:$B$50,0),5),0)</f>
        <v>100</v>
      </c>
      <c r="L391" s="528">
        <f>IFERROR(VLOOKUP(W391,★商品!$A$1:$H$1231,8,FALSE),0)</f>
        <v>2.8</v>
      </c>
      <c r="M391" s="203" t="str">
        <f ca="1">CONCATENATE(VLOOKUP(B391,★営業所!$A$2:$B$5,2,FALSE),TEXT(NOW(),"yyyy"))</f>
        <v>T2023</v>
      </c>
      <c r="N391" s="203">
        <v>1</v>
      </c>
      <c r="O391" s="203">
        <v>0</v>
      </c>
      <c r="P391" s="213">
        <f>申込書!$B$6</f>
        <v>0</v>
      </c>
      <c r="Q391" s="203">
        <f>申込書!$C$34</f>
        <v>1000040</v>
      </c>
      <c r="R391" s="203">
        <v>0</v>
      </c>
      <c r="U391" s="203">
        <f>VLOOKUP(B391,★営業所!$A$2:$C$5,3,FALSE)</f>
        <v>8</v>
      </c>
      <c r="V391" s="203">
        <f>申込書!$B$9</f>
        <v>0</v>
      </c>
      <c r="W391" s="203" t="str">
        <f>CONCATENATE(VLOOKUP(B391,★営業所!$A$2:$B$5,2,FALSE),VLOOKUP(申込書!$C$32,★サイズ表記!$D$4:$E$55,2,FALSE),VLOOKUP(D391,★折込地区!$A$2:$B$11,2,FALSE))</f>
        <v>T1001Kry</v>
      </c>
      <c r="X391" s="203" t="str">
        <f>CONCATENATE(申込書!$B$9," ",VLOOKUP(RIGHT(W391,3),★折込地区!$B$2:$C$10,2,FALSE),"")</f>
        <v xml:space="preserve"> 倉吉</v>
      </c>
      <c r="Z391" s="206">
        <f t="shared" ca="1" si="48"/>
        <v>0</v>
      </c>
      <c r="AB391" s="383">
        <f t="shared" si="49"/>
        <v>2.8</v>
      </c>
      <c r="AC391" s="203" t="str">
        <f t="shared" si="50"/>
        <v>D1001</v>
      </c>
      <c r="AD391" s="203" t="str">
        <f>VLOOKUP(AC391,★原価商品!$E$6:$F$349,2,FALSE)</f>
        <v>日本海/B4（折り無し）</v>
      </c>
      <c r="AE391" s="203">
        <f t="shared" ca="1" si="51"/>
        <v>0</v>
      </c>
      <c r="AF391" s="383">
        <f>IFERROR(IF(VLOOKUP(申込書!$C$32,★サイズ表記!$F$4:$H$55,3,FALSE)="切り捨て",ROUNDDOWN(L391*IF(AK391="◎",I391,J391)/100,2),IF(VLOOKUP(申込書!$C$32,★サイズ表記!$F$4:$H$55,3,FALSE)="切り上げ",ROUNDUP(L391*IF(AK391="◎",I391,J391)/100,2),ROUND(L391*IF(AK391="◎",I391,J391)/100,2))),0)</f>
        <v>2.29</v>
      </c>
      <c r="AG391" s="203">
        <f t="shared" ca="1" si="52"/>
        <v>10303</v>
      </c>
      <c r="AJ391" s="460" t="str">
        <f>IFERROR(VLOOKUP(申込書!$C$30,★業種!$D$2:$E$87,2,FALSE),"")</f>
        <v>1003</v>
      </c>
      <c r="AK391" s="460" t="str">
        <f>IF(申込書!$C$36="◎",IF(OR(D391="浜坂・温泉",D391="美方・村岡",D391="香住",D391="岡山",D391="大阪"),"",IF(LEFT(F391)="D","◎",IF(AG391=0,"",IFERROR(IF(VLOOKUP(AG391,★仕入先!$A$2:$C$211,3,FALSE)=0,"","◎"),"")))),"")</f>
        <v>◎</v>
      </c>
      <c r="AL391" s="460">
        <f>申込書!$H$14</f>
        <v>0</v>
      </c>
      <c r="AM391" s="460" t="str">
        <f>申込書!$C$32</f>
        <v>B4（折り無し）</v>
      </c>
      <c r="AN391" s="460" t="str">
        <f>VLOOKUP(AM391,★サイズ表記!$D$4:$E$55,2,FALSE)</f>
        <v>1001</v>
      </c>
      <c r="AO391" s="460">
        <f>IF(C391&lt;&gt;"⑧兵庫",VLOOKUP(LEFT(F391),★新聞!$A$4:$B$12,2,FALSE),IF(LEFT(F391)&lt;&gt;"S",VLOOKUP(LEFT(F391),★新聞!$A$4:$B$12,2,FALSE),VLOOKUP("X",★新聞!$A$4:$B$12,2,FALSE)))</f>
        <v>1</v>
      </c>
      <c r="AP391" s="460" t="str">
        <f t="shared" ca="1" si="53"/>
        <v>0</v>
      </c>
      <c r="AQ391" s="460" t="str">
        <f>IF(申込書!$C$38="","",申込書!$C$38)</f>
        <v/>
      </c>
    </row>
    <row r="392" spans="1:43">
      <c r="A392" s="463">
        <f t="shared" si="54"/>
        <v>391</v>
      </c>
      <c r="B392" s="463" t="str">
        <f t="shared" si="55"/>
        <v>東部</v>
      </c>
      <c r="C392" s="464" t="s">
        <v>1151</v>
      </c>
      <c r="D392" s="464" t="s">
        <v>1602</v>
      </c>
      <c r="E392" s="464">
        <f>VLOOKUP(D392,★折込地区!$A$2:$D$10,4,FALSE)</f>
        <v>2</v>
      </c>
      <c r="F392" s="464" t="s">
        <v>386</v>
      </c>
      <c r="G392" s="464" t="str">
        <f>INDEX(★新聞!$E$4:$I$12, MATCH(LEFT(F392),★新聞!$A$4:$A$12,0), MATCH(LEFT(W392),★新聞!$E$3:$I$3,0))</f>
        <v>X</v>
      </c>
      <c r="H392" s="475" t="s">
        <v>1108</v>
      </c>
      <c r="I392" s="464" cm="1">
        <f t="array" ref="I392">IFERROR(INDEX(★原価率!$A$2:$E$50,MATCH($C392&amp;$H392,★原価率!$A$2:$A$50&amp;★原価率!$B$2:$B$50,0),3),0)</f>
        <v>82</v>
      </c>
      <c r="J392" s="464" cm="1">
        <f t="array" ref="J392">IFERROR(INDEX(★原価率!$A$2:$E$50,MATCH($C392&amp;$H392,★原価率!$A$2:$A$50&amp;★原価率!$B$2:$B$50,0),4),0)</f>
        <v>86</v>
      </c>
      <c r="K392" s="464" cm="1">
        <f t="array" ref="K392">IFERROR(INDEX(★原価率!$A$2:$E$50,MATCH($C392&amp;$H392,★原価率!$A$2:$A$50&amp;★原価率!$B$2:$B$50,0),5),0)</f>
        <v>100</v>
      </c>
      <c r="L392" s="528">
        <f>IFERROR(VLOOKUP(W392,★商品!$A$1:$H$1231,8,FALSE),0)</f>
        <v>2.8</v>
      </c>
      <c r="M392" s="203" t="str">
        <f ca="1">CONCATENATE(VLOOKUP(B392,★営業所!$A$2:$B$5,2,FALSE),TEXT(NOW(),"yyyy"))</f>
        <v>T2023</v>
      </c>
      <c r="N392" s="203">
        <v>1</v>
      </c>
      <c r="O392" s="203">
        <v>0</v>
      </c>
      <c r="P392" s="213">
        <f>申込書!$B$6</f>
        <v>0</v>
      </c>
      <c r="Q392" s="203">
        <f>申込書!$C$34</f>
        <v>1000040</v>
      </c>
      <c r="R392" s="203">
        <v>0</v>
      </c>
      <c r="U392" s="203">
        <f>VLOOKUP(B392,★営業所!$A$2:$C$5,3,FALSE)</f>
        <v>8</v>
      </c>
      <c r="V392" s="203">
        <f>申込書!$B$9</f>
        <v>0</v>
      </c>
      <c r="W392" s="203" t="str">
        <f>CONCATENATE(VLOOKUP(B392,★営業所!$A$2:$B$5,2,FALSE),VLOOKUP(申込書!$C$32,★サイズ表記!$D$4:$E$55,2,FALSE),VLOOKUP(D392,★折込地区!$A$2:$B$11,2,FALSE))</f>
        <v>T1001Kry</v>
      </c>
      <c r="X392" s="203" t="str">
        <f>CONCATENATE(申込書!$B$9," ",VLOOKUP(RIGHT(W392,3),★折込地区!$B$2:$C$10,2,FALSE),"")</f>
        <v xml:space="preserve"> 倉吉</v>
      </c>
      <c r="Z392" s="206">
        <f t="shared" ca="1" si="48"/>
        <v>0</v>
      </c>
      <c r="AB392" s="383">
        <f t="shared" si="49"/>
        <v>2.8</v>
      </c>
      <c r="AC392" s="203" t="str">
        <f t="shared" si="50"/>
        <v>D1001</v>
      </c>
      <c r="AD392" s="203" t="str">
        <f>VLOOKUP(AC392,★原価商品!$E$6:$F$349,2,FALSE)</f>
        <v>日本海/B4（折り無し）</v>
      </c>
      <c r="AE392" s="203">
        <f t="shared" ca="1" si="51"/>
        <v>0</v>
      </c>
      <c r="AF392" s="383">
        <f>IFERROR(IF(VLOOKUP(申込書!$C$32,★サイズ表記!$F$4:$H$55,3,FALSE)="切り捨て",ROUNDDOWN(L392*IF(AK392="◎",I392,J392)/100,2),IF(VLOOKUP(申込書!$C$32,★サイズ表記!$F$4:$H$55,3,FALSE)="切り上げ",ROUNDUP(L392*IF(AK392="◎",I392,J392)/100,2),ROUND(L392*IF(AK392="◎",I392,J392)/100,2))),0)</f>
        <v>2.29</v>
      </c>
      <c r="AG392" s="203">
        <f t="shared" ca="1" si="52"/>
        <v>10303</v>
      </c>
      <c r="AJ392" s="460" t="str">
        <f>IFERROR(VLOOKUP(申込書!$C$30,★業種!$D$2:$E$87,2,FALSE),"")</f>
        <v>1003</v>
      </c>
      <c r="AK392" s="460" t="str">
        <f>IF(申込書!$C$36="◎",IF(OR(D392="浜坂・温泉",D392="美方・村岡",D392="香住",D392="岡山",D392="大阪"),"",IF(LEFT(F392)="D","◎",IF(AG392=0,"",IFERROR(IF(VLOOKUP(AG392,★仕入先!$A$2:$C$211,3,FALSE)=0,"","◎"),"")))),"")</f>
        <v>◎</v>
      </c>
      <c r="AL392" s="460">
        <f>申込書!$H$14</f>
        <v>0</v>
      </c>
      <c r="AM392" s="460" t="str">
        <f>申込書!$C$32</f>
        <v>B4（折り無し）</v>
      </c>
      <c r="AN392" s="460" t="str">
        <f>VLOOKUP(AM392,★サイズ表記!$D$4:$E$55,2,FALSE)</f>
        <v>1001</v>
      </c>
      <c r="AO392" s="460">
        <f>IF(C392&lt;&gt;"⑧兵庫",VLOOKUP(LEFT(F392),★新聞!$A$4:$B$12,2,FALSE),IF(LEFT(F392)&lt;&gt;"S",VLOOKUP(LEFT(F392),★新聞!$A$4:$B$12,2,FALSE),VLOOKUP("X",★新聞!$A$4:$B$12,2,FALSE)))</f>
        <v>1</v>
      </c>
      <c r="AP392" s="460" t="str">
        <f t="shared" ca="1" si="53"/>
        <v>0</v>
      </c>
      <c r="AQ392" s="460" t="str">
        <f>IF(申込書!$C$38="","",申込書!$C$38)</f>
        <v/>
      </c>
    </row>
    <row r="393" spans="1:43">
      <c r="A393" s="463">
        <f t="shared" si="54"/>
        <v>392</v>
      </c>
      <c r="B393" s="463" t="str">
        <f t="shared" si="55"/>
        <v>東部</v>
      </c>
      <c r="C393" s="464" t="s">
        <v>1151</v>
      </c>
      <c r="D393" s="464" t="s">
        <v>1602</v>
      </c>
      <c r="E393" s="464">
        <f>VLOOKUP(D393,★折込地区!$A$2:$D$10,4,FALSE)</f>
        <v>2</v>
      </c>
      <c r="F393" s="464" t="s">
        <v>387</v>
      </c>
      <c r="G393" s="464" t="str">
        <f>INDEX(★新聞!$E$4:$I$12, MATCH(LEFT(F393),★新聞!$A$4:$A$12,0), MATCH(LEFT(W393),★新聞!$E$3:$I$3,0))</f>
        <v>X</v>
      </c>
      <c r="H393" s="475" t="s">
        <v>1108</v>
      </c>
      <c r="I393" s="464" cm="1">
        <f t="array" ref="I393">IFERROR(INDEX(★原価率!$A$2:$E$50,MATCH($C393&amp;$H393,★原価率!$A$2:$A$50&amp;★原価率!$B$2:$B$50,0),3),0)</f>
        <v>82</v>
      </c>
      <c r="J393" s="464" cm="1">
        <f t="array" ref="J393">IFERROR(INDEX(★原価率!$A$2:$E$50,MATCH($C393&amp;$H393,★原価率!$A$2:$A$50&amp;★原価率!$B$2:$B$50,0),4),0)</f>
        <v>86</v>
      </c>
      <c r="K393" s="464" cm="1">
        <f t="array" ref="K393">IFERROR(INDEX(★原価率!$A$2:$E$50,MATCH($C393&amp;$H393,★原価率!$A$2:$A$50&amp;★原価率!$B$2:$B$50,0),5),0)</f>
        <v>100</v>
      </c>
      <c r="L393" s="528">
        <f>IFERROR(VLOOKUP(W393,★商品!$A$1:$H$1231,8,FALSE),0)</f>
        <v>2.8</v>
      </c>
      <c r="M393" s="203" t="str">
        <f ca="1">CONCATENATE(VLOOKUP(B393,★営業所!$A$2:$B$5,2,FALSE),TEXT(NOW(),"yyyy"))</f>
        <v>T2023</v>
      </c>
      <c r="N393" s="203">
        <v>1</v>
      </c>
      <c r="O393" s="203">
        <v>0</v>
      </c>
      <c r="P393" s="213">
        <f>申込書!$B$6</f>
        <v>0</v>
      </c>
      <c r="Q393" s="203">
        <f>申込書!$C$34</f>
        <v>1000040</v>
      </c>
      <c r="R393" s="203">
        <v>0</v>
      </c>
      <c r="U393" s="203">
        <f>VLOOKUP(B393,★営業所!$A$2:$C$5,3,FALSE)</f>
        <v>8</v>
      </c>
      <c r="V393" s="203">
        <f>申込書!$B$9</f>
        <v>0</v>
      </c>
      <c r="W393" s="203" t="str">
        <f>CONCATENATE(VLOOKUP(B393,★営業所!$A$2:$B$5,2,FALSE),VLOOKUP(申込書!$C$32,★サイズ表記!$D$4:$E$55,2,FALSE),VLOOKUP(D393,★折込地区!$A$2:$B$11,2,FALSE))</f>
        <v>T1001Kry</v>
      </c>
      <c r="X393" s="203" t="str">
        <f>CONCATENATE(申込書!$B$9," ",VLOOKUP(RIGHT(W393,3),★折込地区!$B$2:$C$10,2,FALSE),"")</f>
        <v xml:space="preserve"> 倉吉</v>
      </c>
      <c r="Z393" s="206">
        <f t="shared" ca="1" si="48"/>
        <v>0</v>
      </c>
      <c r="AB393" s="383">
        <f t="shared" si="49"/>
        <v>2.8</v>
      </c>
      <c r="AC393" s="203" t="str">
        <f t="shared" si="50"/>
        <v>D1001</v>
      </c>
      <c r="AD393" s="203" t="str">
        <f>VLOOKUP(AC393,★原価商品!$E$6:$F$349,2,FALSE)</f>
        <v>日本海/B4（折り無し）</v>
      </c>
      <c r="AE393" s="203">
        <f t="shared" ca="1" si="51"/>
        <v>0</v>
      </c>
      <c r="AF393" s="383">
        <f>IFERROR(IF(VLOOKUP(申込書!$C$32,★サイズ表記!$F$4:$H$55,3,FALSE)="切り捨て",ROUNDDOWN(L393*IF(AK393="◎",I393,J393)/100,2),IF(VLOOKUP(申込書!$C$32,★サイズ表記!$F$4:$H$55,3,FALSE)="切り上げ",ROUNDUP(L393*IF(AK393="◎",I393,J393)/100,2),ROUND(L393*IF(AK393="◎",I393,J393)/100,2))),0)</f>
        <v>2.29</v>
      </c>
      <c r="AG393" s="203">
        <f t="shared" ca="1" si="52"/>
        <v>10303</v>
      </c>
      <c r="AJ393" s="460" t="str">
        <f>IFERROR(VLOOKUP(申込書!$C$30,★業種!$D$2:$E$87,2,FALSE),"")</f>
        <v>1003</v>
      </c>
      <c r="AK393" s="460" t="str">
        <f>IF(申込書!$C$36="◎",IF(OR(D393="浜坂・温泉",D393="美方・村岡",D393="香住",D393="岡山",D393="大阪"),"",IF(LEFT(F393)="D","◎",IF(AG393=0,"",IFERROR(IF(VLOOKUP(AG393,★仕入先!$A$2:$C$211,3,FALSE)=0,"","◎"),"")))),"")</f>
        <v>◎</v>
      </c>
      <c r="AL393" s="460">
        <f>申込書!$H$14</f>
        <v>0</v>
      </c>
      <c r="AM393" s="460" t="str">
        <f>申込書!$C$32</f>
        <v>B4（折り無し）</v>
      </c>
      <c r="AN393" s="460" t="str">
        <f>VLOOKUP(AM393,★サイズ表記!$D$4:$E$55,2,FALSE)</f>
        <v>1001</v>
      </c>
      <c r="AO393" s="460">
        <f>IF(C393&lt;&gt;"⑧兵庫",VLOOKUP(LEFT(F393),★新聞!$A$4:$B$12,2,FALSE),IF(LEFT(F393)&lt;&gt;"S",VLOOKUP(LEFT(F393),★新聞!$A$4:$B$12,2,FALSE),VLOOKUP("X",★新聞!$A$4:$B$12,2,FALSE)))</f>
        <v>1</v>
      </c>
      <c r="AP393" s="460" t="str">
        <f t="shared" ca="1" si="53"/>
        <v>0</v>
      </c>
      <c r="AQ393" s="460" t="str">
        <f>IF(申込書!$C$38="","",申込書!$C$38)</f>
        <v/>
      </c>
    </row>
    <row r="394" spans="1:43">
      <c r="A394" s="463">
        <f t="shared" si="54"/>
        <v>393</v>
      </c>
      <c r="B394" s="463" t="str">
        <f t="shared" si="55"/>
        <v>東部</v>
      </c>
      <c r="C394" s="464" t="s">
        <v>1151</v>
      </c>
      <c r="D394" s="464" t="s">
        <v>1602</v>
      </c>
      <c r="E394" s="464">
        <f>VLOOKUP(D394,★折込地区!$A$2:$D$10,4,FALSE)</f>
        <v>2</v>
      </c>
      <c r="F394" s="464" t="s">
        <v>388</v>
      </c>
      <c r="G394" s="464" t="str">
        <f>INDEX(★新聞!$E$4:$I$12, MATCH(LEFT(F394),★新聞!$A$4:$A$12,0), MATCH(LEFT(W394),★新聞!$E$3:$I$3,0))</f>
        <v>X</v>
      </c>
      <c r="H394" s="475" t="s">
        <v>1108</v>
      </c>
      <c r="I394" s="464" cm="1">
        <f t="array" ref="I394">IFERROR(INDEX(★原価率!$A$2:$E$50,MATCH($C394&amp;$H394,★原価率!$A$2:$A$50&amp;★原価率!$B$2:$B$50,0),3),0)</f>
        <v>82</v>
      </c>
      <c r="J394" s="464" cm="1">
        <f t="array" ref="J394">IFERROR(INDEX(★原価率!$A$2:$E$50,MATCH($C394&amp;$H394,★原価率!$A$2:$A$50&amp;★原価率!$B$2:$B$50,0),4),0)</f>
        <v>86</v>
      </c>
      <c r="K394" s="464" cm="1">
        <f t="array" ref="K394">IFERROR(INDEX(★原価率!$A$2:$E$50,MATCH($C394&amp;$H394,★原価率!$A$2:$A$50&amp;★原価率!$B$2:$B$50,0),5),0)</f>
        <v>100</v>
      </c>
      <c r="L394" s="528">
        <f>IFERROR(VLOOKUP(W394,★商品!$A$1:$H$1231,8,FALSE),0)</f>
        <v>2.8</v>
      </c>
      <c r="M394" s="203" t="str">
        <f ca="1">CONCATENATE(VLOOKUP(B394,★営業所!$A$2:$B$5,2,FALSE),TEXT(NOW(),"yyyy"))</f>
        <v>T2023</v>
      </c>
      <c r="N394" s="203">
        <v>1</v>
      </c>
      <c r="O394" s="203">
        <v>0</v>
      </c>
      <c r="P394" s="213">
        <f>申込書!$B$6</f>
        <v>0</v>
      </c>
      <c r="Q394" s="203">
        <f>申込書!$C$34</f>
        <v>1000040</v>
      </c>
      <c r="R394" s="203">
        <v>0</v>
      </c>
      <c r="U394" s="203">
        <f>VLOOKUP(B394,★営業所!$A$2:$C$5,3,FALSE)</f>
        <v>8</v>
      </c>
      <c r="V394" s="203">
        <f>申込書!$B$9</f>
        <v>0</v>
      </c>
      <c r="W394" s="203" t="str">
        <f>CONCATENATE(VLOOKUP(B394,★営業所!$A$2:$B$5,2,FALSE),VLOOKUP(申込書!$C$32,★サイズ表記!$D$4:$E$55,2,FALSE),VLOOKUP(D394,★折込地区!$A$2:$B$11,2,FALSE))</f>
        <v>T1001Kry</v>
      </c>
      <c r="X394" s="203" t="str">
        <f>CONCATENATE(申込書!$B$9," ",VLOOKUP(RIGHT(W394,3),★折込地区!$B$2:$C$10,2,FALSE),"")</f>
        <v xml:space="preserve"> 倉吉</v>
      </c>
      <c r="Z394" s="206">
        <f t="shared" ca="1" si="48"/>
        <v>0</v>
      </c>
      <c r="AB394" s="383">
        <f t="shared" si="49"/>
        <v>2.8</v>
      </c>
      <c r="AC394" s="203" t="str">
        <f t="shared" si="50"/>
        <v>D1001</v>
      </c>
      <c r="AD394" s="203" t="str">
        <f>VLOOKUP(AC394,★原価商品!$E$6:$F$349,2,FALSE)</f>
        <v>日本海/B4（折り無し）</v>
      </c>
      <c r="AE394" s="203">
        <f t="shared" ca="1" si="51"/>
        <v>0</v>
      </c>
      <c r="AF394" s="383">
        <f>IFERROR(IF(VLOOKUP(申込書!$C$32,★サイズ表記!$F$4:$H$55,3,FALSE)="切り捨て",ROUNDDOWN(L394*IF(AK394="◎",I394,J394)/100,2),IF(VLOOKUP(申込書!$C$32,★サイズ表記!$F$4:$H$55,3,FALSE)="切り上げ",ROUNDUP(L394*IF(AK394="◎",I394,J394)/100,2),ROUND(L394*IF(AK394="◎",I394,J394)/100,2))),0)</f>
        <v>2.29</v>
      </c>
      <c r="AG394" s="203">
        <f t="shared" ca="1" si="52"/>
        <v>10303</v>
      </c>
      <c r="AJ394" s="460" t="str">
        <f>IFERROR(VLOOKUP(申込書!$C$30,★業種!$D$2:$E$87,2,FALSE),"")</f>
        <v>1003</v>
      </c>
      <c r="AK394" s="460" t="str">
        <f>IF(申込書!$C$36="◎",IF(OR(D394="浜坂・温泉",D394="美方・村岡",D394="香住",D394="岡山",D394="大阪"),"",IF(LEFT(F394)="D","◎",IF(AG394=0,"",IFERROR(IF(VLOOKUP(AG394,★仕入先!$A$2:$C$211,3,FALSE)=0,"","◎"),"")))),"")</f>
        <v>◎</v>
      </c>
      <c r="AL394" s="460">
        <f>申込書!$H$14</f>
        <v>0</v>
      </c>
      <c r="AM394" s="460" t="str">
        <f>申込書!$C$32</f>
        <v>B4（折り無し）</v>
      </c>
      <c r="AN394" s="460" t="str">
        <f>VLOOKUP(AM394,★サイズ表記!$D$4:$E$55,2,FALSE)</f>
        <v>1001</v>
      </c>
      <c r="AO394" s="460">
        <f>IF(C394&lt;&gt;"⑧兵庫",VLOOKUP(LEFT(F394),★新聞!$A$4:$B$12,2,FALSE),IF(LEFT(F394)&lt;&gt;"S",VLOOKUP(LEFT(F394),★新聞!$A$4:$B$12,2,FALSE),VLOOKUP("X",★新聞!$A$4:$B$12,2,FALSE)))</f>
        <v>1</v>
      </c>
      <c r="AP394" s="460" t="str">
        <f t="shared" ca="1" si="53"/>
        <v>0</v>
      </c>
      <c r="AQ394" s="460" t="str">
        <f>IF(申込書!$C$38="","",申込書!$C$38)</f>
        <v/>
      </c>
    </row>
    <row r="395" spans="1:43">
      <c r="A395" s="463">
        <f t="shared" si="54"/>
        <v>394</v>
      </c>
      <c r="B395" s="463" t="str">
        <f t="shared" si="55"/>
        <v>東部</v>
      </c>
      <c r="C395" s="464" t="s">
        <v>1151</v>
      </c>
      <c r="D395" s="464" t="s">
        <v>1602</v>
      </c>
      <c r="E395" s="464">
        <f>VLOOKUP(D395,★折込地区!$A$2:$D$10,4,FALSE)</f>
        <v>2</v>
      </c>
      <c r="F395" s="464" t="s">
        <v>389</v>
      </c>
      <c r="G395" s="464" t="str">
        <f>INDEX(★新聞!$E$4:$I$12, MATCH(LEFT(F395),★新聞!$A$4:$A$12,0), MATCH(LEFT(W395),★新聞!$E$3:$I$3,0))</f>
        <v>X</v>
      </c>
      <c r="H395" s="475" t="s">
        <v>1105</v>
      </c>
      <c r="I395" s="464" cm="1">
        <f t="array" ref="I395">IFERROR(INDEX(★原価率!$A$2:$E$50,MATCH($C395&amp;$H395,★原価率!$A$2:$A$50&amp;★原価率!$B$2:$B$50,0),3),0)</f>
        <v>78</v>
      </c>
      <c r="J395" s="464" cm="1">
        <f t="array" ref="J395">IFERROR(INDEX(★原価率!$A$2:$E$50,MATCH($C395&amp;$H395,★原価率!$A$2:$A$50&amp;★原価率!$B$2:$B$50,0),4),0)</f>
        <v>82</v>
      </c>
      <c r="K395" s="464" cm="1">
        <f t="array" ref="K395">IFERROR(INDEX(★原価率!$A$2:$E$50,MATCH($C395&amp;$H395,★原価率!$A$2:$A$50&amp;★原価率!$B$2:$B$50,0),5),0)</f>
        <v>100</v>
      </c>
      <c r="L395" s="528">
        <f>IFERROR(VLOOKUP(W395,★商品!$A$1:$H$1231,8,FALSE),0)</f>
        <v>2.8</v>
      </c>
      <c r="M395" s="203" t="str">
        <f ca="1">CONCATENATE(VLOOKUP(B395,★営業所!$A$2:$B$5,2,FALSE),TEXT(NOW(),"yyyy"))</f>
        <v>T2023</v>
      </c>
      <c r="N395" s="203">
        <v>1</v>
      </c>
      <c r="O395" s="203">
        <v>0</v>
      </c>
      <c r="P395" s="213">
        <f>申込書!$B$6</f>
        <v>0</v>
      </c>
      <c r="Q395" s="203">
        <f>申込書!$C$34</f>
        <v>1000040</v>
      </c>
      <c r="R395" s="203">
        <v>0</v>
      </c>
      <c r="U395" s="203">
        <f>VLOOKUP(B395,★営業所!$A$2:$C$5,3,FALSE)</f>
        <v>8</v>
      </c>
      <c r="V395" s="203">
        <f>申込書!$B$9</f>
        <v>0</v>
      </c>
      <c r="W395" s="203" t="str">
        <f>CONCATENATE(VLOOKUP(B395,★営業所!$A$2:$B$5,2,FALSE),VLOOKUP(申込書!$C$32,★サイズ表記!$D$4:$E$55,2,FALSE),VLOOKUP(D395,★折込地区!$A$2:$B$11,2,FALSE))</f>
        <v>T1001Kry</v>
      </c>
      <c r="X395" s="203" t="str">
        <f>CONCATENATE(申込書!$B$9," ",VLOOKUP(RIGHT(W395,3),★折込地区!$B$2:$C$10,2,FALSE),"")</f>
        <v xml:space="preserve"> 倉吉</v>
      </c>
      <c r="Z395" s="206">
        <f t="shared" ca="1" si="48"/>
        <v>0</v>
      </c>
      <c r="AB395" s="383">
        <f t="shared" si="49"/>
        <v>2.8</v>
      </c>
      <c r="AC395" s="203" t="str">
        <f t="shared" si="50"/>
        <v>D1001</v>
      </c>
      <c r="AD395" s="203" t="str">
        <f>VLOOKUP(AC395,★原価商品!$E$6:$F$349,2,FALSE)</f>
        <v>日本海/B4（折り無し）</v>
      </c>
      <c r="AE395" s="203">
        <f t="shared" ca="1" si="51"/>
        <v>0</v>
      </c>
      <c r="AF395" s="383">
        <f>IFERROR(IF(VLOOKUP(申込書!$C$32,★サイズ表記!$F$4:$H$55,3,FALSE)="切り捨て",ROUNDDOWN(L395*IF(AK395="◎",I395,J395)/100,2),IF(VLOOKUP(申込書!$C$32,★サイズ表記!$F$4:$H$55,3,FALSE)="切り上げ",ROUNDUP(L395*IF(AK395="◎",I395,J395)/100,2),ROUND(L395*IF(AK395="◎",I395,J395)/100,2))),0)</f>
        <v>2.1800000000000002</v>
      </c>
      <c r="AG395" s="203">
        <f t="shared" ca="1" si="52"/>
        <v>10303</v>
      </c>
      <c r="AJ395" s="460" t="str">
        <f>IFERROR(VLOOKUP(申込書!$C$30,★業種!$D$2:$E$87,2,FALSE),"")</f>
        <v>1003</v>
      </c>
      <c r="AK395" s="460" t="str">
        <f>IF(申込書!$C$36="◎",IF(OR(D395="浜坂・温泉",D395="美方・村岡",D395="香住",D395="岡山",D395="大阪"),"",IF(LEFT(F395)="D","◎",IF(AG395=0,"",IFERROR(IF(VLOOKUP(AG395,★仕入先!$A$2:$C$211,3,FALSE)=0,"","◎"),"")))),"")</f>
        <v>◎</v>
      </c>
      <c r="AL395" s="460">
        <f>申込書!$H$14</f>
        <v>0</v>
      </c>
      <c r="AM395" s="460" t="str">
        <f>申込書!$C$32</f>
        <v>B4（折り無し）</v>
      </c>
      <c r="AN395" s="460" t="str">
        <f>VLOOKUP(AM395,★サイズ表記!$D$4:$E$55,2,FALSE)</f>
        <v>1001</v>
      </c>
      <c r="AO395" s="460">
        <f>IF(C395&lt;&gt;"⑧兵庫",VLOOKUP(LEFT(F395),★新聞!$A$4:$B$12,2,FALSE),IF(LEFT(F395)&lt;&gt;"S",VLOOKUP(LEFT(F395),★新聞!$A$4:$B$12,2,FALSE),VLOOKUP("X",★新聞!$A$4:$B$12,2,FALSE)))</f>
        <v>1</v>
      </c>
      <c r="AP395" s="460" t="str">
        <f t="shared" ca="1" si="53"/>
        <v>0</v>
      </c>
      <c r="AQ395" s="460" t="str">
        <f>IF(申込書!$C$38="","",申込書!$C$38)</f>
        <v/>
      </c>
    </row>
    <row r="396" spans="1:43">
      <c r="A396" s="463">
        <f t="shared" si="54"/>
        <v>395</v>
      </c>
      <c r="B396" s="463" t="str">
        <f t="shared" si="55"/>
        <v>東部</v>
      </c>
      <c r="C396" s="464" t="s">
        <v>1151</v>
      </c>
      <c r="D396" s="464" t="s">
        <v>1602</v>
      </c>
      <c r="E396" s="464">
        <f>VLOOKUP(D396,★折込地区!$A$2:$D$10,4,FALSE)</f>
        <v>2</v>
      </c>
      <c r="F396" s="464" t="s">
        <v>390</v>
      </c>
      <c r="G396" s="464" t="str">
        <f>INDEX(★新聞!$E$4:$I$12, MATCH(LEFT(F396),★新聞!$A$4:$A$12,0), MATCH(LEFT(W396),★新聞!$E$3:$I$3,0))</f>
        <v>X</v>
      </c>
      <c r="H396" s="475" t="s">
        <v>1105</v>
      </c>
      <c r="I396" s="464" cm="1">
        <f t="array" ref="I396">IFERROR(INDEX(★原価率!$A$2:$E$50,MATCH($C396&amp;$H396,★原価率!$A$2:$A$50&amp;★原価率!$B$2:$B$50,0),3),0)</f>
        <v>78</v>
      </c>
      <c r="J396" s="464" cm="1">
        <f t="array" ref="J396">IFERROR(INDEX(★原価率!$A$2:$E$50,MATCH($C396&amp;$H396,★原価率!$A$2:$A$50&amp;★原価率!$B$2:$B$50,0),4),0)</f>
        <v>82</v>
      </c>
      <c r="K396" s="464" cm="1">
        <f t="array" ref="K396">IFERROR(INDEX(★原価率!$A$2:$E$50,MATCH($C396&amp;$H396,★原価率!$A$2:$A$50&amp;★原価率!$B$2:$B$50,0),5),0)</f>
        <v>100</v>
      </c>
      <c r="L396" s="528">
        <f>IFERROR(VLOOKUP(W396,★商品!$A$1:$H$1231,8,FALSE),0)</f>
        <v>2.8</v>
      </c>
      <c r="M396" s="203" t="str">
        <f ca="1">CONCATENATE(VLOOKUP(B396,★営業所!$A$2:$B$5,2,FALSE),TEXT(NOW(),"yyyy"))</f>
        <v>T2023</v>
      </c>
      <c r="N396" s="203">
        <v>1</v>
      </c>
      <c r="O396" s="203">
        <v>0</v>
      </c>
      <c r="P396" s="213">
        <f>申込書!$B$6</f>
        <v>0</v>
      </c>
      <c r="Q396" s="203">
        <f>申込書!$C$34</f>
        <v>1000040</v>
      </c>
      <c r="R396" s="203">
        <v>0</v>
      </c>
      <c r="U396" s="203">
        <f>VLOOKUP(B396,★営業所!$A$2:$C$5,3,FALSE)</f>
        <v>8</v>
      </c>
      <c r="V396" s="203">
        <f>申込書!$B$9</f>
        <v>0</v>
      </c>
      <c r="W396" s="203" t="str">
        <f>CONCATENATE(VLOOKUP(B396,★営業所!$A$2:$B$5,2,FALSE),VLOOKUP(申込書!$C$32,★サイズ表記!$D$4:$E$55,2,FALSE),VLOOKUP(D396,★折込地区!$A$2:$B$11,2,FALSE))</f>
        <v>T1001Kry</v>
      </c>
      <c r="X396" s="203" t="str">
        <f>CONCATENATE(申込書!$B$9," ",VLOOKUP(RIGHT(W396,3),★折込地区!$B$2:$C$10,2,FALSE),"")</f>
        <v xml:space="preserve"> 倉吉</v>
      </c>
      <c r="Z396" s="206">
        <f t="shared" ca="1" si="48"/>
        <v>0</v>
      </c>
      <c r="AB396" s="383">
        <f t="shared" si="49"/>
        <v>2.8</v>
      </c>
      <c r="AC396" s="203" t="str">
        <f t="shared" si="50"/>
        <v>D1001</v>
      </c>
      <c r="AD396" s="203" t="str">
        <f>VLOOKUP(AC396,★原価商品!$E$6:$F$349,2,FALSE)</f>
        <v>日本海/B4（折り無し）</v>
      </c>
      <c r="AE396" s="203">
        <f t="shared" ca="1" si="51"/>
        <v>0</v>
      </c>
      <c r="AF396" s="383">
        <f>IFERROR(IF(VLOOKUP(申込書!$C$32,★サイズ表記!$F$4:$H$55,3,FALSE)="切り捨て",ROUNDDOWN(L396*IF(AK396="◎",I396,J396)/100,2),IF(VLOOKUP(申込書!$C$32,★サイズ表記!$F$4:$H$55,3,FALSE)="切り上げ",ROUNDUP(L396*IF(AK396="◎",I396,J396)/100,2),ROUND(L396*IF(AK396="◎",I396,J396)/100,2))),0)</f>
        <v>2.1800000000000002</v>
      </c>
      <c r="AG396" s="203">
        <f t="shared" ca="1" si="52"/>
        <v>10303</v>
      </c>
      <c r="AJ396" s="460" t="str">
        <f>IFERROR(VLOOKUP(申込書!$C$30,★業種!$D$2:$E$87,2,FALSE),"")</f>
        <v>1003</v>
      </c>
      <c r="AK396" s="460" t="str">
        <f>IF(申込書!$C$36="◎",IF(OR(D396="浜坂・温泉",D396="美方・村岡",D396="香住",D396="岡山",D396="大阪"),"",IF(LEFT(F396)="D","◎",IF(AG396=0,"",IFERROR(IF(VLOOKUP(AG396,★仕入先!$A$2:$C$211,3,FALSE)=0,"","◎"),"")))),"")</f>
        <v>◎</v>
      </c>
      <c r="AL396" s="460">
        <f>申込書!$H$14</f>
        <v>0</v>
      </c>
      <c r="AM396" s="460" t="str">
        <f>申込書!$C$32</f>
        <v>B4（折り無し）</v>
      </c>
      <c r="AN396" s="460" t="str">
        <f>VLOOKUP(AM396,★サイズ表記!$D$4:$E$55,2,FALSE)</f>
        <v>1001</v>
      </c>
      <c r="AO396" s="460">
        <f>IF(C396&lt;&gt;"⑧兵庫",VLOOKUP(LEFT(F396),★新聞!$A$4:$B$12,2,FALSE),IF(LEFT(F396)&lt;&gt;"S",VLOOKUP(LEFT(F396),★新聞!$A$4:$B$12,2,FALSE),VLOOKUP("X",★新聞!$A$4:$B$12,2,FALSE)))</f>
        <v>1</v>
      </c>
      <c r="AP396" s="460" t="str">
        <f t="shared" ca="1" si="53"/>
        <v>0</v>
      </c>
      <c r="AQ396" s="460" t="str">
        <f>IF(申込書!$C$38="","",申込書!$C$38)</f>
        <v/>
      </c>
    </row>
    <row r="397" spans="1:43">
      <c r="A397" s="463">
        <f t="shared" si="54"/>
        <v>396</v>
      </c>
      <c r="B397" s="463" t="str">
        <f t="shared" si="55"/>
        <v>東部</v>
      </c>
      <c r="C397" s="464" t="s">
        <v>1151</v>
      </c>
      <c r="D397" s="464" t="s">
        <v>1602</v>
      </c>
      <c r="E397" s="464">
        <f>VLOOKUP(D397,★折込地区!$A$2:$D$10,4,FALSE)</f>
        <v>2</v>
      </c>
      <c r="F397" s="464" t="s">
        <v>394</v>
      </c>
      <c r="G397" s="464" t="str">
        <f>INDEX(★新聞!$E$4:$I$12, MATCH(LEFT(F397),★新聞!$A$4:$A$12,0), MATCH(LEFT(W397),★新聞!$E$3:$I$3,0))</f>
        <v>X</v>
      </c>
      <c r="H397" s="475" t="s">
        <v>1105</v>
      </c>
      <c r="I397" s="464" cm="1">
        <f t="array" ref="I397">IFERROR(INDEX(★原価率!$A$2:$E$50,MATCH($C397&amp;$H397,★原価率!$A$2:$A$50&amp;★原価率!$B$2:$B$50,0),3),0)</f>
        <v>78</v>
      </c>
      <c r="J397" s="464" cm="1">
        <f t="array" ref="J397">IFERROR(INDEX(★原価率!$A$2:$E$50,MATCH($C397&amp;$H397,★原価率!$A$2:$A$50&amp;★原価率!$B$2:$B$50,0),4),0)</f>
        <v>82</v>
      </c>
      <c r="K397" s="464" cm="1">
        <f t="array" ref="K397">IFERROR(INDEX(★原価率!$A$2:$E$50,MATCH($C397&amp;$H397,★原価率!$A$2:$A$50&amp;★原価率!$B$2:$B$50,0),5),0)</f>
        <v>100</v>
      </c>
      <c r="L397" s="528">
        <f>IFERROR(VLOOKUP(W397,★商品!$A$1:$H$1231,8,FALSE),0)</f>
        <v>2.8</v>
      </c>
      <c r="M397" s="203" t="str">
        <f ca="1">CONCATENATE(VLOOKUP(B397,★営業所!$A$2:$B$5,2,FALSE),TEXT(NOW(),"yyyy"))</f>
        <v>T2023</v>
      </c>
      <c r="N397" s="203">
        <v>1</v>
      </c>
      <c r="O397" s="203">
        <v>0</v>
      </c>
      <c r="P397" s="213">
        <f>申込書!$B$6</f>
        <v>0</v>
      </c>
      <c r="Q397" s="203">
        <f>申込書!$C$34</f>
        <v>1000040</v>
      </c>
      <c r="R397" s="203">
        <v>0</v>
      </c>
      <c r="U397" s="203">
        <f>VLOOKUP(B397,★営業所!$A$2:$C$5,3,FALSE)</f>
        <v>8</v>
      </c>
      <c r="V397" s="203">
        <f>申込書!$B$9</f>
        <v>0</v>
      </c>
      <c r="W397" s="203" t="str">
        <f>CONCATENATE(VLOOKUP(B397,★営業所!$A$2:$B$5,2,FALSE),VLOOKUP(申込書!$C$32,★サイズ表記!$D$4:$E$55,2,FALSE),VLOOKUP(D397,★折込地区!$A$2:$B$11,2,FALSE))</f>
        <v>T1001Kry</v>
      </c>
      <c r="X397" s="203" t="str">
        <f>CONCATENATE(申込書!$B$9," ",VLOOKUP(RIGHT(W397,3),★折込地区!$B$2:$C$10,2,FALSE),"")</f>
        <v xml:space="preserve"> 倉吉</v>
      </c>
      <c r="Z397" s="206">
        <f t="shared" ca="1" si="48"/>
        <v>0</v>
      </c>
      <c r="AB397" s="383">
        <f t="shared" si="49"/>
        <v>2.8</v>
      </c>
      <c r="AC397" s="203" t="str">
        <f t="shared" si="50"/>
        <v>D1001</v>
      </c>
      <c r="AD397" s="203" t="str">
        <f>VLOOKUP(AC397,★原価商品!$E$6:$F$349,2,FALSE)</f>
        <v>日本海/B4（折り無し）</v>
      </c>
      <c r="AE397" s="203">
        <f t="shared" ca="1" si="51"/>
        <v>0</v>
      </c>
      <c r="AF397" s="383">
        <f>IFERROR(IF(VLOOKUP(申込書!$C$32,★サイズ表記!$F$4:$H$55,3,FALSE)="切り捨て",ROUNDDOWN(L397*IF(AK397="◎",I397,J397)/100,2),IF(VLOOKUP(申込書!$C$32,★サイズ表記!$F$4:$H$55,3,FALSE)="切り上げ",ROUNDUP(L397*IF(AK397="◎",I397,J397)/100,2),ROUND(L397*IF(AK397="◎",I397,J397)/100,2))),0)</f>
        <v>2.1800000000000002</v>
      </c>
      <c r="AG397" s="203">
        <f t="shared" ca="1" si="52"/>
        <v>10303</v>
      </c>
      <c r="AJ397" s="460" t="str">
        <f>IFERROR(VLOOKUP(申込書!$C$30,★業種!$D$2:$E$87,2,FALSE),"")</f>
        <v>1003</v>
      </c>
      <c r="AK397" s="460" t="str">
        <f>IF(申込書!$C$36="◎",IF(OR(D397="浜坂・温泉",D397="美方・村岡",D397="香住",D397="岡山",D397="大阪"),"",IF(LEFT(F397)="D","◎",IF(AG397=0,"",IFERROR(IF(VLOOKUP(AG397,★仕入先!$A$2:$C$211,3,FALSE)=0,"","◎"),"")))),"")</f>
        <v>◎</v>
      </c>
      <c r="AL397" s="460">
        <f>申込書!$H$14</f>
        <v>0</v>
      </c>
      <c r="AM397" s="460" t="str">
        <f>申込書!$C$32</f>
        <v>B4（折り無し）</v>
      </c>
      <c r="AN397" s="460" t="str">
        <f>VLOOKUP(AM397,★サイズ表記!$D$4:$E$55,2,FALSE)</f>
        <v>1001</v>
      </c>
      <c r="AO397" s="460">
        <f>IF(C397&lt;&gt;"⑧兵庫",VLOOKUP(LEFT(F397),★新聞!$A$4:$B$12,2,FALSE),IF(LEFT(F397)&lt;&gt;"S",VLOOKUP(LEFT(F397),★新聞!$A$4:$B$12,2,FALSE),VLOOKUP("X",★新聞!$A$4:$B$12,2,FALSE)))</f>
        <v>1</v>
      </c>
      <c r="AP397" s="460" t="str">
        <f t="shared" ca="1" si="53"/>
        <v>0</v>
      </c>
      <c r="AQ397" s="460" t="str">
        <f>IF(申込書!$C$38="","",申込書!$C$38)</f>
        <v/>
      </c>
    </row>
    <row r="398" spans="1:43">
      <c r="A398" s="463">
        <f t="shared" si="54"/>
        <v>397</v>
      </c>
      <c r="B398" s="463" t="str">
        <f t="shared" si="55"/>
        <v>東部</v>
      </c>
      <c r="C398" s="464" t="s">
        <v>1151</v>
      </c>
      <c r="D398" s="464" t="s">
        <v>1602</v>
      </c>
      <c r="E398" s="464">
        <f>VLOOKUP(D398,★折込地区!$A$2:$D$10,4,FALSE)</f>
        <v>2</v>
      </c>
      <c r="F398" s="464" t="s">
        <v>395</v>
      </c>
      <c r="G398" s="464" t="str">
        <f>INDEX(★新聞!$E$4:$I$12, MATCH(LEFT(F398),★新聞!$A$4:$A$12,0), MATCH(LEFT(W398),★新聞!$E$3:$I$3,0))</f>
        <v>X</v>
      </c>
      <c r="H398" s="475" t="s">
        <v>1105</v>
      </c>
      <c r="I398" s="464" cm="1">
        <f t="array" ref="I398">IFERROR(INDEX(★原価率!$A$2:$E$50,MATCH($C398&amp;$H398,★原価率!$A$2:$A$50&amp;★原価率!$B$2:$B$50,0),3),0)</f>
        <v>78</v>
      </c>
      <c r="J398" s="464" cm="1">
        <f t="array" ref="J398">IFERROR(INDEX(★原価率!$A$2:$E$50,MATCH($C398&amp;$H398,★原価率!$A$2:$A$50&amp;★原価率!$B$2:$B$50,0),4),0)</f>
        <v>82</v>
      </c>
      <c r="K398" s="464" cm="1">
        <f t="array" ref="K398">IFERROR(INDEX(★原価率!$A$2:$E$50,MATCH($C398&amp;$H398,★原価率!$A$2:$A$50&amp;★原価率!$B$2:$B$50,0),5),0)</f>
        <v>100</v>
      </c>
      <c r="L398" s="528">
        <f>IFERROR(VLOOKUP(W398,★商品!$A$1:$H$1231,8,FALSE),0)</f>
        <v>2.8</v>
      </c>
      <c r="M398" s="203" t="str">
        <f ca="1">CONCATENATE(VLOOKUP(B398,★営業所!$A$2:$B$5,2,FALSE),TEXT(NOW(),"yyyy"))</f>
        <v>T2023</v>
      </c>
      <c r="N398" s="203">
        <v>1</v>
      </c>
      <c r="O398" s="203">
        <v>0</v>
      </c>
      <c r="P398" s="213">
        <f>申込書!$B$6</f>
        <v>0</v>
      </c>
      <c r="Q398" s="203">
        <f>申込書!$C$34</f>
        <v>1000040</v>
      </c>
      <c r="R398" s="203">
        <v>0</v>
      </c>
      <c r="U398" s="203">
        <f>VLOOKUP(B398,★営業所!$A$2:$C$5,3,FALSE)</f>
        <v>8</v>
      </c>
      <c r="V398" s="203">
        <f>申込書!$B$9</f>
        <v>0</v>
      </c>
      <c r="W398" s="203" t="str">
        <f>CONCATENATE(VLOOKUP(B398,★営業所!$A$2:$B$5,2,FALSE),VLOOKUP(申込書!$C$32,★サイズ表記!$D$4:$E$55,2,FALSE),VLOOKUP(D398,★折込地区!$A$2:$B$11,2,FALSE))</f>
        <v>T1001Kry</v>
      </c>
      <c r="X398" s="203" t="str">
        <f>CONCATENATE(申込書!$B$9," ",VLOOKUP(RIGHT(W398,3),★折込地区!$B$2:$C$10,2,FALSE),"")</f>
        <v xml:space="preserve"> 倉吉</v>
      </c>
      <c r="Z398" s="206">
        <f t="shared" ca="1" si="48"/>
        <v>0</v>
      </c>
      <c r="AB398" s="383">
        <f t="shared" si="49"/>
        <v>2.8</v>
      </c>
      <c r="AC398" s="203" t="str">
        <f t="shared" si="50"/>
        <v>D1001</v>
      </c>
      <c r="AD398" s="203" t="str">
        <f>VLOOKUP(AC398,★原価商品!$E$6:$F$349,2,FALSE)</f>
        <v>日本海/B4（折り無し）</v>
      </c>
      <c r="AE398" s="203">
        <f t="shared" ca="1" si="51"/>
        <v>0</v>
      </c>
      <c r="AF398" s="383">
        <f>IFERROR(IF(VLOOKUP(申込書!$C$32,★サイズ表記!$F$4:$H$55,3,FALSE)="切り捨て",ROUNDDOWN(L398*IF(AK398="◎",I398,J398)/100,2),IF(VLOOKUP(申込書!$C$32,★サイズ表記!$F$4:$H$55,3,FALSE)="切り上げ",ROUNDUP(L398*IF(AK398="◎",I398,J398)/100,2),ROUND(L398*IF(AK398="◎",I398,J398)/100,2))),0)</f>
        <v>2.1800000000000002</v>
      </c>
      <c r="AG398" s="203">
        <f t="shared" ca="1" si="52"/>
        <v>10303</v>
      </c>
      <c r="AJ398" s="460" t="str">
        <f>IFERROR(VLOOKUP(申込書!$C$30,★業種!$D$2:$E$87,2,FALSE),"")</f>
        <v>1003</v>
      </c>
      <c r="AK398" s="460" t="str">
        <f>IF(申込書!$C$36="◎",IF(OR(D398="浜坂・温泉",D398="美方・村岡",D398="香住",D398="岡山",D398="大阪"),"",IF(LEFT(F398)="D","◎",IF(AG398=0,"",IFERROR(IF(VLOOKUP(AG398,★仕入先!$A$2:$C$211,3,FALSE)=0,"","◎"),"")))),"")</f>
        <v>◎</v>
      </c>
      <c r="AL398" s="460">
        <f>申込書!$H$14</f>
        <v>0</v>
      </c>
      <c r="AM398" s="460" t="str">
        <f>申込書!$C$32</f>
        <v>B4（折り無し）</v>
      </c>
      <c r="AN398" s="460" t="str">
        <f>VLOOKUP(AM398,★サイズ表記!$D$4:$E$55,2,FALSE)</f>
        <v>1001</v>
      </c>
      <c r="AO398" s="460">
        <f>IF(C398&lt;&gt;"⑧兵庫",VLOOKUP(LEFT(F398),★新聞!$A$4:$B$12,2,FALSE),IF(LEFT(F398)&lt;&gt;"S",VLOOKUP(LEFT(F398),★新聞!$A$4:$B$12,2,FALSE),VLOOKUP("X",★新聞!$A$4:$B$12,2,FALSE)))</f>
        <v>1</v>
      </c>
      <c r="AP398" s="460" t="str">
        <f t="shared" ca="1" si="53"/>
        <v>0</v>
      </c>
      <c r="AQ398" s="460" t="str">
        <f>IF(申込書!$C$38="","",申込書!$C$38)</f>
        <v/>
      </c>
    </row>
    <row r="399" spans="1:43">
      <c r="A399" s="463">
        <f t="shared" si="54"/>
        <v>398</v>
      </c>
      <c r="B399" s="463" t="str">
        <f t="shared" si="55"/>
        <v>東部</v>
      </c>
      <c r="C399" s="464" t="s">
        <v>1151</v>
      </c>
      <c r="D399" s="464" t="s">
        <v>1602</v>
      </c>
      <c r="E399" s="464">
        <f>VLOOKUP(D399,★折込地区!$A$2:$D$10,4,FALSE)</f>
        <v>2</v>
      </c>
      <c r="F399" s="464" t="s">
        <v>396</v>
      </c>
      <c r="G399" s="464" t="str">
        <f>INDEX(★新聞!$E$4:$I$12, MATCH(LEFT(F399),★新聞!$A$4:$A$12,0), MATCH(LEFT(W399),★新聞!$E$3:$I$3,0))</f>
        <v>X</v>
      </c>
      <c r="H399" s="475" t="s">
        <v>1105</v>
      </c>
      <c r="I399" s="464" cm="1">
        <f t="array" ref="I399">IFERROR(INDEX(★原価率!$A$2:$E$50,MATCH($C399&amp;$H399,★原価率!$A$2:$A$50&amp;★原価率!$B$2:$B$50,0),3),0)</f>
        <v>78</v>
      </c>
      <c r="J399" s="464" cm="1">
        <f t="array" ref="J399">IFERROR(INDEX(★原価率!$A$2:$E$50,MATCH($C399&amp;$H399,★原価率!$A$2:$A$50&amp;★原価率!$B$2:$B$50,0),4),0)</f>
        <v>82</v>
      </c>
      <c r="K399" s="464" cm="1">
        <f t="array" ref="K399">IFERROR(INDEX(★原価率!$A$2:$E$50,MATCH($C399&amp;$H399,★原価率!$A$2:$A$50&amp;★原価率!$B$2:$B$50,0),5),0)</f>
        <v>100</v>
      </c>
      <c r="L399" s="528">
        <f>IFERROR(VLOOKUP(W399,★商品!$A$1:$H$1231,8,FALSE),0)</f>
        <v>2.8</v>
      </c>
      <c r="M399" s="203" t="str">
        <f ca="1">CONCATENATE(VLOOKUP(B399,★営業所!$A$2:$B$5,2,FALSE),TEXT(NOW(),"yyyy"))</f>
        <v>T2023</v>
      </c>
      <c r="N399" s="203">
        <v>1</v>
      </c>
      <c r="O399" s="203">
        <v>0</v>
      </c>
      <c r="P399" s="213">
        <f>申込書!$B$6</f>
        <v>0</v>
      </c>
      <c r="Q399" s="203">
        <f>申込書!$C$34</f>
        <v>1000040</v>
      </c>
      <c r="R399" s="203">
        <v>0</v>
      </c>
      <c r="U399" s="203">
        <f>VLOOKUP(B399,★営業所!$A$2:$C$5,3,FALSE)</f>
        <v>8</v>
      </c>
      <c r="V399" s="203">
        <f>申込書!$B$9</f>
        <v>0</v>
      </c>
      <c r="W399" s="203" t="str">
        <f>CONCATENATE(VLOOKUP(B399,★営業所!$A$2:$B$5,2,FALSE),VLOOKUP(申込書!$C$32,★サイズ表記!$D$4:$E$55,2,FALSE),VLOOKUP(D399,★折込地区!$A$2:$B$11,2,FALSE))</f>
        <v>T1001Kry</v>
      </c>
      <c r="X399" s="203" t="str">
        <f>CONCATENATE(申込書!$B$9," ",VLOOKUP(RIGHT(W399,3),★折込地区!$B$2:$C$10,2,FALSE),"")</f>
        <v xml:space="preserve"> 倉吉</v>
      </c>
      <c r="Z399" s="206">
        <f t="shared" ca="1" si="48"/>
        <v>0</v>
      </c>
      <c r="AB399" s="383">
        <f t="shared" si="49"/>
        <v>2.8</v>
      </c>
      <c r="AC399" s="203" t="str">
        <f t="shared" si="50"/>
        <v>D1001</v>
      </c>
      <c r="AD399" s="203" t="str">
        <f>VLOOKUP(AC399,★原価商品!$E$6:$F$349,2,FALSE)</f>
        <v>日本海/B4（折り無し）</v>
      </c>
      <c r="AE399" s="203">
        <f t="shared" ca="1" si="51"/>
        <v>0</v>
      </c>
      <c r="AF399" s="383">
        <f>IFERROR(IF(VLOOKUP(申込書!$C$32,★サイズ表記!$F$4:$H$55,3,FALSE)="切り捨て",ROUNDDOWN(L399*IF(AK399="◎",I399,J399)/100,2),IF(VLOOKUP(申込書!$C$32,★サイズ表記!$F$4:$H$55,3,FALSE)="切り上げ",ROUNDUP(L399*IF(AK399="◎",I399,J399)/100,2),ROUND(L399*IF(AK399="◎",I399,J399)/100,2))),0)</f>
        <v>2.1800000000000002</v>
      </c>
      <c r="AG399" s="203">
        <f t="shared" ca="1" si="52"/>
        <v>10303</v>
      </c>
      <c r="AJ399" s="460" t="str">
        <f>IFERROR(VLOOKUP(申込書!$C$30,★業種!$D$2:$E$87,2,FALSE),"")</f>
        <v>1003</v>
      </c>
      <c r="AK399" s="460" t="str">
        <f>IF(申込書!$C$36="◎",IF(OR(D399="浜坂・温泉",D399="美方・村岡",D399="香住",D399="岡山",D399="大阪"),"",IF(LEFT(F399)="D","◎",IF(AG399=0,"",IFERROR(IF(VLOOKUP(AG399,★仕入先!$A$2:$C$211,3,FALSE)=0,"","◎"),"")))),"")</f>
        <v>◎</v>
      </c>
      <c r="AL399" s="460">
        <f>申込書!$H$14</f>
        <v>0</v>
      </c>
      <c r="AM399" s="460" t="str">
        <f>申込書!$C$32</f>
        <v>B4（折り無し）</v>
      </c>
      <c r="AN399" s="460" t="str">
        <f>VLOOKUP(AM399,★サイズ表記!$D$4:$E$55,2,FALSE)</f>
        <v>1001</v>
      </c>
      <c r="AO399" s="460">
        <f>IF(C399&lt;&gt;"⑧兵庫",VLOOKUP(LEFT(F399),★新聞!$A$4:$B$12,2,FALSE),IF(LEFT(F399)&lt;&gt;"S",VLOOKUP(LEFT(F399),★新聞!$A$4:$B$12,2,FALSE),VLOOKUP("X",★新聞!$A$4:$B$12,2,FALSE)))</f>
        <v>1</v>
      </c>
      <c r="AP399" s="460" t="str">
        <f t="shared" ca="1" si="53"/>
        <v>0</v>
      </c>
      <c r="AQ399" s="460" t="str">
        <f>IF(申込書!$C$38="","",申込書!$C$38)</f>
        <v/>
      </c>
    </row>
    <row r="400" spans="1:43">
      <c r="A400" s="463">
        <f t="shared" si="54"/>
        <v>399</v>
      </c>
      <c r="B400" s="463" t="str">
        <f t="shared" si="55"/>
        <v>東部</v>
      </c>
      <c r="C400" s="464" t="s">
        <v>1151</v>
      </c>
      <c r="D400" s="464" t="s">
        <v>1602</v>
      </c>
      <c r="E400" s="464">
        <f>VLOOKUP(D400,★折込地区!$A$2:$D$10,4,FALSE)</f>
        <v>2</v>
      </c>
      <c r="F400" s="464" t="s">
        <v>397</v>
      </c>
      <c r="G400" s="464" t="str">
        <f>INDEX(★新聞!$E$4:$I$12, MATCH(LEFT(F400),★新聞!$A$4:$A$12,0), MATCH(LEFT(W400),★新聞!$E$3:$I$3,0))</f>
        <v>X</v>
      </c>
      <c r="H400" s="475" t="s">
        <v>1105</v>
      </c>
      <c r="I400" s="464" cm="1">
        <f t="array" ref="I400">IFERROR(INDEX(★原価率!$A$2:$E$50,MATCH($C400&amp;$H400,★原価率!$A$2:$A$50&amp;★原価率!$B$2:$B$50,0),3),0)</f>
        <v>78</v>
      </c>
      <c r="J400" s="464" cm="1">
        <f t="array" ref="J400">IFERROR(INDEX(★原価率!$A$2:$E$50,MATCH($C400&amp;$H400,★原価率!$A$2:$A$50&amp;★原価率!$B$2:$B$50,0),4),0)</f>
        <v>82</v>
      </c>
      <c r="K400" s="464" cm="1">
        <f t="array" ref="K400">IFERROR(INDEX(★原価率!$A$2:$E$50,MATCH($C400&amp;$H400,★原価率!$A$2:$A$50&amp;★原価率!$B$2:$B$50,0),5),0)</f>
        <v>100</v>
      </c>
      <c r="L400" s="528">
        <f>IFERROR(VLOOKUP(W400,★商品!$A$1:$H$1231,8,FALSE),0)</f>
        <v>2.8</v>
      </c>
      <c r="M400" s="203" t="str">
        <f ca="1">CONCATENATE(VLOOKUP(B400,★営業所!$A$2:$B$5,2,FALSE),TEXT(NOW(),"yyyy"))</f>
        <v>T2023</v>
      </c>
      <c r="N400" s="203">
        <v>1</v>
      </c>
      <c r="O400" s="203">
        <v>0</v>
      </c>
      <c r="P400" s="213">
        <f>申込書!$B$6</f>
        <v>0</v>
      </c>
      <c r="Q400" s="203">
        <f>申込書!$C$34</f>
        <v>1000040</v>
      </c>
      <c r="R400" s="203">
        <v>0</v>
      </c>
      <c r="U400" s="203">
        <f>VLOOKUP(B400,★営業所!$A$2:$C$5,3,FALSE)</f>
        <v>8</v>
      </c>
      <c r="V400" s="203">
        <f>申込書!$B$9</f>
        <v>0</v>
      </c>
      <c r="W400" s="203" t="str">
        <f>CONCATENATE(VLOOKUP(B400,★営業所!$A$2:$B$5,2,FALSE),VLOOKUP(申込書!$C$32,★サイズ表記!$D$4:$E$55,2,FALSE),VLOOKUP(D400,★折込地区!$A$2:$B$11,2,FALSE))</f>
        <v>T1001Kry</v>
      </c>
      <c r="X400" s="203" t="str">
        <f>CONCATENATE(申込書!$B$9," ",VLOOKUP(RIGHT(W400,3),★折込地区!$B$2:$C$10,2,FALSE),"")</f>
        <v xml:space="preserve"> 倉吉</v>
      </c>
      <c r="Z400" s="206">
        <f t="shared" ca="1" si="48"/>
        <v>0</v>
      </c>
      <c r="AB400" s="383">
        <f t="shared" si="49"/>
        <v>2.8</v>
      </c>
      <c r="AC400" s="203" t="str">
        <f t="shared" si="50"/>
        <v>D1001</v>
      </c>
      <c r="AD400" s="203" t="str">
        <f>VLOOKUP(AC400,★原価商品!$E$6:$F$349,2,FALSE)</f>
        <v>日本海/B4（折り無し）</v>
      </c>
      <c r="AE400" s="203">
        <f t="shared" ca="1" si="51"/>
        <v>0</v>
      </c>
      <c r="AF400" s="383">
        <f>IFERROR(IF(VLOOKUP(申込書!$C$32,★サイズ表記!$F$4:$H$55,3,FALSE)="切り捨て",ROUNDDOWN(L400*IF(AK400="◎",I400,J400)/100,2),IF(VLOOKUP(申込書!$C$32,★サイズ表記!$F$4:$H$55,3,FALSE)="切り上げ",ROUNDUP(L400*IF(AK400="◎",I400,J400)/100,2),ROUND(L400*IF(AK400="◎",I400,J400)/100,2))),0)</f>
        <v>2.1800000000000002</v>
      </c>
      <c r="AG400" s="203">
        <f t="shared" ca="1" si="52"/>
        <v>10303</v>
      </c>
      <c r="AJ400" s="460" t="str">
        <f>IFERROR(VLOOKUP(申込書!$C$30,★業種!$D$2:$E$87,2,FALSE),"")</f>
        <v>1003</v>
      </c>
      <c r="AK400" s="460" t="str">
        <f>IF(申込書!$C$36="◎",IF(OR(D400="浜坂・温泉",D400="美方・村岡",D400="香住",D400="岡山",D400="大阪"),"",IF(LEFT(F400)="D","◎",IF(AG400=0,"",IFERROR(IF(VLOOKUP(AG400,★仕入先!$A$2:$C$211,3,FALSE)=0,"","◎"),"")))),"")</f>
        <v>◎</v>
      </c>
      <c r="AL400" s="460">
        <f>申込書!$H$14</f>
        <v>0</v>
      </c>
      <c r="AM400" s="460" t="str">
        <f>申込書!$C$32</f>
        <v>B4（折り無し）</v>
      </c>
      <c r="AN400" s="460" t="str">
        <f>VLOOKUP(AM400,★サイズ表記!$D$4:$E$55,2,FALSE)</f>
        <v>1001</v>
      </c>
      <c r="AO400" s="460">
        <f>IF(C400&lt;&gt;"⑧兵庫",VLOOKUP(LEFT(F400),★新聞!$A$4:$B$12,2,FALSE),IF(LEFT(F400)&lt;&gt;"S",VLOOKUP(LEFT(F400),★新聞!$A$4:$B$12,2,FALSE),VLOOKUP("X",★新聞!$A$4:$B$12,2,FALSE)))</f>
        <v>1</v>
      </c>
      <c r="AP400" s="460" t="str">
        <f t="shared" ca="1" si="53"/>
        <v>0</v>
      </c>
      <c r="AQ400" s="460" t="str">
        <f>IF(申込書!$C$38="","",申込書!$C$38)</f>
        <v/>
      </c>
    </row>
    <row r="401" spans="1:43">
      <c r="A401" s="463">
        <f t="shared" si="54"/>
        <v>400</v>
      </c>
      <c r="B401" s="463" t="str">
        <f t="shared" si="55"/>
        <v>東部</v>
      </c>
      <c r="C401" s="464" t="s">
        <v>1151</v>
      </c>
      <c r="D401" s="464" t="s">
        <v>1602</v>
      </c>
      <c r="E401" s="464">
        <f>VLOOKUP(D401,★折込地区!$A$2:$D$10,4,FALSE)</f>
        <v>2</v>
      </c>
      <c r="F401" s="464" t="s">
        <v>398</v>
      </c>
      <c r="G401" s="464" t="str">
        <f>INDEX(★新聞!$E$4:$I$12, MATCH(LEFT(F401),★新聞!$A$4:$A$12,0), MATCH(LEFT(W401),★新聞!$E$3:$I$3,0))</f>
        <v>X</v>
      </c>
      <c r="H401" s="475" t="s">
        <v>1105</v>
      </c>
      <c r="I401" s="464" cm="1">
        <f t="array" ref="I401">IFERROR(INDEX(★原価率!$A$2:$E$50,MATCH($C401&amp;$H401,★原価率!$A$2:$A$50&amp;★原価率!$B$2:$B$50,0),3),0)</f>
        <v>78</v>
      </c>
      <c r="J401" s="464" cm="1">
        <f t="array" ref="J401">IFERROR(INDEX(★原価率!$A$2:$E$50,MATCH($C401&amp;$H401,★原価率!$A$2:$A$50&amp;★原価率!$B$2:$B$50,0),4),0)</f>
        <v>82</v>
      </c>
      <c r="K401" s="464" cm="1">
        <f t="array" ref="K401">IFERROR(INDEX(★原価率!$A$2:$E$50,MATCH($C401&amp;$H401,★原価率!$A$2:$A$50&amp;★原価率!$B$2:$B$50,0),5),0)</f>
        <v>100</v>
      </c>
      <c r="L401" s="528">
        <f>IFERROR(VLOOKUP(W401,★商品!$A$1:$H$1231,8,FALSE),0)</f>
        <v>2.8</v>
      </c>
      <c r="M401" s="203" t="str">
        <f ca="1">CONCATENATE(VLOOKUP(B401,★営業所!$A$2:$B$5,2,FALSE),TEXT(NOW(),"yyyy"))</f>
        <v>T2023</v>
      </c>
      <c r="N401" s="203">
        <v>1</v>
      </c>
      <c r="O401" s="203">
        <v>0</v>
      </c>
      <c r="P401" s="213">
        <f>申込書!$B$6</f>
        <v>0</v>
      </c>
      <c r="Q401" s="203">
        <f>申込書!$C$34</f>
        <v>1000040</v>
      </c>
      <c r="R401" s="203">
        <v>0</v>
      </c>
      <c r="U401" s="203">
        <f>VLOOKUP(B401,★営業所!$A$2:$C$5,3,FALSE)</f>
        <v>8</v>
      </c>
      <c r="V401" s="203">
        <f>申込書!$B$9</f>
        <v>0</v>
      </c>
      <c r="W401" s="203" t="str">
        <f>CONCATENATE(VLOOKUP(B401,★営業所!$A$2:$B$5,2,FALSE),VLOOKUP(申込書!$C$32,★サイズ表記!$D$4:$E$55,2,FALSE),VLOOKUP(D401,★折込地区!$A$2:$B$11,2,FALSE))</f>
        <v>T1001Kry</v>
      </c>
      <c r="X401" s="203" t="str">
        <f>CONCATENATE(申込書!$B$9," ",VLOOKUP(RIGHT(W401,3),★折込地区!$B$2:$C$10,2,FALSE),"")</f>
        <v xml:space="preserve"> 倉吉</v>
      </c>
      <c r="Z401" s="206">
        <f t="shared" ca="1" si="48"/>
        <v>0</v>
      </c>
      <c r="AB401" s="383">
        <f t="shared" si="49"/>
        <v>2.8</v>
      </c>
      <c r="AC401" s="203" t="str">
        <f t="shared" si="50"/>
        <v>D1001</v>
      </c>
      <c r="AD401" s="203" t="str">
        <f>VLOOKUP(AC401,★原価商品!$E$6:$F$349,2,FALSE)</f>
        <v>日本海/B4（折り無し）</v>
      </c>
      <c r="AE401" s="203">
        <f t="shared" ca="1" si="51"/>
        <v>0</v>
      </c>
      <c r="AF401" s="383">
        <f>IFERROR(IF(VLOOKUP(申込書!$C$32,★サイズ表記!$F$4:$H$55,3,FALSE)="切り捨て",ROUNDDOWN(L401*IF(AK401="◎",I401,J401)/100,2),IF(VLOOKUP(申込書!$C$32,★サイズ表記!$F$4:$H$55,3,FALSE)="切り上げ",ROUNDUP(L401*IF(AK401="◎",I401,J401)/100,2),ROUND(L401*IF(AK401="◎",I401,J401)/100,2))),0)</f>
        <v>2.1800000000000002</v>
      </c>
      <c r="AG401" s="203">
        <f t="shared" ca="1" si="52"/>
        <v>10303</v>
      </c>
      <c r="AJ401" s="460" t="str">
        <f>IFERROR(VLOOKUP(申込書!$C$30,★業種!$D$2:$E$87,2,FALSE),"")</f>
        <v>1003</v>
      </c>
      <c r="AK401" s="460" t="str">
        <f>IF(申込書!$C$36="◎",IF(OR(D401="浜坂・温泉",D401="美方・村岡",D401="香住",D401="岡山",D401="大阪"),"",IF(LEFT(F401)="D","◎",IF(AG401=0,"",IFERROR(IF(VLOOKUP(AG401,★仕入先!$A$2:$C$211,3,FALSE)=0,"","◎"),"")))),"")</f>
        <v>◎</v>
      </c>
      <c r="AL401" s="460">
        <f>申込書!$H$14</f>
        <v>0</v>
      </c>
      <c r="AM401" s="460" t="str">
        <f>申込書!$C$32</f>
        <v>B4（折り無し）</v>
      </c>
      <c r="AN401" s="460" t="str">
        <f>VLOOKUP(AM401,★サイズ表記!$D$4:$E$55,2,FALSE)</f>
        <v>1001</v>
      </c>
      <c r="AO401" s="460">
        <f>IF(C401&lt;&gt;"⑧兵庫",VLOOKUP(LEFT(F401),★新聞!$A$4:$B$12,2,FALSE),IF(LEFT(F401)&lt;&gt;"S",VLOOKUP(LEFT(F401),★新聞!$A$4:$B$12,2,FALSE),VLOOKUP("X",★新聞!$A$4:$B$12,2,FALSE)))</f>
        <v>1</v>
      </c>
      <c r="AP401" s="460" t="str">
        <f t="shared" ca="1" si="53"/>
        <v>0</v>
      </c>
      <c r="AQ401" s="460" t="str">
        <f>IF(申込書!$C$38="","",申込書!$C$38)</f>
        <v/>
      </c>
    </row>
    <row r="402" spans="1:43">
      <c r="A402" s="463">
        <f t="shared" si="54"/>
        <v>401</v>
      </c>
      <c r="B402" s="463" t="str">
        <f t="shared" si="55"/>
        <v>東部</v>
      </c>
      <c r="C402" s="464" t="s">
        <v>1151</v>
      </c>
      <c r="D402" s="464" t="s">
        <v>1602</v>
      </c>
      <c r="E402" s="464">
        <f>VLOOKUP(D402,★折込地区!$A$2:$D$10,4,FALSE)</f>
        <v>2</v>
      </c>
      <c r="F402" s="464" t="s">
        <v>399</v>
      </c>
      <c r="G402" s="464" t="str">
        <f>INDEX(★新聞!$E$4:$I$12, MATCH(LEFT(F402),★新聞!$A$4:$A$12,0), MATCH(LEFT(W402),★新聞!$E$3:$I$3,0))</f>
        <v>X</v>
      </c>
      <c r="H402" s="475" t="s">
        <v>1105</v>
      </c>
      <c r="I402" s="464" cm="1">
        <f t="array" ref="I402">IFERROR(INDEX(★原価率!$A$2:$E$50,MATCH($C402&amp;$H402,★原価率!$A$2:$A$50&amp;★原価率!$B$2:$B$50,0),3),0)</f>
        <v>78</v>
      </c>
      <c r="J402" s="464" cm="1">
        <f t="array" ref="J402">IFERROR(INDEX(★原価率!$A$2:$E$50,MATCH($C402&amp;$H402,★原価率!$A$2:$A$50&amp;★原価率!$B$2:$B$50,0),4),0)</f>
        <v>82</v>
      </c>
      <c r="K402" s="464" cm="1">
        <f t="array" ref="K402">IFERROR(INDEX(★原価率!$A$2:$E$50,MATCH($C402&amp;$H402,★原価率!$A$2:$A$50&amp;★原価率!$B$2:$B$50,0),5),0)</f>
        <v>100</v>
      </c>
      <c r="L402" s="528">
        <f>IFERROR(VLOOKUP(W402,★商品!$A$1:$H$1231,8,FALSE),0)</f>
        <v>2.8</v>
      </c>
      <c r="M402" s="203" t="str">
        <f ca="1">CONCATENATE(VLOOKUP(B402,★営業所!$A$2:$B$5,2,FALSE),TEXT(NOW(),"yyyy"))</f>
        <v>T2023</v>
      </c>
      <c r="N402" s="203">
        <v>1</v>
      </c>
      <c r="O402" s="203">
        <v>0</v>
      </c>
      <c r="P402" s="213">
        <f>申込書!$B$6</f>
        <v>0</v>
      </c>
      <c r="Q402" s="203">
        <f>申込書!$C$34</f>
        <v>1000040</v>
      </c>
      <c r="R402" s="203">
        <v>0</v>
      </c>
      <c r="U402" s="203">
        <f>VLOOKUP(B402,★営業所!$A$2:$C$5,3,FALSE)</f>
        <v>8</v>
      </c>
      <c r="V402" s="203">
        <f>申込書!$B$9</f>
        <v>0</v>
      </c>
      <c r="W402" s="203" t="str">
        <f>CONCATENATE(VLOOKUP(B402,★営業所!$A$2:$B$5,2,FALSE),VLOOKUP(申込書!$C$32,★サイズ表記!$D$4:$E$55,2,FALSE),VLOOKUP(D402,★折込地区!$A$2:$B$11,2,FALSE))</f>
        <v>T1001Kry</v>
      </c>
      <c r="X402" s="203" t="str">
        <f>CONCATENATE(申込書!$B$9," ",VLOOKUP(RIGHT(W402,3),★折込地区!$B$2:$C$10,2,FALSE),"")</f>
        <v xml:space="preserve"> 倉吉</v>
      </c>
      <c r="Z402" s="206">
        <f t="shared" ca="1" si="48"/>
        <v>0</v>
      </c>
      <c r="AB402" s="383">
        <f t="shared" si="49"/>
        <v>2.8</v>
      </c>
      <c r="AC402" s="203" t="str">
        <f t="shared" si="50"/>
        <v>D1001</v>
      </c>
      <c r="AD402" s="203" t="str">
        <f>VLOOKUP(AC402,★原価商品!$E$6:$F$349,2,FALSE)</f>
        <v>日本海/B4（折り無し）</v>
      </c>
      <c r="AE402" s="203">
        <f t="shared" ca="1" si="51"/>
        <v>0</v>
      </c>
      <c r="AF402" s="383">
        <f>IFERROR(IF(VLOOKUP(申込書!$C$32,★サイズ表記!$F$4:$H$55,3,FALSE)="切り捨て",ROUNDDOWN(L402*IF(AK402="◎",I402,J402)/100,2),IF(VLOOKUP(申込書!$C$32,★サイズ表記!$F$4:$H$55,3,FALSE)="切り上げ",ROUNDUP(L402*IF(AK402="◎",I402,J402)/100,2),ROUND(L402*IF(AK402="◎",I402,J402)/100,2))),0)</f>
        <v>2.1800000000000002</v>
      </c>
      <c r="AG402" s="203">
        <f t="shared" ca="1" si="52"/>
        <v>10303</v>
      </c>
      <c r="AJ402" s="460" t="str">
        <f>IFERROR(VLOOKUP(申込書!$C$30,★業種!$D$2:$E$87,2,FALSE),"")</f>
        <v>1003</v>
      </c>
      <c r="AK402" s="460" t="str">
        <f>IF(申込書!$C$36="◎",IF(OR(D402="浜坂・温泉",D402="美方・村岡",D402="香住",D402="岡山",D402="大阪"),"",IF(LEFT(F402)="D","◎",IF(AG402=0,"",IFERROR(IF(VLOOKUP(AG402,★仕入先!$A$2:$C$211,3,FALSE)=0,"","◎"),"")))),"")</f>
        <v>◎</v>
      </c>
      <c r="AL402" s="460">
        <f>申込書!$H$14</f>
        <v>0</v>
      </c>
      <c r="AM402" s="460" t="str">
        <f>申込書!$C$32</f>
        <v>B4（折り無し）</v>
      </c>
      <c r="AN402" s="460" t="str">
        <f>VLOOKUP(AM402,★サイズ表記!$D$4:$E$55,2,FALSE)</f>
        <v>1001</v>
      </c>
      <c r="AO402" s="460">
        <f>IF(C402&lt;&gt;"⑧兵庫",VLOOKUP(LEFT(F402),★新聞!$A$4:$B$12,2,FALSE),IF(LEFT(F402)&lt;&gt;"S",VLOOKUP(LEFT(F402),★新聞!$A$4:$B$12,2,FALSE),VLOOKUP("X",★新聞!$A$4:$B$12,2,FALSE)))</f>
        <v>1</v>
      </c>
      <c r="AP402" s="460" t="str">
        <f t="shared" ca="1" si="53"/>
        <v>0</v>
      </c>
      <c r="AQ402" s="460" t="str">
        <f>IF(申込書!$C$38="","",申込書!$C$38)</f>
        <v/>
      </c>
    </row>
    <row r="403" spans="1:43">
      <c r="A403" s="463">
        <f t="shared" si="54"/>
        <v>402</v>
      </c>
      <c r="B403" s="463" t="str">
        <f t="shared" si="55"/>
        <v>東部</v>
      </c>
      <c r="C403" s="464" t="s">
        <v>1151</v>
      </c>
      <c r="D403" s="464" t="s">
        <v>1602</v>
      </c>
      <c r="E403" s="464">
        <f>VLOOKUP(D403,★折込地区!$A$2:$D$10,4,FALSE)</f>
        <v>2</v>
      </c>
      <c r="F403" s="464" t="s">
        <v>400</v>
      </c>
      <c r="G403" s="464" t="str">
        <f>INDEX(★新聞!$E$4:$I$12, MATCH(LEFT(F403),★新聞!$A$4:$A$12,0), MATCH(LEFT(W403),★新聞!$E$3:$I$3,0))</f>
        <v>X</v>
      </c>
      <c r="H403" s="475" t="s">
        <v>1105</v>
      </c>
      <c r="I403" s="464" cm="1">
        <f t="array" ref="I403">IFERROR(INDEX(★原価率!$A$2:$E$50,MATCH($C403&amp;$H403,★原価率!$A$2:$A$50&amp;★原価率!$B$2:$B$50,0),3),0)</f>
        <v>78</v>
      </c>
      <c r="J403" s="464" cm="1">
        <f t="array" ref="J403">IFERROR(INDEX(★原価率!$A$2:$E$50,MATCH($C403&amp;$H403,★原価率!$A$2:$A$50&amp;★原価率!$B$2:$B$50,0),4),0)</f>
        <v>82</v>
      </c>
      <c r="K403" s="464" cm="1">
        <f t="array" ref="K403">IFERROR(INDEX(★原価率!$A$2:$E$50,MATCH($C403&amp;$H403,★原価率!$A$2:$A$50&amp;★原価率!$B$2:$B$50,0),5),0)</f>
        <v>100</v>
      </c>
      <c r="L403" s="528">
        <f>IFERROR(VLOOKUP(W403,★商品!$A$1:$H$1231,8,FALSE),0)</f>
        <v>2.8</v>
      </c>
      <c r="M403" s="203" t="str">
        <f ca="1">CONCATENATE(VLOOKUP(B403,★営業所!$A$2:$B$5,2,FALSE),TEXT(NOW(),"yyyy"))</f>
        <v>T2023</v>
      </c>
      <c r="N403" s="203">
        <v>1</v>
      </c>
      <c r="O403" s="203">
        <v>0</v>
      </c>
      <c r="P403" s="213">
        <f>申込書!$B$6</f>
        <v>0</v>
      </c>
      <c r="Q403" s="203">
        <f>申込書!$C$34</f>
        <v>1000040</v>
      </c>
      <c r="R403" s="203">
        <v>0</v>
      </c>
      <c r="U403" s="203">
        <f>VLOOKUP(B403,★営業所!$A$2:$C$5,3,FALSE)</f>
        <v>8</v>
      </c>
      <c r="V403" s="203">
        <f>申込書!$B$9</f>
        <v>0</v>
      </c>
      <c r="W403" s="203" t="str">
        <f>CONCATENATE(VLOOKUP(B403,★営業所!$A$2:$B$5,2,FALSE),VLOOKUP(申込書!$C$32,★サイズ表記!$D$4:$E$55,2,FALSE),VLOOKUP(D403,★折込地区!$A$2:$B$11,2,FALSE))</f>
        <v>T1001Kry</v>
      </c>
      <c r="X403" s="203" t="str">
        <f>CONCATENATE(申込書!$B$9," ",VLOOKUP(RIGHT(W403,3),★折込地区!$B$2:$C$10,2,FALSE),"")</f>
        <v xml:space="preserve"> 倉吉</v>
      </c>
      <c r="Z403" s="206">
        <f t="shared" ca="1" si="48"/>
        <v>0</v>
      </c>
      <c r="AB403" s="383">
        <f t="shared" si="49"/>
        <v>2.8</v>
      </c>
      <c r="AC403" s="203" t="str">
        <f t="shared" si="50"/>
        <v>D1001</v>
      </c>
      <c r="AD403" s="203" t="str">
        <f>VLOOKUP(AC403,★原価商品!$E$6:$F$349,2,FALSE)</f>
        <v>日本海/B4（折り無し）</v>
      </c>
      <c r="AE403" s="203">
        <f t="shared" ca="1" si="51"/>
        <v>0</v>
      </c>
      <c r="AF403" s="383">
        <f>IFERROR(IF(VLOOKUP(申込書!$C$32,★サイズ表記!$F$4:$H$55,3,FALSE)="切り捨て",ROUNDDOWN(L403*IF(AK403="◎",I403,J403)/100,2),IF(VLOOKUP(申込書!$C$32,★サイズ表記!$F$4:$H$55,3,FALSE)="切り上げ",ROUNDUP(L403*IF(AK403="◎",I403,J403)/100,2),ROUND(L403*IF(AK403="◎",I403,J403)/100,2))),0)</f>
        <v>2.1800000000000002</v>
      </c>
      <c r="AG403" s="203">
        <f t="shared" ca="1" si="52"/>
        <v>10303</v>
      </c>
      <c r="AJ403" s="460" t="str">
        <f>IFERROR(VLOOKUP(申込書!$C$30,★業種!$D$2:$E$87,2,FALSE),"")</f>
        <v>1003</v>
      </c>
      <c r="AK403" s="460" t="str">
        <f>IF(申込書!$C$36="◎",IF(OR(D403="浜坂・温泉",D403="美方・村岡",D403="香住",D403="岡山",D403="大阪"),"",IF(LEFT(F403)="D","◎",IF(AG403=0,"",IFERROR(IF(VLOOKUP(AG403,★仕入先!$A$2:$C$211,3,FALSE)=0,"","◎"),"")))),"")</f>
        <v>◎</v>
      </c>
      <c r="AL403" s="460">
        <f>申込書!$H$14</f>
        <v>0</v>
      </c>
      <c r="AM403" s="460" t="str">
        <f>申込書!$C$32</f>
        <v>B4（折り無し）</v>
      </c>
      <c r="AN403" s="460" t="str">
        <f>VLOOKUP(AM403,★サイズ表記!$D$4:$E$55,2,FALSE)</f>
        <v>1001</v>
      </c>
      <c r="AO403" s="460">
        <f>IF(C403&lt;&gt;"⑧兵庫",VLOOKUP(LEFT(F403),★新聞!$A$4:$B$12,2,FALSE),IF(LEFT(F403)&lt;&gt;"S",VLOOKUP(LEFT(F403),★新聞!$A$4:$B$12,2,FALSE),VLOOKUP("X",★新聞!$A$4:$B$12,2,FALSE)))</f>
        <v>1</v>
      </c>
      <c r="AP403" s="460" t="str">
        <f t="shared" ca="1" si="53"/>
        <v>0</v>
      </c>
      <c r="AQ403" s="460" t="str">
        <f>IF(申込書!$C$38="","",申込書!$C$38)</f>
        <v/>
      </c>
    </row>
    <row r="404" spans="1:43">
      <c r="A404" s="463">
        <f t="shared" si="54"/>
        <v>403</v>
      </c>
      <c r="B404" s="463" t="str">
        <f t="shared" si="55"/>
        <v>東部</v>
      </c>
      <c r="C404" s="464" t="s">
        <v>1151</v>
      </c>
      <c r="D404" s="464" t="s">
        <v>1602</v>
      </c>
      <c r="E404" s="464">
        <f>VLOOKUP(D404,★折込地区!$A$2:$D$10,4,FALSE)</f>
        <v>2</v>
      </c>
      <c r="F404" s="464" t="s">
        <v>401</v>
      </c>
      <c r="G404" s="464" t="str">
        <f>INDEX(★新聞!$E$4:$I$12, MATCH(LEFT(F404),★新聞!$A$4:$A$12,0), MATCH(LEFT(W404),★新聞!$E$3:$I$3,0))</f>
        <v>X</v>
      </c>
      <c r="H404" s="475" t="s">
        <v>1105</v>
      </c>
      <c r="I404" s="464" cm="1">
        <f t="array" ref="I404">IFERROR(INDEX(★原価率!$A$2:$E$50,MATCH($C404&amp;$H404,★原価率!$A$2:$A$50&amp;★原価率!$B$2:$B$50,0),3),0)</f>
        <v>78</v>
      </c>
      <c r="J404" s="464" cm="1">
        <f t="array" ref="J404">IFERROR(INDEX(★原価率!$A$2:$E$50,MATCH($C404&amp;$H404,★原価率!$A$2:$A$50&amp;★原価率!$B$2:$B$50,0),4),0)</f>
        <v>82</v>
      </c>
      <c r="K404" s="464" cm="1">
        <f t="array" ref="K404">IFERROR(INDEX(★原価率!$A$2:$E$50,MATCH($C404&amp;$H404,★原価率!$A$2:$A$50&amp;★原価率!$B$2:$B$50,0),5),0)</f>
        <v>100</v>
      </c>
      <c r="L404" s="528">
        <f>IFERROR(VLOOKUP(W404,★商品!$A$1:$H$1231,8,FALSE),0)</f>
        <v>2.8</v>
      </c>
      <c r="M404" s="203" t="str">
        <f ca="1">CONCATENATE(VLOOKUP(B404,★営業所!$A$2:$B$5,2,FALSE),TEXT(NOW(),"yyyy"))</f>
        <v>T2023</v>
      </c>
      <c r="N404" s="203">
        <v>1</v>
      </c>
      <c r="O404" s="203">
        <v>0</v>
      </c>
      <c r="P404" s="213">
        <f>申込書!$B$6</f>
        <v>0</v>
      </c>
      <c r="Q404" s="203">
        <f>申込書!$C$34</f>
        <v>1000040</v>
      </c>
      <c r="R404" s="203">
        <v>0</v>
      </c>
      <c r="U404" s="203">
        <f>VLOOKUP(B404,★営業所!$A$2:$C$5,3,FALSE)</f>
        <v>8</v>
      </c>
      <c r="V404" s="203">
        <f>申込書!$B$9</f>
        <v>0</v>
      </c>
      <c r="W404" s="203" t="str">
        <f>CONCATENATE(VLOOKUP(B404,★営業所!$A$2:$B$5,2,FALSE),VLOOKUP(申込書!$C$32,★サイズ表記!$D$4:$E$55,2,FALSE),VLOOKUP(D404,★折込地区!$A$2:$B$11,2,FALSE))</f>
        <v>T1001Kry</v>
      </c>
      <c r="X404" s="203" t="str">
        <f>CONCATENATE(申込書!$B$9," ",VLOOKUP(RIGHT(W404,3),★折込地区!$B$2:$C$10,2,FALSE),"")</f>
        <v xml:space="preserve"> 倉吉</v>
      </c>
      <c r="Z404" s="206">
        <f t="shared" ca="1" si="48"/>
        <v>0</v>
      </c>
      <c r="AB404" s="383">
        <f t="shared" si="49"/>
        <v>2.8</v>
      </c>
      <c r="AC404" s="203" t="str">
        <f t="shared" si="50"/>
        <v>D1001</v>
      </c>
      <c r="AD404" s="203" t="str">
        <f>VLOOKUP(AC404,★原価商品!$E$6:$F$349,2,FALSE)</f>
        <v>日本海/B4（折り無し）</v>
      </c>
      <c r="AE404" s="203">
        <f t="shared" ca="1" si="51"/>
        <v>0</v>
      </c>
      <c r="AF404" s="383">
        <f>IFERROR(IF(VLOOKUP(申込書!$C$32,★サイズ表記!$F$4:$H$55,3,FALSE)="切り捨て",ROUNDDOWN(L404*IF(AK404="◎",I404,J404)/100,2),IF(VLOOKUP(申込書!$C$32,★サイズ表記!$F$4:$H$55,3,FALSE)="切り上げ",ROUNDUP(L404*IF(AK404="◎",I404,J404)/100,2),ROUND(L404*IF(AK404="◎",I404,J404)/100,2))),0)</f>
        <v>2.1800000000000002</v>
      </c>
      <c r="AG404" s="203">
        <f t="shared" ca="1" si="52"/>
        <v>10303</v>
      </c>
      <c r="AJ404" s="460" t="str">
        <f>IFERROR(VLOOKUP(申込書!$C$30,★業種!$D$2:$E$87,2,FALSE),"")</f>
        <v>1003</v>
      </c>
      <c r="AK404" s="460" t="str">
        <f>IF(申込書!$C$36="◎",IF(OR(D404="浜坂・温泉",D404="美方・村岡",D404="香住",D404="岡山",D404="大阪"),"",IF(LEFT(F404)="D","◎",IF(AG404=0,"",IFERROR(IF(VLOOKUP(AG404,★仕入先!$A$2:$C$211,3,FALSE)=0,"","◎"),"")))),"")</f>
        <v>◎</v>
      </c>
      <c r="AL404" s="460">
        <f>申込書!$H$14</f>
        <v>0</v>
      </c>
      <c r="AM404" s="460" t="str">
        <f>申込書!$C$32</f>
        <v>B4（折り無し）</v>
      </c>
      <c r="AN404" s="460" t="str">
        <f>VLOOKUP(AM404,★サイズ表記!$D$4:$E$55,2,FALSE)</f>
        <v>1001</v>
      </c>
      <c r="AO404" s="460">
        <f>IF(C404&lt;&gt;"⑧兵庫",VLOOKUP(LEFT(F404),★新聞!$A$4:$B$12,2,FALSE),IF(LEFT(F404)&lt;&gt;"S",VLOOKUP(LEFT(F404),★新聞!$A$4:$B$12,2,FALSE),VLOOKUP("X",★新聞!$A$4:$B$12,2,FALSE)))</f>
        <v>1</v>
      </c>
      <c r="AP404" s="460" t="str">
        <f t="shared" ca="1" si="53"/>
        <v>0</v>
      </c>
      <c r="AQ404" s="460" t="str">
        <f>IF(申込書!$C$38="","",申込書!$C$38)</f>
        <v/>
      </c>
    </row>
    <row r="405" spans="1:43">
      <c r="A405" s="463">
        <f t="shared" si="54"/>
        <v>404</v>
      </c>
      <c r="B405" s="463" t="str">
        <f t="shared" si="55"/>
        <v>東部</v>
      </c>
      <c r="C405" s="464" t="s">
        <v>1151</v>
      </c>
      <c r="D405" s="464" t="s">
        <v>1602</v>
      </c>
      <c r="E405" s="464">
        <f>VLOOKUP(D405,★折込地区!$A$2:$D$10,4,FALSE)</f>
        <v>2</v>
      </c>
      <c r="F405" s="464" t="s">
        <v>402</v>
      </c>
      <c r="G405" s="464" t="str">
        <f>INDEX(★新聞!$E$4:$I$12, MATCH(LEFT(F405),★新聞!$A$4:$A$12,0), MATCH(LEFT(W405),★新聞!$E$3:$I$3,0))</f>
        <v>X</v>
      </c>
      <c r="H405" s="475" t="s">
        <v>1105</v>
      </c>
      <c r="I405" s="464" cm="1">
        <f t="array" ref="I405">IFERROR(INDEX(★原価率!$A$2:$E$50,MATCH($C405&amp;$H405,★原価率!$A$2:$A$50&amp;★原価率!$B$2:$B$50,0),3),0)</f>
        <v>78</v>
      </c>
      <c r="J405" s="464" cm="1">
        <f t="array" ref="J405">IFERROR(INDEX(★原価率!$A$2:$E$50,MATCH($C405&amp;$H405,★原価率!$A$2:$A$50&amp;★原価率!$B$2:$B$50,0),4),0)</f>
        <v>82</v>
      </c>
      <c r="K405" s="464" cm="1">
        <f t="array" ref="K405">IFERROR(INDEX(★原価率!$A$2:$E$50,MATCH($C405&amp;$H405,★原価率!$A$2:$A$50&amp;★原価率!$B$2:$B$50,0),5),0)</f>
        <v>100</v>
      </c>
      <c r="L405" s="528">
        <f>IFERROR(VLOOKUP(W405,★商品!$A$1:$H$1231,8,FALSE),0)</f>
        <v>2.8</v>
      </c>
      <c r="M405" s="203" t="str">
        <f ca="1">CONCATENATE(VLOOKUP(B405,★営業所!$A$2:$B$5,2,FALSE),TEXT(NOW(),"yyyy"))</f>
        <v>T2023</v>
      </c>
      <c r="N405" s="203">
        <v>1</v>
      </c>
      <c r="O405" s="203">
        <v>0</v>
      </c>
      <c r="P405" s="213">
        <f>申込書!$B$6</f>
        <v>0</v>
      </c>
      <c r="Q405" s="203">
        <f>申込書!$C$34</f>
        <v>1000040</v>
      </c>
      <c r="R405" s="203">
        <v>0</v>
      </c>
      <c r="U405" s="203">
        <f>VLOOKUP(B405,★営業所!$A$2:$C$5,3,FALSE)</f>
        <v>8</v>
      </c>
      <c r="V405" s="203">
        <f>申込書!$B$9</f>
        <v>0</v>
      </c>
      <c r="W405" s="203" t="str">
        <f>CONCATENATE(VLOOKUP(B405,★営業所!$A$2:$B$5,2,FALSE),VLOOKUP(申込書!$C$32,★サイズ表記!$D$4:$E$55,2,FALSE),VLOOKUP(D405,★折込地区!$A$2:$B$11,2,FALSE))</f>
        <v>T1001Kry</v>
      </c>
      <c r="X405" s="203" t="str">
        <f>CONCATENATE(申込書!$B$9," ",VLOOKUP(RIGHT(W405,3),★折込地区!$B$2:$C$10,2,FALSE),"")</f>
        <v xml:space="preserve"> 倉吉</v>
      </c>
      <c r="Z405" s="206">
        <f t="shared" ca="1" si="48"/>
        <v>0</v>
      </c>
      <c r="AB405" s="383">
        <f t="shared" si="49"/>
        <v>2.8</v>
      </c>
      <c r="AC405" s="203" t="str">
        <f t="shared" si="50"/>
        <v>D1001</v>
      </c>
      <c r="AD405" s="203" t="str">
        <f>VLOOKUP(AC405,★原価商品!$E$6:$F$349,2,FALSE)</f>
        <v>日本海/B4（折り無し）</v>
      </c>
      <c r="AE405" s="203">
        <f t="shared" ca="1" si="51"/>
        <v>0</v>
      </c>
      <c r="AF405" s="383">
        <f>IFERROR(IF(VLOOKUP(申込書!$C$32,★サイズ表記!$F$4:$H$55,3,FALSE)="切り捨て",ROUNDDOWN(L405*IF(AK405="◎",I405,J405)/100,2),IF(VLOOKUP(申込書!$C$32,★サイズ表記!$F$4:$H$55,3,FALSE)="切り上げ",ROUNDUP(L405*IF(AK405="◎",I405,J405)/100,2),ROUND(L405*IF(AK405="◎",I405,J405)/100,2))),0)</f>
        <v>2.1800000000000002</v>
      </c>
      <c r="AG405" s="203">
        <f t="shared" ca="1" si="52"/>
        <v>10303</v>
      </c>
      <c r="AJ405" s="460" t="str">
        <f>IFERROR(VLOOKUP(申込書!$C$30,★業種!$D$2:$E$87,2,FALSE),"")</f>
        <v>1003</v>
      </c>
      <c r="AK405" s="460" t="str">
        <f>IF(申込書!$C$36="◎",IF(OR(D405="浜坂・温泉",D405="美方・村岡",D405="香住",D405="岡山",D405="大阪"),"",IF(LEFT(F405)="D","◎",IF(AG405=0,"",IFERROR(IF(VLOOKUP(AG405,★仕入先!$A$2:$C$211,3,FALSE)=0,"","◎"),"")))),"")</f>
        <v>◎</v>
      </c>
      <c r="AL405" s="460">
        <f>申込書!$H$14</f>
        <v>0</v>
      </c>
      <c r="AM405" s="460" t="str">
        <f>申込書!$C$32</f>
        <v>B4（折り無し）</v>
      </c>
      <c r="AN405" s="460" t="str">
        <f>VLOOKUP(AM405,★サイズ表記!$D$4:$E$55,2,FALSE)</f>
        <v>1001</v>
      </c>
      <c r="AO405" s="460">
        <f>IF(C405&lt;&gt;"⑧兵庫",VLOOKUP(LEFT(F405),★新聞!$A$4:$B$12,2,FALSE),IF(LEFT(F405)&lt;&gt;"S",VLOOKUP(LEFT(F405),★新聞!$A$4:$B$12,2,FALSE),VLOOKUP("X",★新聞!$A$4:$B$12,2,FALSE)))</f>
        <v>1</v>
      </c>
      <c r="AP405" s="460" t="str">
        <f t="shared" ca="1" si="53"/>
        <v>0</v>
      </c>
      <c r="AQ405" s="460" t="str">
        <f>IF(申込書!$C$38="","",申込書!$C$38)</f>
        <v/>
      </c>
    </row>
    <row r="406" spans="1:43">
      <c r="A406" s="463">
        <f t="shared" si="54"/>
        <v>405</v>
      </c>
      <c r="B406" s="463" t="str">
        <f t="shared" si="55"/>
        <v>東部</v>
      </c>
      <c r="C406" s="464" t="s">
        <v>1151</v>
      </c>
      <c r="D406" s="464" t="s">
        <v>1602</v>
      </c>
      <c r="E406" s="464">
        <f>VLOOKUP(D406,★折込地区!$A$2:$D$10,4,FALSE)</f>
        <v>2</v>
      </c>
      <c r="F406" s="464" t="s">
        <v>403</v>
      </c>
      <c r="G406" s="464" t="str">
        <f>INDEX(★新聞!$E$4:$I$12, MATCH(LEFT(F406),★新聞!$A$4:$A$12,0), MATCH(LEFT(W406),★新聞!$E$3:$I$3,0))</f>
        <v>X</v>
      </c>
      <c r="H406" s="475" t="s">
        <v>1105</v>
      </c>
      <c r="I406" s="464" cm="1">
        <f t="array" ref="I406">IFERROR(INDEX(★原価率!$A$2:$E$50,MATCH($C406&amp;$H406,★原価率!$A$2:$A$50&amp;★原価率!$B$2:$B$50,0),3),0)</f>
        <v>78</v>
      </c>
      <c r="J406" s="464" cm="1">
        <f t="array" ref="J406">IFERROR(INDEX(★原価率!$A$2:$E$50,MATCH($C406&amp;$H406,★原価率!$A$2:$A$50&amp;★原価率!$B$2:$B$50,0),4),0)</f>
        <v>82</v>
      </c>
      <c r="K406" s="464" cm="1">
        <f t="array" ref="K406">IFERROR(INDEX(★原価率!$A$2:$E$50,MATCH($C406&amp;$H406,★原価率!$A$2:$A$50&amp;★原価率!$B$2:$B$50,0),5),0)</f>
        <v>100</v>
      </c>
      <c r="L406" s="528">
        <f>IFERROR(VLOOKUP(W406,★商品!$A$1:$H$1231,8,FALSE),0)</f>
        <v>2.8</v>
      </c>
      <c r="M406" s="203" t="str">
        <f ca="1">CONCATENATE(VLOOKUP(B406,★営業所!$A$2:$B$5,2,FALSE),TEXT(NOW(),"yyyy"))</f>
        <v>T2023</v>
      </c>
      <c r="N406" s="203">
        <v>1</v>
      </c>
      <c r="O406" s="203">
        <v>0</v>
      </c>
      <c r="P406" s="213">
        <f>申込書!$B$6</f>
        <v>0</v>
      </c>
      <c r="Q406" s="203">
        <f>申込書!$C$34</f>
        <v>1000040</v>
      </c>
      <c r="R406" s="203">
        <v>0</v>
      </c>
      <c r="U406" s="203">
        <f>VLOOKUP(B406,★営業所!$A$2:$C$5,3,FALSE)</f>
        <v>8</v>
      </c>
      <c r="V406" s="203">
        <f>申込書!$B$9</f>
        <v>0</v>
      </c>
      <c r="W406" s="203" t="str">
        <f>CONCATENATE(VLOOKUP(B406,★営業所!$A$2:$B$5,2,FALSE),VLOOKUP(申込書!$C$32,★サイズ表記!$D$4:$E$55,2,FALSE),VLOOKUP(D406,★折込地区!$A$2:$B$11,2,FALSE))</f>
        <v>T1001Kry</v>
      </c>
      <c r="X406" s="203" t="str">
        <f>CONCATENATE(申込書!$B$9," ",VLOOKUP(RIGHT(W406,3),★折込地区!$B$2:$C$10,2,FALSE),"")</f>
        <v xml:space="preserve"> 倉吉</v>
      </c>
      <c r="Z406" s="206">
        <f t="shared" ca="1" si="48"/>
        <v>0</v>
      </c>
      <c r="AB406" s="383">
        <f t="shared" si="49"/>
        <v>2.8</v>
      </c>
      <c r="AC406" s="203" t="str">
        <f t="shared" si="50"/>
        <v>D1001</v>
      </c>
      <c r="AD406" s="203" t="str">
        <f>VLOOKUP(AC406,★原価商品!$E$6:$F$349,2,FALSE)</f>
        <v>日本海/B4（折り無し）</v>
      </c>
      <c r="AE406" s="203">
        <f t="shared" ca="1" si="51"/>
        <v>0</v>
      </c>
      <c r="AF406" s="383">
        <f>IFERROR(IF(VLOOKUP(申込書!$C$32,★サイズ表記!$F$4:$H$55,3,FALSE)="切り捨て",ROUNDDOWN(L406*IF(AK406="◎",I406,J406)/100,2),IF(VLOOKUP(申込書!$C$32,★サイズ表記!$F$4:$H$55,3,FALSE)="切り上げ",ROUNDUP(L406*IF(AK406="◎",I406,J406)/100,2),ROUND(L406*IF(AK406="◎",I406,J406)/100,2))),0)</f>
        <v>2.1800000000000002</v>
      </c>
      <c r="AG406" s="203">
        <f t="shared" ca="1" si="52"/>
        <v>10303</v>
      </c>
      <c r="AJ406" s="460" t="str">
        <f>IFERROR(VLOOKUP(申込書!$C$30,★業種!$D$2:$E$87,2,FALSE),"")</f>
        <v>1003</v>
      </c>
      <c r="AK406" s="460" t="str">
        <f>IF(申込書!$C$36="◎",IF(OR(D406="浜坂・温泉",D406="美方・村岡",D406="香住",D406="岡山",D406="大阪"),"",IF(LEFT(F406)="D","◎",IF(AG406=0,"",IFERROR(IF(VLOOKUP(AG406,★仕入先!$A$2:$C$211,3,FALSE)=0,"","◎"),"")))),"")</f>
        <v>◎</v>
      </c>
      <c r="AL406" s="460">
        <f>申込書!$H$14</f>
        <v>0</v>
      </c>
      <c r="AM406" s="460" t="str">
        <f>申込書!$C$32</f>
        <v>B4（折り無し）</v>
      </c>
      <c r="AN406" s="460" t="str">
        <f>VLOOKUP(AM406,★サイズ表記!$D$4:$E$55,2,FALSE)</f>
        <v>1001</v>
      </c>
      <c r="AO406" s="460">
        <f>IF(C406&lt;&gt;"⑧兵庫",VLOOKUP(LEFT(F406),★新聞!$A$4:$B$12,2,FALSE),IF(LEFT(F406)&lt;&gt;"S",VLOOKUP(LEFT(F406),★新聞!$A$4:$B$12,2,FALSE),VLOOKUP("X",★新聞!$A$4:$B$12,2,FALSE)))</f>
        <v>1</v>
      </c>
      <c r="AP406" s="460" t="str">
        <f t="shared" ca="1" si="53"/>
        <v>0</v>
      </c>
      <c r="AQ406" s="460" t="str">
        <f>IF(申込書!$C$38="","",申込書!$C$38)</f>
        <v/>
      </c>
    </row>
    <row r="407" spans="1:43">
      <c r="A407" s="463">
        <f t="shared" si="54"/>
        <v>406</v>
      </c>
      <c r="B407" s="463" t="str">
        <f t="shared" si="55"/>
        <v>東部</v>
      </c>
      <c r="C407" s="464" t="s">
        <v>1151</v>
      </c>
      <c r="D407" s="464" t="s">
        <v>42</v>
      </c>
      <c r="E407" s="464">
        <f>VLOOKUP(D407,★折込地区!$A$2:$D$10,4,FALSE)</f>
        <v>7</v>
      </c>
      <c r="F407" s="464" t="s">
        <v>566</v>
      </c>
      <c r="G407" s="464" t="str">
        <f>INDEX(★新聞!$E$4:$I$12, MATCH(LEFT(F407),★新聞!$A$4:$A$12,0), MATCH(LEFT(W407),★新聞!$E$3:$I$3,0))</f>
        <v>X</v>
      </c>
      <c r="H407" s="475" t="s">
        <v>1110</v>
      </c>
      <c r="I407" s="464" cm="1">
        <f t="array" ref="I407">IFERROR(INDEX(★原価率!$A$2:$E$50,MATCH($C407&amp;$H407,★原価率!$A$2:$A$50&amp;★原価率!$B$2:$B$50,0),3),0)</f>
        <v>100</v>
      </c>
      <c r="J407" s="464" cm="1">
        <f t="array" ref="J407">IFERROR(INDEX(★原価率!$A$2:$E$50,MATCH($C407&amp;$H407,★原価率!$A$2:$A$50&amp;★原価率!$B$2:$B$50,0),4),0)</f>
        <v>100</v>
      </c>
      <c r="K407" s="464" cm="1">
        <f t="array" ref="K407">IFERROR(INDEX(★原価率!$A$2:$E$50,MATCH($C407&amp;$H407,★原価率!$A$2:$A$50&amp;★原価率!$B$2:$B$50,0),5),0)</f>
        <v>100</v>
      </c>
      <c r="L407" s="528">
        <f>IFERROR(VLOOKUP(W407,★商品!$A$1:$H$1231,8,FALSE),0)</f>
        <v>3</v>
      </c>
      <c r="M407" s="203" t="str">
        <f ca="1">CONCATENATE(VLOOKUP(B407,★営業所!$A$2:$B$5,2,FALSE),TEXT(NOW(),"yyyy"))</f>
        <v>T2023</v>
      </c>
      <c r="N407" s="203">
        <v>1</v>
      </c>
      <c r="O407" s="203">
        <v>0</v>
      </c>
      <c r="P407" s="213">
        <f>申込書!$B$6</f>
        <v>0</v>
      </c>
      <c r="Q407" s="203">
        <f>申込書!$C$34</f>
        <v>1000040</v>
      </c>
      <c r="R407" s="203">
        <v>0</v>
      </c>
      <c r="U407" s="203">
        <f>VLOOKUP(B407,★営業所!$A$2:$C$5,3,FALSE)</f>
        <v>8</v>
      </c>
      <c r="V407" s="203">
        <f>申込書!$B$9</f>
        <v>0</v>
      </c>
      <c r="W407" s="203" t="str">
        <f>CONCATENATE(VLOOKUP(B407,★営業所!$A$2:$B$5,2,FALSE),VLOOKUP(申込書!$C$32,★サイズ表記!$D$4:$E$55,2,FALSE),VLOOKUP(D407,★折込地区!$A$2:$B$11,2,FALSE))</f>
        <v>T1001Oka</v>
      </c>
      <c r="X407" s="203" t="str">
        <f>CONCATENATE(申込書!$B$9," ",VLOOKUP(RIGHT(W407,3),★折込地区!$B$2:$C$10,2,FALSE),"")</f>
        <v xml:space="preserve"> 岡山</v>
      </c>
      <c r="Z407" s="206">
        <f t="shared" ca="1" si="48"/>
        <v>0</v>
      </c>
      <c r="AB407" s="383">
        <f t="shared" si="49"/>
        <v>3</v>
      </c>
      <c r="AC407" s="203" t="str">
        <f t="shared" si="50"/>
        <v>D1001</v>
      </c>
      <c r="AD407" s="203" t="str">
        <f>VLOOKUP(AC407,★原価商品!$E$6:$F$349,2,FALSE)</f>
        <v>日本海/B4（折り無し）</v>
      </c>
      <c r="AE407" s="203">
        <f t="shared" ca="1" si="51"/>
        <v>0</v>
      </c>
      <c r="AF407" s="383">
        <f>IFERROR(IF(VLOOKUP(申込書!$C$32,★サイズ表記!$F$4:$H$55,3,FALSE)="切り捨て",ROUNDDOWN(L407*IF(AK407="◎",I407,J407)/100,2),IF(VLOOKUP(申込書!$C$32,★サイズ表記!$F$4:$H$55,3,FALSE)="切り上げ",ROUNDUP(L407*IF(AK407="◎",I407,J407)/100,2),ROUND(L407*IF(AK407="◎",I407,J407)/100,2))),0)</f>
        <v>3</v>
      </c>
      <c r="AG407" s="203">
        <f t="shared" ca="1" si="52"/>
        <v>10303</v>
      </c>
      <c r="AJ407" s="460" t="str">
        <f>IFERROR(VLOOKUP(申込書!$C$30,★業種!$D$2:$E$87,2,FALSE),"")</f>
        <v>1003</v>
      </c>
      <c r="AK407" s="460" t="str">
        <f>IF(申込書!$C$36="◎",IF(OR(D407="浜坂・温泉",D407="美方・村岡",D407="香住",D407="岡山",D407="大阪"),"",IF(LEFT(F407)="D","◎",IF(AG407=0,"",IFERROR(IF(VLOOKUP(AG407,★仕入先!$A$2:$C$211,3,FALSE)=0,"","◎"),"")))),"")</f>
        <v/>
      </c>
      <c r="AL407" s="460">
        <f>申込書!$H$14</f>
        <v>0</v>
      </c>
      <c r="AM407" s="460" t="str">
        <f>申込書!$C$32</f>
        <v>B4（折り無し）</v>
      </c>
      <c r="AN407" s="460" t="str">
        <f>VLOOKUP(AM407,★サイズ表記!$D$4:$E$55,2,FALSE)</f>
        <v>1001</v>
      </c>
      <c r="AO407" s="460">
        <f>IF(C407&lt;&gt;"⑧兵庫",VLOOKUP(LEFT(F407),★新聞!$A$4:$B$12,2,FALSE),IF(LEFT(F407)&lt;&gt;"S",VLOOKUP(LEFT(F407),★新聞!$A$4:$B$12,2,FALSE),VLOOKUP("X",★新聞!$A$4:$B$12,2,FALSE)))</f>
        <v>1</v>
      </c>
      <c r="AP407" s="460" t="str">
        <f t="shared" ca="1" si="53"/>
        <v>0</v>
      </c>
      <c r="AQ407" s="460" t="str">
        <f>IF(申込書!$C$38="","",申込書!$C$38)</f>
        <v/>
      </c>
    </row>
    <row r="408" spans="1:43">
      <c r="A408" s="463">
        <f t="shared" si="54"/>
        <v>407</v>
      </c>
      <c r="B408" s="463" t="str">
        <f t="shared" si="55"/>
        <v>東部</v>
      </c>
      <c r="C408" s="464" t="s">
        <v>1151</v>
      </c>
      <c r="D408" s="464" t="s">
        <v>42</v>
      </c>
      <c r="E408" s="464">
        <f>VLOOKUP(D408,★折込地区!$A$2:$D$10,4,FALSE)</f>
        <v>7</v>
      </c>
      <c r="F408" s="464" t="s">
        <v>567</v>
      </c>
      <c r="G408" s="464" t="str">
        <f>INDEX(★新聞!$E$4:$I$12, MATCH(LEFT(F408),★新聞!$A$4:$A$12,0), MATCH(LEFT(W408),★新聞!$E$3:$I$3,0))</f>
        <v>X</v>
      </c>
      <c r="H408" s="475" t="s">
        <v>1110</v>
      </c>
      <c r="I408" s="464" cm="1">
        <f t="array" ref="I408">IFERROR(INDEX(★原価率!$A$2:$E$50,MATCH($C408&amp;$H408,★原価率!$A$2:$A$50&amp;★原価率!$B$2:$B$50,0),3),0)</f>
        <v>100</v>
      </c>
      <c r="J408" s="464" cm="1">
        <f t="array" ref="J408">IFERROR(INDEX(★原価率!$A$2:$E$50,MATCH($C408&amp;$H408,★原価率!$A$2:$A$50&amp;★原価率!$B$2:$B$50,0),4),0)</f>
        <v>100</v>
      </c>
      <c r="K408" s="464" cm="1">
        <f t="array" ref="K408">IFERROR(INDEX(★原価率!$A$2:$E$50,MATCH($C408&amp;$H408,★原価率!$A$2:$A$50&amp;★原価率!$B$2:$B$50,0),5),0)</f>
        <v>100</v>
      </c>
      <c r="L408" s="528">
        <f>IFERROR(VLOOKUP(W408,★商品!$A$1:$H$1231,8,FALSE),0)</f>
        <v>3</v>
      </c>
      <c r="M408" s="203" t="str">
        <f ca="1">CONCATENATE(VLOOKUP(B408,★営業所!$A$2:$B$5,2,FALSE),TEXT(NOW(),"yyyy"))</f>
        <v>T2023</v>
      </c>
      <c r="N408" s="203">
        <v>1</v>
      </c>
      <c r="O408" s="203">
        <v>0</v>
      </c>
      <c r="P408" s="213">
        <f>申込書!$B$6</f>
        <v>0</v>
      </c>
      <c r="Q408" s="203">
        <f>申込書!$C$34</f>
        <v>1000040</v>
      </c>
      <c r="R408" s="203">
        <v>0</v>
      </c>
      <c r="U408" s="203">
        <f>VLOOKUP(B408,★営業所!$A$2:$C$5,3,FALSE)</f>
        <v>8</v>
      </c>
      <c r="V408" s="203">
        <f>申込書!$B$9</f>
        <v>0</v>
      </c>
      <c r="W408" s="203" t="str">
        <f>CONCATENATE(VLOOKUP(B408,★営業所!$A$2:$B$5,2,FALSE),VLOOKUP(申込書!$C$32,★サイズ表記!$D$4:$E$55,2,FALSE),VLOOKUP(D408,★折込地区!$A$2:$B$11,2,FALSE))</f>
        <v>T1001Oka</v>
      </c>
      <c r="X408" s="203" t="str">
        <f>CONCATENATE(申込書!$B$9," ",VLOOKUP(RIGHT(W408,3),★折込地区!$B$2:$C$10,2,FALSE),"")</f>
        <v xml:space="preserve"> 岡山</v>
      </c>
      <c r="Z408" s="206">
        <f t="shared" ca="1" si="48"/>
        <v>0</v>
      </c>
      <c r="AB408" s="383">
        <f t="shared" si="49"/>
        <v>3</v>
      </c>
      <c r="AC408" s="203" t="str">
        <f t="shared" si="50"/>
        <v>D1001</v>
      </c>
      <c r="AD408" s="203" t="str">
        <f>VLOOKUP(AC408,★原価商品!$E$6:$F$349,2,FALSE)</f>
        <v>日本海/B4（折り無し）</v>
      </c>
      <c r="AE408" s="203">
        <f t="shared" ca="1" si="51"/>
        <v>0</v>
      </c>
      <c r="AF408" s="383">
        <f>IFERROR(IF(VLOOKUP(申込書!$C$32,★サイズ表記!$F$4:$H$55,3,FALSE)="切り捨て",ROUNDDOWN(L408*IF(AK408="◎",I408,J408)/100,2),IF(VLOOKUP(申込書!$C$32,★サイズ表記!$F$4:$H$55,3,FALSE)="切り上げ",ROUNDUP(L408*IF(AK408="◎",I408,J408)/100,2),ROUND(L408*IF(AK408="◎",I408,J408)/100,2))),0)</f>
        <v>3</v>
      </c>
      <c r="AG408" s="203">
        <f t="shared" ca="1" si="52"/>
        <v>10303</v>
      </c>
      <c r="AJ408" s="460" t="str">
        <f>IFERROR(VLOOKUP(申込書!$C$30,★業種!$D$2:$E$87,2,FALSE),"")</f>
        <v>1003</v>
      </c>
      <c r="AK408" s="460" t="str">
        <f>IF(申込書!$C$36="◎",IF(OR(D408="浜坂・温泉",D408="美方・村岡",D408="香住",D408="岡山",D408="大阪"),"",IF(LEFT(F408)="D","◎",IF(AG408=0,"",IFERROR(IF(VLOOKUP(AG408,★仕入先!$A$2:$C$211,3,FALSE)=0,"","◎"),"")))),"")</f>
        <v/>
      </c>
      <c r="AL408" s="460">
        <f>申込書!$H$14</f>
        <v>0</v>
      </c>
      <c r="AM408" s="460" t="str">
        <f>申込書!$C$32</f>
        <v>B4（折り無し）</v>
      </c>
      <c r="AN408" s="460" t="str">
        <f>VLOOKUP(AM408,★サイズ表記!$D$4:$E$55,2,FALSE)</f>
        <v>1001</v>
      </c>
      <c r="AO408" s="460">
        <f>IF(C408&lt;&gt;"⑧兵庫",VLOOKUP(LEFT(F408),★新聞!$A$4:$B$12,2,FALSE),IF(LEFT(F408)&lt;&gt;"S",VLOOKUP(LEFT(F408),★新聞!$A$4:$B$12,2,FALSE),VLOOKUP("X",★新聞!$A$4:$B$12,2,FALSE)))</f>
        <v>1</v>
      </c>
      <c r="AP408" s="460" t="str">
        <f t="shared" ca="1" si="53"/>
        <v>0</v>
      </c>
      <c r="AQ408" s="460" t="str">
        <f>IF(申込書!$C$38="","",申込書!$C$38)</f>
        <v/>
      </c>
    </row>
    <row r="409" spans="1:43">
      <c r="A409" s="463">
        <f t="shared" si="54"/>
        <v>408</v>
      </c>
      <c r="B409" s="463" t="str">
        <f t="shared" si="55"/>
        <v>東部</v>
      </c>
      <c r="C409" s="464" t="s">
        <v>1151</v>
      </c>
      <c r="D409" s="464" t="s">
        <v>42</v>
      </c>
      <c r="E409" s="464">
        <f>VLOOKUP(D409,★折込地区!$A$2:$D$10,4,FALSE)</f>
        <v>7</v>
      </c>
      <c r="F409" s="464" t="s">
        <v>568</v>
      </c>
      <c r="G409" s="464" t="str">
        <f>INDEX(★新聞!$E$4:$I$12, MATCH(LEFT(F409),★新聞!$A$4:$A$12,0), MATCH(LEFT(W409),★新聞!$E$3:$I$3,0))</f>
        <v>X</v>
      </c>
      <c r="H409" s="475" t="s">
        <v>1110</v>
      </c>
      <c r="I409" s="464" cm="1">
        <f t="array" ref="I409">IFERROR(INDEX(★原価率!$A$2:$E$50,MATCH($C409&amp;$H409,★原価率!$A$2:$A$50&amp;★原価率!$B$2:$B$50,0),3),0)</f>
        <v>100</v>
      </c>
      <c r="J409" s="464" cm="1">
        <f t="array" ref="J409">IFERROR(INDEX(★原価率!$A$2:$E$50,MATCH($C409&amp;$H409,★原価率!$A$2:$A$50&amp;★原価率!$B$2:$B$50,0),4),0)</f>
        <v>100</v>
      </c>
      <c r="K409" s="464" cm="1">
        <f t="array" ref="K409">IFERROR(INDEX(★原価率!$A$2:$E$50,MATCH($C409&amp;$H409,★原価率!$A$2:$A$50&amp;★原価率!$B$2:$B$50,0),5),0)</f>
        <v>100</v>
      </c>
      <c r="L409" s="528">
        <f>IFERROR(VLOOKUP(W409,★商品!$A$1:$H$1231,8,FALSE),0)</f>
        <v>3</v>
      </c>
      <c r="M409" s="203" t="str">
        <f ca="1">CONCATENATE(VLOOKUP(B409,★営業所!$A$2:$B$5,2,FALSE),TEXT(NOW(),"yyyy"))</f>
        <v>T2023</v>
      </c>
      <c r="N409" s="203">
        <v>1</v>
      </c>
      <c r="O409" s="203">
        <v>0</v>
      </c>
      <c r="P409" s="213">
        <f>申込書!$B$6</f>
        <v>0</v>
      </c>
      <c r="Q409" s="203">
        <f>申込書!$C$34</f>
        <v>1000040</v>
      </c>
      <c r="R409" s="203">
        <v>0</v>
      </c>
      <c r="U409" s="203">
        <f>VLOOKUP(B409,★営業所!$A$2:$C$5,3,FALSE)</f>
        <v>8</v>
      </c>
      <c r="V409" s="203">
        <f>申込書!$B$9</f>
        <v>0</v>
      </c>
      <c r="W409" s="203" t="str">
        <f>CONCATENATE(VLOOKUP(B409,★営業所!$A$2:$B$5,2,FALSE),VLOOKUP(申込書!$C$32,★サイズ表記!$D$4:$E$55,2,FALSE),VLOOKUP(D409,★折込地区!$A$2:$B$11,2,FALSE))</f>
        <v>T1001Oka</v>
      </c>
      <c r="X409" s="203" t="str">
        <f>CONCATENATE(申込書!$B$9," ",VLOOKUP(RIGHT(W409,3),★折込地区!$B$2:$C$10,2,FALSE),"")</f>
        <v xml:space="preserve"> 岡山</v>
      </c>
      <c r="Z409" s="206">
        <f t="shared" ca="1" si="48"/>
        <v>0</v>
      </c>
      <c r="AB409" s="383">
        <f t="shared" si="49"/>
        <v>3</v>
      </c>
      <c r="AC409" s="203" t="str">
        <f t="shared" si="50"/>
        <v>D1001</v>
      </c>
      <c r="AD409" s="203" t="str">
        <f>VLOOKUP(AC409,★原価商品!$E$6:$F$349,2,FALSE)</f>
        <v>日本海/B4（折り無し）</v>
      </c>
      <c r="AE409" s="203">
        <f t="shared" ca="1" si="51"/>
        <v>0</v>
      </c>
      <c r="AF409" s="383">
        <f>IFERROR(IF(VLOOKUP(申込書!$C$32,★サイズ表記!$F$4:$H$55,3,FALSE)="切り捨て",ROUNDDOWN(L409*IF(AK409="◎",I409,J409)/100,2),IF(VLOOKUP(申込書!$C$32,★サイズ表記!$F$4:$H$55,3,FALSE)="切り上げ",ROUNDUP(L409*IF(AK409="◎",I409,J409)/100,2),ROUND(L409*IF(AK409="◎",I409,J409)/100,2))),0)</f>
        <v>3</v>
      </c>
      <c r="AG409" s="203">
        <f t="shared" ca="1" si="52"/>
        <v>10303</v>
      </c>
      <c r="AJ409" s="460" t="str">
        <f>IFERROR(VLOOKUP(申込書!$C$30,★業種!$D$2:$E$87,2,FALSE),"")</f>
        <v>1003</v>
      </c>
      <c r="AK409" s="460" t="str">
        <f>IF(申込書!$C$36="◎",IF(OR(D409="浜坂・温泉",D409="美方・村岡",D409="香住",D409="岡山",D409="大阪"),"",IF(LEFT(F409)="D","◎",IF(AG409=0,"",IFERROR(IF(VLOOKUP(AG409,★仕入先!$A$2:$C$211,3,FALSE)=0,"","◎"),"")))),"")</f>
        <v/>
      </c>
      <c r="AL409" s="460">
        <f>申込書!$H$14</f>
        <v>0</v>
      </c>
      <c r="AM409" s="460" t="str">
        <f>申込書!$C$32</f>
        <v>B4（折り無し）</v>
      </c>
      <c r="AN409" s="460" t="str">
        <f>VLOOKUP(AM409,★サイズ表記!$D$4:$E$55,2,FALSE)</f>
        <v>1001</v>
      </c>
      <c r="AO409" s="460">
        <f>IF(C409&lt;&gt;"⑧兵庫",VLOOKUP(LEFT(F409),★新聞!$A$4:$B$12,2,FALSE),IF(LEFT(F409)&lt;&gt;"S",VLOOKUP(LEFT(F409),★新聞!$A$4:$B$12,2,FALSE),VLOOKUP("X",★新聞!$A$4:$B$12,2,FALSE)))</f>
        <v>1</v>
      </c>
      <c r="AP409" s="460" t="str">
        <f t="shared" ca="1" si="53"/>
        <v>0</v>
      </c>
      <c r="AQ409" s="460" t="str">
        <f>IF(申込書!$C$38="","",申込書!$C$38)</f>
        <v/>
      </c>
    </row>
    <row r="410" spans="1:43">
      <c r="A410" s="463">
        <f t="shared" si="54"/>
        <v>409</v>
      </c>
      <c r="B410" s="463" t="str">
        <f t="shared" si="55"/>
        <v>東部</v>
      </c>
      <c r="C410" s="464" t="s">
        <v>1151</v>
      </c>
      <c r="D410" s="464" t="s">
        <v>1602</v>
      </c>
      <c r="E410" s="464">
        <f>VLOOKUP(D410,★折込地区!$A$2:$D$10,4,FALSE)</f>
        <v>2</v>
      </c>
      <c r="F410" s="464" t="s">
        <v>364</v>
      </c>
      <c r="G410" s="464" t="str">
        <f>INDEX(★新聞!$E$4:$I$12, MATCH(LEFT(F410),★新聞!$A$4:$A$12,0), MATCH(LEFT(W410),★新聞!$E$3:$I$3,0))</f>
        <v>AA</v>
      </c>
      <c r="H410" s="475" t="s">
        <v>1153</v>
      </c>
      <c r="I410" s="464" cm="1">
        <f t="array" ref="I410">IFERROR(INDEX(★原価率!$A$2:$E$50,MATCH($C410&amp;$H410,★原価率!$A$2:$A$50&amp;★原価率!$B$2:$B$50,0),3),0)</f>
        <v>90</v>
      </c>
      <c r="J410" s="464" cm="1">
        <f t="array" ref="J410">IFERROR(INDEX(★原価率!$A$2:$E$50,MATCH($C410&amp;$H410,★原価率!$A$2:$A$50&amp;★原価率!$B$2:$B$50,0),4),0)</f>
        <v>90</v>
      </c>
      <c r="K410" s="464" cm="1">
        <f t="array" ref="K410">IFERROR(INDEX(★原価率!$A$2:$E$50,MATCH($C410&amp;$H410,★原価率!$A$2:$A$50&amp;★原価率!$B$2:$B$50,0),5),0)</f>
        <v>100</v>
      </c>
      <c r="L410" s="528">
        <f>IFERROR(VLOOKUP(W410,★商品!$A$1:$H$1231,8,FALSE),0)</f>
        <v>2.8</v>
      </c>
      <c r="M410" s="203" t="str">
        <f ca="1">CONCATENATE(VLOOKUP(B410,★営業所!$A$2:$B$5,2,FALSE),TEXT(NOW(),"yyyy"))</f>
        <v>T2023</v>
      </c>
      <c r="N410" s="203">
        <v>1</v>
      </c>
      <c r="O410" s="203">
        <v>0</v>
      </c>
      <c r="P410" s="213">
        <f>申込書!$B$6</f>
        <v>0</v>
      </c>
      <c r="Q410" s="203">
        <f>申込書!$C$34</f>
        <v>1000040</v>
      </c>
      <c r="R410" s="203">
        <v>0</v>
      </c>
      <c r="U410" s="203">
        <f>VLOOKUP(B410,★営業所!$A$2:$C$5,3,FALSE)</f>
        <v>8</v>
      </c>
      <c r="V410" s="203">
        <f>申込書!$B$9</f>
        <v>0</v>
      </c>
      <c r="W410" s="203" t="str">
        <f>CONCATENATE(VLOOKUP(B410,★営業所!$A$2:$B$5,2,FALSE),VLOOKUP(申込書!$C$32,★サイズ表記!$D$4:$E$55,2,FALSE),VLOOKUP(D410,★折込地区!$A$2:$B$11,2,FALSE))</f>
        <v>T1001Kry</v>
      </c>
      <c r="X410" s="203" t="str">
        <f>CONCATENATE(申込書!$B$9," ",VLOOKUP(RIGHT(W410,3),★折込地区!$B$2:$C$10,2,FALSE),"")</f>
        <v xml:space="preserve"> 倉吉</v>
      </c>
      <c r="Z410" s="206">
        <f t="shared" ca="1" si="48"/>
        <v>0</v>
      </c>
      <c r="AB410" s="383">
        <f t="shared" si="49"/>
        <v>2.8</v>
      </c>
      <c r="AC410" s="203" t="str">
        <f t="shared" si="50"/>
        <v>G1001</v>
      </c>
      <c r="AD410" s="203" t="str">
        <f>VLOOKUP(AC410,★原価商品!$E$6:$F$349,2,FALSE)</f>
        <v>朝日/B4（折り無し）</v>
      </c>
      <c r="AE410" s="203">
        <f t="shared" ca="1" si="51"/>
        <v>0</v>
      </c>
      <c r="AF410" s="383">
        <f ca="1">IFERROR(IF(VLOOKUP(申込書!$C$32,★サイズ表記!$F$4:$H$55,3,FALSE)="切り捨て",ROUNDDOWN(L410*IF(AK410="◎",I410,J410)/100,2),IF(VLOOKUP(申込書!$C$32,★サイズ表記!$F$4:$H$55,3,FALSE)="切り上げ",ROUNDUP(L410*IF(AK410="◎",I410,J410)/100,2),ROUND(L410*IF(AK410="◎",I410,J410)/100,2))),0)</f>
        <v>2.52</v>
      </c>
      <c r="AG410" s="203">
        <f t="shared" ca="1" si="52"/>
        <v>10303</v>
      </c>
      <c r="AJ410" s="460" t="str">
        <f>IFERROR(VLOOKUP(申込書!$C$30,★業種!$D$2:$E$87,2,FALSE),"")</f>
        <v>1003</v>
      </c>
      <c r="AK410" s="460" t="str">
        <f ca="1">IF(申込書!$C$36="◎",IF(OR(D410="浜坂・温泉",D410="美方・村岡",D410="香住",D410="岡山",D410="大阪"),"",IF(LEFT(F410)="D","◎",IF(AG410=0,"",IFERROR(IF(VLOOKUP(AG410,★仕入先!$A$2:$C$211,3,FALSE)=0,"","◎"),"")))),"")</f>
        <v/>
      </c>
      <c r="AL410" s="460">
        <f>申込書!$H$14</f>
        <v>0</v>
      </c>
      <c r="AM410" s="460" t="str">
        <f>申込書!$C$32</f>
        <v>B4（折り無し）</v>
      </c>
      <c r="AN410" s="460" t="str">
        <f>VLOOKUP(AM410,★サイズ表記!$D$4:$E$55,2,FALSE)</f>
        <v>1001</v>
      </c>
      <c r="AO410" s="460">
        <f>IF(C410&lt;&gt;"⑧兵庫",VLOOKUP(LEFT(F410),★新聞!$A$4:$B$12,2,FALSE),IF(LEFT(F410)&lt;&gt;"S",VLOOKUP(LEFT(F410),★新聞!$A$4:$B$12,2,FALSE),VLOOKUP("X",★新聞!$A$4:$B$12,2,FALSE)))</f>
        <v>2</v>
      </c>
      <c r="AP410" s="460" t="str">
        <f t="shared" ca="1" si="53"/>
        <v>0</v>
      </c>
      <c r="AQ410" s="460" t="str">
        <f>IF(申込書!$C$38="","",申込書!$C$38)</f>
        <v/>
      </c>
    </row>
    <row r="411" spans="1:43">
      <c r="A411" s="463">
        <f t="shared" si="54"/>
        <v>410</v>
      </c>
      <c r="B411" s="463" t="str">
        <f t="shared" si="55"/>
        <v>東部</v>
      </c>
      <c r="C411" s="464" t="s">
        <v>1151</v>
      </c>
      <c r="D411" s="464" t="s">
        <v>1602</v>
      </c>
      <c r="E411" s="464">
        <f>VLOOKUP(D411,★折込地区!$A$2:$D$10,4,FALSE)</f>
        <v>2</v>
      </c>
      <c r="F411" s="464" t="s">
        <v>406</v>
      </c>
      <c r="G411" s="464" t="str">
        <f>INDEX(★新聞!$E$4:$I$12, MATCH(LEFT(F411),★新聞!$A$4:$A$12,0), MATCH(LEFT(W411),★新聞!$E$3:$I$3,0))</f>
        <v>AA</v>
      </c>
      <c r="H411" s="475" t="s">
        <v>1153</v>
      </c>
      <c r="I411" s="464" cm="1">
        <f t="array" ref="I411">IFERROR(INDEX(★原価率!$A$2:$E$50,MATCH($C411&amp;$H411,★原価率!$A$2:$A$50&amp;★原価率!$B$2:$B$50,0),3),0)</f>
        <v>90</v>
      </c>
      <c r="J411" s="464" cm="1">
        <f t="array" ref="J411">IFERROR(INDEX(★原価率!$A$2:$E$50,MATCH($C411&amp;$H411,★原価率!$A$2:$A$50&amp;★原価率!$B$2:$B$50,0),4),0)</f>
        <v>90</v>
      </c>
      <c r="K411" s="464" cm="1">
        <f t="array" ref="K411">IFERROR(INDEX(★原価率!$A$2:$E$50,MATCH($C411&amp;$H411,★原価率!$A$2:$A$50&amp;★原価率!$B$2:$B$50,0),5),0)</f>
        <v>100</v>
      </c>
      <c r="L411" s="528">
        <f>IFERROR(VLOOKUP(W411,★商品!$A$1:$H$1231,8,FALSE),0)</f>
        <v>2.8</v>
      </c>
      <c r="M411" s="203" t="str">
        <f ca="1">CONCATENATE(VLOOKUP(B411,★営業所!$A$2:$B$5,2,FALSE),TEXT(NOW(),"yyyy"))</f>
        <v>T2023</v>
      </c>
      <c r="N411" s="203">
        <v>1</v>
      </c>
      <c r="O411" s="203">
        <v>0</v>
      </c>
      <c r="P411" s="213">
        <f>申込書!$B$6</f>
        <v>0</v>
      </c>
      <c r="Q411" s="203">
        <f>申込書!$C$34</f>
        <v>1000040</v>
      </c>
      <c r="R411" s="203">
        <v>0</v>
      </c>
      <c r="U411" s="203">
        <f>VLOOKUP(B411,★営業所!$A$2:$C$5,3,FALSE)</f>
        <v>8</v>
      </c>
      <c r="V411" s="203">
        <f>申込書!$B$9</f>
        <v>0</v>
      </c>
      <c r="W411" s="203" t="str">
        <f>CONCATENATE(VLOOKUP(B411,★営業所!$A$2:$B$5,2,FALSE),VLOOKUP(申込書!$C$32,★サイズ表記!$D$4:$E$55,2,FALSE),VLOOKUP(D411,★折込地区!$A$2:$B$11,2,FALSE))</f>
        <v>T1001Kry</v>
      </c>
      <c r="X411" s="203" t="str">
        <f>CONCATENATE(申込書!$B$9," ",VLOOKUP(RIGHT(W411,3),★折込地区!$B$2:$C$10,2,FALSE),"")</f>
        <v xml:space="preserve"> 倉吉</v>
      </c>
      <c r="Z411" s="206">
        <f t="shared" ca="1" si="48"/>
        <v>0</v>
      </c>
      <c r="AB411" s="383">
        <f t="shared" si="49"/>
        <v>2.8</v>
      </c>
      <c r="AC411" s="203" t="str">
        <f t="shared" si="50"/>
        <v>G1001</v>
      </c>
      <c r="AD411" s="203" t="str">
        <f>VLOOKUP(AC411,★原価商品!$E$6:$F$349,2,FALSE)</f>
        <v>朝日/B4（折り無し）</v>
      </c>
      <c r="AE411" s="203">
        <f t="shared" ca="1" si="51"/>
        <v>0</v>
      </c>
      <c r="AF411" s="383">
        <f ca="1">IFERROR(IF(VLOOKUP(申込書!$C$32,★サイズ表記!$F$4:$H$55,3,FALSE)="切り捨て",ROUNDDOWN(L411*IF(AK411="◎",I411,J411)/100,2),IF(VLOOKUP(申込書!$C$32,★サイズ表記!$F$4:$H$55,3,FALSE)="切り上げ",ROUNDUP(L411*IF(AK411="◎",I411,J411)/100,2),ROUND(L411*IF(AK411="◎",I411,J411)/100,2))),0)</f>
        <v>2.52</v>
      </c>
      <c r="AG411" s="203">
        <f t="shared" ca="1" si="52"/>
        <v>10303</v>
      </c>
      <c r="AJ411" s="460" t="str">
        <f>IFERROR(VLOOKUP(申込書!$C$30,★業種!$D$2:$E$87,2,FALSE),"")</f>
        <v>1003</v>
      </c>
      <c r="AK411" s="460" t="str">
        <f ca="1">IF(申込書!$C$36="◎",IF(OR(D411="浜坂・温泉",D411="美方・村岡",D411="香住",D411="岡山",D411="大阪"),"",IF(LEFT(F411)="D","◎",IF(AG411=0,"",IFERROR(IF(VLOOKUP(AG411,★仕入先!$A$2:$C$211,3,FALSE)=0,"","◎"),"")))),"")</f>
        <v/>
      </c>
      <c r="AL411" s="460">
        <f>申込書!$H$14</f>
        <v>0</v>
      </c>
      <c r="AM411" s="460" t="str">
        <f>申込書!$C$32</f>
        <v>B4（折り無し）</v>
      </c>
      <c r="AN411" s="460" t="str">
        <f>VLOOKUP(AM411,★サイズ表記!$D$4:$E$55,2,FALSE)</f>
        <v>1001</v>
      </c>
      <c r="AO411" s="460">
        <f>IF(C411&lt;&gt;"⑧兵庫",VLOOKUP(LEFT(F411),★新聞!$A$4:$B$12,2,FALSE),IF(LEFT(F411)&lt;&gt;"S",VLOOKUP(LEFT(F411),★新聞!$A$4:$B$12,2,FALSE),VLOOKUP("X",★新聞!$A$4:$B$12,2,FALSE)))</f>
        <v>2</v>
      </c>
      <c r="AP411" s="460" t="str">
        <f t="shared" ca="1" si="53"/>
        <v>0</v>
      </c>
      <c r="AQ411" s="460" t="str">
        <f>IF(申込書!$C$38="","",申込書!$C$38)</f>
        <v/>
      </c>
    </row>
    <row r="412" spans="1:43">
      <c r="A412" s="463">
        <f t="shared" si="54"/>
        <v>411</v>
      </c>
      <c r="B412" s="463" t="str">
        <f t="shared" si="55"/>
        <v>東部</v>
      </c>
      <c r="C412" s="464" t="s">
        <v>1151</v>
      </c>
      <c r="D412" s="464" t="s">
        <v>1602</v>
      </c>
      <c r="E412" s="464">
        <f>VLOOKUP(D412,★折込地区!$A$2:$D$10,4,FALSE)</f>
        <v>2</v>
      </c>
      <c r="F412" s="464" t="s">
        <v>407</v>
      </c>
      <c r="G412" s="464" t="str">
        <f>INDEX(★新聞!$E$4:$I$12, MATCH(LEFT(F412),★新聞!$A$4:$A$12,0), MATCH(LEFT(W412),★新聞!$E$3:$I$3,0))</f>
        <v>AA</v>
      </c>
      <c r="H412" s="475" t="s">
        <v>1104</v>
      </c>
      <c r="I412" s="464" cm="1">
        <f t="array" ref="I412">IFERROR(INDEX(★原価率!$A$2:$E$50,MATCH($C412&amp;$H412,★原価率!$A$2:$A$50&amp;★原価率!$B$2:$B$50,0),3),0)</f>
        <v>86</v>
      </c>
      <c r="J412" s="464" cm="1">
        <f t="array" ref="J412">IFERROR(INDEX(★原価率!$A$2:$E$50,MATCH($C412&amp;$H412,★原価率!$A$2:$A$50&amp;★原価率!$B$2:$B$50,0),4),0)</f>
        <v>86</v>
      </c>
      <c r="K412" s="464" cm="1">
        <f t="array" ref="K412">IFERROR(INDEX(★原価率!$A$2:$E$50,MATCH($C412&amp;$H412,★原価率!$A$2:$A$50&amp;★原価率!$B$2:$B$50,0),5),0)</f>
        <v>100</v>
      </c>
      <c r="L412" s="528">
        <f>IFERROR(VLOOKUP(W412,★商品!$A$1:$H$1231,8,FALSE),0)</f>
        <v>2.8</v>
      </c>
      <c r="M412" s="203" t="str">
        <f ca="1">CONCATENATE(VLOOKUP(B412,★営業所!$A$2:$B$5,2,FALSE),TEXT(NOW(),"yyyy"))</f>
        <v>T2023</v>
      </c>
      <c r="N412" s="203">
        <v>1</v>
      </c>
      <c r="O412" s="203">
        <v>0</v>
      </c>
      <c r="P412" s="213">
        <f>申込書!$B$6</f>
        <v>0</v>
      </c>
      <c r="Q412" s="203">
        <f>申込書!$C$34</f>
        <v>1000040</v>
      </c>
      <c r="R412" s="203">
        <v>0</v>
      </c>
      <c r="U412" s="203">
        <f>VLOOKUP(B412,★営業所!$A$2:$C$5,3,FALSE)</f>
        <v>8</v>
      </c>
      <c r="V412" s="203">
        <f>申込書!$B$9</f>
        <v>0</v>
      </c>
      <c r="W412" s="203" t="str">
        <f>CONCATENATE(VLOOKUP(B412,★営業所!$A$2:$B$5,2,FALSE),VLOOKUP(申込書!$C$32,★サイズ表記!$D$4:$E$55,2,FALSE),VLOOKUP(D412,★折込地区!$A$2:$B$11,2,FALSE))</f>
        <v>T1001Kry</v>
      </c>
      <c r="X412" s="203" t="str">
        <f>CONCATENATE(申込書!$B$9," ",VLOOKUP(RIGHT(W412,3),★折込地区!$B$2:$C$10,2,FALSE),"")</f>
        <v xml:space="preserve"> 倉吉</v>
      </c>
      <c r="Z412" s="206">
        <f t="shared" ca="1" si="48"/>
        <v>0</v>
      </c>
      <c r="AB412" s="383">
        <f t="shared" si="49"/>
        <v>2.8</v>
      </c>
      <c r="AC412" s="203" t="str">
        <f t="shared" si="50"/>
        <v>G1001</v>
      </c>
      <c r="AD412" s="203" t="str">
        <f>VLOOKUP(AC412,★原価商品!$E$6:$F$349,2,FALSE)</f>
        <v>朝日/B4（折り無し）</v>
      </c>
      <c r="AE412" s="203">
        <f t="shared" ca="1" si="51"/>
        <v>0</v>
      </c>
      <c r="AF412" s="383">
        <f ca="1">IFERROR(IF(VLOOKUP(申込書!$C$32,★サイズ表記!$F$4:$H$55,3,FALSE)="切り捨て",ROUNDDOWN(L412*IF(AK412="◎",I412,J412)/100,2),IF(VLOOKUP(申込書!$C$32,★サイズ表記!$F$4:$H$55,3,FALSE)="切り上げ",ROUNDUP(L412*IF(AK412="◎",I412,J412)/100,2),ROUND(L412*IF(AK412="◎",I412,J412)/100,2))),0)</f>
        <v>2.4</v>
      </c>
      <c r="AG412" s="203">
        <f t="shared" ca="1" si="52"/>
        <v>0</v>
      </c>
      <c r="AJ412" s="460" t="str">
        <f>IFERROR(VLOOKUP(申込書!$C$30,★業種!$D$2:$E$87,2,FALSE),"")</f>
        <v>1003</v>
      </c>
      <c r="AK412" s="460" t="str">
        <f ca="1">IF(申込書!$C$36="◎",IF(OR(D412="浜坂・温泉",D412="美方・村岡",D412="香住",D412="岡山",D412="大阪"),"",IF(LEFT(F412)="D","◎",IF(AG412=0,"",IFERROR(IF(VLOOKUP(AG412,★仕入先!$A$2:$C$211,3,FALSE)=0,"","◎"),"")))),"")</f>
        <v/>
      </c>
      <c r="AL412" s="460">
        <f>申込書!$H$14</f>
        <v>0</v>
      </c>
      <c r="AM412" s="460" t="str">
        <f>申込書!$C$32</f>
        <v>B4（折り無し）</v>
      </c>
      <c r="AN412" s="460" t="str">
        <f>VLOOKUP(AM412,★サイズ表記!$D$4:$E$55,2,FALSE)</f>
        <v>1001</v>
      </c>
      <c r="AO412" s="460">
        <f>IF(C412&lt;&gt;"⑧兵庫",VLOOKUP(LEFT(F412),★新聞!$A$4:$B$12,2,FALSE),IF(LEFT(F412)&lt;&gt;"S",VLOOKUP(LEFT(F412),★新聞!$A$4:$B$12,2,FALSE),VLOOKUP("X",★新聞!$A$4:$B$12,2,FALSE)))</f>
        <v>2</v>
      </c>
      <c r="AP412" s="460" t="str">
        <f t="shared" ca="1" si="53"/>
        <v>0</v>
      </c>
      <c r="AQ412" s="460" t="str">
        <f>IF(申込書!$C$38="","",申込書!$C$38)</f>
        <v/>
      </c>
    </row>
    <row r="413" spans="1:43">
      <c r="A413" s="463">
        <f t="shared" si="54"/>
        <v>412</v>
      </c>
      <c r="B413" s="463" t="str">
        <f t="shared" si="55"/>
        <v>東部</v>
      </c>
      <c r="C413" s="464" t="s">
        <v>1151</v>
      </c>
      <c r="D413" s="464" t="s">
        <v>1602</v>
      </c>
      <c r="E413" s="464">
        <f>VLOOKUP(D413,★折込地区!$A$2:$D$10,4,FALSE)</f>
        <v>2</v>
      </c>
      <c r="F413" s="464" t="s">
        <v>408</v>
      </c>
      <c r="G413" s="464" t="str">
        <f>INDEX(★新聞!$E$4:$I$12, MATCH(LEFT(F413),★新聞!$A$4:$A$12,0), MATCH(LEFT(W413),★新聞!$E$3:$I$3,0))</f>
        <v>AA</v>
      </c>
      <c r="H413" s="475" t="s">
        <v>1104</v>
      </c>
      <c r="I413" s="464" cm="1">
        <f t="array" ref="I413">IFERROR(INDEX(★原価率!$A$2:$E$50,MATCH($C413&amp;$H413,★原価率!$A$2:$A$50&amp;★原価率!$B$2:$B$50,0),3),0)</f>
        <v>86</v>
      </c>
      <c r="J413" s="464" cm="1">
        <f t="array" ref="J413">IFERROR(INDEX(★原価率!$A$2:$E$50,MATCH($C413&amp;$H413,★原価率!$A$2:$A$50&amp;★原価率!$B$2:$B$50,0),4),0)</f>
        <v>86</v>
      </c>
      <c r="K413" s="464" cm="1">
        <f t="array" ref="K413">IFERROR(INDEX(★原価率!$A$2:$E$50,MATCH($C413&amp;$H413,★原価率!$A$2:$A$50&amp;★原価率!$B$2:$B$50,0),5),0)</f>
        <v>100</v>
      </c>
      <c r="L413" s="528">
        <f>IFERROR(VLOOKUP(W413,★商品!$A$1:$H$1231,8,FALSE),0)</f>
        <v>2.8</v>
      </c>
      <c r="M413" s="203" t="str">
        <f ca="1">CONCATENATE(VLOOKUP(B413,★営業所!$A$2:$B$5,2,FALSE),TEXT(NOW(),"yyyy"))</f>
        <v>T2023</v>
      </c>
      <c r="N413" s="203">
        <v>1</v>
      </c>
      <c r="O413" s="203">
        <v>0</v>
      </c>
      <c r="P413" s="213">
        <f>申込書!$B$6</f>
        <v>0</v>
      </c>
      <c r="Q413" s="203">
        <f>申込書!$C$34</f>
        <v>1000040</v>
      </c>
      <c r="R413" s="203">
        <v>0</v>
      </c>
      <c r="U413" s="203">
        <f>VLOOKUP(B413,★営業所!$A$2:$C$5,3,FALSE)</f>
        <v>8</v>
      </c>
      <c r="V413" s="203">
        <f>申込書!$B$9</f>
        <v>0</v>
      </c>
      <c r="W413" s="203" t="str">
        <f>CONCATENATE(VLOOKUP(B413,★営業所!$A$2:$B$5,2,FALSE),VLOOKUP(申込書!$C$32,★サイズ表記!$D$4:$E$55,2,FALSE),VLOOKUP(D413,★折込地区!$A$2:$B$11,2,FALSE))</f>
        <v>T1001Kry</v>
      </c>
      <c r="X413" s="203" t="str">
        <f>CONCATENATE(申込書!$B$9," ",VLOOKUP(RIGHT(W413,3),★折込地区!$B$2:$C$10,2,FALSE),"")</f>
        <v xml:space="preserve"> 倉吉</v>
      </c>
      <c r="Z413" s="206">
        <f t="shared" ca="1" si="48"/>
        <v>0</v>
      </c>
      <c r="AB413" s="383">
        <f t="shared" si="49"/>
        <v>2.8</v>
      </c>
      <c r="AC413" s="203" t="str">
        <f t="shared" si="50"/>
        <v>G1001</v>
      </c>
      <c r="AD413" s="203" t="str">
        <f>VLOOKUP(AC413,★原価商品!$E$6:$F$349,2,FALSE)</f>
        <v>朝日/B4（折り無し）</v>
      </c>
      <c r="AE413" s="203">
        <f t="shared" ca="1" si="51"/>
        <v>0</v>
      </c>
      <c r="AF413" s="383">
        <f ca="1">IFERROR(IF(VLOOKUP(申込書!$C$32,★サイズ表記!$F$4:$H$55,3,FALSE)="切り捨て",ROUNDDOWN(L413*IF(AK413="◎",I413,J413)/100,2),IF(VLOOKUP(申込書!$C$32,★サイズ表記!$F$4:$H$55,3,FALSE)="切り上げ",ROUNDUP(L413*IF(AK413="◎",I413,J413)/100,2),ROUND(L413*IF(AK413="◎",I413,J413)/100,2))),0)</f>
        <v>2.4</v>
      </c>
      <c r="AG413" s="203">
        <f t="shared" ca="1" si="52"/>
        <v>0</v>
      </c>
      <c r="AJ413" s="460" t="str">
        <f>IFERROR(VLOOKUP(申込書!$C$30,★業種!$D$2:$E$87,2,FALSE),"")</f>
        <v>1003</v>
      </c>
      <c r="AK413" s="460" t="str">
        <f ca="1">IF(申込書!$C$36="◎",IF(OR(D413="浜坂・温泉",D413="美方・村岡",D413="香住",D413="岡山",D413="大阪"),"",IF(LEFT(F413)="D","◎",IF(AG413=0,"",IFERROR(IF(VLOOKUP(AG413,★仕入先!$A$2:$C$211,3,FALSE)=0,"","◎"),"")))),"")</f>
        <v/>
      </c>
      <c r="AL413" s="460">
        <f>申込書!$H$14</f>
        <v>0</v>
      </c>
      <c r="AM413" s="460" t="str">
        <f>申込書!$C$32</f>
        <v>B4（折り無し）</v>
      </c>
      <c r="AN413" s="460" t="str">
        <f>VLOOKUP(AM413,★サイズ表記!$D$4:$E$55,2,FALSE)</f>
        <v>1001</v>
      </c>
      <c r="AO413" s="460">
        <f>IF(C413&lt;&gt;"⑧兵庫",VLOOKUP(LEFT(F413),★新聞!$A$4:$B$12,2,FALSE),IF(LEFT(F413)&lt;&gt;"S",VLOOKUP(LEFT(F413),★新聞!$A$4:$B$12,2,FALSE),VLOOKUP("X",★新聞!$A$4:$B$12,2,FALSE)))</f>
        <v>2</v>
      </c>
      <c r="AP413" s="460" t="str">
        <f t="shared" ca="1" si="53"/>
        <v>0</v>
      </c>
      <c r="AQ413" s="460" t="str">
        <f>IF(申込書!$C$38="","",申込書!$C$38)</f>
        <v/>
      </c>
    </row>
    <row r="414" spans="1:43">
      <c r="A414" s="463">
        <f t="shared" si="54"/>
        <v>413</v>
      </c>
      <c r="B414" s="463" t="str">
        <f t="shared" si="55"/>
        <v>東部</v>
      </c>
      <c r="C414" s="464" t="s">
        <v>1151</v>
      </c>
      <c r="D414" s="464" t="s">
        <v>1602</v>
      </c>
      <c r="E414" s="464">
        <f>VLOOKUP(D414,★折込地区!$A$2:$D$10,4,FALSE)</f>
        <v>2</v>
      </c>
      <c r="F414" s="464" t="s">
        <v>409</v>
      </c>
      <c r="G414" s="464" t="str">
        <f>INDEX(★新聞!$E$4:$I$12, MATCH(LEFT(F414),★新聞!$A$4:$A$12,0), MATCH(LEFT(W414),★新聞!$E$3:$I$3,0))</f>
        <v>AA</v>
      </c>
      <c r="H414" s="475" t="s">
        <v>1104</v>
      </c>
      <c r="I414" s="464" cm="1">
        <f t="array" ref="I414">IFERROR(INDEX(★原価率!$A$2:$E$50,MATCH($C414&amp;$H414,★原価率!$A$2:$A$50&amp;★原価率!$B$2:$B$50,0),3),0)</f>
        <v>86</v>
      </c>
      <c r="J414" s="464" cm="1">
        <f t="array" ref="J414">IFERROR(INDEX(★原価率!$A$2:$E$50,MATCH($C414&amp;$H414,★原価率!$A$2:$A$50&amp;★原価率!$B$2:$B$50,0),4),0)</f>
        <v>86</v>
      </c>
      <c r="K414" s="464" cm="1">
        <f t="array" ref="K414">IFERROR(INDEX(★原価率!$A$2:$E$50,MATCH($C414&amp;$H414,★原価率!$A$2:$A$50&amp;★原価率!$B$2:$B$50,0),5),0)</f>
        <v>100</v>
      </c>
      <c r="L414" s="528">
        <f>IFERROR(VLOOKUP(W414,★商品!$A$1:$H$1231,8,FALSE),0)</f>
        <v>2.8</v>
      </c>
      <c r="M414" s="203" t="str">
        <f ca="1">CONCATENATE(VLOOKUP(B414,★営業所!$A$2:$B$5,2,FALSE),TEXT(NOW(),"yyyy"))</f>
        <v>T2023</v>
      </c>
      <c r="N414" s="203">
        <v>1</v>
      </c>
      <c r="O414" s="203">
        <v>0</v>
      </c>
      <c r="P414" s="213">
        <f>申込書!$B$6</f>
        <v>0</v>
      </c>
      <c r="Q414" s="203">
        <f>申込書!$C$34</f>
        <v>1000040</v>
      </c>
      <c r="R414" s="203">
        <v>0</v>
      </c>
      <c r="U414" s="203">
        <f>VLOOKUP(B414,★営業所!$A$2:$C$5,3,FALSE)</f>
        <v>8</v>
      </c>
      <c r="V414" s="203">
        <f>申込書!$B$9</f>
        <v>0</v>
      </c>
      <c r="W414" s="203" t="str">
        <f>CONCATENATE(VLOOKUP(B414,★営業所!$A$2:$B$5,2,FALSE),VLOOKUP(申込書!$C$32,★サイズ表記!$D$4:$E$55,2,FALSE),VLOOKUP(D414,★折込地区!$A$2:$B$11,2,FALSE))</f>
        <v>T1001Kry</v>
      </c>
      <c r="X414" s="203" t="str">
        <f>CONCATENATE(申込書!$B$9," ",VLOOKUP(RIGHT(W414,3),★折込地区!$B$2:$C$10,2,FALSE),"")</f>
        <v xml:space="preserve"> 倉吉</v>
      </c>
      <c r="Z414" s="206">
        <f t="shared" ca="1" si="48"/>
        <v>0</v>
      </c>
      <c r="AB414" s="383">
        <f t="shared" si="49"/>
        <v>2.8</v>
      </c>
      <c r="AC414" s="203" t="str">
        <f t="shared" si="50"/>
        <v>G1001</v>
      </c>
      <c r="AD414" s="203" t="str">
        <f>VLOOKUP(AC414,★原価商品!$E$6:$F$349,2,FALSE)</f>
        <v>朝日/B4（折り無し）</v>
      </c>
      <c r="AE414" s="203">
        <f t="shared" ca="1" si="51"/>
        <v>0</v>
      </c>
      <c r="AF414" s="383">
        <f ca="1">IFERROR(IF(VLOOKUP(申込書!$C$32,★サイズ表記!$F$4:$H$55,3,FALSE)="切り捨て",ROUNDDOWN(L414*IF(AK414="◎",I414,J414)/100,2),IF(VLOOKUP(申込書!$C$32,★サイズ表記!$F$4:$H$55,3,FALSE)="切り上げ",ROUNDUP(L414*IF(AK414="◎",I414,J414)/100,2),ROUND(L414*IF(AK414="◎",I414,J414)/100,2))),0)</f>
        <v>2.4</v>
      </c>
      <c r="AG414" s="203">
        <f t="shared" ca="1" si="52"/>
        <v>0</v>
      </c>
      <c r="AJ414" s="460" t="str">
        <f>IFERROR(VLOOKUP(申込書!$C$30,★業種!$D$2:$E$87,2,FALSE),"")</f>
        <v>1003</v>
      </c>
      <c r="AK414" s="460" t="str">
        <f ca="1">IF(申込書!$C$36="◎",IF(OR(D414="浜坂・温泉",D414="美方・村岡",D414="香住",D414="岡山",D414="大阪"),"",IF(LEFT(F414)="D","◎",IF(AG414=0,"",IFERROR(IF(VLOOKUP(AG414,★仕入先!$A$2:$C$211,3,FALSE)=0,"","◎"),"")))),"")</f>
        <v/>
      </c>
      <c r="AL414" s="460">
        <f>申込書!$H$14</f>
        <v>0</v>
      </c>
      <c r="AM414" s="460" t="str">
        <f>申込書!$C$32</f>
        <v>B4（折り無し）</v>
      </c>
      <c r="AN414" s="460" t="str">
        <f>VLOOKUP(AM414,★サイズ表記!$D$4:$E$55,2,FALSE)</f>
        <v>1001</v>
      </c>
      <c r="AO414" s="460">
        <f>IF(C414&lt;&gt;"⑧兵庫",VLOOKUP(LEFT(F414),★新聞!$A$4:$B$12,2,FALSE),IF(LEFT(F414)&lt;&gt;"S",VLOOKUP(LEFT(F414),★新聞!$A$4:$B$12,2,FALSE),VLOOKUP("X",★新聞!$A$4:$B$12,2,FALSE)))</f>
        <v>2</v>
      </c>
      <c r="AP414" s="460" t="str">
        <f t="shared" ca="1" si="53"/>
        <v>0</v>
      </c>
      <c r="AQ414" s="460" t="str">
        <f>IF(申込書!$C$38="","",申込書!$C$38)</f>
        <v/>
      </c>
    </row>
    <row r="415" spans="1:43">
      <c r="A415" s="463">
        <f t="shared" si="54"/>
        <v>414</v>
      </c>
      <c r="B415" s="463" t="str">
        <f t="shared" si="55"/>
        <v>東部</v>
      </c>
      <c r="C415" s="464" t="s">
        <v>1151</v>
      </c>
      <c r="D415" s="464" t="s">
        <v>1602</v>
      </c>
      <c r="E415" s="464">
        <f>VLOOKUP(D415,★折込地区!$A$2:$D$10,4,FALSE)</f>
        <v>2</v>
      </c>
      <c r="F415" s="464" t="s">
        <v>410</v>
      </c>
      <c r="G415" s="464" t="str">
        <f>INDEX(★新聞!$E$4:$I$12, MATCH(LEFT(F415),★新聞!$A$4:$A$12,0), MATCH(LEFT(W415),★新聞!$E$3:$I$3,0))</f>
        <v>AA</v>
      </c>
      <c r="H415" s="475" t="s">
        <v>1153</v>
      </c>
      <c r="I415" s="464" cm="1">
        <f t="array" ref="I415">IFERROR(INDEX(★原価率!$A$2:$E$50,MATCH($C415&amp;$H415,★原価率!$A$2:$A$50&amp;★原価率!$B$2:$B$50,0),3),0)</f>
        <v>90</v>
      </c>
      <c r="J415" s="464" cm="1">
        <f t="array" ref="J415">IFERROR(INDEX(★原価率!$A$2:$E$50,MATCH($C415&amp;$H415,★原価率!$A$2:$A$50&amp;★原価率!$B$2:$B$50,0),4),0)</f>
        <v>90</v>
      </c>
      <c r="K415" s="464" cm="1">
        <f t="array" ref="K415">IFERROR(INDEX(★原価率!$A$2:$E$50,MATCH($C415&amp;$H415,★原価率!$A$2:$A$50&amp;★原価率!$B$2:$B$50,0),5),0)</f>
        <v>100</v>
      </c>
      <c r="L415" s="528">
        <f>IFERROR(VLOOKUP(W415,★商品!$A$1:$H$1231,8,FALSE),0)</f>
        <v>2.8</v>
      </c>
      <c r="M415" s="203" t="str">
        <f ca="1">CONCATENATE(VLOOKUP(B415,★営業所!$A$2:$B$5,2,FALSE),TEXT(NOW(),"yyyy"))</f>
        <v>T2023</v>
      </c>
      <c r="N415" s="203">
        <v>1</v>
      </c>
      <c r="O415" s="203">
        <v>0</v>
      </c>
      <c r="P415" s="213">
        <f>申込書!$B$6</f>
        <v>0</v>
      </c>
      <c r="Q415" s="203">
        <f>申込書!$C$34</f>
        <v>1000040</v>
      </c>
      <c r="R415" s="203">
        <v>0</v>
      </c>
      <c r="U415" s="203">
        <f>VLOOKUP(B415,★営業所!$A$2:$C$5,3,FALSE)</f>
        <v>8</v>
      </c>
      <c r="V415" s="203">
        <f>申込書!$B$9</f>
        <v>0</v>
      </c>
      <c r="W415" s="203" t="str">
        <f>CONCATENATE(VLOOKUP(B415,★営業所!$A$2:$B$5,2,FALSE),VLOOKUP(申込書!$C$32,★サイズ表記!$D$4:$E$55,2,FALSE),VLOOKUP(D415,★折込地区!$A$2:$B$11,2,FALSE))</f>
        <v>T1001Kry</v>
      </c>
      <c r="X415" s="203" t="str">
        <f>CONCATENATE(申込書!$B$9," ",VLOOKUP(RIGHT(W415,3),★折込地区!$B$2:$C$10,2,FALSE),"")</f>
        <v xml:space="preserve"> 倉吉</v>
      </c>
      <c r="Z415" s="206">
        <f t="shared" ca="1" si="48"/>
        <v>0</v>
      </c>
      <c r="AB415" s="383">
        <f t="shared" si="49"/>
        <v>2.8</v>
      </c>
      <c r="AC415" s="203" t="str">
        <f t="shared" si="50"/>
        <v>G1001</v>
      </c>
      <c r="AD415" s="203" t="str">
        <f>VLOOKUP(AC415,★原価商品!$E$6:$F$349,2,FALSE)</f>
        <v>朝日/B4（折り無し）</v>
      </c>
      <c r="AE415" s="203">
        <f t="shared" ca="1" si="51"/>
        <v>0</v>
      </c>
      <c r="AF415" s="383">
        <f ca="1">IFERROR(IF(VLOOKUP(申込書!$C$32,★サイズ表記!$F$4:$H$55,3,FALSE)="切り捨て",ROUNDDOWN(L415*IF(AK415="◎",I415,J415)/100,2),IF(VLOOKUP(申込書!$C$32,★サイズ表記!$F$4:$H$55,3,FALSE)="切り上げ",ROUNDUP(L415*IF(AK415="◎",I415,J415)/100,2),ROUND(L415*IF(AK415="◎",I415,J415)/100,2))),0)</f>
        <v>2.52</v>
      </c>
      <c r="AG415" s="203">
        <f t="shared" ca="1" si="52"/>
        <v>10303</v>
      </c>
      <c r="AJ415" s="460" t="str">
        <f>IFERROR(VLOOKUP(申込書!$C$30,★業種!$D$2:$E$87,2,FALSE),"")</f>
        <v>1003</v>
      </c>
      <c r="AK415" s="460" t="str">
        <f ca="1">IF(申込書!$C$36="◎",IF(OR(D415="浜坂・温泉",D415="美方・村岡",D415="香住",D415="岡山",D415="大阪"),"",IF(LEFT(F415)="D","◎",IF(AG415=0,"",IFERROR(IF(VLOOKUP(AG415,★仕入先!$A$2:$C$211,3,FALSE)=0,"","◎"),"")))),"")</f>
        <v/>
      </c>
      <c r="AL415" s="460">
        <f>申込書!$H$14</f>
        <v>0</v>
      </c>
      <c r="AM415" s="460" t="str">
        <f>申込書!$C$32</f>
        <v>B4（折り無し）</v>
      </c>
      <c r="AN415" s="460" t="str">
        <f>VLOOKUP(AM415,★サイズ表記!$D$4:$E$55,2,FALSE)</f>
        <v>1001</v>
      </c>
      <c r="AO415" s="460">
        <f>IF(C415&lt;&gt;"⑧兵庫",VLOOKUP(LEFT(F415),★新聞!$A$4:$B$12,2,FALSE),IF(LEFT(F415)&lt;&gt;"S",VLOOKUP(LEFT(F415),★新聞!$A$4:$B$12,2,FALSE),VLOOKUP("X",★新聞!$A$4:$B$12,2,FALSE)))</f>
        <v>2</v>
      </c>
      <c r="AP415" s="460" t="str">
        <f t="shared" ca="1" si="53"/>
        <v>0</v>
      </c>
      <c r="AQ415" s="460" t="str">
        <f>IF(申込書!$C$38="","",申込書!$C$38)</f>
        <v/>
      </c>
    </row>
    <row r="416" spans="1:43">
      <c r="A416" s="463">
        <f t="shared" si="54"/>
        <v>415</v>
      </c>
      <c r="B416" s="463" t="str">
        <f t="shared" si="55"/>
        <v>東部</v>
      </c>
      <c r="C416" s="464" t="s">
        <v>1151</v>
      </c>
      <c r="D416" s="464" t="s">
        <v>1602</v>
      </c>
      <c r="E416" s="464">
        <f>VLOOKUP(D416,★折込地区!$A$2:$D$10,4,FALSE)</f>
        <v>2</v>
      </c>
      <c r="F416" s="464" t="s">
        <v>411</v>
      </c>
      <c r="G416" s="464" t="str">
        <f>INDEX(★新聞!$E$4:$I$12, MATCH(LEFT(F416),★新聞!$A$4:$A$12,0), MATCH(LEFT(W416),★新聞!$E$3:$I$3,0))</f>
        <v>AA</v>
      </c>
      <c r="H416" s="475" t="s">
        <v>1107</v>
      </c>
      <c r="I416" s="464" cm="1">
        <f t="array" ref="I416">IFERROR(INDEX(★原価率!$A$2:$E$50,MATCH($C416&amp;$H416,★原価率!$A$2:$A$50&amp;★原価率!$B$2:$B$50,0),3),0)</f>
        <v>82</v>
      </c>
      <c r="J416" s="464" cm="1">
        <f t="array" ref="J416">IFERROR(INDEX(★原価率!$A$2:$E$50,MATCH($C416&amp;$H416,★原価率!$A$2:$A$50&amp;★原価率!$B$2:$B$50,0),4),0)</f>
        <v>82</v>
      </c>
      <c r="K416" s="464" cm="1">
        <f t="array" ref="K416">IFERROR(INDEX(★原価率!$A$2:$E$50,MATCH($C416&amp;$H416,★原価率!$A$2:$A$50&amp;★原価率!$B$2:$B$50,0),5),0)</f>
        <v>100</v>
      </c>
      <c r="L416" s="528">
        <f>IFERROR(VLOOKUP(W416,★商品!$A$1:$H$1231,8,FALSE),0)</f>
        <v>2.8</v>
      </c>
      <c r="M416" s="203" t="str">
        <f ca="1">CONCATENATE(VLOOKUP(B416,★営業所!$A$2:$B$5,2,FALSE),TEXT(NOW(),"yyyy"))</f>
        <v>T2023</v>
      </c>
      <c r="N416" s="203">
        <v>1</v>
      </c>
      <c r="O416" s="203">
        <v>0</v>
      </c>
      <c r="P416" s="213">
        <f>申込書!$B$6</f>
        <v>0</v>
      </c>
      <c r="Q416" s="203">
        <f>申込書!$C$34</f>
        <v>1000040</v>
      </c>
      <c r="R416" s="203">
        <v>0</v>
      </c>
      <c r="U416" s="203">
        <f>VLOOKUP(B416,★営業所!$A$2:$C$5,3,FALSE)</f>
        <v>8</v>
      </c>
      <c r="V416" s="203">
        <f>申込書!$B$9</f>
        <v>0</v>
      </c>
      <c r="W416" s="203" t="str">
        <f>CONCATENATE(VLOOKUP(B416,★営業所!$A$2:$B$5,2,FALSE),VLOOKUP(申込書!$C$32,★サイズ表記!$D$4:$E$55,2,FALSE),VLOOKUP(D416,★折込地区!$A$2:$B$11,2,FALSE))</f>
        <v>T1001Kry</v>
      </c>
      <c r="X416" s="203" t="str">
        <f>CONCATENATE(申込書!$B$9," ",VLOOKUP(RIGHT(W416,3),★折込地区!$B$2:$C$10,2,FALSE),"")</f>
        <v xml:space="preserve"> 倉吉</v>
      </c>
      <c r="Z416" s="206">
        <f t="shared" ca="1" si="48"/>
        <v>0</v>
      </c>
      <c r="AB416" s="383">
        <f t="shared" si="49"/>
        <v>2.8</v>
      </c>
      <c r="AC416" s="203" t="str">
        <f t="shared" si="50"/>
        <v>G1001</v>
      </c>
      <c r="AD416" s="203" t="str">
        <f>VLOOKUP(AC416,★原価商品!$E$6:$F$349,2,FALSE)</f>
        <v>朝日/B4（折り無し）</v>
      </c>
      <c r="AE416" s="203">
        <f t="shared" ca="1" si="51"/>
        <v>0</v>
      </c>
      <c r="AF416" s="383">
        <f ca="1">IFERROR(IF(VLOOKUP(申込書!$C$32,★サイズ表記!$F$4:$H$55,3,FALSE)="切り捨て",ROUNDDOWN(L416*IF(AK416="◎",I416,J416)/100,2),IF(VLOOKUP(申込書!$C$32,★サイズ表記!$F$4:$H$55,3,FALSE)="切り上げ",ROUNDUP(L416*IF(AK416="◎",I416,J416)/100,2),ROUND(L416*IF(AK416="◎",I416,J416)/100,2))),0)</f>
        <v>2.29</v>
      </c>
      <c r="AG416" s="203">
        <f t="shared" ca="1" si="52"/>
        <v>0</v>
      </c>
      <c r="AJ416" s="460" t="str">
        <f>IFERROR(VLOOKUP(申込書!$C$30,★業種!$D$2:$E$87,2,FALSE),"")</f>
        <v>1003</v>
      </c>
      <c r="AK416" s="460" t="str">
        <f ca="1">IF(申込書!$C$36="◎",IF(OR(D416="浜坂・温泉",D416="美方・村岡",D416="香住",D416="岡山",D416="大阪"),"",IF(LEFT(F416)="D","◎",IF(AG416=0,"",IFERROR(IF(VLOOKUP(AG416,★仕入先!$A$2:$C$211,3,FALSE)=0,"","◎"),"")))),"")</f>
        <v/>
      </c>
      <c r="AL416" s="460">
        <f>申込書!$H$14</f>
        <v>0</v>
      </c>
      <c r="AM416" s="460" t="str">
        <f>申込書!$C$32</f>
        <v>B4（折り無し）</v>
      </c>
      <c r="AN416" s="460" t="str">
        <f>VLOOKUP(AM416,★サイズ表記!$D$4:$E$55,2,FALSE)</f>
        <v>1001</v>
      </c>
      <c r="AO416" s="460">
        <f>IF(C416&lt;&gt;"⑧兵庫",VLOOKUP(LEFT(F416),★新聞!$A$4:$B$12,2,FALSE),IF(LEFT(F416)&lt;&gt;"S",VLOOKUP(LEFT(F416),★新聞!$A$4:$B$12,2,FALSE),VLOOKUP("X",★新聞!$A$4:$B$12,2,FALSE)))</f>
        <v>2</v>
      </c>
      <c r="AP416" s="460" t="str">
        <f t="shared" ca="1" si="53"/>
        <v>0</v>
      </c>
      <c r="AQ416" s="460" t="str">
        <f>IF(申込書!$C$38="","",申込書!$C$38)</f>
        <v/>
      </c>
    </row>
    <row r="417" spans="1:43">
      <c r="A417" s="463">
        <f t="shared" si="54"/>
        <v>416</v>
      </c>
      <c r="B417" s="463" t="str">
        <f t="shared" si="55"/>
        <v>東部</v>
      </c>
      <c r="C417" s="464" t="s">
        <v>1151</v>
      </c>
      <c r="D417" s="464" t="s">
        <v>1602</v>
      </c>
      <c r="E417" s="464">
        <f>VLOOKUP(D417,★折込地区!$A$2:$D$10,4,FALSE)</f>
        <v>2</v>
      </c>
      <c r="F417" s="464" t="s">
        <v>415</v>
      </c>
      <c r="G417" s="464" t="str">
        <f>INDEX(★新聞!$E$4:$I$12, MATCH(LEFT(F417),★新聞!$A$4:$A$12,0), MATCH(LEFT(W417),★新聞!$E$3:$I$3,0))</f>
        <v>AA</v>
      </c>
      <c r="H417" s="475" t="s">
        <v>1153</v>
      </c>
      <c r="I417" s="464" cm="1">
        <f t="array" ref="I417">IFERROR(INDEX(★原価率!$A$2:$E$50,MATCH($C417&amp;$H417,★原価率!$A$2:$A$50&amp;★原価率!$B$2:$B$50,0),3),0)</f>
        <v>90</v>
      </c>
      <c r="J417" s="464" cm="1">
        <f t="array" ref="J417">IFERROR(INDEX(★原価率!$A$2:$E$50,MATCH($C417&amp;$H417,★原価率!$A$2:$A$50&amp;★原価率!$B$2:$B$50,0),4),0)</f>
        <v>90</v>
      </c>
      <c r="K417" s="464" cm="1">
        <f t="array" ref="K417">IFERROR(INDEX(★原価率!$A$2:$E$50,MATCH($C417&amp;$H417,★原価率!$A$2:$A$50&amp;★原価率!$B$2:$B$50,0),5),0)</f>
        <v>100</v>
      </c>
      <c r="L417" s="528">
        <f>IFERROR(VLOOKUP(W417,★商品!$A$1:$H$1231,8,FALSE),0)</f>
        <v>2.8</v>
      </c>
      <c r="M417" s="203" t="str">
        <f ca="1">CONCATENATE(VLOOKUP(B417,★営業所!$A$2:$B$5,2,FALSE),TEXT(NOW(),"yyyy"))</f>
        <v>T2023</v>
      </c>
      <c r="N417" s="203">
        <v>1</v>
      </c>
      <c r="O417" s="203">
        <v>0</v>
      </c>
      <c r="P417" s="213">
        <f>申込書!$B$6</f>
        <v>0</v>
      </c>
      <c r="Q417" s="203">
        <f>申込書!$C$34</f>
        <v>1000040</v>
      </c>
      <c r="R417" s="203">
        <v>0</v>
      </c>
      <c r="U417" s="203">
        <f>VLOOKUP(B417,★営業所!$A$2:$C$5,3,FALSE)</f>
        <v>8</v>
      </c>
      <c r="V417" s="203">
        <f>申込書!$B$9</f>
        <v>0</v>
      </c>
      <c r="W417" s="203" t="str">
        <f>CONCATENATE(VLOOKUP(B417,★営業所!$A$2:$B$5,2,FALSE),VLOOKUP(申込書!$C$32,★サイズ表記!$D$4:$E$55,2,FALSE),VLOOKUP(D417,★折込地区!$A$2:$B$11,2,FALSE))</f>
        <v>T1001Kry</v>
      </c>
      <c r="X417" s="203" t="str">
        <f>CONCATENATE(申込書!$B$9," ",VLOOKUP(RIGHT(W417,3),★折込地区!$B$2:$C$10,2,FALSE),"")</f>
        <v xml:space="preserve"> 倉吉</v>
      </c>
      <c r="Z417" s="206">
        <f t="shared" ca="1" si="48"/>
        <v>0</v>
      </c>
      <c r="AB417" s="383">
        <f t="shared" si="49"/>
        <v>2.8</v>
      </c>
      <c r="AC417" s="203" t="str">
        <f t="shared" si="50"/>
        <v>G1001</v>
      </c>
      <c r="AD417" s="203" t="str">
        <f>VLOOKUP(AC417,★原価商品!$E$6:$F$349,2,FALSE)</f>
        <v>朝日/B4（折り無し）</v>
      </c>
      <c r="AE417" s="203">
        <f t="shared" ca="1" si="51"/>
        <v>0</v>
      </c>
      <c r="AF417" s="383">
        <f ca="1">IFERROR(IF(VLOOKUP(申込書!$C$32,★サイズ表記!$F$4:$H$55,3,FALSE)="切り捨て",ROUNDDOWN(L417*IF(AK417="◎",I417,J417)/100,2),IF(VLOOKUP(申込書!$C$32,★サイズ表記!$F$4:$H$55,3,FALSE)="切り上げ",ROUNDUP(L417*IF(AK417="◎",I417,J417)/100,2),ROUND(L417*IF(AK417="◎",I417,J417)/100,2))),0)</f>
        <v>2.52</v>
      </c>
      <c r="AG417" s="203">
        <f t="shared" ca="1" si="52"/>
        <v>10303</v>
      </c>
      <c r="AJ417" s="460" t="str">
        <f>IFERROR(VLOOKUP(申込書!$C$30,★業種!$D$2:$E$87,2,FALSE),"")</f>
        <v>1003</v>
      </c>
      <c r="AK417" s="460" t="str">
        <f ca="1">IF(申込書!$C$36="◎",IF(OR(D417="浜坂・温泉",D417="美方・村岡",D417="香住",D417="岡山",D417="大阪"),"",IF(LEFT(F417)="D","◎",IF(AG417=0,"",IFERROR(IF(VLOOKUP(AG417,★仕入先!$A$2:$C$211,3,FALSE)=0,"","◎"),"")))),"")</f>
        <v/>
      </c>
      <c r="AL417" s="460">
        <f>申込書!$H$14</f>
        <v>0</v>
      </c>
      <c r="AM417" s="460" t="str">
        <f>申込書!$C$32</f>
        <v>B4（折り無し）</v>
      </c>
      <c r="AN417" s="460" t="str">
        <f>VLOOKUP(AM417,★サイズ表記!$D$4:$E$55,2,FALSE)</f>
        <v>1001</v>
      </c>
      <c r="AO417" s="460">
        <f>IF(C417&lt;&gt;"⑧兵庫",VLOOKUP(LEFT(F417),★新聞!$A$4:$B$12,2,FALSE),IF(LEFT(F417)&lt;&gt;"S",VLOOKUP(LEFT(F417),★新聞!$A$4:$B$12,2,FALSE),VLOOKUP("X",★新聞!$A$4:$B$12,2,FALSE)))</f>
        <v>2</v>
      </c>
      <c r="AP417" s="460" t="str">
        <f t="shared" ca="1" si="53"/>
        <v>0</v>
      </c>
      <c r="AQ417" s="460" t="str">
        <f>IF(申込書!$C$38="","",申込書!$C$38)</f>
        <v/>
      </c>
    </row>
    <row r="418" spans="1:43">
      <c r="A418" s="463">
        <f t="shared" si="54"/>
        <v>417</v>
      </c>
      <c r="B418" s="463" t="str">
        <f t="shared" si="55"/>
        <v>東部</v>
      </c>
      <c r="C418" s="464" t="s">
        <v>1151</v>
      </c>
      <c r="D418" s="464" t="s">
        <v>1602</v>
      </c>
      <c r="E418" s="464">
        <f>VLOOKUP(D418,★折込地区!$A$2:$D$10,4,FALSE)</f>
        <v>2</v>
      </c>
      <c r="F418" s="464" t="s">
        <v>416</v>
      </c>
      <c r="G418" s="464" t="str">
        <f>INDEX(★新聞!$E$4:$I$12, MATCH(LEFT(F418),★新聞!$A$4:$A$12,0), MATCH(LEFT(W418),★新聞!$E$3:$I$3,0))</f>
        <v>AA</v>
      </c>
      <c r="H418" s="475" t="s">
        <v>1153</v>
      </c>
      <c r="I418" s="464" cm="1">
        <f t="array" ref="I418">IFERROR(INDEX(★原価率!$A$2:$E$50,MATCH($C418&amp;$H418,★原価率!$A$2:$A$50&amp;★原価率!$B$2:$B$50,0),3),0)</f>
        <v>90</v>
      </c>
      <c r="J418" s="464" cm="1">
        <f t="array" ref="J418">IFERROR(INDEX(★原価率!$A$2:$E$50,MATCH($C418&amp;$H418,★原価率!$A$2:$A$50&amp;★原価率!$B$2:$B$50,0),4),0)</f>
        <v>90</v>
      </c>
      <c r="K418" s="464" cm="1">
        <f t="array" ref="K418">IFERROR(INDEX(★原価率!$A$2:$E$50,MATCH($C418&amp;$H418,★原価率!$A$2:$A$50&amp;★原価率!$B$2:$B$50,0),5),0)</f>
        <v>100</v>
      </c>
      <c r="L418" s="528">
        <f>IFERROR(VLOOKUP(W418,★商品!$A$1:$H$1231,8,FALSE),0)</f>
        <v>2.8</v>
      </c>
      <c r="M418" s="203" t="str">
        <f ca="1">CONCATENATE(VLOOKUP(B418,★営業所!$A$2:$B$5,2,FALSE),TEXT(NOW(),"yyyy"))</f>
        <v>T2023</v>
      </c>
      <c r="N418" s="203">
        <v>1</v>
      </c>
      <c r="O418" s="203">
        <v>0</v>
      </c>
      <c r="P418" s="213">
        <f>申込書!$B$6</f>
        <v>0</v>
      </c>
      <c r="Q418" s="203">
        <f>申込書!$C$34</f>
        <v>1000040</v>
      </c>
      <c r="R418" s="203">
        <v>0</v>
      </c>
      <c r="U418" s="203">
        <f>VLOOKUP(B418,★営業所!$A$2:$C$5,3,FALSE)</f>
        <v>8</v>
      </c>
      <c r="V418" s="203">
        <f>申込書!$B$9</f>
        <v>0</v>
      </c>
      <c r="W418" s="203" t="str">
        <f>CONCATENATE(VLOOKUP(B418,★営業所!$A$2:$B$5,2,FALSE),VLOOKUP(申込書!$C$32,★サイズ表記!$D$4:$E$55,2,FALSE),VLOOKUP(D418,★折込地区!$A$2:$B$11,2,FALSE))</f>
        <v>T1001Kry</v>
      </c>
      <c r="X418" s="203" t="str">
        <f>CONCATENATE(申込書!$B$9," ",VLOOKUP(RIGHT(W418,3),★折込地区!$B$2:$C$10,2,FALSE),"")</f>
        <v xml:space="preserve"> 倉吉</v>
      </c>
      <c r="Z418" s="206">
        <f t="shared" ca="1" si="48"/>
        <v>0</v>
      </c>
      <c r="AB418" s="383">
        <f t="shared" si="49"/>
        <v>2.8</v>
      </c>
      <c r="AC418" s="203" t="str">
        <f t="shared" si="50"/>
        <v>G1001</v>
      </c>
      <c r="AD418" s="203" t="str">
        <f>VLOOKUP(AC418,★原価商品!$E$6:$F$349,2,FALSE)</f>
        <v>朝日/B4（折り無し）</v>
      </c>
      <c r="AE418" s="203">
        <f t="shared" ca="1" si="51"/>
        <v>0</v>
      </c>
      <c r="AF418" s="383">
        <f ca="1">IFERROR(IF(VLOOKUP(申込書!$C$32,★サイズ表記!$F$4:$H$55,3,FALSE)="切り捨て",ROUNDDOWN(L418*IF(AK418="◎",I418,J418)/100,2),IF(VLOOKUP(申込書!$C$32,★サイズ表記!$F$4:$H$55,3,FALSE)="切り上げ",ROUNDUP(L418*IF(AK418="◎",I418,J418)/100,2),ROUND(L418*IF(AK418="◎",I418,J418)/100,2))),0)</f>
        <v>2.52</v>
      </c>
      <c r="AG418" s="203">
        <f t="shared" ca="1" si="52"/>
        <v>10303</v>
      </c>
      <c r="AJ418" s="460" t="str">
        <f>IFERROR(VLOOKUP(申込書!$C$30,★業種!$D$2:$E$87,2,FALSE),"")</f>
        <v>1003</v>
      </c>
      <c r="AK418" s="460" t="str">
        <f ca="1">IF(申込書!$C$36="◎",IF(OR(D418="浜坂・温泉",D418="美方・村岡",D418="香住",D418="岡山",D418="大阪"),"",IF(LEFT(F418)="D","◎",IF(AG418=0,"",IFERROR(IF(VLOOKUP(AG418,★仕入先!$A$2:$C$211,3,FALSE)=0,"","◎"),"")))),"")</f>
        <v/>
      </c>
      <c r="AL418" s="460">
        <f>申込書!$H$14</f>
        <v>0</v>
      </c>
      <c r="AM418" s="460" t="str">
        <f>申込書!$C$32</f>
        <v>B4（折り無し）</v>
      </c>
      <c r="AN418" s="460" t="str">
        <f>VLOOKUP(AM418,★サイズ表記!$D$4:$E$55,2,FALSE)</f>
        <v>1001</v>
      </c>
      <c r="AO418" s="460">
        <f>IF(C418&lt;&gt;"⑧兵庫",VLOOKUP(LEFT(F418),★新聞!$A$4:$B$12,2,FALSE),IF(LEFT(F418)&lt;&gt;"S",VLOOKUP(LEFT(F418),★新聞!$A$4:$B$12,2,FALSE),VLOOKUP("X",★新聞!$A$4:$B$12,2,FALSE)))</f>
        <v>2</v>
      </c>
      <c r="AP418" s="460" t="str">
        <f t="shared" ca="1" si="53"/>
        <v>0</v>
      </c>
      <c r="AQ418" s="460" t="str">
        <f>IF(申込書!$C$38="","",申込書!$C$38)</f>
        <v/>
      </c>
    </row>
    <row r="419" spans="1:43">
      <c r="A419" s="463">
        <f t="shared" si="54"/>
        <v>418</v>
      </c>
      <c r="B419" s="463" t="str">
        <f t="shared" si="55"/>
        <v>東部</v>
      </c>
      <c r="C419" s="464" t="s">
        <v>1151</v>
      </c>
      <c r="D419" s="464" t="s">
        <v>1602</v>
      </c>
      <c r="E419" s="464">
        <f>VLOOKUP(D419,★折込地区!$A$2:$D$10,4,FALSE)</f>
        <v>2</v>
      </c>
      <c r="F419" s="464" t="s">
        <v>417</v>
      </c>
      <c r="G419" s="464" t="str">
        <f>INDEX(★新聞!$E$4:$I$12, MATCH(LEFT(F419),★新聞!$A$4:$A$12,0), MATCH(LEFT(W419),★新聞!$E$3:$I$3,0))</f>
        <v>AA</v>
      </c>
      <c r="H419" s="475" t="s">
        <v>1153</v>
      </c>
      <c r="I419" s="464" cm="1">
        <f t="array" ref="I419">IFERROR(INDEX(★原価率!$A$2:$E$50,MATCH($C419&amp;$H419,★原価率!$A$2:$A$50&amp;★原価率!$B$2:$B$50,0),3),0)</f>
        <v>90</v>
      </c>
      <c r="J419" s="464" cm="1">
        <f t="array" ref="J419">IFERROR(INDEX(★原価率!$A$2:$E$50,MATCH($C419&amp;$H419,★原価率!$A$2:$A$50&amp;★原価率!$B$2:$B$50,0),4),0)</f>
        <v>90</v>
      </c>
      <c r="K419" s="464" cm="1">
        <f t="array" ref="K419">IFERROR(INDEX(★原価率!$A$2:$E$50,MATCH($C419&amp;$H419,★原価率!$A$2:$A$50&amp;★原価率!$B$2:$B$50,0),5),0)</f>
        <v>100</v>
      </c>
      <c r="L419" s="528">
        <f>IFERROR(VLOOKUP(W419,★商品!$A$1:$H$1231,8,FALSE),0)</f>
        <v>2.8</v>
      </c>
      <c r="M419" s="203" t="str">
        <f ca="1">CONCATENATE(VLOOKUP(B419,★営業所!$A$2:$B$5,2,FALSE),TEXT(NOW(),"yyyy"))</f>
        <v>T2023</v>
      </c>
      <c r="N419" s="203">
        <v>1</v>
      </c>
      <c r="O419" s="203">
        <v>0</v>
      </c>
      <c r="P419" s="213">
        <f>申込書!$B$6</f>
        <v>0</v>
      </c>
      <c r="Q419" s="203">
        <f>申込書!$C$34</f>
        <v>1000040</v>
      </c>
      <c r="R419" s="203">
        <v>0</v>
      </c>
      <c r="U419" s="203">
        <f>VLOOKUP(B419,★営業所!$A$2:$C$5,3,FALSE)</f>
        <v>8</v>
      </c>
      <c r="V419" s="203">
        <f>申込書!$B$9</f>
        <v>0</v>
      </c>
      <c r="W419" s="203" t="str">
        <f>CONCATENATE(VLOOKUP(B419,★営業所!$A$2:$B$5,2,FALSE),VLOOKUP(申込書!$C$32,★サイズ表記!$D$4:$E$55,2,FALSE),VLOOKUP(D419,★折込地区!$A$2:$B$11,2,FALSE))</f>
        <v>T1001Kry</v>
      </c>
      <c r="X419" s="203" t="str">
        <f>CONCATENATE(申込書!$B$9," ",VLOOKUP(RIGHT(W419,3),★折込地区!$B$2:$C$10,2,FALSE),"")</f>
        <v xml:space="preserve"> 倉吉</v>
      </c>
      <c r="Z419" s="206">
        <f t="shared" ca="1" si="48"/>
        <v>0</v>
      </c>
      <c r="AB419" s="383">
        <f t="shared" si="49"/>
        <v>2.8</v>
      </c>
      <c r="AC419" s="203" t="str">
        <f t="shared" si="50"/>
        <v>G1001</v>
      </c>
      <c r="AD419" s="203" t="str">
        <f>VLOOKUP(AC419,★原価商品!$E$6:$F$349,2,FALSE)</f>
        <v>朝日/B4（折り無し）</v>
      </c>
      <c r="AE419" s="203">
        <f t="shared" ca="1" si="51"/>
        <v>0</v>
      </c>
      <c r="AF419" s="383">
        <f ca="1">IFERROR(IF(VLOOKUP(申込書!$C$32,★サイズ表記!$F$4:$H$55,3,FALSE)="切り捨て",ROUNDDOWN(L419*IF(AK419="◎",I419,J419)/100,2),IF(VLOOKUP(申込書!$C$32,★サイズ表記!$F$4:$H$55,3,FALSE)="切り上げ",ROUNDUP(L419*IF(AK419="◎",I419,J419)/100,2),ROUND(L419*IF(AK419="◎",I419,J419)/100,2))),0)</f>
        <v>2.52</v>
      </c>
      <c r="AG419" s="203">
        <f t="shared" ca="1" si="52"/>
        <v>10303</v>
      </c>
      <c r="AJ419" s="460" t="str">
        <f>IFERROR(VLOOKUP(申込書!$C$30,★業種!$D$2:$E$87,2,FALSE),"")</f>
        <v>1003</v>
      </c>
      <c r="AK419" s="460" t="str">
        <f ca="1">IF(申込書!$C$36="◎",IF(OR(D419="浜坂・温泉",D419="美方・村岡",D419="香住",D419="岡山",D419="大阪"),"",IF(LEFT(F419)="D","◎",IF(AG419=0,"",IFERROR(IF(VLOOKUP(AG419,★仕入先!$A$2:$C$211,3,FALSE)=0,"","◎"),"")))),"")</f>
        <v/>
      </c>
      <c r="AL419" s="460">
        <f>申込書!$H$14</f>
        <v>0</v>
      </c>
      <c r="AM419" s="460" t="str">
        <f>申込書!$C$32</f>
        <v>B4（折り無し）</v>
      </c>
      <c r="AN419" s="460" t="str">
        <f>VLOOKUP(AM419,★サイズ表記!$D$4:$E$55,2,FALSE)</f>
        <v>1001</v>
      </c>
      <c r="AO419" s="460">
        <f>IF(C419&lt;&gt;"⑧兵庫",VLOOKUP(LEFT(F419),★新聞!$A$4:$B$12,2,FALSE),IF(LEFT(F419)&lt;&gt;"S",VLOOKUP(LEFT(F419),★新聞!$A$4:$B$12,2,FALSE),VLOOKUP("X",★新聞!$A$4:$B$12,2,FALSE)))</f>
        <v>2</v>
      </c>
      <c r="AP419" s="460" t="str">
        <f t="shared" ca="1" si="53"/>
        <v>0</v>
      </c>
      <c r="AQ419" s="460" t="str">
        <f>IF(申込書!$C$38="","",申込書!$C$38)</f>
        <v/>
      </c>
    </row>
    <row r="420" spans="1:43">
      <c r="A420" s="463">
        <f t="shared" si="54"/>
        <v>419</v>
      </c>
      <c r="B420" s="463" t="str">
        <f t="shared" si="55"/>
        <v>東部</v>
      </c>
      <c r="C420" s="464" t="s">
        <v>1151</v>
      </c>
      <c r="D420" s="464" t="s">
        <v>1602</v>
      </c>
      <c r="E420" s="464">
        <f>VLOOKUP(D420,★折込地区!$A$2:$D$10,4,FALSE)</f>
        <v>2</v>
      </c>
      <c r="F420" s="464" t="s">
        <v>418</v>
      </c>
      <c r="G420" s="464" t="str">
        <f>INDEX(★新聞!$E$4:$I$12, MATCH(LEFT(F420),★新聞!$A$4:$A$12,0), MATCH(LEFT(W420),★新聞!$E$3:$I$3,0))</f>
        <v>AA</v>
      </c>
      <c r="H420" s="475" t="s">
        <v>1107</v>
      </c>
      <c r="I420" s="464" cm="1">
        <f t="array" ref="I420">IFERROR(INDEX(★原価率!$A$2:$E$50,MATCH($C420&amp;$H420,★原価率!$A$2:$A$50&amp;★原価率!$B$2:$B$50,0),3),0)</f>
        <v>82</v>
      </c>
      <c r="J420" s="464" cm="1">
        <f t="array" ref="J420">IFERROR(INDEX(★原価率!$A$2:$E$50,MATCH($C420&amp;$H420,★原価率!$A$2:$A$50&amp;★原価率!$B$2:$B$50,0),4),0)</f>
        <v>82</v>
      </c>
      <c r="K420" s="464" cm="1">
        <f t="array" ref="K420">IFERROR(INDEX(★原価率!$A$2:$E$50,MATCH($C420&amp;$H420,★原価率!$A$2:$A$50&amp;★原価率!$B$2:$B$50,0),5),0)</f>
        <v>100</v>
      </c>
      <c r="L420" s="528">
        <f>IFERROR(VLOOKUP(W420,★商品!$A$1:$H$1231,8,FALSE),0)</f>
        <v>2.8</v>
      </c>
      <c r="M420" s="203" t="str">
        <f ca="1">CONCATENATE(VLOOKUP(B420,★営業所!$A$2:$B$5,2,FALSE),TEXT(NOW(),"yyyy"))</f>
        <v>T2023</v>
      </c>
      <c r="N420" s="203">
        <v>1</v>
      </c>
      <c r="O420" s="203">
        <v>0</v>
      </c>
      <c r="P420" s="213">
        <f>申込書!$B$6</f>
        <v>0</v>
      </c>
      <c r="Q420" s="203">
        <f>申込書!$C$34</f>
        <v>1000040</v>
      </c>
      <c r="R420" s="203">
        <v>0</v>
      </c>
      <c r="U420" s="203">
        <f>VLOOKUP(B420,★営業所!$A$2:$C$5,3,FALSE)</f>
        <v>8</v>
      </c>
      <c r="V420" s="203">
        <f>申込書!$B$9</f>
        <v>0</v>
      </c>
      <c r="W420" s="203" t="str">
        <f>CONCATENATE(VLOOKUP(B420,★営業所!$A$2:$B$5,2,FALSE),VLOOKUP(申込書!$C$32,★サイズ表記!$D$4:$E$55,2,FALSE),VLOOKUP(D420,★折込地区!$A$2:$B$11,2,FALSE))</f>
        <v>T1001Kry</v>
      </c>
      <c r="X420" s="203" t="str">
        <f>CONCATENATE(申込書!$B$9," ",VLOOKUP(RIGHT(W420,3),★折込地区!$B$2:$C$10,2,FALSE),"")</f>
        <v xml:space="preserve"> 倉吉</v>
      </c>
      <c r="Z420" s="206">
        <f t="shared" ca="1" si="48"/>
        <v>0</v>
      </c>
      <c r="AB420" s="383">
        <f t="shared" si="49"/>
        <v>2.8</v>
      </c>
      <c r="AC420" s="203" t="str">
        <f t="shared" si="50"/>
        <v>G1001</v>
      </c>
      <c r="AD420" s="203" t="str">
        <f>VLOOKUP(AC420,★原価商品!$E$6:$F$349,2,FALSE)</f>
        <v>朝日/B4（折り無し）</v>
      </c>
      <c r="AE420" s="203">
        <f t="shared" ca="1" si="51"/>
        <v>0</v>
      </c>
      <c r="AF420" s="383">
        <f ca="1">IFERROR(IF(VLOOKUP(申込書!$C$32,★サイズ表記!$F$4:$H$55,3,FALSE)="切り捨て",ROUNDDOWN(L420*IF(AK420="◎",I420,J420)/100,2),IF(VLOOKUP(申込書!$C$32,★サイズ表記!$F$4:$H$55,3,FALSE)="切り上げ",ROUNDUP(L420*IF(AK420="◎",I420,J420)/100,2),ROUND(L420*IF(AK420="◎",I420,J420)/100,2))),0)</f>
        <v>2.29</v>
      </c>
      <c r="AG420" s="203">
        <f t="shared" ca="1" si="52"/>
        <v>10303</v>
      </c>
      <c r="AJ420" s="460" t="str">
        <f>IFERROR(VLOOKUP(申込書!$C$30,★業種!$D$2:$E$87,2,FALSE),"")</f>
        <v>1003</v>
      </c>
      <c r="AK420" s="460" t="str">
        <f ca="1">IF(申込書!$C$36="◎",IF(OR(D420="浜坂・温泉",D420="美方・村岡",D420="香住",D420="岡山",D420="大阪"),"",IF(LEFT(F420)="D","◎",IF(AG420=0,"",IFERROR(IF(VLOOKUP(AG420,★仕入先!$A$2:$C$211,3,FALSE)=0,"","◎"),"")))),"")</f>
        <v/>
      </c>
      <c r="AL420" s="460">
        <f>申込書!$H$14</f>
        <v>0</v>
      </c>
      <c r="AM420" s="460" t="str">
        <f>申込書!$C$32</f>
        <v>B4（折り無し）</v>
      </c>
      <c r="AN420" s="460" t="str">
        <f>VLOOKUP(AM420,★サイズ表記!$D$4:$E$55,2,FALSE)</f>
        <v>1001</v>
      </c>
      <c r="AO420" s="460">
        <f>IF(C420&lt;&gt;"⑧兵庫",VLOOKUP(LEFT(F420),★新聞!$A$4:$B$12,2,FALSE),IF(LEFT(F420)&lt;&gt;"S",VLOOKUP(LEFT(F420),★新聞!$A$4:$B$12,2,FALSE),VLOOKUP("X",★新聞!$A$4:$B$12,2,FALSE)))</f>
        <v>2</v>
      </c>
      <c r="AP420" s="460" t="str">
        <f t="shared" ca="1" si="53"/>
        <v>0</v>
      </c>
      <c r="AQ420" s="460" t="str">
        <f>IF(申込書!$C$38="","",申込書!$C$38)</f>
        <v/>
      </c>
    </row>
    <row r="421" spans="1:43">
      <c r="A421" s="463">
        <f t="shared" si="54"/>
        <v>420</v>
      </c>
      <c r="B421" s="463" t="str">
        <f t="shared" si="55"/>
        <v>東部</v>
      </c>
      <c r="C421" s="464" t="s">
        <v>1151</v>
      </c>
      <c r="D421" s="464" t="s">
        <v>1602</v>
      </c>
      <c r="E421" s="464">
        <f>VLOOKUP(D421,★折込地区!$A$2:$D$10,4,FALSE)</f>
        <v>2</v>
      </c>
      <c r="F421" s="464" t="s">
        <v>419</v>
      </c>
      <c r="G421" s="464" t="str">
        <f>INDEX(★新聞!$E$4:$I$12, MATCH(LEFT(F421),★新聞!$A$4:$A$12,0), MATCH(LEFT(W421),★新聞!$E$3:$I$3,0))</f>
        <v>AA</v>
      </c>
      <c r="H421" s="475" t="s">
        <v>1153</v>
      </c>
      <c r="I421" s="464" cm="1">
        <f t="array" ref="I421">IFERROR(INDEX(★原価率!$A$2:$E$50,MATCH($C421&amp;$H421,★原価率!$A$2:$A$50&amp;★原価率!$B$2:$B$50,0),3),0)</f>
        <v>90</v>
      </c>
      <c r="J421" s="464" cm="1">
        <f t="array" ref="J421">IFERROR(INDEX(★原価率!$A$2:$E$50,MATCH($C421&amp;$H421,★原価率!$A$2:$A$50&amp;★原価率!$B$2:$B$50,0),4),0)</f>
        <v>90</v>
      </c>
      <c r="K421" s="464" cm="1">
        <f t="array" ref="K421">IFERROR(INDEX(★原価率!$A$2:$E$50,MATCH($C421&amp;$H421,★原価率!$A$2:$A$50&amp;★原価率!$B$2:$B$50,0),5),0)</f>
        <v>100</v>
      </c>
      <c r="L421" s="528">
        <f>IFERROR(VLOOKUP(W421,★商品!$A$1:$H$1231,8,FALSE),0)</f>
        <v>2.8</v>
      </c>
      <c r="M421" s="203" t="str">
        <f ca="1">CONCATENATE(VLOOKUP(B421,★営業所!$A$2:$B$5,2,FALSE),TEXT(NOW(),"yyyy"))</f>
        <v>T2023</v>
      </c>
      <c r="N421" s="203">
        <v>1</v>
      </c>
      <c r="O421" s="203">
        <v>0</v>
      </c>
      <c r="P421" s="213">
        <f>申込書!$B$6</f>
        <v>0</v>
      </c>
      <c r="Q421" s="203">
        <f>申込書!$C$34</f>
        <v>1000040</v>
      </c>
      <c r="R421" s="203">
        <v>0</v>
      </c>
      <c r="U421" s="203">
        <f>VLOOKUP(B421,★営業所!$A$2:$C$5,3,FALSE)</f>
        <v>8</v>
      </c>
      <c r="V421" s="203">
        <f>申込書!$B$9</f>
        <v>0</v>
      </c>
      <c r="W421" s="203" t="str">
        <f>CONCATENATE(VLOOKUP(B421,★営業所!$A$2:$B$5,2,FALSE),VLOOKUP(申込書!$C$32,★サイズ表記!$D$4:$E$55,2,FALSE),VLOOKUP(D421,★折込地区!$A$2:$B$11,2,FALSE))</f>
        <v>T1001Kry</v>
      </c>
      <c r="X421" s="203" t="str">
        <f>CONCATENATE(申込書!$B$9," ",VLOOKUP(RIGHT(W421,3),★折込地区!$B$2:$C$10,2,FALSE),"")</f>
        <v xml:space="preserve"> 倉吉</v>
      </c>
      <c r="Z421" s="206">
        <f t="shared" ca="1" si="48"/>
        <v>0</v>
      </c>
      <c r="AB421" s="383">
        <f t="shared" si="49"/>
        <v>2.8</v>
      </c>
      <c r="AC421" s="203" t="str">
        <f t="shared" si="50"/>
        <v>G1001</v>
      </c>
      <c r="AD421" s="203" t="str">
        <f>VLOOKUP(AC421,★原価商品!$E$6:$F$349,2,FALSE)</f>
        <v>朝日/B4（折り無し）</v>
      </c>
      <c r="AE421" s="203">
        <f t="shared" ca="1" si="51"/>
        <v>0</v>
      </c>
      <c r="AF421" s="383">
        <f ca="1">IFERROR(IF(VLOOKUP(申込書!$C$32,★サイズ表記!$F$4:$H$55,3,FALSE)="切り捨て",ROUNDDOWN(L421*IF(AK421="◎",I421,J421)/100,2),IF(VLOOKUP(申込書!$C$32,★サイズ表記!$F$4:$H$55,3,FALSE)="切り上げ",ROUNDUP(L421*IF(AK421="◎",I421,J421)/100,2),ROUND(L421*IF(AK421="◎",I421,J421)/100,2))),0)</f>
        <v>2.52</v>
      </c>
      <c r="AG421" s="203">
        <f t="shared" ca="1" si="52"/>
        <v>10303</v>
      </c>
      <c r="AJ421" s="460" t="str">
        <f>IFERROR(VLOOKUP(申込書!$C$30,★業種!$D$2:$E$87,2,FALSE),"")</f>
        <v>1003</v>
      </c>
      <c r="AK421" s="460" t="str">
        <f ca="1">IF(申込書!$C$36="◎",IF(OR(D421="浜坂・温泉",D421="美方・村岡",D421="香住",D421="岡山",D421="大阪"),"",IF(LEFT(F421)="D","◎",IF(AG421=0,"",IFERROR(IF(VLOOKUP(AG421,★仕入先!$A$2:$C$211,3,FALSE)=0,"","◎"),"")))),"")</f>
        <v/>
      </c>
      <c r="AL421" s="460">
        <f>申込書!$H$14</f>
        <v>0</v>
      </c>
      <c r="AM421" s="460" t="str">
        <f>申込書!$C$32</f>
        <v>B4（折り無し）</v>
      </c>
      <c r="AN421" s="460" t="str">
        <f>VLOOKUP(AM421,★サイズ表記!$D$4:$E$55,2,FALSE)</f>
        <v>1001</v>
      </c>
      <c r="AO421" s="460">
        <f>IF(C421&lt;&gt;"⑧兵庫",VLOOKUP(LEFT(F421),★新聞!$A$4:$B$12,2,FALSE),IF(LEFT(F421)&lt;&gt;"S",VLOOKUP(LEFT(F421),★新聞!$A$4:$B$12,2,FALSE),VLOOKUP("X",★新聞!$A$4:$B$12,2,FALSE)))</f>
        <v>2</v>
      </c>
      <c r="AP421" s="460" t="str">
        <f t="shared" ca="1" si="53"/>
        <v>0</v>
      </c>
      <c r="AQ421" s="460" t="str">
        <f>IF(申込書!$C$38="","",申込書!$C$38)</f>
        <v/>
      </c>
    </row>
    <row r="422" spans="1:43">
      <c r="A422" s="463">
        <f t="shared" si="54"/>
        <v>421</v>
      </c>
      <c r="B422" s="463" t="str">
        <f t="shared" si="55"/>
        <v>東部</v>
      </c>
      <c r="C422" s="464" t="s">
        <v>1151</v>
      </c>
      <c r="D422" s="464" t="s">
        <v>1602</v>
      </c>
      <c r="E422" s="464">
        <f>VLOOKUP(D422,★折込地区!$A$2:$D$10,4,FALSE)</f>
        <v>2</v>
      </c>
      <c r="F422" s="464" t="s">
        <v>420</v>
      </c>
      <c r="G422" s="464" t="str">
        <f>INDEX(★新聞!$E$4:$I$12, MATCH(LEFT(F422),★新聞!$A$4:$A$12,0), MATCH(LEFT(W422),★新聞!$E$3:$I$3,0))</f>
        <v>AA</v>
      </c>
      <c r="H422" s="555" t="s">
        <v>1105</v>
      </c>
      <c r="I422" s="464" cm="1">
        <f t="array" ref="I422">IFERROR(INDEX(★原価率!$A$2:$E$50,MATCH($C422&amp;$H422,★原価率!$A$2:$A$50&amp;★原価率!$B$2:$B$50,0),3),0)</f>
        <v>78</v>
      </c>
      <c r="J422" s="464" cm="1">
        <f t="array" ref="J422">IFERROR(INDEX(★原価率!$A$2:$E$50,MATCH($C422&amp;$H422,★原価率!$A$2:$A$50&amp;★原価率!$B$2:$B$50,0),4),0)</f>
        <v>82</v>
      </c>
      <c r="K422" s="464" cm="1">
        <f t="array" ref="K422">IFERROR(INDEX(★原価率!$A$2:$E$50,MATCH($C422&amp;$H422,★原価率!$A$2:$A$50&amp;★原価率!$B$2:$B$50,0),5),0)</f>
        <v>100</v>
      </c>
      <c r="L422" s="528">
        <f>IFERROR(VLOOKUP(W422,★商品!$A$1:$H$1231,8,FALSE),0)</f>
        <v>2.8</v>
      </c>
      <c r="M422" s="203" t="str">
        <f ca="1">CONCATENATE(VLOOKUP(B422,★営業所!$A$2:$B$5,2,FALSE),TEXT(NOW(),"yyyy"))</f>
        <v>T2023</v>
      </c>
      <c r="N422" s="203">
        <v>1</v>
      </c>
      <c r="O422" s="203">
        <v>0</v>
      </c>
      <c r="P422" s="213">
        <f>申込書!$B$6</f>
        <v>0</v>
      </c>
      <c r="Q422" s="203">
        <f>申込書!$C$34</f>
        <v>1000040</v>
      </c>
      <c r="R422" s="203">
        <v>0</v>
      </c>
      <c r="U422" s="203">
        <f>VLOOKUP(B422,★営業所!$A$2:$C$5,3,FALSE)</f>
        <v>8</v>
      </c>
      <c r="V422" s="203">
        <f>申込書!$B$9</f>
        <v>0</v>
      </c>
      <c r="W422" s="203" t="str">
        <f>CONCATENATE(VLOOKUP(B422,★営業所!$A$2:$B$5,2,FALSE),VLOOKUP(申込書!$C$32,★サイズ表記!$D$4:$E$55,2,FALSE),VLOOKUP(D422,★折込地区!$A$2:$B$11,2,FALSE))</f>
        <v>T1001Kry</v>
      </c>
      <c r="X422" s="203" t="str">
        <f>CONCATENATE(申込書!$B$9," ",VLOOKUP(RIGHT(W422,3),★折込地区!$B$2:$C$10,2,FALSE),"")</f>
        <v xml:space="preserve"> 倉吉</v>
      </c>
      <c r="Z422" s="206">
        <f t="shared" ca="1" si="48"/>
        <v>0</v>
      </c>
      <c r="AB422" s="383">
        <f t="shared" si="49"/>
        <v>2.8</v>
      </c>
      <c r="AC422" s="203" t="str">
        <f t="shared" si="50"/>
        <v>G1001</v>
      </c>
      <c r="AD422" s="203" t="str">
        <f>VLOOKUP(AC422,★原価商品!$E$6:$F$349,2,FALSE)</f>
        <v>朝日/B4（折り無し）</v>
      </c>
      <c r="AE422" s="203">
        <f t="shared" ca="1" si="51"/>
        <v>0</v>
      </c>
      <c r="AF422" s="383">
        <f ca="1">IFERROR(IF(VLOOKUP(申込書!$C$32,★サイズ表記!$F$4:$H$55,3,FALSE)="切り捨て",ROUNDDOWN(L422*IF(AK422="◎",I422,J422)/100,2),IF(VLOOKUP(申込書!$C$32,★サイズ表記!$F$4:$H$55,3,FALSE)="切り上げ",ROUNDUP(L422*IF(AK422="◎",I422,J422)/100,2),ROUND(L422*IF(AK422="◎",I422,J422)/100,2))),0)</f>
        <v>2.29</v>
      </c>
      <c r="AG422" s="203">
        <f t="shared" ca="1" si="52"/>
        <v>10303</v>
      </c>
      <c r="AJ422" s="460" t="str">
        <f>IFERROR(VLOOKUP(申込書!$C$30,★業種!$D$2:$E$87,2,FALSE),"")</f>
        <v>1003</v>
      </c>
      <c r="AK422" s="460" t="str">
        <f ca="1">IF(申込書!$C$36="◎",IF(OR(D422="浜坂・温泉",D422="美方・村岡",D422="香住",D422="岡山",D422="大阪"),"",IF(LEFT(F422)="D","◎",IF(AG422=0,"",IFERROR(IF(VLOOKUP(AG422,★仕入先!$A$2:$C$211,3,FALSE)=0,"","◎"),"")))),"")</f>
        <v/>
      </c>
      <c r="AL422" s="460">
        <f>申込書!$H$14</f>
        <v>0</v>
      </c>
      <c r="AM422" s="460" t="str">
        <f>申込書!$C$32</f>
        <v>B4（折り無し）</v>
      </c>
      <c r="AN422" s="460" t="str">
        <f>VLOOKUP(AM422,★サイズ表記!$D$4:$E$55,2,FALSE)</f>
        <v>1001</v>
      </c>
      <c r="AO422" s="460">
        <f>IF(C422&lt;&gt;"⑧兵庫",VLOOKUP(LEFT(F422),★新聞!$A$4:$B$12,2,FALSE),IF(LEFT(F422)&lt;&gt;"S",VLOOKUP(LEFT(F422),★新聞!$A$4:$B$12,2,FALSE),VLOOKUP("X",★新聞!$A$4:$B$12,2,FALSE)))</f>
        <v>2</v>
      </c>
      <c r="AP422" s="460" t="str">
        <f t="shared" ca="1" si="53"/>
        <v>0</v>
      </c>
      <c r="AQ422" s="460" t="str">
        <f>IF(申込書!$C$38="","",申込書!$C$38)</f>
        <v/>
      </c>
    </row>
    <row r="423" spans="1:43">
      <c r="A423" s="463">
        <f t="shared" si="54"/>
        <v>422</v>
      </c>
      <c r="B423" s="463" t="str">
        <f t="shared" si="55"/>
        <v>東部</v>
      </c>
      <c r="C423" s="464" t="s">
        <v>1151</v>
      </c>
      <c r="D423" s="464" t="s">
        <v>1602</v>
      </c>
      <c r="E423" s="464">
        <f>VLOOKUP(D423,★折込地区!$A$2:$D$10,4,FALSE)</f>
        <v>2</v>
      </c>
      <c r="F423" s="464" t="s">
        <v>421</v>
      </c>
      <c r="G423" s="464" t="str">
        <f>INDEX(★新聞!$E$4:$I$12, MATCH(LEFT(F423),★新聞!$A$4:$A$12,0), MATCH(LEFT(W423),★新聞!$E$3:$I$3,0))</f>
        <v>AA</v>
      </c>
      <c r="H423" s="475" t="s">
        <v>1153</v>
      </c>
      <c r="I423" s="464" cm="1">
        <f t="array" ref="I423">IFERROR(INDEX(★原価率!$A$2:$E$50,MATCH($C423&amp;$H423,★原価率!$A$2:$A$50&amp;★原価率!$B$2:$B$50,0),3),0)</f>
        <v>90</v>
      </c>
      <c r="J423" s="464" cm="1">
        <f t="array" ref="J423">IFERROR(INDEX(★原価率!$A$2:$E$50,MATCH($C423&amp;$H423,★原価率!$A$2:$A$50&amp;★原価率!$B$2:$B$50,0),4),0)</f>
        <v>90</v>
      </c>
      <c r="K423" s="464" cm="1">
        <f t="array" ref="K423">IFERROR(INDEX(★原価率!$A$2:$E$50,MATCH($C423&amp;$H423,★原価率!$A$2:$A$50&amp;★原価率!$B$2:$B$50,0),5),0)</f>
        <v>100</v>
      </c>
      <c r="L423" s="528">
        <f>IFERROR(VLOOKUP(W423,★商品!$A$1:$H$1231,8,FALSE),0)</f>
        <v>2.8</v>
      </c>
      <c r="M423" s="203" t="str">
        <f ca="1">CONCATENATE(VLOOKUP(B423,★営業所!$A$2:$B$5,2,FALSE),TEXT(NOW(),"yyyy"))</f>
        <v>T2023</v>
      </c>
      <c r="N423" s="203">
        <v>1</v>
      </c>
      <c r="O423" s="203">
        <v>0</v>
      </c>
      <c r="P423" s="213">
        <f>申込書!$B$6</f>
        <v>0</v>
      </c>
      <c r="Q423" s="203">
        <f>申込書!$C$34</f>
        <v>1000040</v>
      </c>
      <c r="R423" s="203">
        <v>0</v>
      </c>
      <c r="U423" s="203">
        <f>VLOOKUP(B423,★営業所!$A$2:$C$5,3,FALSE)</f>
        <v>8</v>
      </c>
      <c r="V423" s="203">
        <f>申込書!$B$9</f>
        <v>0</v>
      </c>
      <c r="W423" s="203" t="str">
        <f>CONCATENATE(VLOOKUP(B423,★営業所!$A$2:$B$5,2,FALSE),VLOOKUP(申込書!$C$32,★サイズ表記!$D$4:$E$55,2,FALSE),VLOOKUP(D423,★折込地区!$A$2:$B$11,2,FALSE))</f>
        <v>T1001Kry</v>
      </c>
      <c r="X423" s="203" t="str">
        <f>CONCATENATE(申込書!$B$9," ",VLOOKUP(RIGHT(W423,3),★折込地区!$B$2:$C$10,2,FALSE),"")</f>
        <v xml:space="preserve"> 倉吉</v>
      </c>
      <c r="Z423" s="206">
        <f t="shared" ca="1" si="48"/>
        <v>0</v>
      </c>
      <c r="AB423" s="383">
        <f t="shared" si="49"/>
        <v>2.8</v>
      </c>
      <c r="AC423" s="203" t="str">
        <f t="shared" si="50"/>
        <v>G1001</v>
      </c>
      <c r="AD423" s="203" t="str">
        <f>VLOOKUP(AC423,★原価商品!$E$6:$F$349,2,FALSE)</f>
        <v>朝日/B4（折り無し）</v>
      </c>
      <c r="AE423" s="203">
        <f t="shared" ca="1" si="51"/>
        <v>0</v>
      </c>
      <c r="AF423" s="383">
        <f ca="1">IFERROR(IF(VLOOKUP(申込書!$C$32,★サイズ表記!$F$4:$H$55,3,FALSE)="切り捨て",ROUNDDOWN(L423*IF(AK423="◎",I423,J423)/100,2),IF(VLOOKUP(申込書!$C$32,★サイズ表記!$F$4:$H$55,3,FALSE)="切り上げ",ROUNDUP(L423*IF(AK423="◎",I423,J423)/100,2),ROUND(L423*IF(AK423="◎",I423,J423)/100,2))),0)</f>
        <v>2.52</v>
      </c>
      <c r="AG423" s="203">
        <f t="shared" ca="1" si="52"/>
        <v>10303</v>
      </c>
      <c r="AJ423" s="460" t="str">
        <f>IFERROR(VLOOKUP(申込書!$C$30,★業種!$D$2:$E$87,2,FALSE),"")</f>
        <v>1003</v>
      </c>
      <c r="AK423" s="460" t="str">
        <f ca="1">IF(申込書!$C$36="◎",IF(OR(D423="浜坂・温泉",D423="美方・村岡",D423="香住",D423="岡山",D423="大阪"),"",IF(LEFT(F423)="D","◎",IF(AG423=0,"",IFERROR(IF(VLOOKUP(AG423,★仕入先!$A$2:$C$211,3,FALSE)=0,"","◎"),"")))),"")</f>
        <v/>
      </c>
      <c r="AL423" s="460">
        <f>申込書!$H$14</f>
        <v>0</v>
      </c>
      <c r="AM423" s="460" t="str">
        <f>申込書!$C$32</f>
        <v>B4（折り無し）</v>
      </c>
      <c r="AN423" s="460" t="str">
        <f>VLOOKUP(AM423,★サイズ表記!$D$4:$E$55,2,FALSE)</f>
        <v>1001</v>
      </c>
      <c r="AO423" s="460">
        <f>IF(C423&lt;&gt;"⑧兵庫",VLOOKUP(LEFT(F423),★新聞!$A$4:$B$12,2,FALSE),IF(LEFT(F423)&lt;&gt;"S",VLOOKUP(LEFT(F423),★新聞!$A$4:$B$12,2,FALSE),VLOOKUP("X",★新聞!$A$4:$B$12,2,FALSE)))</f>
        <v>2</v>
      </c>
      <c r="AP423" s="460" t="str">
        <f t="shared" ca="1" si="53"/>
        <v>0</v>
      </c>
      <c r="AQ423" s="460" t="str">
        <f>IF(申込書!$C$38="","",申込書!$C$38)</f>
        <v/>
      </c>
    </row>
    <row r="424" spans="1:43">
      <c r="A424" s="463">
        <f t="shared" si="54"/>
        <v>423</v>
      </c>
      <c r="B424" s="463" t="str">
        <f t="shared" si="55"/>
        <v>東部</v>
      </c>
      <c r="C424" s="464" t="s">
        <v>1151</v>
      </c>
      <c r="D424" s="464" t="s">
        <v>1602</v>
      </c>
      <c r="E424" s="464">
        <f>VLOOKUP(D424,★折込地区!$A$2:$D$10,4,FALSE)</f>
        <v>2</v>
      </c>
      <c r="F424" s="464" t="s">
        <v>422</v>
      </c>
      <c r="G424" s="464" t="str">
        <f>INDEX(★新聞!$E$4:$I$12, MATCH(LEFT(F424),★新聞!$A$4:$A$12,0), MATCH(LEFT(W424),★新聞!$E$3:$I$3,0))</f>
        <v>AA</v>
      </c>
      <c r="H424" s="555" t="s">
        <v>1105</v>
      </c>
      <c r="I424" s="464" cm="1">
        <f t="array" ref="I424">IFERROR(INDEX(★原価率!$A$2:$E$50,MATCH($C424&amp;$H424,★原価率!$A$2:$A$50&amp;★原価率!$B$2:$B$50,0),3),0)</f>
        <v>78</v>
      </c>
      <c r="J424" s="464" cm="1">
        <f t="array" ref="J424">IFERROR(INDEX(★原価率!$A$2:$E$50,MATCH($C424&amp;$H424,★原価率!$A$2:$A$50&amp;★原価率!$B$2:$B$50,0),4),0)</f>
        <v>82</v>
      </c>
      <c r="K424" s="464" cm="1">
        <f t="array" ref="K424">IFERROR(INDEX(★原価率!$A$2:$E$50,MATCH($C424&amp;$H424,★原価率!$A$2:$A$50&amp;★原価率!$B$2:$B$50,0),5),0)</f>
        <v>100</v>
      </c>
      <c r="L424" s="528">
        <f>IFERROR(VLOOKUP(W424,★商品!$A$1:$H$1231,8,FALSE),0)</f>
        <v>2.8</v>
      </c>
      <c r="M424" s="203" t="str">
        <f ca="1">CONCATENATE(VLOOKUP(B424,★営業所!$A$2:$B$5,2,FALSE),TEXT(NOW(),"yyyy"))</f>
        <v>T2023</v>
      </c>
      <c r="N424" s="203">
        <v>1</v>
      </c>
      <c r="O424" s="203">
        <v>0</v>
      </c>
      <c r="P424" s="213">
        <f>申込書!$B$6</f>
        <v>0</v>
      </c>
      <c r="Q424" s="203">
        <f>申込書!$C$34</f>
        <v>1000040</v>
      </c>
      <c r="R424" s="203">
        <v>0</v>
      </c>
      <c r="U424" s="203">
        <f>VLOOKUP(B424,★営業所!$A$2:$C$5,3,FALSE)</f>
        <v>8</v>
      </c>
      <c r="V424" s="203">
        <f>申込書!$B$9</f>
        <v>0</v>
      </c>
      <c r="W424" s="203" t="str">
        <f>CONCATENATE(VLOOKUP(B424,★営業所!$A$2:$B$5,2,FALSE),VLOOKUP(申込書!$C$32,★サイズ表記!$D$4:$E$55,2,FALSE),VLOOKUP(D424,★折込地区!$A$2:$B$11,2,FALSE))</f>
        <v>T1001Kry</v>
      </c>
      <c r="X424" s="203" t="str">
        <f>CONCATENATE(申込書!$B$9," ",VLOOKUP(RIGHT(W424,3),★折込地区!$B$2:$C$10,2,FALSE),"")</f>
        <v xml:space="preserve"> 倉吉</v>
      </c>
      <c r="Z424" s="206">
        <f t="shared" ca="1" si="48"/>
        <v>0</v>
      </c>
      <c r="AB424" s="383">
        <f t="shared" si="49"/>
        <v>2.8</v>
      </c>
      <c r="AC424" s="203" t="str">
        <f t="shared" si="50"/>
        <v>G1001</v>
      </c>
      <c r="AD424" s="203" t="str">
        <f>VLOOKUP(AC424,★原価商品!$E$6:$F$349,2,FALSE)</f>
        <v>朝日/B4（折り無し）</v>
      </c>
      <c r="AE424" s="203">
        <f t="shared" ca="1" si="51"/>
        <v>0</v>
      </c>
      <c r="AF424" s="383">
        <f ca="1">IFERROR(IF(VLOOKUP(申込書!$C$32,★サイズ表記!$F$4:$H$55,3,FALSE)="切り捨て",ROUNDDOWN(L424*IF(AK424="◎",I424,J424)/100,2),IF(VLOOKUP(申込書!$C$32,★サイズ表記!$F$4:$H$55,3,FALSE)="切り上げ",ROUNDUP(L424*IF(AK424="◎",I424,J424)/100,2),ROUND(L424*IF(AK424="◎",I424,J424)/100,2))),0)</f>
        <v>2.29</v>
      </c>
      <c r="AG424" s="203">
        <f t="shared" ca="1" si="52"/>
        <v>10303</v>
      </c>
      <c r="AJ424" s="460" t="str">
        <f>IFERROR(VLOOKUP(申込書!$C$30,★業種!$D$2:$E$87,2,FALSE),"")</f>
        <v>1003</v>
      </c>
      <c r="AK424" s="460" t="str">
        <f ca="1">IF(申込書!$C$36="◎",IF(OR(D424="浜坂・温泉",D424="美方・村岡",D424="香住",D424="岡山",D424="大阪"),"",IF(LEFT(F424)="D","◎",IF(AG424=0,"",IFERROR(IF(VLOOKUP(AG424,★仕入先!$A$2:$C$211,3,FALSE)=0,"","◎"),"")))),"")</f>
        <v/>
      </c>
      <c r="AL424" s="460">
        <f>申込書!$H$14</f>
        <v>0</v>
      </c>
      <c r="AM424" s="460" t="str">
        <f>申込書!$C$32</f>
        <v>B4（折り無し）</v>
      </c>
      <c r="AN424" s="460" t="str">
        <f>VLOOKUP(AM424,★サイズ表記!$D$4:$E$55,2,FALSE)</f>
        <v>1001</v>
      </c>
      <c r="AO424" s="460">
        <f>IF(C424&lt;&gt;"⑧兵庫",VLOOKUP(LEFT(F424),★新聞!$A$4:$B$12,2,FALSE),IF(LEFT(F424)&lt;&gt;"S",VLOOKUP(LEFT(F424),★新聞!$A$4:$B$12,2,FALSE),VLOOKUP("X",★新聞!$A$4:$B$12,2,FALSE)))</f>
        <v>2</v>
      </c>
      <c r="AP424" s="460" t="str">
        <f t="shared" ca="1" si="53"/>
        <v>0</v>
      </c>
      <c r="AQ424" s="460" t="str">
        <f>IF(申込書!$C$38="","",申込書!$C$38)</f>
        <v/>
      </c>
    </row>
    <row r="425" spans="1:43">
      <c r="A425" s="463">
        <f t="shared" si="54"/>
        <v>424</v>
      </c>
      <c r="B425" s="463" t="str">
        <f t="shared" si="55"/>
        <v>東部</v>
      </c>
      <c r="C425" s="464" t="s">
        <v>1151</v>
      </c>
      <c r="D425" s="464" t="s">
        <v>1602</v>
      </c>
      <c r="E425" s="464">
        <f>VLOOKUP(D425,★折込地区!$A$2:$D$10,4,FALSE)</f>
        <v>2</v>
      </c>
      <c r="F425" s="464" t="s">
        <v>423</v>
      </c>
      <c r="G425" s="464" t="str">
        <f>INDEX(★新聞!$E$4:$I$12, MATCH(LEFT(F425),★新聞!$A$4:$A$12,0), MATCH(LEFT(W425),★新聞!$E$3:$I$3,0))</f>
        <v>AA</v>
      </c>
      <c r="H425" s="555" t="s">
        <v>1105</v>
      </c>
      <c r="I425" s="464" cm="1">
        <f t="array" ref="I425">IFERROR(INDEX(★原価率!$A$2:$E$50,MATCH($C425&amp;$H425,★原価率!$A$2:$A$50&amp;★原価率!$B$2:$B$50,0),3),0)</f>
        <v>78</v>
      </c>
      <c r="J425" s="464" cm="1">
        <f t="array" ref="J425">IFERROR(INDEX(★原価率!$A$2:$E$50,MATCH($C425&amp;$H425,★原価率!$A$2:$A$50&amp;★原価率!$B$2:$B$50,0),4),0)</f>
        <v>82</v>
      </c>
      <c r="K425" s="464" cm="1">
        <f t="array" ref="K425">IFERROR(INDEX(★原価率!$A$2:$E$50,MATCH($C425&amp;$H425,★原価率!$A$2:$A$50&amp;★原価率!$B$2:$B$50,0),5),0)</f>
        <v>100</v>
      </c>
      <c r="L425" s="528">
        <f>IFERROR(VLOOKUP(W425,★商品!$A$1:$H$1231,8,FALSE),0)</f>
        <v>2.8</v>
      </c>
      <c r="M425" s="203" t="str">
        <f ca="1">CONCATENATE(VLOOKUP(B425,★営業所!$A$2:$B$5,2,FALSE),TEXT(NOW(),"yyyy"))</f>
        <v>T2023</v>
      </c>
      <c r="N425" s="203">
        <v>1</v>
      </c>
      <c r="O425" s="203">
        <v>0</v>
      </c>
      <c r="P425" s="213">
        <f>申込書!$B$6</f>
        <v>0</v>
      </c>
      <c r="Q425" s="203">
        <f>申込書!$C$34</f>
        <v>1000040</v>
      </c>
      <c r="R425" s="203">
        <v>0</v>
      </c>
      <c r="U425" s="203">
        <f>VLOOKUP(B425,★営業所!$A$2:$C$5,3,FALSE)</f>
        <v>8</v>
      </c>
      <c r="V425" s="203">
        <f>申込書!$B$9</f>
        <v>0</v>
      </c>
      <c r="W425" s="203" t="str">
        <f>CONCATENATE(VLOOKUP(B425,★営業所!$A$2:$B$5,2,FALSE),VLOOKUP(申込書!$C$32,★サイズ表記!$D$4:$E$55,2,FALSE),VLOOKUP(D425,★折込地区!$A$2:$B$11,2,FALSE))</f>
        <v>T1001Kry</v>
      </c>
      <c r="X425" s="203" t="str">
        <f>CONCATENATE(申込書!$B$9," ",VLOOKUP(RIGHT(W425,3),★折込地区!$B$2:$C$10,2,FALSE),"")</f>
        <v xml:space="preserve"> 倉吉</v>
      </c>
      <c r="Z425" s="206">
        <f t="shared" ca="1" si="48"/>
        <v>0</v>
      </c>
      <c r="AB425" s="383">
        <f t="shared" si="49"/>
        <v>2.8</v>
      </c>
      <c r="AC425" s="203" t="str">
        <f t="shared" si="50"/>
        <v>G1001</v>
      </c>
      <c r="AD425" s="203" t="str">
        <f>VLOOKUP(AC425,★原価商品!$E$6:$F$349,2,FALSE)</f>
        <v>朝日/B4（折り無し）</v>
      </c>
      <c r="AE425" s="203">
        <f t="shared" ca="1" si="51"/>
        <v>0</v>
      </c>
      <c r="AF425" s="383">
        <f ca="1">IFERROR(IF(VLOOKUP(申込書!$C$32,★サイズ表記!$F$4:$H$55,3,FALSE)="切り捨て",ROUNDDOWN(L425*IF(AK425="◎",I425,J425)/100,2),IF(VLOOKUP(申込書!$C$32,★サイズ表記!$F$4:$H$55,3,FALSE)="切り上げ",ROUNDUP(L425*IF(AK425="◎",I425,J425)/100,2),ROUND(L425*IF(AK425="◎",I425,J425)/100,2))),0)</f>
        <v>2.29</v>
      </c>
      <c r="AG425" s="203">
        <f t="shared" ca="1" si="52"/>
        <v>10303</v>
      </c>
      <c r="AJ425" s="460" t="str">
        <f>IFERROR(VLOOKUP(申込書!$C$30,★業種!$D$2:$E$87,2,FALSE),"")</f>
        <v>1003</v>
      </c>
      <c r="AK425" s="460" t="str">
        <f ca="1">IF(申込書!$C$36="◎",IF(OR(D425="浜坂・温泉",D425="美方・村岡",D425="香住",D425="岡山",D425="大阪"),"",IF(LEFT(F425)="D","◎",IF(AG425=0,"",IFERROR(IF(VLOOKUP(AG425,★仕入先!$A$2:$C$211,3,FALSE)=0,"","◎"),"")))),"")</f>
        <v/>
      </c>
      <c r="AL425" s="460">
        <f>申込書!$H$14</f>
        <v>0</v>
      </c>
      <c r="AM425" s="460" t="str">
        <f>申込書!$C$32</f>
        <v>B4（折り無し）</v>
      </c>
      <c r="AN425" s="460" t="str">
        <f>VLOOKUP(AM425,★サイズ表記!$D$4:$E$55,2,FALSE)</f>
        <v>1001</v>
      </c>
      <c r="AO425" s="460">
        <f>IF(C425&lt;&gt;"⑧兵庫",VLOOKUP(LEFT(F425),★新聞!$A$4:$B$12,2,FALSE),IF(LEFT(F425)&lt;&gt;"S",VLOOKUP(LEFT(F425),★新聞!$A$4:$B$12,2,FALSE),VLOOKUP("X",★新聞!$A$4:$B$12,2,FALSE)))</f>
        <v>2</v>
      </c>
      <c r="AP425" s="460" t="str">
        <f t="shared" ca="1" si="53"/>
        <v>0</v>
      </c>
      <c r="AQ425" s="460" t="str">
        <f>IF(申込書!$C$38="","",申込書!$C$38)</f>
        <v/>
      </c>
    </row>
    <row r="426" spans="1:43">
      <c r="A426" s="463">
        <f t="shared" si="54"/>
        <v>425</v>
      </c>
      <c r="B426" s="463" t="str">
        <f t="shared" si="55"/>
        <v>東部</v>
      </c>
      <c r="C426" s="464" t="s">
        <v>1151</v>
      </c>
      <c r="D426" s="464" t="s">
        <v>1602</v>
      </c>
      <c r="E426" s="464">
        <f>VLOOKUP(D426,★折込地区!$A$2:$D$10,4,FALSE)</f>
        <v>2</v>
      </c>
      <c r="F426" s="464" t="s">
        <v>424</v>
      </c>
      <c r="G426" s="464" t="str">
        <f>INDEX(★新聞!$E$4:$I$12, MATCH(LEFT(F426),★新聞!$A$4:$A$12,0), MATCH(LEFT(W426),★新聞!$E$3:$I$3,0))</f>
        <v>AA</v>
      </c>
      <c r="H426" s="475" t="s">
        <v>1153</v>
      </c>
      <c r="I426" s="464" cm="1">
        <f t="array" ref="I426">IFERROR(INDEX(★原価率!$A$2:$E$50,MATCH($C426&amp;$H426,★原価率!$A$2:$A$50&amp;★原価率!$B$2:$B$50,0),3),0)</f>
        <v>90</v>
      </c>
      <c r="J426" s="464" cm="1">
        <f t="array" ref="J426">IFERROR(INDEX(★原価率!$A$2:$E$50,MATCH($C426&amp;$H426,★原価率!$A$2:$A$50&amp;★原価率!$B$2:$B$50,0),4),0)</f>
        <v>90</v>
      </c>
      <c r="K426" s="464" cm="1">
        <f t="array" ref="K426">IFERROR(INDEX(★原価率!$A$2:$E$50,MATCH($C426&amp;$H426,★原価率!$A$2:$A$50&amp;★原価率!$B$2:$B$50,0),5),0)</f>
        <v>100</v>
      </c>
      <c r="L426" s="528">
        <f>IFERROR(VLOOKUP(W426,★商品!$A$1:$H$1231,8,FALSE),0)</f>
        <v>2.8</v>
      </c>
      <c r="M426" s="203" t="str">
        <f ca="1">CONCATENATE(VLOOKUP(B426,★営業所!$A$2:$B$5,2,FALSE),TEXT(NOW(),"yyyy"))</f>
        <v>T2023</v>
      </c>
      <c r="N426" s="203">
        <v>1</v>
      </c>
      <c r="O426" s="203">
        <v>0</v>
      </c>
      <c r="P426" s="213">
        <f>申込書!$B$6</f>
        <v>0</v>
      </c>
      <c r="Q426" s="203">
        <f>申込書!$C$34</f>
        <v>1000040</v>
      </c>
      <c r="R426" s="203">
        <v>0</v>
      </c>
      <c r="U426" s="203">
        <f>VLOOKUP(B426,★営業所!$A$2:$C$5,3,FALSE)</f>
        <v>8</v>
      </c>
      <c r="V426" s="203">
        <f>申込書!$B$9</f>
        <v>0</v>
      </c>
      <c r="W426" s="203" t="str">
        <f>CONCATENATE(VLOOKUP(B426,★営業所!$A$2:$B$5,2,FALSE),VLOOKUP(申込書!$C$32,★サイズ表記!$D$4:$E$55,2,FALSE),VLOOKUP(D426,★折込地区!$A$2:$B$11,2,FALSE))</f>
        <v>T1001Kry</v>
      </c>
      <c r="X426" s="203" t="str">
        <f>CONCATENATE(申込書!$B$9," ",VLOOKUP(RIGHT(W426,3),★折込地区!$B$2:$C$10,2,FALSE),"")</f>
        <v xml:space="preserve"> 倉吉</v>
      </c>
      <c r="Z426" s="206">
        <f t="shared" ca="1" si="48"/>
        <v>0</v>
      </c>
      <c r="AB426" s="383">
        <f t="shared" si="49"/>
        <v>2.8</v>
      </c>
      <c r="AC426" s="203" t="str">
        <f t="shared" si="50"/>
        <v>G1001</v>
      </c>
      <c r="AD426" s="203" t="str">
        <f>VLOOKUP(AC426,★原価商品!$E$6:$F$349,2,FALSE)</f>
        <v>朝日/B4（折り無し）</v>
      </c>
      <c r="AE426" s="203">
        <f t="shared" ca="1" si="51"/>
        <v>0</v>
      </c>
      <c r="AF426" s="383">
        <f ca="1">IFERROR(IF(VLOOKUP(申込書!$C$32,★サイズ表記!$F$4:$H$55,3,FALSE)="切り捨て",ROUNDDOWN(L426*IF(AK426="◎",I426,J426)/100,2),IF(VLOOKUP(申込書!$C$32,★サイズ表記!$F$4:$H$55,3,FALSE)="切り上げ",ROUNDUP(L426*IF(AK426="◎",I426,J426)/100,2),ROUND(L426*IF(AK426="◎",I426,J426)/100,2))),0)</f>
        <v>2.52</v>
      </c>
      <c r="AG426" s="203">
        <f t="shared" ca="1" si="52"/>
        <v>10303</v>
      </c>
      <c r="AJ426" s="460" t="str">
        <f>IFERROR(VLOOKUP(申込書!$C$30,★業種!$D$2:$E$87,2,FALSE),"")</f>
        <v>1003</v>
      </c>
      <c r="AK426" s="460" t="str">
        <f ca="1">IF(申込書!$C$36="◎",IF(OR(D426="浜坂・温泉",D426="美方・村岡",D426="香住",D426="岡山",D426="大阪"),"",IF(LEFT(F426)="D","◎",IF(AG426=0,"",IFERROR(IF(VLOOKUP(AG426,★仕入先!$A$2:$C$211,3,FALSE)=0,"","◎"),"")))),"")</f>
        <v/>
      </c>
      <c r="AL426" s="460">
        <f>申込書!$H$14</f>
        <v>0</v>
      </c>
      <c r="AM426" s="460" t="str">
        <f>申込書!$C$32</f>
        <v>B4（折り無し）</v>
      </c>
      <c r="AN426" s="460" t="str">
        <f>VLOOKUP(AM426,★サイズ表記!$D$4:$E$55,2,FALSE)</f>
        <v>1001</v>
      </c>
      <c r="AO426" s="460">
        <f>IF(C426&lt;&gt;"⑧兵庫",VLOOKUP(LEFT(F426),★新聞!$A$4:$B$12,2,FALSE),IF(LEFT(F426)&lt;&gt;"S",VLOOKUP(LEFT(F426),★新聞!$A$4:$B$12,2,FALSE),VLOOKUP("X",★新聞!$A$4:$B$12,2,FALSE)))</f>
        <v>2</v>
      </c>
      <c r="AP426" s="460" t="str">
        <f t="shared" ca="1" si="53"/>
        <v>0</v>
      </c>
      <c r="AQ426" s="460" t="str">
        <f>IF(申込書!$C$38="","",申込書!$C$38)</f>
        <v/>
      </c>
    </row>
    <row r="427" spans="1:43">
      <c r="A427" s="463">
        <f t="shared" si="54"/>
        <v>426</v>
      </c>
      <c r="B427" s="463" t="str">
        <f t="shared" si="55"/>
        <v>東部</v>
      </c>
      <c r="C427" s="464" t="s">
        <v>1151</v>
      </c>
      <c r="D427" s="464" t="s">
        <v>1602</v>
      </c>
      <c r="E427" s="464">
        <f>VLOOKUP(D427,★折込地区!$A$2:$D$10,4,FALSE)</f>
        <v>2</v>
      </c>
      <c r="F427" s="464" t="s">
        <v>384</v>
      </c>
      <c r="G427" s="464" t="str">
        <f>INDEX(★新聞!$E$4:$I$12, MATCH(LEFT(F427),★新聞!$A$4:$A$12,0), MATCH(LEFT(W427),★新聞!$E$3:$I$3,0))</f>
        <v>AD</v>
      </c>
      <c r="H427" s="475" t="s">
        <v>1153</v>
      </c>
      <c r="I427" s="464" cm="1">
        <f t="array" ref="I427">IFERROR(INDEX(★原価率!$A$2:$E$50,MATCH($C427&amp;$H427,★原価率!$A$2:$A$50&amp;★原価率!$B$2:$B$50,0),3),0)</f>
        <v>90</v>
      </c>
      <c r="J427" s="464" cm="1">
        <f t="array" ref="J427">IFERROR(INDEX(★原価率!$A$2:$E$50,MATCH($C427&amp;$H427,★原価率!$A$2:$A$50&amp;★原価率!$B$2:$B$50,0),4),0)</f>
        <v>90</v>
      </c>
      <c r="K427" s="464" cm="1">
        <f t="array" ref="K427">IFERROR(INDEX(★原価率!$A$2:$E$50,MATCH($C427&amp;$H427,★原価率!$A$2:$A$50&amp;★原価率!$B$2:$B$50,0),5),0)</f>
        <v>100</v>
      </c>
      <c r="L427" s="528">
        <f>IFERROR(VLOOKUP(W427,★商品!$A$1:$H$1231,8,FALSE),0)</f>
        <v>2.8</v>
      </c>
      <c r="M427" s="203" t="str">
        <f ca="1">CONCATENATE(VLOOKUP(B427,★営業所!$A$2:$B$5,2,FALSE),TEXT(NOW(),"yyyy"))</f>
        <v>T2023</v>
      </c>
      <c r="N427" s="203">
        <v>1</v>
      </c>
      <c r="O427" s="203">
        <v>0</v>
      </c>
      <c r="P427" s="213">
        <f>申込書!$B$6</f>
        <v>0</v>
      </c>
      <c r="Q427" s="203">
        <f>申込書!$C$34</f>
        <v>1000040</v>
      </c>
      <c r="R427" s="203">
        <v>0</v>
      </c>
      <c r="U427" s="203">
        <f>VLOOKUP(B427,★営業所!$A$2:$C$5,3,FALSE)</f>
        <v>8</v>
      </c>
      <c r="V427" s="203">
        <f>申込書!$B$9</f>
        <v>0</v>
      </c>
      <c r="W427" s="203" t="str">
        <f>CONCATENATE(VLOOKUP(B427,★営業所!$A$2:$B$5,2,FALSE),VLOOKUP(申込書!$C$32,★サイズ表記!$D$4:$E$55,2,FALSE),VLOOKUP(D427,★折込地区!$A$2:$B$11,2,FALSE))</f>
        <v>T1001Kry</v>
      </c>
      <c r="X427" s="203" t="str">
        <f>CONCATENATE(申込書!$B$9," ",VLOOKUP(RIGHT(W427,3),★折込地区!$B$2:$C$10,2,FALSE),"")</f>
        <v xml:space="preserve"> 倉吉</v>
      </c>
      <c r="Z427" s="206">
        <f t="shared" ca="1" si="48"/>
        <v>0</v>
      </c>
      <c r="AB427" s="383">
        <f t="shared" si="49"/>
        <v>2.8</v>
      </c>
      <c r="AC427" s="203" t="str">
        <f t="shared" si="50"/>
        <v>J1001</v>
      </c>
      <c r="AD427" s="203" t="str">
        <f>VLOOKUP(AC427,★原価商品!$E$6:$F$349,2,FALSE)</f>
        <v>読売/B4（折り無し）</v>
      </c>
      <c r="AE427" s="203">
        <f t="shared" ca="1" si="51"/>
        <v>0</v>
      </c>
      <c r="AF427" s="383">
        <f ca="1">IFERROR(IF(VLOOKUP(申込書!$C$32,★サイズ表記!$F$4:$H$55,3,FALSE)="切り捨て",ROUNDDOWN(L427*IF(AK427="◎",I427,J427)/100,2),IF(VLOOKUP(申込書!$C$32,★サイズ表記!$F$4:$H$55,3,FALSE)="切り上げ",ROUNDUP(L427*IF(AK427="◎",I427,J427)/100,2),ROUND(L427*IF(AK427="◎",I427,J427)/100,2))),0)</f>
        <v>2.52</v>
      </c>
      <c r="AG427" s="203">
        <f t="shared" ca="1" si="52"/>
        <v>10303</v>
      </c>
      <c r="AJ427" s="460" t="str">
        <f>IFERROR(VLOOKUP(申込書!$C$30,★業種!$D$2:$E$87,2,FALSE),"")</f>
        <v>1003</v>
      </c>
      <c r="AK427" s="460" t="str">
        <f ca="1">IF(申込書!$C$36="◎",IF(OR(D427="浜坂・温泉",D427="美方・村岡",D427="香住",D427="岡山",D427="大阪"),"",IF(LEFT(F427)="D","◎",IF(AG427=0,"",IFERROR(IF(VLOOKUP(AG427,★仕入先!$A$2:$C$211,3,FALSE)=0,"","◎"),"")))),"")</f>
        <v/>
      </c>
      <c r="AL427" s="460">
        <f>申込書!$H$14</f>
        <v>0</v>
      </c>
      <c r="AM427" s="460" t="str">
        <f>申込書!$C$32</f>
        <v>B4（折り無し）</v>
      </c>
      <c r="AN427" s="460" t="str">
        <f>VLOOKUP(AM427,★サイズ表記!$D$4:$E$55,2,FALSE)</f>
        <v>1001</v>
      </c>
      <c r="AO427" s="460">
        <f>IF(C427&lt;&gt;"⑧兵庫",VLOOKUP(LEFT(F427),★新聞!$A$4:$B$12,2,FALSE),IF(LEFT(F427)&lt;&gt;"S",VLOOKUP(LEFT(F427),★新聞!$A$4:$B$12,2,FALSE),VLOOKUP("X",★新聞!$A$4:$B$12,2,FALSE)))</f>
        <v>3</v>
      </c>
      <c r="AP427" s="460" t="str">
        <f t="shared" ca="1" si="53"/>
        <v>0</v>
      </c>
      <c r="AQ427" s="460" t="str">
        <f>IF(申込書!$C$38="","",申込書!$C$38)</f>
        <v/>
      </c>
    </row>
    <row r="428" spans="1:43">
      <c r="A428" s="463">
        <f t="shared" si="54"/>
        <v>427</v>
      </c>
      <c r="B428" s="463" t="str">
        <f t="shared" si="55"/>
        <v>東部</v>
      </c>
      <c r="C428" s="464" t="s">
        <v>1151</v>
      </c>
      <c r="D428" s="464" t="s">
        <v>1602</v>
      </c>
      <c r="E428" s="464">
        <f>VLOOKUP(D428,★折込地区!$A$2:$D$10,4,FALSE)</f>
        <v>2</v>
      </c>
      <c r="F428" s="464" t="s">
        <v>427</v>
      </c>
      <c r="G428" s="464" t="str">
        <f>INDEX(★新聞!$E$4:$I$12, MATCH(LEFT(F428),★新聞!$A$4:$A$12,0), MATCH(LEFT(W428),★新聞!$E$3:$I$3,0))</f>
        <v>AD</v>
      </c>
      <c r="H428" s="475" t="s">
        <v>1153</v>
      </c>
      <c r="I428" s="464" cm="1">
        <f t="array" ref="I428">IFERROR(INDEX(★原価率!$A$2:$E$50,MATCH($C428&amp;$H428,★原価率!$A$2:$A$50&amp;★原価率!$B$2:$B$50,0),3),0)</f>
        <v>90</v>
      </c>
      <c r="J428" s="464" cm="1">
        <f t="array" ref="J428">IFERROR(INDEX(★原価率!$A$2:$E$50,MATCH($C428&amp;$H428,★原価率!$A$2:$A$50&amp;★原価率!$B$2:$B$50,0),4),0)</f>
        <v>90</v>
      </c>
      <c r="K428" s="464" cm="1">
        <f t="array" ref="K428">IFERROR(INDEX(★原価率!$A$2:$E$50,MATCH($C428&amp;$H428,★原価率!$A$2:$A$50&amp;★原価率!$B$2:$B$50,0),5),0)</f>
        <v>100</v>
      </c>
      <c r="L428" s="528">
        <f>IFERROR(VLOOKUP(W428,★商品!$A$1:$H$1231,8,FALSE),0)</f>
        <v>2.8</v>
      </c>
      <c r="M428" s="203" t="str">
        <f ca="1">CONCATENATE(VLOOKUP(B428,★営業所!$A$2:$B$5,2,FALSE),TEXT(NOW(),"yyyy"))</f>
        <v>T2023</v>
      </c>
      <c r="N428" s="203">
        <v>1</v>
      </c>
      <c r="O428" s="203">
        <v>0</v>
      </c>
      <c r="P428" s="213">
        <f>申込書!$B$6</f>
        <v>0</v>
      </c>
      <c r="Q428" s="203">
        <f>申込書!$C$34</f>
        <v>1000040</v>
      </c>
      <c r="R428" s="203">
        <v>0</v>
      </c>
      <c r="U428" s="203">
        <f>VLOOKUP(B428,★営業所!$A$2:$C$5,3,FALSE)</f>
        <v>8</v>
      </c>
      <c r="V428" s="203">
        <f>申込書!$B$9</f>
        <v>0</v>
      </c>
      <c r="W428" s="203" t="str">
        <f>CONCATENATE(VLOOKUP(B428,★営業所!$A$2:$B$5,2,FALSE),VLOOKUP(申込書!$C$32,★サイズ表記!$D$4:$E$55,2,FALSE),VLOOKUP(D428,★折込地区!$A$2:$B$11,2,FALSE))</f>
        <v>T1001Kry</v>
      </c>
      <c r="X428" s="203" t="str">
        <f>CONCATENATE(申込書!$B$9," ",VLOOKUP(RIGHT(W428,3),★折込地区!$B$2:$C$10,2,FALSE),"")</f>
        <v xml:space="preserve"> 倉吉</v>
      </c>
      <c r="Z428" s="206">
        <f t="shared" ca="1" si="48"/>
        <v>0</v>
      </c>
      <c r="AB428" s="383">
        <f t="shared" si="49"/>
        <v>2.8</v>
      </c>
      <c r="AC428" s="203" t="str">
        <f t="shared" si="50"/>
        <v>J1001</v>
      </c>
      <c r="AD428" s="203" t="str">
        <f>VLOOKUP(AC428,★原価商品!$E$6:$F$349,2,FALSE)</f>
        <v>読売/B4（折り無し）</v>
      </c>
      <c r="AE428" s="203">
        <f t="shared" ca="1" si="51"/>
        <v>0</v>
      </c>
      <c r="AF428" s="383">
        <f ca="1">IFERROR(IF(VLOOKUP(申込書!$C$32,★サイズ表記!$F$4:$H$55,3,FALSE)="切り捨て",ROUNDDOWN(L428*IF(AK428="◎",I428,J428)/100,2),IF(VLOOKUP(申込書!$C$32,★サイズ表記!$F$4:$H$55,3,FALSE)="切り上げ",ROUNDUP(L428*IF(AK428="◎",I428,J428)/100,2),ROUND(L428*IF(AK428="◎",I428,J428)/100,2))),0)</f>
        <v>2.52</v>
      </c>
      <c r="AG428" s="203">
        <f t="shared" ca="1" si="52"/>
        <v>10303</v>
      </c>
      <c r="AJ428" s="460" t="str">
        <f>IFERROR(VLOOKUP(申込書!$C$30,★業種!$D$2:$E$87,2,FALSE),"")</f>
        <v>1003</v>
      </c>
      <c r="AK428" s="460" t="str">
        <f ca="1">IF(申込書!$C$36="◎",IF(OR(D428="浜坂・温泉",D428="美方・村岡",D428="香住",D428="岡山",D428="大阪"),"",IF(LEFT(F428)="D","◎",IF(AG428=0,"",IFERROR(IF(VLOOKUP(AG428,★仕入先!$A$2:$C$211,3,FALSE)=0,"","◎"),"")))),"")</f>
        <v/>
      </c>
      <c r="AL428" s="460">
        <f>申込書!$H$14</f>
        <v>0</v>
      </c>
      <c r="AM428" s="460" t="str">
        <f>申込書!$C$32</f>
        <v>B4（折り無し）</v>
      </c>
      <c r="AN428" s="460" t="str">
        <f>VLOOKUP(AM428,★サイズ表記!$D$4:$E$55,2,FALSE)</f>
        <v>1001</v>
      </c>
      <c r="AO428" s="460">
        <f>IF(C428&lt;&gt;"⑧兵庫",VLOOKUP(LEFT(F428),★新聞!$A$4:$B$12,2,FALSE),IF(LEFT(F428)&lt;&gt;"S",VLOOKUP(LEFT(F428),★新聞!$A$4:$B$12,2,FALSE),VLOOKUP("X",★新聞!$A$4:$B$12,2,FALSE)))</f>
        <v>3</v>
      </c>
      <c r="AP428" s="460" t="str">
        <f t="shared" ca="1" si="53"/>
        <v>0</v>
      </c>
      <c r="AQ428" s="460" t="str">
        <f>IF(申込書!$C$38="","",申込書!$C$38)</f>
        <v/>
      </c>
    </row>
    <row r="429" spans="1:43">
      <c r="A429" s="463">
        <f t="shared" si="54"/>
        <v>428</v>
      </c>
      <c r="B429" s="463" t="str">
        <f t="shared" si="55"/>
        <v>東部</v>
      </c>
      <c r="C429" s="464" t="s">
        <v>1151</v>
      </c>
      <c r="D429" s="464" t="s">
        <v>1602</v>
      </c>
      <c r="E429" s="464">
        <f>VLOOKUP(D429,★折込地区!$A$2:$D$10,4,FALSE)</f>
        <v>2</v>
      </c>
      <c r="F429" s="464" t="s">
        <v>428</v>
      </c>
      <c r="G429" s="464" t="str">
        <f>INDEX(★新聞!$E$4:$I$12, MATCH(LEFT(F429),★新聞!$A$4:$A$12,0), MATCH(LEFT(W429),★新聞!$E$3:$I$3,0))</f>
        <v>AD</v>
      </c>
      <c r="H429" s="475" t="s">
        <v>1104</v>
      </c>
      <c r="I429" s="464" cm="1">
        <f t="array" ref="I429">IFERROR(INDEX(★原価率!$A$2:$E$50,MATCH($C429&amp;$H429,★原価率!$A$2:$A$50&amp;★原価率!$B$2:$B$50,0),3),0)</f>
        <v>86</v>
      </c>
      <c r="J429" s="464" cm="1">
        <f t="array" ref="J429">IFERROR(INDEX(★原価率!$A$2:$E$50,MATCH($C429&amp;$H429,★原価率!$A$2:$A$50&amp;★原価率!$B$2:$B$50,0),4),0)</f>
        <v>86</v>
      </c>
      <c r="K429" s="464" cm="1">
        <f t="array" ref="K429">IFERROR(INDEX(★原価率!$A$2:$E$50,MATCH($C429&amp;$H429,★原価率!$A$2:$A$50&amp;★原価率!$B$2:$B$50,0),5),0)</f>
        <v>100</v>
      </c>
      <c r="L429" s="528">
        <f>IFERROR(VLOOKUP(W429,★商品!$A$1:$H$1231,8,FALSE),0)</f>
        <v>2.8</v>
      </c>
      <c r="M429" s="203" t="str">
        <f ca="1">CONCATENATE(VLOOKUP(B429,★営業所!$A$2:$B$5,2,FALSE),TEXT(NOW(),"yyyy"))</f>
        <v>T2023</v>
      </c>
      <c r="N429" s="203">
        <v>1</v>
      </c>
      <c r="O429" s="203">
        <v>0</v>
      </c>
      <c r="P429" s="213">
        <f>申込書!$B$6</f>
        <v>0</v>
      </c>
      <c r="Q429" s="203">
        <f>申込書!$C$34</f>
        <v>1000040</v>
      </c>
      <c r="R429" s="203">
        <v>0</v>
      </c>
      <c r="U429" s="203">
        <f>VLOOKUP(B429,★営業所!$A$2:$C$5,3,FALSE)</f>
        <v>8</v>
      </c>
      <c r="V429" s="203">
        <f>申込書!$B$9</f>
        <v>0</v>
      </c>
      <c r="W429" s="203" t="str">
        <f>CONCATENATE(VLOOKUP(B429,★営業所!$A$2:$B$5,2,FALSE),VLOOKUP(申込書!$C$32,★サイズ表記!$D$4:$E$55,2,FALSE),VLOOKUP(D429,★折込地区!$A$2:$B$11,2,FALSE))</f>
        <v>T1001Kry</v>
      </c>
      <c r="X429" s="203" t="str">
        <f>CONCATENATE(申込書!$B$9," ",VLOOKUP(RIGHT(W429,3),★折込地区!$B$2:$C$10,2,FALSE),"")</f>
        <v xml:space="preserve"> 倉吉</v>
      </c>
      <c r="Z429" s="206">
        <f t="shared" ca="1" si="48"/>
        <v>0</v>
      </c>
      <c r="AB429" s="383">
        <f t="shared" si="49"/>
        <v>2.8</v>
      </c>
      <c r="AC429" s="203" t="str">
        <f t="shared" si="50"/>
        <v>J1001</v>
      </c>
      <c r="AD429" s="203" t="str">
        <f>VLOOKUP(AC429,★原価商品!$E$6:$F$349,2,FALSE)</f>
        <v>読売/B4（折り無し）</v>
      </c>
      <c r="AE429" s="203">
        <f t="shared" ca="1" si="51"/>
        <v>0</v>
      </c>
      <c r="AF429" s="383">
        <f ca="1">IFERROR(IF(VLOOKUP(申込書!$C$32,★サイズ表記!$F$4:$H$55,3,FALSE)="切り捨て",ROUNDDOWN(L429*IF(AK429="◎",I429,J429)/100,2),IF(VLOOKUP(申込書!$C$32,★サイズ表記!$F$4:$H$55,3,FALSE)="切り上げ",ROUNDUP(L429*IF(AK429="◎",I429,J429)/100,2),ROUND(L429*IF(AK429="◎",I429,J429)/100,2))),0)</f>
        <v>2.4</v>
      </c>
      <c r="AG429" s="203">
        <f t="shared" ca="1" si="52"/>
        <v>0</v>
      </c>
      <c r="AJ429" s="460" t="str">
        <f>IFERROR(VLOOKUP(申込書!$C$30,★業種!$D$2:$E$87,2,FALSE),"")</f>
        <v>1003</v>
      </c>
      <c r="AK429" s="460" t="str">
        <f ca="1">IF(申込書!$C$36="◎",IF(OR(D429="浜坂・温泉",D429="美方・村岡",D429="香住",D429="岡山",D429="大阪"),"",IF(LEFT(F429)="D","◎",IF(AG429=0,"",IFERROR(IF(VLOOKUP(AG429,★仕入先!$A$2:$C$211,3,FALSE)=0,"","◎"),"")))),"")</f>
        <v/>
      </c>
      <c r="AL429" s="460">
        <f>申込書!$H$14</f>
        <v>0</v>
      </c>
      <c r="AM429" s="460" t="str">
        <f>申込書!$C$32</f>
        <v>B4（折り無し）</v>
      </c>
      <c r="AN429" s="460" t="str">
        <f>VLOOKUP(AM429,★サイズ表記!$D$4:$E$55,2,FALSE)</f>
        <v>1001</v>
      </c>
      <c r="AO429" s="460">
        <f>IF(C429&lt;&gt;"⑧兵庫",VLOOKUP(LEFT(F429),★新聞!$A$4:$B$12,2,FALSE),IF(LEFT(F429)&lt;&gt;"S",VLOOKUP(LEFT(F429),★新聞!$A$4:$B$12,2,FALSE),VLOOKUP("X",★新聞!$A$4:$B$12,2,FALSE)))</f>
        <v>3</v>
      </c>
      <c r="AP429" s="460" t="str">
        <f t="shared" ca="1" si="53"/>
        <v>0</v>
      </c>
      <c r="AQ429" s="460" t="str">
        <f>IF(申込書!$C$38="","",申込書!$C$38)</f>
        <v/>
      </c>
    </row>
    <row r="430" spans="1:43">
      <c r="A430" s="463">
        <f t="shared" si="54"/>
        <v>429</v>
      </c>
      <c r="B430" s="463" t="str">
        <f t="shared" si="55"/>
        <v>東部</v>
      </c>
      <c r="C430" s="464" t="s">
        <v>1151</v>
      </c>
      <c r="D430" s="464" t="s">
        <v>1602</v>
      </c>
      <c r="E430" s="464">
        <f>VLOOKUP(D430,★折込地区!$A$2:$D$10,4,FALSE)</f>
        <v>2</v>
      </c>
      <c r="F430" s="464" t="s">
        <v>429</v>
      </c>
      <c r="G430" s="464" t="str">
        <f>INDEX(★新聞!$E$4:$I$12, MATCH(LEFT(F430),★新聞!$A$4:$A$12,0), MATCH(LEFT(W430),★新聞!$E$3:$I$3,0))</f>
        <v>AD</v>
      </c>
      <c r="H430" s="475" t="s">
        <v>1104</v>
      </c>
      <c r="I430" s="464" cm="1">
        <f t="array" ref="I430">IFERROR(INDEX(★原価率!$A$2:$E$50,MATCH($C430&amp;$H430,★原価率!$A$2:$A$50&amp;★原価率!$B$2:$B$50,0),3),0)</f>
        <v>86</v>
      </c>
      <c r="J430" s="464" cm="1">
        <f t="array" ref="J430">IFERROR(INDEX(★原価率!$A$2:$E$50,MATCH($C430&amp;$H430,★原価率!$A$2:$A$50&amp;★原価率!$B$2:$B$50,0),4),0)</f>
        <v>86</v>
      </c>
      <c r="K430" s="464" cm="1">
        <f t="array" ref="K430">IFERROR(INDEX(★原価率!$A$2:$E$50,MATCH($C430&amp;$H430,★原価率!$A$2:$A$50&amp;★原価率!$B$2:$B$50,0),5),0)</f>
        <v>100</v>
      </c>
      <c r="L430" s="528">
        <f>IFERROR(VLOOKUP(W430,★商品!$A$1:$H$1231,8,FALSE),0)</f>
        <v>2.8</v>
      </c>
      <c r="M430" s="203" t="str">
        <f ca="1">CONCATENATE(VLOOKUP(B430,★営業所!$A$2:$B$5,2,FALSE),TEXT(NOW(),"yyyy"))</f>
        <v>T2023</v>
      </c>
      <c r="N430" s="203">
        <v>1</v>
      </c>
      <c r="O430" s="203">
        <v>0</v>
      </c>
      <c r="P430" s="213">
        <f>申込書!$B$6</f>
        <v>0</v>
      </c>
      <c r="Q430" s="203">
        <f>申込書!$C$34</f>
        <v>1000040</v>
      </c>
      <c r="R430" s="203">
        <v>0</v>
      </c>
      <c r="U430" s="203">
        <f>VLOOKUP(B430,★営業所!$A$2:$C$5,3,FALSE)</f>
        <v>8</v>
      </c>
      <c r="V430" s="203">
        <f>申込書!$B$9</f>
        <v>0</v>
      </c>
      <c r="W430" s="203" t="str">
        <f>CONCATENATE(VLOOKUP(B430,★営業所!$A$2:$B$5,2,FALSE),VLOOKUP(申込書!$C$32,★サイズ表記!$D$4:$E$55,2,FALSE),VLOOKUP(D430,★折込地区!$A$2:$B$11,2,FALSE))</f>
        <v>T1001Kry</v>
      </c>
      <c r="X430" s="203" t="str">
        <f>CONCATENATE(申込書!$B$9," ",VLOOKUP(RIGHT(W430,3),★折込地区!$B$2:$C$10,2,FALSE),"")</f>
        <v xml:space="preserve"> 倉吉</v>
      </c>
      <c r="Z430" s="206">
        <f t="shared" ca="1" si="48"/>
        <v>0</v>
      </c>
      <c r="AB430" s="383">
        <f t="shared" si="49"/>
        <v>2.8</v>
      </c>
      <c r="AC430" s="203" t="str">
        <f t="shared" si="50"/>
        <v>J1001</v>
      </c>
      <c r="AD430" s="203" t="str">
        <f>VLOOKUP(AC430,★原価商品!$E$6:$F$349,2,FALSE)</f>
        <v>読売/B4（折り無し）</v>
      </c>
      <c r="AE430" s="203">
        <f t="shared" ca="1" si="51"/>
        <v>0</v>
      </c>
      <c r="AF430" s="383">
        <f ca="1">IFERROR(IF(VLOOKUP(申込書!$C$32,★サイズ表記!$F$4:$H$55,3,FALSE)="切り捨て",ROUNDDOWN(L430*IF(AK430="◎",I430,J430)/100,2),IF(VLOOKUP(申込書!$C$32,★サイズ表記!$F$4:$H$55,3,FALSE)="切り上げ",ROUNDUP(L430*IF(AK430="◎",I430,J430)/100,2),ROUND(L430*IF(AK430="◎",I430,J430)/100,2))),0)</f>
        <v>2.4</v>
      </c>
      <c r="AG430" s="203">
        <f t="shared" ca="1" si="52"/>
        <v>0</v>
      </c>
      <c r="AJ430" s="460" t="str">
        <f>IFERROR(VLOOKUP(申込書!$C$30,★業種!$D$2:$E$87,2,FALSE),"")</f>
        <v>1003</v>
      </c>
      <c r="AK430" s="460" t="str">
        <f ca="1">IF(申込書!$C$36="◎",IF(OR(D430="浜坂・温泉",D430="美方・村岡",D430="香住",D430="岡山",D430="大阪"),"",IF(LEFT(F430)="D","◎",IF(AG430=0,"",IFERROR(IF(VLOOKUP(AG430,★仕入先!$A$2:$C$211,3,FALSE)=0,"","◎"),"")))),"")</f>
        <v/>
      </c>
      <c r="AL430" s="460">
        <f>申込書!$H$14</f>
        <v>0</v>
      </c>
      <c r="AM430" s="460" t="str">
        <f>申込書!$C$32</f>
        <v>B4（折り無し）</v>
      </c>
      <c r="AN430" s="460" t="str">
        <f>VLOOKUP(AM430,★サイズ表記!$D$4:$E$55,2,FALSE)</f>
        <v>1001</v>
      </c>
      <c r="AO430" s="460">
        <f>IF(C430&lt;&gt;"⑧兵庫",VLOOKUP(LEFT(F430),★新聞!$A$4:$B$12,2,FALSE),IF(LEFT(F430)&lt;&gt;"S",VLOOKUP(LEFT(F430),★新聞!$A$4:$B$12,2,FALSE),VLOOKUP("X",★新聞!$A$4:$B$12,2,FALSE)))</f>
        <v>3</v>
      </c>
      <c r="AP430" s="460" t="str">
        <f t="shared" ca="1" si="53"/>
        <v>0</v>
      </c>
      <c r="AQ430" s="460" t="str">
        <f>IF(申込書!$C$38="","",申込書!$C$38)</f>
        <v/>
      </c>
    </row>
    <row r="431" spans="1:43">
      <c r="A431" s="463">
        <f t="shared" si="54"/>
        <v>430</v>
      </c>
      <c r="B431" s="463" t="str">
        <f t="shared" si="55"/>
        <v>東部</v>
      </c>
      <c r="C431" s="464" t="s">
        <v>1151</v>
      </c>
      <c r="D431" s="464" t="s">
        <v>1602</v>
      </c>
      <c r="E431" s="464">
        <f>VLOOKUP(D431,★折込地区!$A$2:$D$10,4,FALSE)</f>
        <v>2</v>
      </c>
      <c r="F431" s="464" t="s">
        <v>430</v>
      </c>
      <c r="G431" s="464" t="str">
        <f>INDEX(★新聞!$E$4:$I$12, MATCH(LEFT(F431),★新聞!$A$4:$A$12,0), MATCH(LEFT(W431),★新聞!$E$3:$I$3,0))</f>
        <v>AD</v>
      </c>
      <c r="H431" s="475" t="s">
        <v>1104</v>
      </c>
      <c r="I431" s="464" cm="1">
        <f t="array" ref="I431">IFERROR(INDEX(★原価率!$A$2:$E$50,MATCH($C431&amp;$H431,★原価率!$A$2:$A$50&amp;★原価率!$B$2:$B$50,0),3),0)</f>
        <v>86</v>
      </c>
      <c r="J431" s="464" cm="1">
        <f t="array" ref="J431">IFERROR(INDEX(★原価率!$A$2:$E$50,MATCH($C431&amp;$H431,★原価率!$A$2:$A$50&amp;★原価率!$B$2:$B$50,0),4),0)</f>
        <v>86</v>
      </c>
      <c r="K431" s="464" cm="1">
        <f t="array" ref="K431">IFERROR(INDEX(★原価率!$A$2:$E$50,MATCH($C431&amp;$H431,★原価率!$A$2:$A$50&amp;★原価率!$B$2:$B$50,0),5),0)</f>
        <v>100</v>
      </c>
      <c r="L431" s="528">
        <f>IFERROR(VLOOKUP(W431,★商品!$A$1:$H$1231,8,FALSE),0)</f>
        <v>2.8</v>
      </c>
      <c r="M431" s="203" t="str">
        <f ca="1">CONCATENATE(VLOOKUP(B431,★営業所!$A$2:$B$5,2,FALSE),TEXT(NOW(),"yyyy"))</f>
        <v>T2023</v>
      </c>
      <c r="N431" s="203">
        <v>1</v>
      </c>
      <c r="O431" s="203">
        <v>0</v>
      </c>
      <c r="P431" s="213">
        <f>申込書!$B$6</f>
        <v>0</v>
      </c>
      <c r="Q431" s="203">
        <f>申込書!$C$34</f>
        <v>1000040</v>
      </c>
      <c r="R431" s="203">
        <v>0</v>
      </c>
      <c r="U431" s="203">
        <f>VLOOKUP(B431,★営業所!$A$2:$C$5,3,FALSE)</f>
        <v>8</v>
      </c>
      <c r="V431" s="203">
        <f>申込書!$B$9</f>
        <v>0</v>
      </c>
      <c r="W431" s="203" t="str">
        <f>CONCATENATE(VLOOKUP(B431,★営業所!$A$2:$B$5,2,FALSE),VLOOKUP(申込書!$C$32,★サイズ表記!$D$4:$E$55,2,FALSE),VLOOKUP(D431,★折込地区!$A$2:$B$11,2,FALSE))</f>
        <v>T1001Kry</v>
      </c>
      <c r="X431" s="203" t="str">
        <f>CONCATENATE(申込書!$B$9," ",VLOOKUP(RIGHT(W431,3),★折込地区!$B$2:$C$10,2,FALSE),"")</f>
        <v xml:space="preserve"> 倉吉</v>
      </c>
      <c r="Z431" s="206">
        <f t="shared" ca="1" si="48"/>
        <v>0</v>
      </c>
      <c r="AB431" s="383">
        <f t="shared" si="49"/>
        <v>2.8</v>
      </c>
      <c r="AC431" s="203" t="str">
        <f t="shared" si="50"/>
        <v>J1001</v>
      </c>
      <c r="AD431" s="203" t="str">
        <f>VLOOKUP(AC431,★原価商品!$E$6:$F$349,2,FALSE)</f>
        <v>読売/B4（折り無し）</v>
      </c>
      <c r="AE431" s="203">
        <f t="shared" ca="1" si="51"/>
        <v>0</v>
      </c>
      <c r="AF431" s="383">
        <f ca="1">IFERROR(IF(VLOOKUP(申込書!$C$32,★サイズ表記!$F$4:$H$55,3,FALSE)="切り捨て",ROUNDDOWN(L431*IF(AK431="◎",I431,J431)/100,2),IF(VLOOKUP(申込書!$C$32,★サイズ表記!$F$4:$H$55,3,FALSE)="切り上げ",ROUNDUP(L431*IF(AK431="◎",I431,J431)/100,2),ROUND(L431*IF(AK431="◎",I431,J431)/100,2))),0)</f>
        <v>2.4</v>
      </c>
      <c r="AG431" s="203">
        <f t="shared" ca="1" si="52"/>
        <v>0</v>
      </c>
      <c r="AJ431" s="460" t="str">
        <f>IFERROR(VLOOKUP(申込書!$C$30,★業種!$D$2:$E$87,2,FALSE),"")</f>
        <v>1003</v>
      </c>
      <c r="AK431" s="460" t="str">
        <f ca="1">IF(申込書!$C$36="◎",IF(OR(D431="浜坂・温泉",D431="美方・村岡",D431="香住",D431="岡山",D431="大阪"),"",IF(LEFT(F431)="D","◎",IF(AG431=0,"",IFERROR(IF(VLOOKUP(AG431,★仕入先!$A$2:$C$211,3,FALSE)=0,"","◎"),"")))),"")</f>
        <v/>
      </c>
      <c r="AL431" s="460">
        <f>申込書!$H$14</f>
        <v>0</v>
      </c>
      <c r="AM431" s="460" t="str">
        <f>申込書!$C$32</f>
        <v>B4（折り無し）</v>
      </c>
      <c r="AN431" s="460" t="str">
        <f>VLOOKUP(AM431,★サイズ表記!$D$4:$E$55,2,FALSE)</f>
        <v>1001</v>
      </c>
      <c r="AO431" s="460">
        <f>IF(C431&lt;&gt;"⑧兵庫",VLOOKUP(LEFT(F431),★新聞!$A$4:$B$12,2,FALSE),IF(LEFT(F431)&lt;&gt;"S",VLOOKUP(LEFT(F431),★新聞!$A$4:$B$12,2,FALSE),VLOOKUP("X",★新聞!$A$4:$B$12,2,FALSE)))</f>
        <v>3</v>
      </c>
      <c r="AP431" s="460" t="str">
        <f t="shared" ca="1" si="53"/>
        <v>0</v>
      </c>
      <c r="AQ431" s="460" t="str">
        <f>IF(申込書!$C$38="","",申込書!$C$38)</f>
        <v/>
      </c>
    </row>
    <row r="432" spans="1:43">
      <c r="A432" s="463">
        <f t="shared" si="54"/>
        <v>431</v>
      </c>
      <c r="B432" s="463" t="str">
        <f t="shared" si="55"/>
        <v>東部</v>
      </c>
      <c r="C432" s="464" t="s">
        <v>1151</v>
      </c>
      <c r="D432" s="464" t="s">
        <v>1602</v>
      </c>
      <c r="E432" s="464">
        <f>VLOOKUP(D432,★折込地区!$A$2:$D$10,4,FALSE)</f>
        <v>2</v>
      </c>
      <c r="F432" s="464" t="s">
        <v>431</v>
      </c>
      <c r="G432" s="464" t="str">
        <f>INDEX(★新聞!$E$4:$I$12, MATCH(LEFT(F432),★新聞!$A$4:$A$12,0), MATCH(LEFT(W432),★新聞!$E$3:$I$3,0))</f>
        <v>AD</v>
      </c>
      <c r="H432" s="475" t="s">
        <v>1153</v>
      </c>
      <c r="I432" s="464" cm="1">
        <f t="array" ref="I432">IFERROR(INDEX(★原価率!$A$2:$E$50,MATCH($C432&amp;$H432,★原価率!$A$2:$A$50&amp;★原価率!$B$2:$B$50,0),3),0)</f>
        <v>90</v>
      </c>
      <c r="J432" s="464" cm="1">
        <f t="array" ref="J432">IFERROR(INDEX(★原価率!$A$2:$E$50,MATCH($C432&amp;$H432,★原価率!$A$2:$A$50&amp;★原価率!$B$2:$B$50,0),4),0)</f>
        <v>90</v>
      </c>
      <c r="K432" s="464" cm="1">
        <f t="array" ref="K432">IFERROR(INDEX(★原価率!$A$2:$E$50,MATCH($C432&amp;$H432,★原価率!$A$2:$A$50&amp;★原価率!$B$2:$B$50,0),5),0)</f>
        <v>100</v>
      </c>
      <c r="L432" s="528">
        <f>IFERROR(VLOOKUP(W432,★商品!$A$1:$H$1231,8,FALSE),0)</f>
        <v>2.8</v>
      </c>
      <c r="M432" s="203" t="str">
        <f ca="1">CONCATENATE(VLOOKUP(B432,★営業所!$A$2:$B$5,2,FALSE),TEXT(NOW(),"yyyy"))</f>
        <v>T2023</v>
      </c>
      <c r="N432" s="203">
        <v>1</v>
      </c>
      <c r="O432" s="203">
        <v>0</v>
      </c>
      <c r="P432" s="213">
        <f>申込書!$B$6</f>
        <v>0</v>
      </c>
      <c r="Q432" s="203">
        <f>申込書!$C$34</f>
        <v>1000040</v>
      </c>
      <c r="R432" s="203">
        <v>0</v>
      </c>
      <c r="U432" s="203">
        <f>VLOOKUP(B432,★営業所!$A$2:$C$5,3,FALSE)</f>
        <v>8</v>
      </c>
      <c r="V432" s="203">
        <f>申込書!$B$9</f>
        <v>0</v>
      </c>
      <c r="W432" s="203" t="str">
        <f>CONCATENATE(VLOOKUP(B432,★営業所!$A$2:$B$5,2,FALSE),VLOOKUP(申込書!$C$32,★サイズ表記!$D$4:$E$55,2,FALSE),VLOOKUP(D432,★折込地区!$A$2:$B$11,2,FALSE))</f>
        <v>T1001Kry</v>
      </c>
      <c r="X432" s="203" t="str">
        <f>CONCATENATE(申込書!$B$9," ",VLOOKUP(RIGHT(W432,3),★折込地区!$B$2:$C$10,2,FALSE),"")</f>
        <v xml:space="preserve"> 倉吉</v>
      </c>
      <c r="Z432" s="206">
        <f t="shared" ca="1" si="48"/>
        <v>0</v>
      </c>
      <c r="AB432" s="383">
        <f t="shared" si="49"/>
        <v>2.8</v>
      </c>
      <c r="AC432" s="203" t="str">
        <f t="shared" si="50"/>
        <v>J1001</v>
      </c>
      <c r="AD432" s="203" t="str">
        <f>VLOOKUP(AC432,★原価商品!$E$6:$F$349,2,FALSE)</f>
        <v>読売/B4（折り無し）</v>
      </c>
      <c r="AE432" s="203">
        <f t="shared" ca="1" si="51"/>
        <v>0</v>
      </c>
      <c r="AF432" s="383">
        <f ca="1">IFERROR(IF(VLOOKUP(申込書!$C$32,★サイズ表記!$F$4:$H$55,3,FALSE)="切り捨て",ROUNDDOWN(L432*IF(AK432="◎",I432,J432)/100,2),IF(VLOOKUP(申込書!$C$32,★サイズ表記!$F$4:$H$55,3,FALSE)="切り上げ",ROUNDUP(L432*IF(AK432="◎",I432,J432)/100,2),ROUND(L432*IF(AK432="◎",I432,J432)/100,2))),0)</f>
        <v>2.52</v>
      </c>
      <c r="AG432" s="203">
        <f t="shared" ca="1" si="52"/>
        <v>10303</v>
      </c>
      <c r="AJ432" s="460" t="str">
        <f>IFERROR(VLOOKUP(申込書!$C$30,★業種!$D$2:$E$87,2,FALSE),"")</f>
        <v>1003</v>
      </c>
      <c r="AK432" s="460" t="str">
        <f ca="1">IF(申込書!$C$36="◎",IF(OR(D432="浜坂・温泉",D432="美方・村岡",D432="香住",D432="岡山",D432="大阪"),"",IF(LEFT(F432)="D","◎",IF(AG432=0,"",IFERROR(IF(VLOOKUP(AG432,★仕入先!$A$2:$C$211,3,FALSE)=0,"","◎"),"")))),"")</f>
        <v/>
      </c>
      <c r="AL432" s="460">
        <f>申込書!$H$14</f>
        <v>0</v>
      </c>
      <c r="AM432" s="460" t="str">
        <f>申込書!$C$32</f>
        <v>B4（折り無し）</v>
      </c>
      <c r="AN432" s="460" t="str">
        <f>VLOOKUP(AM432,★サイズ表記!$D$4:$E$55,2,FALSE)</f>
        <v>1001</v>
      </c>
      <c r="AO432" s="460">
        <f>IF(C432&lt;&gt;"⑧兵庫",VLOOKUP(LEFT(F432),★新聞!$A$4:$B$12,2,FALSE),IF(LEFT(F432)&lt;&gt;"S",VLOOKUP(LEFT(F432),★新聞!$A$4:$B$12,2,FALSE),VLOOKUP("X",★新聞!$A$4:$B$12,2,FALSE)))</f>
        <v>3</v>
      </c>
      <c r="AP432" s="460" t="str">
        <f t="shared" ca="1" si="53"/>
        <v>0</v>
      </c>
      <c r="AQ432" s="460" t="str">
        <f>IF(申込書!$C$38="","",申込書!$C$38)</f>
        <v/>
      </c>
    </row>
    <row r="433" spans="1:43">
      <c r="A433" s="463">
        <f t="shared" si="54"/>
        <v>432</v>
      </c>
      <c r="B433" s="463" t="str">
        <f t="shared" si="55"/>
        <v>東部</v>
      </c>
      <c r="C433" s="464" t="s">
        <v>1151</v>
      </c>
      <c r="D433" s="464" t="s">
        <v>1602</v>
      </c>
      <c r="E433" s="464">
        <f>VLOOKUP(D433,★折込地区!$A$2:$D$10,4,FALSE)</f>
        <v>2</v>
      </c>
      <c r="F433" s="464" t="s">
        <v>432</v>
      </c>
      <c r="G433" s="464" t="str">
        <f>INDEX(★新聞!$E$4:$I$12, MATCH(LEFT(F433),★新聞!$A$4:$A$12,0), MATCH(LEFT(W433),★新聞!$E$3:$I$3,0))</f>
        <v>AD</v>
      </c>
      <c r="H433" s="475" t="s">
        <v>1107</v>
      </c>
      <c r="I433" s="464" cm="1">
        <f t="array" ref="I433">IFERROR(INDEX(★原価率!$A$2:$E$50,MATCH($C433&amp;$H433,★原価率!$A$2:$A$50&amp;★原価率!$B$2:$B$50,0),3),0)</f>
        <v>82</v>
      </c>
      <c r="J433" s="464" cm="1">
        <f t="array" ref="J433">IFERROR(INDEX(★原価率!$A$2:$E$50,MATCH($C433&amp;$H433,★原価率!$A$2:$A$50&amp;★原価率!$B$2:$B$50,0),4),0)</f>
        <v>82</v>
      </c>
      <c r="K433" s="464" cm="1">
        <f t="array" ref="K433">IFERROR(INDEX(★原価率!$A$2:$E$50,MATCH($C433&amp;$H433,★原価率!$A$2:$A$50&amp;★原価率!$B$2:$B$50,0),5),0)</f>
        <v>100</v>
      </c>
      <c r="L433" s="528">
        <f>IFERROR(VLOOKUP(W433,★商品!$A$1:$H$1231,8,FALSE),0)</f>
        <v>2.8</v>
      </c>
      <c r="M433" s="203" t="str">
        <f ca="1">CONCATENATE(VLOOKUP(B433,★営業所!$A$2:$B$5,2,FALSE),TEXT(NOW(),"yyyy"))</f>
        <v>T2023</v>
      </c>
      <c r="N433" s="203">
        <v>1</v>
      </c>
      <c r="O433" s="203">
        <v>0</v>
      </c>
      <c r="P433" s="213">
        <f>申込書!$B$6</f>
        <v>0</v>
      </c>
      <c r="Q433" s="203">
        <f>申込書!$C$34</f>
        <v>1000040</v>
      </c>
      <c r="R433" s="203">
        <v>0</v>
      </c>
      <c r="U433" s="203">
        <f>VLOOKUP(B433,★営業所!$A$2:$C$5,3,FALSE)</f>
        <v>8</v>
      </c>
      <c r="V433" s="203">
        <f>申込書!$B$9</f>
        <v>0</v>
      </c>
      <c r="W433" s="203" t="str">
        <f>CONCATENATE(VLOOKUP(B433,★営業所!$A$2:$B$5,2,FALSE),VLOOKUP(申込書!$C$32,★サイズ表記!$D$4:$E$55,2,FALSE),VLOOKUP(D433,★折込地区!$A$2:$B$11,2,FALSE))</f>
        <v>T1001Kry</v>
      </c>
      <c r="X433" s="203" t="str">
        <f>CONCATENATE(申込書!$B$9," ",VLOOKUP(RIGHT(W433,3),★折込地区!$B$2:$C$10,2,FALSE),"")</f>
        <v xml:space="preserve"> 倉吉</v>
      </c>
      <c r="Z433" s="206">
        <f t="shared" ca="1" si="48"/>
        <v>0</v>
      </c>
      <c r="AB433" s="383">
        <f t="shared" si="49"/>
        <v>2.8</v>
      </c>
      <c r="AC433" s="203" t="str">
        <f t="shared" si="50"/>
        <v>J1001</v>
      </c>
      <c r="AD433" s="203" t="str">
        <f>VLOOKUP(AC433,★原価商品!$E$6:$F$349,2,FALSE)</f>
        <v>読売/B4（折り無し）</v>
      </c>
      <c r="AE433" s="203">
        <f t="shared" ca="1" si="51"/>
        <v>0</v>
      </c>
      <c r="AF433" s="383">
        <f ca="1">IFERROR(IF(VLOOKUP(申込書!$C$32,★サイズ表記!$F$4:$H$55,3,FALSE)="切り捨て",ROUNDDOWN(L433*IF(AK433="◎",I433,J433)/100,2),IF(VLOOKUP(申込書!$C$32,★サイズ表記!$F$4:$H$55,3,FALSE)="切り上げ",ROUNDUP(L433*IF(AK433="◎",I433,J433)/100,2),ROUND(L433*IF(AK433="◎",I433,J433)/100,2))),0)</f>
        <v>2.29</v>
      </c>
      <c r="AG433" s="203">
        <f t="shared" ca="1" si="52"/>
        <v>0</v>
      </c>
      <c r="AJ433" s="460" t="str">
        <f>IFERROR(VLOOKUP(申込書!$C$30,★業種!$D$2:$E$87,2,FALSE),"")</f>
        <v>1003</v>
      </c>
      <c r="AK433" s="460" t="str">
        <f ca="1">IF(申込書!$C$36="◎",IF(OR(D433="浜坂・温泉",D433="美方・村岡",D433="香住",D433="岡山",D433="大阪"),"",IF(LEFT(F433)="D","◎",IF(AG433=0,"",IFERROR(IF(VLOOKUP(AG433,★仕入先!$A$2:$C$211,3,FALSE)=0,"","◎"),"")))),"")</f>
        <v/>
      </c>
      <c r="AL433" s="460">
        <f>申込書!$H$14</f>
        <v>0</v>
      </c>
      <c r="AM433" s="460" t="str">
        <f>申込書!$C$32</f>
        <v>B4（折り無し）</v>
      </c>
      <c r="AN433" s="460" t="str">
        <f>VLOOKUP(AM433,★サイズ表記!$D$4:$E$55,2,FALSE)</f>
        <v>1001</v>
      </c>
      <c r="AO433" s="460">
        <f>IF(C433&lt;&gt;"⑧兵庫",VLOOKUP(LEFT(F433),★新聞!$A$4:$B$12,2,FALSE),IF(LEFT(F433)&lt;&gt;"S",VLOOKUP(LEFT(F433),★新聞!$A$4:$B$12,2,FALSE),VLOOKUP("X",★新聞!$A$4:$B$12,2,FALSE)))</f>
        <v>3</v>
      </c>
      <c r="AP433" s="460" t="str">
        <f t="shared" ca="1" si="53"/>
        <v>0</v>
      </c>
      <c r="AQ433" s="460" t="str">
        <f>IF(申込書!$C$38="","",申込書!$C$38)</f>
        <v/>
      </c>
    </row>
    <row r="434" spans="1:43">
      <c r="A434" s="463">
        <f t="shared" si="54"/>
        <v>433</v>
      </c>
      <c r="B434" s="463" t="str">
        <f t="shared" si="55"/>
        <v>東部</v>
      </c>
      <c r="C434" s="464" t="s">
        <v>1151</v>
      </c>
      <c r="D434" s="464" t="s">
        <v>1602</v>
      </c>
      <c r="E434" s="464">
        <f>VLOOKUP(D434,★折込地区!$A$2:$D$10,4,FALSE)</f>
        <v>2</v>
      </c>
      <c r="F434" s="464" t="s">
        <v>436</v>
      </c>
      <c r="G434" s="464" t="str">
        <f>INDEX(★新聞!$E$4:$I$12, MATCH(LEFT(F434),★新聞!$A$4:$A$12,0), MATCH(LEFT(W434),★新聞!$E$3:$I$3,0))</f>
        <v>AD</v>
      </c>
      <c r="H434" s="475" t="s">
        <v>1153</v>
      </c>
      <c r="I434" s="464" cm="1">
        <f t="array" ref="I434">IFERROR(INDEX(★原価率!$A$2:$E$50,MATCH($C434&amp;$H434,★原価率!$A$2:$A$50&amp;★原価率!$B$2:$B$50,0),3),0)</f>
        <v>90</v>
      </c>
      <c r="J434" s="464" cm="1">
        <f t="array" ref="J434">IFERROR(INDEX(★原価率!$A$2:$E$50,MATCH($C434&amp;$H434,★原価率!$A$2:$A$50&amp;★原価率!$B$2:$B$50,0),4),0)</f>
        <v>90</v>
      </c>
      <c r="K434" s="464" cm="1">
        <f t="array" ref="K434">IFERROR(INDEX(★原価率!$A$2:$E$50,MATCH($C434&amp;$H434,★原価率!$A$2:$A$50&amp;★原価率!$B$2:$B$50,0),5),0)</f>
        <v>100</v>
      </c>
      <c r="L434" s="528">
        <f>IFERROR(VLOOKUP(W434,★商品!$A$1:$H$1231,8,FALSE),0)</f>
        <v>2.8</v>
      </c>
      <c r="M434" s="203" t="str">
        <f ca="1">CONCATENATE(VLOOKUP(B434,★営業所!$A$2:$B$5,2,FALSE),TEXT(NOW(),"yyyy"))</f>
        <v>T2023</v>
      </c>
      <c r="N434" s="203">
        <v>1</v>
      </c>
      <c r="O434" s="203">
        <v>0</v>
      </c>
      <c r="P434" s="213">
        <f>申込書!$B$6</f>
        <v>0</v>
      </c>
      <c r="Q434" s="203">
        <f>申込書!$C$34</f>
        <v>1000040</v>
      </c>
      <c r="R434" s="203">
        <v>0</v>
      </c>
      <c r="U434" s="203">
        <f>VLOOKUP(B434,★営業所!$A$2:$C$5,3,FALSE)</f>
        <v>8</v>
      </c>
      <c r="V434" s="203">
        <f>申込書!$B$9</f>
        <v>0</v>
      </c>
      <c r="W434" s="203" t="str">
        <f>CONCATENATE(VLOOKUP(B434,★営業所!$A$2:$B$5,2,FALSE),VLOOKUP(申込書!$C$32,★サイズ表記!$D$4:$E$55,2,FALSE),VLOOKUP(D434,★折込地区!$A$2:$B$11,2,FALSE))</f>
        <v>T1001Kry</v>
      </c>
      <c r="X434" s="203" t="str">
        <f>CONCATENATE(申込書!$B$9," ",VLOOKUP(RIGHT(W434,3),★折込地区!$B$2:$C$10,2,FALSE),"")</f>
        <v xml:space="preserve"> 倉吉</v>
      </c>
      <c r="Z434" s="206">
        <f t="shared" ca="1" si="48"/>
        <v>0</v>
      </c>
      <c r="AB434" s="383">
        <f t="shared" si="49"/>
        <v>2.8</v>
      </c>
      <c r="AC434" s="203" t="str">
        <f t="shared" si="50"/>
        <v>J1001</v>
      </c>
      <c r="AD434" s="203" t="str">
        <f>VLOOKUP(AC434,★原価商品!$E$6:$F$349,2,FALSE)</f>
        <v>読売/B4（折り無し）</v>
      </c>
      <c r="AE434" s="203">
        <f t="shared" ca="1" si="51"/>
        <v>0</v>
      </c>
      <c r="AF434" s="383">
        <f ca="1">IFERROR(IF(VLOOKUP(申込書!$C$32,★サイズ表記!$F$4:$H$55,3,FALSE)="切り捨て",ROUNDDOWN(L434*IF(AK434="◎",I434,J434)/100,2),IF(VLOOKUP(申込書!$C$32,★サイズ表記!$F$4:$H$55,3,FALSE)="切り上げ",ROUNDUP(L434*IF(AK434="◎",I434,J434)/100,2),ROUND(L434*IF(AK434="◎",I434,J434)/100,2))),0)</f>
        <v>2.52</v>
      </c>
      <c r="AG434" s="203">
        <f t="shared" ca="1" si="52"/>
        <v>10303</v>
      </c>
      <c r="AJ434" s="460" t="str">
        <f>IFERROR(VLOOKUP(申込書!$C$30,★業種!$D$2:$E$87,2,FALSE),"")</f>
        <v>1003</v>
      </c>
      <c r="AK434" s="460" t="str">
        <f ca="1">IF(申込書!$C$36="◎",IF(OR(D434="浜坂・温泉",D434="美方・村岡",D434="香住",D434="岡山",D434="大阪"),"",IF(LEFT(F434)="D","◎",IF(AG434=0,"",IFERROR(IF(VLOOKUP(AG434,★仕入先!$A$2:$C$211,3,FALSE)=0,"","◎"),"")))),"")</f>
        <v/>
      </c>
      <c r="AL434" s="460">
        <f>申込書!$H$14</f>
        <v>0</v>
      </c>
      <c r="AM434" s="460" t="str">
        <f>申込書!$C$32</f>
        <v>B4（折り無し）</v>
      </c>
      <c r="AN434" s="460" t="str">
        <f>VLOOKUP(AM434,★サイズ表記!$D$4:$E$55,2,FALSE)</f>
        <v>1001</v>
      </c>
      <c r="AO434" s="460">
        <f>IF(C434&lt;&gt;"⑧兵庫",VLOOKUP(LEFT(F434),★新聞!$A$4:$B$12,2,FALSE),IF(LEFT(F434)&lt;&gt;"S",VLOOKUP(LEFT(F434),★新聞!$A$4:$B$12,2,FALSE),VLOOKUP("X",★新聞!$A$4:$B$12,2,FALSE)))</f>
        <v>3</v>
      </c>
      <c r="AP434" s="460" t="str">
        <f t="shared" ca="1" si="53"/>
        <v>0</v>
      </c>
      <c r="AQ434" s="460" t="str">
        <f>IF(申込書!$C$38="","",申込書!$C$38)</f>
        <v/>
      </c>
    </row>
    <row r="435" spans="1:43">
      <c r="A435" s="463">
        <f t="shared" si="54"/>
        <v>434</v>
      </c>
      <c r="B435" s="463" t="str">
        <f t="shared" si="55"/>
        <v>東部</v>
      </c>
      <c r="C435" s="464" t="s">
        <v>1151</v>
      </c>
      <c r="D435" s="464" t="s">
        <v>1602</v>
      </c>
      <c r="E435" s="464">
        <f>VLOOKUP(D435,★折込地区!$A$2:$D$10,4,FALSE)</f>
        <v>2</v>
      </c>
      <c r="F435" s="464" t="s">
        <v>437</v>
      </c>
      <c r="G435" s="464" t="str">
        <f>INDEX(★新聞!$E$4:$I$12, MATCH(LEFT(F435),★新聞!$A$4:$A$12,0), MATCH(LEFT(W435),★新聞!$E$3:$I$3,0))</f>
        <v>AD</v>
      </c>
      <c r="H435" s="475" t="s">
        <v>1107</v>
      </c>
      <c r="I435" s="464" cm="1">
        <f t="array" ref="I435">IFERROR(INDEX(★原価率!$A$2:$E$50,MATCH($C435&amp;$H435,★原価率!$A$2:$A$50&amp;★原価率!$B$2:$B$50,0),3),0)</f>
        <v>82</v>
      </c>
      <c r="J435" s="464" cm="1">
        <f t="array" ref="J435">IFERROR(INDEX(★原価率!$A$2:$E$50,MATCH($C435&amp;$H435,★原価率!$A$2:$A$50&amp;★原価率!$B$2:$B$50,0),4),0)</f>
        <v>82</v>
      </c>
      <c r="K435" s="464" cm="1">
        <f t="array" ref="K435">IFERROR(INDEX(★原価率!$A$2:$E$50,MATCH($C435&amp;$H435,★原価率!$A$2:$A$50&amp;★原価率!$B$2:$B$50,0),5),0)</f>
        <v>100</v>
      </c>
      <c r="L435" s="528">
        <f>IFERROR(VLOOKUP(W435,★商品!$A$1:$H$1231,8,FALSE),0)</f>
        <v>2.8</v>
      </c>
      <c r="M435" s="203" t="str">
        <f ca="1">CONCATENATE(VLOOKUP(B435,★営業所!$A$2:$B$5,2,FALSE),TEXT(NOW(),"yyyy"))</f>
        <v>T2023</v>
      </c>
      <c r="N435" s="203">
        <v>1</v>
      </c>
      <c r="O435" s="203">
        <v>0</v>
      </c>
      <c r="P435" s="213">
        <f>申込書!$B$6</f>
        <v>0</v>
      </c>
      <c r="Q435" s="203">
        <f>申込書!$C$34</f>
        <v>1000040</v>
      </c>
      <c r="R435" s="203">
        <v>0</v>
      </c>
      <c r="U435" s="203">
        <f>VLOOKUP(B435,★営業所!$A$2:$C$5,3,FALSE)</f>
        <v>8</v>
      </c>
      <c r="V435" s="203">
        <f>申込書!$B$9</f>
        <v>0</v>
      </c>
      <c r="W435" s="203" t="str">
        <f>CONCATENATE(VLOOKUP(B435,★営業所!$A$2:$B$5,2,FALSE),VLOOKUP(申込書!$C$32,★サイズ表記!$D$4:$E$55,2,FALSE),VLOOKUP(D435,★折込地区!$A$2:$B$11,2,FALSE))</f>
        <v>T1001Kry</v>
      </c>
      <c r="X435" s="203" t="str">
        <f>CONCATENATE(申込書!$B$9," ",VLOOKUP(RIGHT(W435,3),★折込地区!$B$2:$C$10,2,FALSE),"")</f>
        <v xml:space="preserve"> 倉吉</v>
      </c>
      <c r="Z435" s="206">
        <f t="shared" ca="1" si="48"/>
        <v>0</v>
      </c>
      <c r="AB435" s="383">
        <f t="shared" si="49"/>
        <v>2.8</v>
      </c>
      <c r="AC435" s="203" t="str">
        <f t="shared" si="50"/>
        <v>J1001</v>
      </c>
      <c r="AD435" s="203" t="str">
        <f>VLOOKUP(AC435,★原価商品!$E$6:$F$349,2,FALSE)</f>
        <v>読売/B4（折り無し）</v>
      </c>
      <c r="AE435" s="203">
        <f t="shared" ca="1" si="51"/>
        <v>0</v>
      </c>
      <c r="AF435" s="383">
        <f ca="1">IFERROR(IF(VLOOKUP(申込書!$C$32,★サイズ表記!$F$4:$H$55,3,FALSE)="切り捨て",ROUNDDOWN(L435*IF(AK435="◎",I435,J435)/100,2),IF(VLOOKUP(申込書!$C$32,★サイズ表記!$F$4:$H$55,3,FALSE)="切り上げ",ROUNDUP(L435*IF(AK435="◎",I435,J435)/100,2),ROUND(L435*IF(AK435="◎",I435,J435)/100,2))),0)</f>
        <v>2.29</v>
      </c>
      <c r="AG435" s="203">
        <f t="shared" ca="1" si="52"/>
        <v>0</v>
      </c>
      <c r="AJ435" s="460" t="str">
        <f>IFERROR(VLOOKUP(申込書!$C$30,★業種!$D$2:$E$87,2,FALSE),"")</f>
        <v>1003</v>
      </c>
      <c r="AK435" s="460" t="str">
        <f ca="1">IF(申込書!$C$36="◎",IF(OR(D435="浜坂・温泉",D435="美方・村岡",D435="香住",D435="岡山",D435="大阪"),"",IF(LEFT(F435)="D","◎",IF(AG435=0,"",IFERROR(IF(VLOOKUP(AG435,★仕入先!$A$2:$C$211,3,FALSE)=0,"","◎"),"")))),"")</f>
        <v/>
      </c>
      <c r="AL435" s="460">
        <f>申込書!$H$14</f>
        <v>0</v>
      </c>
      <c r="AM435" s="460" t="str">
        <f>申込書!$C$32</f>
        <v>B4（折り無し）</v>
      </c>
      <c r="AN435" s="460" t="str">
        <f>VLOOKUP(AM435,★サイズ表記!$D$4:$E$55,2,FALSE)</f>
        <v>1001</v>
      </c>
      <c r="AO435" s="460">
        <f>IF(C435&lt;&gt;"⑧兵庫",VLOOKUP(LEFT(F435),★新聞!$A$4:$B$12,2,FALSE),IF(LEFT(F435)&lt;&gt;"S",VLOOKUP(LEFT(F435),★新聞!$A$4:$B$12,2,FALSE),VLOOKUP("X",★新聞!$A$4:$B$12,2,FALSE)))</f>
        <v>3</v>
      </c>
      <c r="AP435" s="460" t="str">
        <f t="shared" ca="1" si="53"/>
        <v>0</v>
      </c>
      <c r="AQ435" s="460" t="str">
        <f>IF(申込書!$C$38="","",申込書!$C$38)</f>
        <v/>
      </c>
    </row>
    <row r="436" spans="1:43">
      <c r="A436" s="463">
        <f t="shared" si="54"/>
        <v>435</v>
      </c>
      <c r="B436" s="463" t="str">
        <f t="shared" si="55"/>
        <v>東部</v>
      </c>
      <c r="C436" s="464" t="s">
        <v>1151</v>
      </c>
      <c r="D436" s="464" t="s">
        <v>1602</v>
      </c>
      <c r="E436" s="464">
        <f>VLOOKUP(D436,★折込地区!$A$2:$D$10,4,FALSE)</f>
        <v>2</v>
      </c>
      <c r="F436" s="464" t="s">
        <v>438</v>
      </c>
      <c r="G436" s="464" t="str">
        <f>INDEX(★新聞!$E$4:$I$12, MATCH(LEFT(F436),★新聞!$A$4:$A$12,0), MATCH(LEFT(W436),★新聞!$E$3:$I$3,0))</f>
        <v>AD</v>
      </c>
      <c r="H436" s="475" t="s">
        <v>1153</v>
      </c>
      <c r="I436" s="464" cm="1">
        <f t="array" ref="I436">IFERROR(INDEX(★原価率!$A$2:$E$50,MATCH($C436&amp;$H436,★原価率!$A$2:$A$50&amp;★原価率!$B$2:$B$50,0),3),0)</f>
        <v>90</v>
      </c>
      <c r="J436" s="464" cm="1">
        <f t="array" ref="J436">IFERROR(INDEX(★原価率!$A$2:$E$50,MATCH($C436&amp;$H436,★原価率!$A$2:$A$50&amp;★原価率!$B$2:$B$50,0),4),0)</f>
        <v>90</v>
      </c>
      <c r="K436" s="464" cm="1">
        <f t="array" ref="K436">IFERROR(INDEX(★原価率!$A$2:$E$50,MATCH($C436&amp;$H436,★原価率!$A$2:$A$50&amp;★原価率!$B$2:$B$50,0),5),0)</f>
        <v>100</v>
      </c>
      <c r="L436" s="528">
        <f>IFERROR(VLOOKUP(W436,★商品!$A$1:$H$1231,8,FALSE),0)</f>
        <v>2.8</v>
      </c>
      <c r="M436" s="203" t="str">
        <f ca="1">CONCATENATE(VLOOKUP(B436,★営業所!$A$2:$B$5,2,FALSE),TEXT(NOW(),"yyyy"))</f>
        <v>T2023</v>
      </c>
      <c r="N436" s="203">
        <v>1</v>
      </c>
      <c r="O436" s="203">
        <v>0</v>
      </c>
      <c r="P436" s="213">
        <f>申込書!$B$6</f>
        <v>0</v>
      </c>
      <c r="Q436" s="203">
        <f>申込書!$C$34</f>
        <v>1000040</v>
      </c>
      <c r="R436" s="203">
        <v>0</v>
      </c>
      <c r="U436" s="203">
        <f>VLOOKUP(B436,★営業所!$A$2:$C$5,3,FALSE)</f>
        <v>8</v>
      </c>
      <c r="V436" s="203">
        <f>申込書!$B$9</f>
        <v>0</v>
      </c>
      <c r="W436" s="203" t="str">
        <f>CONCATENATE(VLOOKUP(B436,★営業所!$A$2:$B$5,2,FALSE),VLOOKUP(申込書!$C$32,★サイズ表記!$D$4:$E$55,2,FALSE),VLOOKUP(D436,★折込地区!$A$2:$B$11,2,FALSE))</f>
        <v>T1001Kry</v>
      </c>
      <c r="X436" s="203" t="str">
        <f>CONCATENATE(申込書!$B$9," ",VLOOKUP(RIGHT(W436,3),★折込地区!$B$2:$C$10,2,FALSE),"")</f>
        <v xml:space="preserve"> 倉吉</v>
      </c>
      <c r="Z436" s="206">
        <f t="shared" ca="1" si="48"/>
        <v>0</v>
      </c>
      <c r="AB436" s="383">
        <f t="shared" si="49"/>
        <v>2.8</v>
      </c>
      <c r="AC436" s="203" t="str">
        <f t="shared" si="50"/>
        <v>J1001</v>
      </c>
      <c r="AD436" s="203" t="str">
        <f>VLOOKUP(AC436,★原価商品!$E$6:$F$349,2,FALSE)</f>
        <v>読売/B4（折り無し）</v>
      </c>
      <c r="AE436" s="203">
        <f t="shared" ca="1" si="51"/>
        <v>0</v>
      </c>
      <c r="AF436" s="383">
        <f ca="1">IFERROR(IF(VLOOKUP(申込書!$C$32,★サイズ表記!$F$4:$H$55,3,FALSE)="切り捨て",ROUNDDOWN(L436*IF(AK436="◎",I436,J436)/100,2),IF(VLOOKUP(申込書!$C$32,★サイズ表記!$F$4:$H$55,3,FALSE)="切り上げ",ROUNDUP(L436*IF(AK436="◎",I436,J436)/100,2),ROUND(L436*IF(AK436="◎",I436,J436)/100,2))),0)</f>
        <v>2.52</v>
      </c>
      <c r="AG436" s="203">
        <f t="shared" ca="1" si="52"/>
        <v>10303</v>
      </c>
      <c r="AJ436" s="460" t="str">
        <f>IFERROR(VLOOKUP(申込書!$C$30,★業種!$D$2:$E$87,2,FALSE),"")</f>
        <v>1003</v>
      </c>
      <c r="AK436" s="460" t="str">
        <f ca="1">IF(申込書!$C$36="◎",IF(OR(D436="浜坂・温泉",D436="美方・村岡",D436="香住",D436="岡山",D436="大阪"),"",IF(LEFT(F436)="D","◎",IF(AG436=0,"",IFERROR(IF(VLOOKUP(AG436,★仕入先!$A$2:$C$211,3,FALSE)=0,"","◎"),"")))),"")</f>
        <v/>
      </c>
      <c r="AL436" s="460">
        <f>申込書!$H$14</f>
        <v>0</v>
      </c>
      <c r="AM436" s="460" t="str">
        <f>申込書!$C$32</f>
        <v>B4（折り無し）</v>
      </c>
      <c r="AN436" s="460" t="str">
        <f>VLOOKUP(AM436,★サイズ表記!$D$4:$E$55,2,FALSE)</f>
        <v>1001</v>
      </c>
      <c r="AO436" s="460">
        <f>IF(C436&lt;&gt;"⑧兵庫",VLOOKUP(LEFT(F436),★新聞!$A$4:$B$12,2,FALSE),IF(LEFT(F436)&lt;&gt;"S",VLOOKUP(LEFT(F436),★新聞!$A$4:$B$12,2,FALSE),VLOOKUP("X",★新聞!$A$4:$B$12,2,FALSE)))</f>
        <v>3</v>
      </c>
      <c r="AP436" s="460" t="str">
        <f t="shared" ca="1" si="53"/>
        <v>0</v>
      </c>
      <c r="AQ436" s="460" t="str">
        <f>IF(申込書!$C$38="","",申込書!$C$38)</f>
        <v/>
      </c>
    </row>
    <row r="437" spans="1:43">
      <c r="A437" s="463">
        <f t="shared" si="54"/>
        <v>436</v>
      </c>
      <c r="B437" s="463" t="str">
        <f t="shared" si="55"/>
        <v>東部</v>
      </c>
      <c r="C437" s="464" t="s">
        <v>1151</v>
      </c>
      <c r="D437" s="464" t="s">
        <v>1602</v>
      </c>
      <c r="E437" s="464">
        <f>VLOOKUP(D437,★折込地区!$A$2:$D$10,4,FALSE)</f>
        <v>2</v>
      </c>
      <c r="F437" s="464" t="s">
        <v>439</v>
      </c>
      <c r="G437" s="464" t="str">
        <f>INDEX(★新聞!$E$4:$I$12, MATCH(LEFT(F437),★新聞!$A$4:$A$12,0), MATCH(LEFT(W437),★新聞!$E$3:$I$3,0))</f>
        <v>AD</v>
      </c>
      <c r="H437" s="475" t="s">
        <v>1153</v>
      </c>
      <c r="I437" s="464" cm="1">
        <f t="array" ref="I437">IFERROR(INDEX(★原価率!$A$2:$E$50,MATCH($C437&amp;$H437,★原価率!$A$2:$A$50&amp;★原価率!$B$2:$B$50,0),3),0)</f>
        <v>90</v>
      </c>
      <c r="J437" s="464" cm="1">
        <f t="array" ref="J437">IFERROR(INDEX(★原価率!$A$2:$E$50,MATCH($C437&amp;$H437,★原価率!$A$2:$A$50&amp;★原価率!$B$2:$B$50,0),4),0)</f>
        <v>90</v>
      </c>
      <c r="K437" s="464" cm="1">
        <f t="array" ref="K437">IFERROR(INDEX(★原価率!$A$2:$E$50,MATCH($C437&amp;$H437,★原価率!$A$2:$A$50&amp;★原価率!$B$2:$B$50,0),5),0)</f>
        <v>100</v>
      </c>
      <c r="L437" s="528">
        <f>IFERROR(VLOOKUP(W437,★商品!$A$1:$H$1231,8,FALSE),0)</f>
        <v>2.8</v>
      </c>
      <c r="M437" s="203" t="str">
        <f ca="1">CONCATENATE(VLOOKUP(B437,★営業所!$A$2:$B$5,2,FALSE),TEXT(NOW(),"yyyy"))</f>
        <v>T2023</v>
      </c>
      <c r="N437" s="203">
        <v>1</v>
      </c>
      <c r="O437" s="203">
        <v>0</v>
      </c>
      <c r="P437" s="213">
        <f>申込書!$B$6</f>
        <v>0</v>
      </c>
      <c r="Q437" s="203">
        <f>申込書!$C$34</f>
        <v>1000040</v>
      </c>
      <c r="R437" s="203">
        <v>0</v>
      </c>
      <c r="U437" s="203">
        <f>VLOOKUP(B437,★営業所!$A$2:$C$5,3,FALSE)</f>
        <v>8</v>
      </c>
      <c r="V437" s="203">
        <f>申込書!$B$9</f>
        <v>0</v>
      </c>
      <c r="W437" s="203" t="str">
        <f>CONCATENATE(VLOOKUP(B437,★営業所!$A$2:$B$5,2,FALSE),VLOOKUP(申込書!$C$32,★サイズ表記!$D$4:$E$55,2,FALSE),VLOOKUP(D437,★折込地区!$A$2:$B$11,2,FALSE))</f>
        <v>T1001Kry</v>
      </c>
      <c r="X437" s="203" t="str">
        <f>CONCATENATE(申込書!$B$9," ",VLOOKUP(RIGHT(W437,3),★折込地区!$B$2:$C$10,2,FALSE),"")</f>
        <v xml:space="preserve"> 倉吉</v>
      </c>
      <c r="Z437" s="206">
        <f t="shared" ca="1" si="48"/>
        <v>0</v>
      </c>
      <c r="AB437" s="383">
        <f t="shared" si="49"/>
        <v>2.8</v>
      </c>
      <c r="AC437" s="203" t="str">
        <f t="shared" si="50"/>
        <v>J1001</v>
      </c>
      <c r="AD437" s="203" t="str">
        <f>VLOOKUP(AC437,★原価商品!$E$6:$F$349,2,FALSE)</f>
        <v>読売/B4（折り無し）</v>
      </c>
      <c r="AE437" s="203">
        <f t="shared" ca="1" si="51"/>
        <v>0</v>
      </c>
      <c r="AF437" s="383">
        <f ca="1">IFERROR(IF(VLOOKUP(申込書!$C$32,★サイズ表記!$F$4:$H$55,3,FALSE)="切り捨て",ROUNDDOWN(L437*IF(AK437="◎",I437,J437)/100,2),IF(VLOOKUP(申込書!$C$32,★サイズ表記!$F$4:$H$55,3,FALSE)="切り上げ",ROUNDUP(L437*IF(AK437="◎",I437,J437)/100,2),ROUND(L437*IF(AK437="◎",I437,J437)/100,2))),0)</f>
        <v>2.52</v>
      </c>
      <c r="AG437" s="203">
        <f t="shared" ca="1" si="52"/>
        <v>10303</v>
      </c>
      <c r="AJ437" s="460" t="str">
        <f>IFERROR(VLOOKUP(申込書!$C$30,★業種!$D$2:$E$87,2,FALSE),"")</f>
        <v>1003</v>
      </c>
      <c r="AK437" s="460" t="str">
        <f ca="1">IF(申込書!$C$36="◎",IF(OR(D437="浜坂・温泉",D437="美方・村岡",D437="香住",D437="岡山",D437="大阪"),"",IF(LEFT(F437)="D","◎",IF(AG437=0,"",IFERROR(IF(VLOOKUP(AG437,★仕入先!$A$2:$C$211,3,FALSE)=0,"","◎"),"")))),"")</f>
        <v/>
      </c>
      <c r="AL437" s="460">
        <f>申込書!$H$14</f>
        <v>0</v>
      </c>
      <c r="AM437" s="460" t="str">
        <f>申込書!$C$32</f>
        <v>B4（折り無し）</v>
      </c>
      <c r="AN437" s="460" t="str">
        <f>VLOOKUP(AM437,★サイズ表記!$D$4:$E$55,2,FALSE)</f>
        <v>1001</v>
      </c>
      <c r="AO437" s="460">
        <f>IF(C437&lt;&gt;"⑧兵庫",VLOOKUP(LEFT(F437),★新聞!$A$4:$B$12,2,FALSE),IF(LEFT(F437)&lt;&gt;"S",VLOOKUP(LEFT(F437),★新聞!$A$4:$B$12,2,FALSE),VLOOKUP("X",★新聞!$A$4:$B$12,2,FALSE)))</f>
        <v>3</v>
      </c>
      <c r="AP437" s="460" t="str">
        <f t="shared" ca="1" si="53"/>
        <v>0</v>
      </c>
      <c r="AQ437" s="460" t="str">
        <f>IF(申込書!$C$38="","",申込書!$C$38)</f>
        <v/>
      </c>
    </row>
    <row r="438" spans="1:43">
      <c r="A438" s="463">
        <f t="shared" si="54"/>
        <v>437</v>
      </c>
      <c r="B438" s="463" t="str">
        <f t="shared" si="55"/>
        <v>東部</v>
      </c>
      <c r="C438" s="464" t="s">
        <v>1151</v>
      </c>
      <c r="D438" s="464" t="s">
        <v>1602</v>
      </c>
      <c r="E438" s="464">
        <f>VLOOKUP(D438,★折込地区!$A$2:$D$10,4,FALSE)</f>
        <v>2</v>
      </c>
      <c r="F438" s="464" t="s">
        <v>440</v>
      </c>
      <c r="G438" s="464" t="str">
        <f>INDEX(★新聞!$E$4:$I$12, MATCH(LEFT(F438),★新聞!$A$4:$A$12,0), MATCH(LEFT(W438),★新聞!$E$3:$I$3,0))</f>
        <v>AD</v>
      </c>
      <c r="H438" s="475" t="s">
        <v>1153</v>
      </c>
      <c r="I438" s="464" cm="1">
        <f t="array" ref="I438">IFERROR(INDEX(★原価率!$A$2:$E$50,MATCH($C438&amp;$H438,★原価率!$A$2:$A$50&amp;★原価率!$B$2:$B$50,0),3),0)</f>
        <v>90</v>
      </c>
      <c r="J438" s="464" cm="1">
        <f t="array" ref="J438">IFERROR(INDEX(★原価率!$A$2:$E$50,MATCH($C438&amp;$H438,★原価率!$A$2:$A$50&amp;★原価率!$B$2:$B$50,0),4),0)</f>
        <v>90</v>
      </c>
      <c r="K438" s="464" cm="1">
        <f t="array" ref="K438">IFERROR(INDEX(★原価率!$A$2:$E$50,MATCH($C438&amp;$H438,★原価率!$A$2:$A$50&amp;★原価率!$B$2:$B$50,0),5),0)</f>
        <v>100</v>
      </c>
      <c r="L438" s="528">
        <f>IFERROR(VLOOKUP(W438,★商品!$A$1:$H$1231,8,FALSE),0)</f>
        <v>2.8</v>
      </c>
      <c r="M438" s="203" t="str">
        <f ca="1">CONCATENATE(VLOOKUP(B438,★営業所!$A$2:$B$5,2,FALSE),TEXT(NOW(),"yyyy"))</f>
        <v>T2023</v>
      </c>
      <c r="N438" s="203">
        <v>1</v>
      </c>
      <c r="O438" s="203">
        <v>0</v>
      </c>
      <c r="P438" s="213">
        <f>申込書!$B$6</f>
        <v>0</v>
      </c>
      <c r="Q438" s="203">
        <f>申込書!$C$34</f>
        <v>1000040</v>
      </c>
      <c r="R438" s="203">
        <v>0</v>
      </c>
      <c r="U438" s="203">
        <f>VLOOKUP(B438,★営業所!$A$2:$C$5,3,FALSE)</f>
        <v>8</v>
      </c>
      <c r="V438" s="203">
        <f>申込書!$B$9</f>
        <v>0</v>
      </c>
      <c r="W438" s="203" t="str">
        <f>CONCATENATE(VLOOKUP(B438,★営業所!$A$2:$B$5,2,FALSE),VLOOKUP(申込書!$C$32,★サイズ表記!$D$4:$E$55,2,FALSE),VLOOKUP(D438,★折込地区!$A$2:$B$11,2,FALSE))</f>
        <v>T1001Kry</v>
      </c>
      <c r="X438" s="203" t="str">
        <f>CONCATENATE(申込書!$B$9," ",VLOOKUP(RIGHT(W438,3),★折込地区!$B$2:$C$10,2,FALSE),"")</f>
        <v xml:space="preserve"> 倉吉</v>
      </c>
      <c r="Z438" s="206">
        <f t="shared" ca="1" si="48"/>
        <v>0</v>
      </c>
      <c r="AB438" s="383">
        <f t="shared" si="49"/>
        <v>2.8</v>
      </c>
      <c r="AC438" s="203" t="str">
        <f t="shared" si="50"/>
        <v>J1001</v>
      </c>
      <c r="AD438" s="203" t="str">
        <f>VLOOKUP(AC438,★原価商品!$E$6:$F$349,2,FALSE)</f>
        <v>読売/B4（折り無し）</v>
      </c>
      <c r="AE438" s="203">
        <f t="shared" ca="1" si="51"/>
        <v>0</v>
      </c>
      <c r="AF438" s="383">
        <f ca="1">IFERROR(IF(VLOOKUP(申込書!$C$32,★サイズ表記!$F$4:$H$55,3,FALSE)="切り捨て",ROUNDDOWN(L438*IF(AK438="◎",I438,J438)/100,2),IF(VLOOKUP(申込書!$C$32,★サイズ表記!$F$4:$H$55,3,FALSE)="切り上げ",ROUNDUP(L438*IF(AK438="◎",I438,J438)/100,2),ROUND(L438*IF(AK438="◎",I438,J438)/100,2))),0)</f>
        <v>2.52</v>
      </c>
      <c r="AG438" s="203">
        <f t="shared" ca="1" si="52"/>
        <v>10303</v>
      </c>
      <c r="AJ438" s="460" t="str">
        <f>IFERROR(VLOOKUP(申込書!$C$30,★業種!$D$2:$E$87,2,FALSE),"")</f>
        <v>1003</v>
      </c>
      <c r="AK438" s="460" t="str">
        <f ca="1">IF(申込書!$C$36="◎",IF(OR(D438="浜坂・温泉",D438="美方・村岡",D438="香住",D438="岡山",D438="大阪"),"",IF(LEFT(F438)="D","◎",IF(AG438=0,"",IFERROR(IF(VLOOKUP(AG438,★仕入先!$A$2:$C$211,3,FALSE)=0,"","◎"),"")))),"")</f>
        <v/>
      </c>
      <c r="AL438" s="460">
        <f>申込書!$H$14</f>
        <v>0</v>
      </c>
      <c r="AM438" s="460" t="str">
        <f>申込書!$C$32</f>
        <v>B4（折り無し）</v>
      </c>
      <c r="AN438" s="460" t="str">
        <f>VLOOKUP(AM438,★サイズ表記!$D$4:$E$55,2,FALSE)</f>
        <v>1001</v>
      </c>
      <c r="AO438" s="460">
        <f>IF(C438&lt;&gt;"⑧兵庫",VLOOKUP(LEFT(F438),★新聞!$A$4:$B$12,2,FALSE),IF(LEFT(F438)&lt;&gt;"S",VLOOKUP(LEFT(F438),★新聞!$A$4:$B$12,2,FALSE),VLOOKUP("X",★新聞!$A$4:$B$12,2,FALSE)))</f>
        <v>3</v>
      </c>
      <c r="AP438" s="460" t="str">
        <f t="shared" ca="1" si="53"/>
        <v>0</v>
      </c>
      <c r="AQ438" s="460" t="str">
        <f>IF(申込書!$C$38="","",申込書!$C$38)</f>
        <v/>
      </c>
    </row>
    <row r="439" spans="1:43">
      <c r="A439" s="463">
        <f t="shared" si="54"/>
        <v>438</v>
      </c>
      <c r="B439" s="463" t="str">
        <f t="shared" si="55"/>
        <v>東部</v>
      </c>
      <c r="C439" s="464" t="s">
        <v>1151</v>
      </c>
      <c r="D439" s="464" t="s">
        <v>1602</v>
      </c>
      <c r="E439" s="464">
        <f>VLOOKUP(D439,★折込地区!$A$2:$D$10,4,FALSE)</f>
        <v>2</v>
      </c>
      <c r="F439" s="464" t="s">
        <v>441</v>
      </c>
      <c r="G439" s="464" t="str">
        <f>INDEX(★新聞!$E$4:$I$12, MATCH(LEFT(F439),★新聞!$A$4:$A$12,0), MATCH(LEFT(W439),★新聞!$E$3:$I$3,0))</f>
        <v>AD</v>
      </c>
      <c r="H439" s="475" t="s">
        <v>1153</v>
      </c>
      <c r="I439" s="464" cm="1">
        <f t="array" ref="I439">IFERROR(INDEX(★原価率!$A$2:$E$50,MATCH($C439&amp;$H439,★原価率!$A$2:$A$50&amp;★原価率!$B$2:$B$50,0),3),0)</f>
        <v>90</v>
      </c>
      <c r="J439" s="464" cm="1">
        <f t="array" ref="J439">IFERROR(INDEX(★原価率!$A$2:$E$50,MATCH($C439&amp;$H439,★原価率!$A$2:$A$50&amp;★原価率!$B$2:$B$50,0),4),0)</f>
        <v>90</v>
      </c>
      <c r="K439" s="464" cm="1">
        <f t="array" ref="K439">IFERROR(INDEX(★原価率!$A$2:$E$50,MATCH($C439&amp;$H439,★原価率!$A$2:$A$50&amp;★原価率!$B$2:$B$50,0),5),0)</f>
        <v>100</v>
      </c>
      <c r="L439" s="528">
        <f>IFERROR(VLOOKUP(W439,★商品!$A$1:$H$1231,8,FALSE),0)</f>
        <v>2.8</v>
      </c>
      <c r="M439" s="203" t="str">
        <f ca="1">CONCATENATE(VLOOKUP(B439,★営業所!$A$2:$B$5,2,FALSE),TEXT(NOW(),"yyyy"))</f>
        <v>T2023</v>
      </c>
      <c r="N439" s="203">
        <v>1</v>
      </c>
      <c r="O439" s="203">
        <v>0</v>
      </c>
      <c r="P439" s="213">
        <f>申込書!$B$6</f>
        <v>0</v>
      </c>
      <c r="Q439" s="203">
        <f>申込書!$C$34</f>
        <v>1000040</v>
      </c>
      <c r="R439" s="203">
        <v>0</v>
      </c>
      <c r="U439" s="203">
        <f>VLOOKUP(B439,★営業所!$A$2:$C$5,3,FALSE)</f>
        <v>8</v>
      </c>
      <c r="V439" s="203">
        <f>申込書!$B$9</f>
        <v>0</v>
      </c>
      <c r="W439" s="203" t="str">
        <f>CONCATENATE(VLOOKUP(B439,★営業所!$A$2:$B$5,2,FALSE),VLOOKUP(申込書!$C$32,★サイズ表記!$D$4:$E$55,2,FALSE),VLOOKUP(D439,★折込地区!$A$2:$B$11,2,FALSE))</f>
        <v>T1001Kry</v>
      </c>
      <c r="X439" s="203" t="str">
        <f>CONCATENATE(申込書!$B$9," ",VLOOKUP(RIGHT(W439,3),★折込地区!$B$2:$C$10,2,FALSE),"")</f>
        <v xml:space="preserve"> 倉吉</v>
      </c>
      <c r="Z439" s="206">
        <f t="shared" ca="1" si="48"/>
        <v>0</v>
      </c>
      <c r="AB439" s="383">
        <f t="shared" si="49"/>
        <v>2.8</v>
      </c>
      <c r="AC439" s="203" t="str">
        <f t="shared" si="50"/>
        <v>J1001</v>
      </c>
      <c r="AD439" s="203" t="str">
        <f>VLOOKUP(AC439,★原価商品!$E$6:$F$349,2,FALSE)</f>
        <v>読売/B4（折り無し）</v>
      </c>
      <c r="AE439" s="203">
        <f t="shared" ca="1" si="51"/>
        <v>0</v>
      </c>
      <c r="AF439" s="383">
        <f ca="1">IFERROR(IF(VLOOKUP(申込書!$C$32,★サイズ表記!$F$4:$H$55,3,FALSE)="切り捨て",ROUNDDOWN(L439*IF(AK439="◎",I439,J439)/100,2),IF(VLOOKUP(申込書!$C$32,★サイズ表記!$F$4:$H$55,3,FALSE)="切り上げ",ROUNDUP(L439*IF(AK439="◎",I439,J439)/100,2),ROUND(L439*IF(AK439="◎",I439,J439)/100,2))),0)</f>
        <v>2.52</v>
      </c>
      <c r="AG439" s="203">
        <f t="shared" ca="1" si="52"/>
        <v>10303</v>
      </c>
      <c r="AJ439" s="460" t="str">
        <f>IFERROR(VLOOKUP(申込書!$C$30,★業種!$D$2:$E$87,2,FALSE),"")</f>
        <v>1003</v>
      </c>
      <c r="AK439" s="460" t="str">
        <f ca="1">IF(申込書!$C$36="◎",IF(OR(D439="浜坂・温泉",D439="美方・村岡",D439="香住",D439="岡山",D439="大阪"),"",IF(LEFT(F439)="D","◎",IF(AG439=0,"",IFERROR(IF(VLOOKUP(AG439,★仕入先!$A$2:$C$211,3,FALSE)=0,"","◎"),"")))),"")</f>
        <v/>
      </c>
      <c r="AL439" s="460">
        <f>申込書!$H$14</f>
        <v>0</v>
      </c>
      <c r="AM439" s="460" t="str">
        <f>申込書!$C$32</f>
        <v>B4（折り無し）</v>
      </c>
      <c r="AN439" s="460" t="str">
        <f>VLOOKUP(AM439,★サイズ表記!$D$4:$E$55,2,FALSE)</f>
        <v>1001</v>
      </c>
      <c r="AO439" s="460">
        <f>IF(C439&lt;&gt;"⑧兵庫",VLOOKUP(LEFT(F439),★新聞!$A$4:$B$12,2,FALSE),IF(LEFT(F439)&lt;&gt;"S",VLOOKUP(LEFT(F439),★新聞!$A$4:$B$12,2,FALSE),VLOOKUP("X",★新聞!$A$4:$B$12,2,FALSE)))</f>
        <v>3</v>
      </c>
      <c r="AP439" s="460" t="str">
        <f t="shared" ca="1" si="53"/>
        <v>0</v>
      </c>
      <c r="AQ439" s="460" t="str">
        <f>IF(申込書!$C$38="","",申込書!$C$38)</f>
        <v/>
      </c>
    </row>
    <row r="440" spans="1:43">
      <c r="A440" s="463">
        <f t="shared" si="54"/>
        <v>439</v>
      </c>
      <c r="B440" s="463" t="str">
        <f t="shared" si="55"/>
        <v>東部</v>
      </c>
      <c r="C440" s="464" t="s">
        <v>1151</v>
      </c>
      <c r="D440" s="464" t="s">
        <v>1602</v>
      </c>
      <c r="E440" s="464">
        <f>VLOOKUP(D440,★折込地区!$A$2:$D$10,4,FALSE)</f>
        <v>2</v>
      </c>
      <c r="F440" s="464" t="s">
        <v>442</v>
      </c>
      <c r="G440" s="464" t="str">
        <f>INDEX(★新聞!$E$4:$I$12, MATCH(LEFT(F440),★新聞!$A$4:$A$12,0), MATCH(LEFT(W440),★新聞!$E$3:$I$3,0))</f>
        <v>AD</v>
      </c>
      <c r="H440" s="475" t="s">
        <v>1153</v>
      </c>
      <c r="I440" s="464" cm="1">
        <f t="array" ref="I440">IFERROR(INDEX(★原価率!$A$2:$E$50,MATCH($C440&amp;$H440,★原価率!$A$2:$A$50&amp;★原価率!$B$2:$B$50,0),3),0)</f>
        <v>90</v>
      </c>
      <c r="J440" s="464" cm="1">
        <f t="array" ref="J440">IFERROR(INDEX(★原価率!$A$2:$E$50,MATCH($C440&amp;$H440,★原価率!$A$2:$A$50&amp;★原価率!$B$2:$B$50,0),4),0)</f>
        <v>90</v>
      </c>
      <c r="K440" s="464" cm="1">
        <f t="array" ref="K440">IFERROR(INDEX(★原価率!$A$2:$E$50,MATCH($C440&amp;$H440,★原価率!$A$2:$A$50&amp;★原価率!$B$2:$B$50,0),5),0)</f>
        <v>100</v>
      </c>
      <c r="L440" s="528">
        <f>IFERROR(VLOOKUP(W440,★商品!$A$1:$H$1231,8,FALSE),0)</f>
        <v>2.8</v>
      </c>
      <c r="M440" s="203" t="str">
        <f ca="1">CONCATENATE(VLOOKUP(B440,★営業所!$A$2:$B$5,2,FALSE),TEXT(NOW(),"yyyy"))</f>
        <v>T2023</v>
      </c>
      <c r="N440" s="203">
        <v>1</v>
      </c>
      <c r="O440" s="203">
        <v>0</v>
      </c>
      <c r="P440" s="213">
        <f>申込書!$B$6</f>
        <v>0</v>
      </c>
      <c r="Q440" s="203">
        <f>申込書!$C$34</f>
        <v>1000040</v>
      </c>
      <c r="R440" s="203">
        <v>0</v>
      </c>
      <c r="U440" s="203">
        <f>VLOOKUP(B440,★営業所!$A$2:$C$5,3,FALSE)</f>
        <v>8</v>
      </c>
      <c r="V440" s="203">
        <f>申込書!$B$9</f>
        <v>0</v>
      </c>
      <c r="W440" s="203" t="str">
        <f>CONCATENATE(VLOOKUP(B440,★営業所!$A$2:$B$5,2,FALSE),VLOOKUP(申込書!$C$32,★サイズ表記!$D$4:$E$55,2,FALSE),VLOOKUP(D440,★折込地区!$A$2:$B$11,2,FALSE))</f>
        <v>T1001Kry</v>
      </c>
      <c r="X440" s="203" t="str">
        <f>CONCATENATE(申込書!$B$9," ",VLOOKUP(RIGHT(W440,3),★折込地区!$B$2:$C$10,2,FALSE),"")</f>
        <v xml:space="preserve"> 倉吉</v>
      </c>
      <c r="Z440" s="206">
        <f t="shared" ca="1" si="48"/>
        <v>0</v>
      </c>
      <c r="AB440" s="383">
        <f t="shared" si="49"/>
        <v>2.8</v>
      </c>
      <c r="AC440" s="203" t="str">
        <f t="shared" si="50"/>
        <v>J1001</v>
      </c>
      <c r="AD440" s="203" t="str">
        <f>VLOOKUP(AC440,★原価商品!$E$6:$F$349,2,FALSE)</f>
        <v>読売/B4（折り無し）</v>
      </c>
      <c r="AE440" s="203">
        <f t="shared" ca="1" si="51"/>
        <v>0</v>
      </c>
      <c r="AF440" s="383">
        <f ca="1">IFERROR(IF(VLOOKUP(申込書!$C$32,★サイズ表記!$F$4:$H$55,3,FALSE)="切り捨て",ROUNDDOWN(L440*IF(AK440="◎",I440,J440)/100,2),IF(VLOOKUP(申込書!$C$32,★サイズ表記!$F$4:$H$55,3,FALSE)="切り上げ",ROUNDUP(L440*IF(AK440="◎",I440,J440)/100,2),ROUND(L440*IF(AK440="◎",I440,J440)/100,2))),0)</f>
        <v>2.52</v>
      </c>
      <c r="AG440" s="203">
        <f t="shared" ca="1" si="52"/>
        <v>10303</v>
      </c>
      <c r="AJ440" s="460" t="str">
        <f>IFERROR(VLOOKUP(申込書!$C$30,★業種!$D$2:$E$87,2,FALSE),"")</f>
        <v>1003</v>
      </c>
      <c r="AK440" s="460" t="str">
        <f ca="1">IF(申込書!$C$36="◎",IF(OR(D440="浜坂・温泉",D440="美方・村岡",D440="香住",D440="岡山",D440="大阪"),"",IF(LEFT(F440)="D","◎",IF(AG440=0,"",IFERROR(IF(VLOOKUP(AG440,★仕入先!$A$2:$C$211,3,FALSE)=0,"","◎"),"")))),"")</f>
        <v/>
      </c>
      <c r="AL440" s="460">
        <f>申込書!$H$14</f>
        <v>0</v>
      </c>
      <c r="AM440" s="460" t="str">
        <f>申込書!$C$32</f>
        <v>B4（折り無し）</v>
      </c>
      <c r="AN440" s="460" t="str">
        <f>VLOOKUP(AM440,★サイズ表記!$D$4:$E$55,2,FALSE)</f>
        <v>1001</v>
      </c>
      <c r="AO440" s="460">
        <f>IF(C440&lt;&gt;"⑧兵庫",VLOOKUP(LEFT(F440),★新聞!$A$4:$B$12,2,FALSE),IF(LEFT(F440)&lt;&gt;"S",VLOOKUP(LEFT(F440),★新聞!$A$4:$B$12,2,FALSE),VLOOKUP("X",★新聞!$A$4:$B$12,2,FALSE)))</f>
        <v>3</v>
      </c>
      <c r="AP440" s="460" t="str">
        <f t="shared" ca="1" si="53"/>
        <v>0</v>
      </c>
      <c r="AQ440" s="460" t="str">
        <f>IF(申込書!$C$38="","",申込書!$C$38)</f>
        <v/>
      </c>
    </row>
    <row r="441" spans="1:43">
      <c r="A441" s="463">
        <f t="shared" si="54"/>
        <v>440</v>
      </c>
      <c r="B441" s="463" t="str">
        <f t="shared" si="55"/>
        <v>東部</v>
      </c>
      <c r="C441" s="464" t="s">
        <v>1151</v>
      </c>
      <c r="D441" s="464" t="s">
        <v>1602</v>
      </c>
      <c r="E441" s="464">
        <f>VLOOKUP(D441,★折込地区!$A$2:$D$10,4,FALSE)</f>
        <v>2</v>
      </c>
      <c r="F441" s="464" t="s">
        <v>443</v>
      </c>
      <c r="G441" s="464" t="str">
        <f>INDEX(★新聞!$E$4:$I$12, MATCH(LEFT(F441),★新聞!$A$4:$A$12,0), MATCH(LEFT(W441),★新聞!$E$3:$I$3,0))</f>
        <v>AD</v>
      </c>
      <c r="H441" s="475" t="s">
        <v>1153</v>
      </c>
      <c r="I441" s="464" cm="1">
        <f t="array" ref="I441">IFERROR(INDEX(★原価率!$A$2:$E$50,MATCH($C441&amp;$H441,★原価率!$A$2:$A$50&amp;★原価率!$B$2:$B$50,0),3),0)</f>
        <v>90</v>
      </c>
      <c r="J441" s="464" cm="1">
        <f t="array" ref="J441">IFERROR(INDEX(★原価率!$A$2:$E$50,MATCH($C441&amp;$H441,★原価率!$A$2:$A$50&amp;★原価率!$B$2:$B$50,0),4),0)</f>
        <v>90</v>
      </c>
      <c r="K441" s="464" cm="1">
        <f t="array" ref="K441">IFERROR(INDEX(★原価率!$A$2:$E$50,MATCH($C441&amp;$H441,★原価率!$A$2:$A$50&amp;★原価率!$B$2:$B$50,0),5),0)</f>
        <v>100</v>
      </c>
      <c r="L441" s="528">
        <f>IFERROR(VLOOKUP(W441,★商品!$A$1:$H$1231,8,FALSE),0)</f>
        <v>2.8</v>
      </c>
      <c r="M441" s="203" t="str">
        <f ca="1">CONCATENATE(VLOOKUP(B441,★営業所!$A$2:$B$5,2,FALSE),TEXT(NOW(),"yyyy"))</f>
        <v>T2023</v>
      </c>
      <c r="N441" s="203">
        <v>1</v>
      </c>
      <c r="O441" s="203">
        <v>0</v>
      </c>
      <c r="P441" s="213">
        <f>申込書!$B$6</f>
        <v>0</v>
      </c>
      <c r="Q441" s="203">
        <f>申込書!$C$34</f>
        <v>1000040</v>
      </c>
      <c r="R441" s="203">
        <v>0</v>
      </c>
      <c r="U441" s="203">
        <f>VLOOKUP(B441,★営業所!$A$2:$C$5,3,FALSE)</f>
        <v>8</v>
      </c>
      <c r="V441" s="203">
        <f>申込書!$B$9</f>
        <v>0</v>
      </c>
      <c r="W441" s="203" t="str">
        <f>CONCATENATE(VLOOKUP(B441,★営業所!$A$2:$B$5,2,FALSE),VLOOKUP(申込書!$C$32,★サイズ表記!$D$4:$E$55,2,FALSE),VLOOKUP(D441,★折込地区!$A$2:$B$11,2,FALSE))</f>
        <v>T1001Kry</v>
      </c>
      <c r="X441" s="203" t="str">
        <f>CONCATENATE(申込書!$B$9," ",VLOOKUP(RIGHT(W441,3),★折込地区!$B$2:$C$10,2,FALSE),"")</f>
        <v xml:space="preserve"> 倉吉</v>
      </c>
      <c r="Z441" s="206">
        <f t="shared" ca="1" si="48"/>
        <v>0</v>
      </c>
      <c r="AB441" s="383">
        <f t="shared" si="49"/>
        <v>2.8</v>
      </c>
      <c r="AC441" s="203" t="str">
        <f t="shared" si="50"/>
        <v>J1001</v>
      </c>
      <c r="AD441" s="203" t="str">
        <f>VLOOKUP(AC441,★原価商品!$E$6:$F$349,2,FALSE)</f>
        <v>読売/B4（折り無し）</v>
      </c>
      <c r="AE441" s="203">
        <f t="shared" ca="1" si="51"/>
        <v>0</v>
      </c>
      <c r="AF441" s="383">
        <f ca="1">IFERROR(IF(VLOOKUP(申込書!$C$32,★サイズ表記!$F$4:$H$55,3,FALSE)="切り捨て",ROUNDDOWN(L441*IF(AK441="◎",I441,J441)/100,2),IF(VLOOKUP(申込書!$C$32,★サイズ表記!$F$4:$H$55,3,FALSE)="切り上げ",ROUNDUP(L441*IF(AK441="◎",I441,J441)/100,2),ROUND(L441*IF(AK441="◎",I441,J441)/100,2))),0)</f>
        <v>2.52</v>
      </c>
      <c r="AG441" s="203">
        <f t="shared" ca="1" si="52"/>
        <v>10303</v>
      </c>
      <c r="AJ441" s="460" t="str">
        <f>IFERROR(VLOOKUP(申込書!$C$30,★業種!$D$2:$E$87,2,FALSE),"")</f>
        <v>1003</v>
      </c>
      <c r="AK441" s="460" t="str">
        <f ca="1">IF(申込書!$C$36="◎",IF(OR(D441="浜坂・温泉",D441="美方・村岡",D441="香住",D441="岡山",D441="大阪"),"",IF(LEFT(F441)="D","◎",IF(AG441=0,"",IFERROR(IF(VLOOKUP(AG441,★仕入先!$A$2:$C$211,3,FALSE)=0,"","◎"),"")))),"")</f>
        <v/>
      </c>
      <c r="AL441" s="460">
        <f>申込書!$H$14</f>
        <v>0</v>
      </c>
      <c r="AM441" s="460" t="str">
        <f>申込書!$C$32</f>
        <v>B4（折り無し）</v>
      </c>
      <c r="AN441" s="460" t="str">
        <f>VLOOKUP(AM441,★サイズ表記!$D$4:$E$55,2,FALSE)</f>
        <v>1001</v>
      </c>
      <c r="AO441" s="460">
        <f>IF(C441&lt;&gt;"⑧兵庫",VLOOKUP(LEFT(F441),★新聞!$A$4:$B$12,2,FALSE),IF(LEFT(F441)&lt;&gt;"S",VLOOKUP(LEFT(F441),★新聞!$A$4:$B$12,2,FALSE),VLOOKUP("X",★新聞!$A$4:$B$12,2,FALSE)))</f>
        <v>3</v>
      </c>
      <c r="AP441" s="460" t="str">
        <f t="shared" ca="1" si="53"/>
        <v>0</v>
      </c>
      <c r="AQ441" s="460" t="str">
        <f>IF(申込書!$C$38="","",申込書!$C$38)</f>
        <v/>
      </c>
    </row>
    <row r="442" spans="1:43">
      <c r="A442" s="463">
        <f t="shared" si="54"/>
        <v>441</v>
      </c>
      <c r="B442" s="463" t="str">
        <f t="shared" si="55"/>
        <v>東部</v>
      </c>
      <c r="C442" s="464" t="s">
        <v>1151</v>
      </c>
      <c r="D442" s="464" t="s">
        <v>1602</v>
      </c>
      <c r="E442" s="464">
        <f>VLOOKUP(D442,★折込地区!$A$2:$D$10,4,FALSE)</f>
        <v>2</v>
      </c>
      <c r="F442" s="464" t="s">
        <v>444</v>
      </c>
      <c r="G442" s="464" t="str">
        <f>INDEX(★新聞!$E$4:$I$12, MATCH(LEFT(F442),★新聞!$A$4:$A$12,0), MATCH(LEFT(W442),★新聞!$E$3:$I$3,0))</f>
        <v>AD</v>
      </c>
      <c r="H442" s="475" t="s">
        <v>1153</v>
      </c>
      <c r="I442" s="464" cm="1">
        <f t="array" ref="I442">IFERROR(INDEX(★原価率!$A$2:$E$50,MATCH($C442&amp;$H442,★原価率!$A$2:$A$50&amp;★原価率!$B$2:$B$50,0),3),0)</f>
        <v>90</v>
      </c>
      <c r="J442" s="464" cm="1">
        <f t="array" ref="J442">IFERROR(INDEX(★原価率!$A$2:$E$50,MATCH($C442&amp;$H442,★原価率!$A$2:$A$50&amp;★原価率!$B$2:$B$50,0),4),0)</f>
        <v>90</v>
      </c>
      <c r="K442" s="464" cm="1">
        <f t="array" ref="K442">IFERROR(INDEX(★原価率!$A$2:$E$50,MATCH($C442&amp;$H442,★原価率!$A$2:$A$50&amp;★原価率!$B$2:$B$50,0),5),0)</f>
        <v>100</v>
      </c>
      <c r="L442" s="528">
        <f>IFERROR(VLOOKUP(W442,★商品!$A$1:$H$1231,8,FALSE),0)</f>
        <v>2.8</v>
      </c>
      <c r="M442" s="203" t="str">
        <f ca="1">CONCATENATE(VLOOKUP(B442,★営業所!$A$2:$B$5,2,FALSE),TEXT(NOW(),"yyyy"))</f>
        <v>T2023</v>
      </c>
      <c r="N442" s="203">
        <v>1</v>
      </c>
      <c r="O442" s="203">
        <v>0</v>
      </c>
      <c r="P442" s="213">
        <f>申込書!$B$6</f>
        <v>0</v>
      </c>
      <c r="Q442" s="203">
        <f>申込書!$C$34</f>
        <v>1000040</v>
      </c>
      <c r="R442" s="203">
        <v>0</v>
      </c>
      <c r="U442" s="203">
        <f>VLOOKUP(B442,★営業所!$A$2:$C$5,3,FALSE)</f>
        <v>8</v>
      </c>
      <c r="V442" s="203">
        <f>申込書!$B$9</f>
        <v>0</v>
      </c>
      <c r="W442" s="203" t="str">
        <f>CONCATENATE(VLOOKUP(B442,★営業所!$A$2:$B$5,2,FALSE),VLOOKUP(申込書!$C$32,★サイズ表記!$D$4:$E$55,2,FALSE),VLOOKUP(D442,★折込地区!$A$2:$B$11,2,FALSE))</f>
        <v>T1001Kry</v>
      </c>
      <c r="X442" s="203" t="str">
        <f>CONCATENATE(申込書!$B$9," ",VLOOKUP(RIGHT(W442,3),★折込地区!$B$2:$C$10,2,FALSE),"")</f>
        <v xml:space="preserve"> 倉吉</v>
      </c>
      <c r="Z442" s="206">
        <f t="shared" ca="1" si="48"/>
        <v>0</v>
      </c>
      <c r="AB442" s="383">
        <f t="shared" si="49"/>
        <v>2.8</v>
      </c>
      <c r="AC442" s="203" t="str">
        <f t="shared" si="50"/>
        <v>J1001</v>
      </c>
      <c r="AD442" s="203" t="str">
        <f>VLOOKUP(AC442,★原価商品!$E$6:$F$349,2,FALSE)</f>
        <v>読売/B4（折り無し）</v>
      </c>
      <c r="AE442" s="203">
        <f t="shared" ca="1" si="51"/>
        <v>0</v>
      </c>
      <c r="AF442" s="383">
        <f ca="1">IFERROR(IF(VLOOKUP(申込書!$C$32,★サイズ表記!$F$4:$H$55,3,FALSE)="切り捨て",ROUNDDOWN(L442*IF(AK442="◎",I442,J442)/100,2),IF(VLOOKUP(申込書!$C$32,★サイズ表記!$F$4:$H$55,3,FALSE)="切り上げ",ROUNDUP(L442*IF(AK442="◎",I442,J442)/100,2),ROUND(L442*IF(AK442="◎",I442,J442)/100,2))),0)</f>
        <v>2.52</v>
      </c>
      <c r="AG442" s="203">
        <f t="shared" ca="1" si="52"/>
        <v>10303</v>
      </c>
      <c r="AJ442" s="460" t="str">
        <f>IFERROR(VLOOKUP(申込書!$C$30,★業種!$D$2:$E$87,2,FALSE),"")</f>
        <v>1003</v>
      </c>
      <c r="AK442" s="460" t="str">
        <f ca="1">IF(申込書!$C$36="◎",IF(OR(D442="浜坂・温泉",D442="美方・村岡",D442="香住",D442="岡山",D442="大阪"),"",IF(LEFT(F442)="D","◎",IF(AG442=0,"",IFERROR(IF(VLOOKUP(AG442,★仕入先!$A$2:$C$211,3,FALSE)=0,"","◎"),"")))),"")</f>
        <v/>
      </c>
      <c r="AL442" s="460">
        <f>申込書!$H$14</f>
        <v>0</v>
      </c>
      <c r="AM442" s="460" t="str">
        <f>申込書!$C$32</f>
        <v>B4（折り無し）</v>
      </c>
      <c r="AN442" s="460" t="str">
        <f>VLOOKUP(AM442,★サイズ表記!$D$4:$E$55,2,FALSE)</f>
        <v>1001</v>
      </c>
      <c r="AO442" s="460">
        <f>IF(C442&lt;&gt;"⑧兵庫",VLOOKUP(LEFT(F442),★新聞!$A$4:$B$12,2,FALSE),IF(LEFT(F442)&lt;&gt;"S",VLOOKUP(LEFT(F442),★新聞!$A$4:$B$12,2,FALSE),VLOOKUP("X",★新聞!$A$4:$B$12,2,FALSE)))</f>
        <v>3</v>
      </c>
      <c r="AP442" s="460" t="str">
        <f t="shared" ca="1" si="53"/>
        <v>0</v>
      </c>
      <c r="AQ442" s="460" t="str">
        <f>IF(申込書!$C$38="","",申込書!$C$38)</f>
        <v/>
      </c>
    </row>
    <row r="443" spans="1:43">
      <c r="A443" s="463">
        <f t="shared" si="54"/>
        <v>442</v>
      </c>
      <c r="B443" s="463" t="str">
        <f t="shared" si="55"/>
        <v>東部</v>
      </c>
      <c r="C443" s="464" t="s">
        <v>1151</v>
      </c>
      <c r="D443" s="464" t="s">
        <v>1602</v>
      </c>
      <c r="E443" s="464">
        <f>VLOOKUP(D443,★折込地区!$A$2:$D$10,4,FALSE)</f>
        <v>2</v>
      </c>
      <c r="F443" s="464" t="s">
        <v>445</v>
      </c>
      <c r="G443" s="464" t="str">
        <f>INDEX(★新聞!$E$4:$I$12, MATCH(LEFT(F443),★新聞!$A$4:$A$12,0), MATCH(LEFT(W443),★新聞!$E$3:$I$3,0))</f>
        <v>AD</v>
      </c>
      <c r="H443" s="475" t="s">
        <v>1153</v>
      </c>
      <c r="I443" s="464" cm="1">
        <f t="array" ref="I443">IFERROR(INDEX(★原価率!$A$2:$E$50,MATCH($C443&amp;$H443,★原価率!$A$2:$A$50&amp;★原価率!$B$2:$B$50,0),3),0)</f>
        <v>90</v>
      </c>
      <c r="J443" s="464" cm="1">
        <f t="array" ref="J443">IFERROR(INDEX(★原価率!$A$2:$E$50,MATCH($C443&amp;$H443,★原価率!$A$2:$A$50&amp;★原価率!$B$2:$B$50,0),4),0)</f>
        <v>90</v>
      </c>
      <c r="K443" s="464" cm="1">
        <f t="array" ref="K443">IFERROR(INDEX(★原価率!$A$2:$E$50,MATCH($C443&amp;$H443,★原価率!$A$2:$A$50&amp;★原価率!$B$2:$B$50,0),5),0)</f>
        <v>100</v>
      </c>
      <c r="L443" s="528">
        <f>IFERROR(VLOOKUP(W443,★商品!$A$1:$H$1231,8,FALSE),0)</f>
        <v>2.8</v>
      </c>
      <c r="M443" s="203" t="str">
        <f ca="1">CONCATENATE(VLOOKUP(B443,★営業所!$A$2:$B$5,2,FALSE),TEXT(NOW(),"yyyy"))</f>
        <v>T2023</v>
      </c>
      <c r="N443" s="203">
        <v>1</v>
      </c>
      <c r="O443" s="203">
        <v>0</v>
      </c>
      <c r="P443" s="213">
        <f>申込書!$B$6</f>
        <v>0</v>
      </c>
      <c r="Q443" s="203">
        <f>申込書!$C$34</f>
        <v>1000040</v>
      </c>
      <c r="R443" s="203">
        <v>0</v>
      </c>
      <c r="U443" s="203">
        <f>VLOOKUP(B443,★営業所!$A$2:$C$5,3,FALSE)</f>
        <v>8</v>
      </c>
      <c r="V443" s="203">
        <f>申込書!$B$9</f>
        <v>0</v>
      </c>
      <c r="W443" s="203" t="str">
        <f>CONCATENATE(VLOOKUP(B443,★営業所!$A$2:$B$5,2,FALSE),VLOOKUP(申込書!$C$32,★サイズ表記!$D$4:$E$55,2,FALSE),VLOOKUP(D443,★折込地区!$A$2:$B$11,2,FALSE))</f>
        <v>T1001Kry</v>
      </c>
      <c r="X443" s="203" t="str">
        <f>CONCATENATE(申込書!$B$9," ",VLOOKUP(RIGHT(W443,3),★折込地区!$B$2:$C$10,2,FALSE),"")</f>
        <v xml:space="preserve"> 倉吉</v>
      </c>
      <c r="Z443" s="206">
        <f t="shared" ca="1" si="48"/>
        <v>0</v>
      </c>
      <c r="AB443" s="383">
        <f t="shared" si="49"/>
        <v>2.8</v>
      </c>
      <c r="AC443" s="203" t="str">
        <f t="shared" si="50"/>
        <v>J1001</v>
      </c>
      <c r="AD443" s="203" t="str">
        <f>VLOOKUP(AC443,★原価商品!$E$6:$F$349,2,FALSE)</f>
        <v>読売/B4（折り無し）</v>
      </c>
      <c r="AE443" s="203">
        <f t="shared" ca="1" si="51"/>
        <v>0</v>
      </c>
      <c r="AF443" s="383">
        <f ca="1">IFERROR(IF(VLOOKUP(申込書!$C$32,★サイズ表記!$F$4:$H$55,3,FALSE)="切り捨て",ROUNDDOWN(L443*IF(AK443="◎",I443,J443)/100,2),IF(VLOOKUP(申込書!$C$32,★サイズ表記!$F$4:$H$55,3,FALSE)="切り上げ",ROUNDUP(L443*IF(AK443="◎",I443,J443)/100,2),ROUND(L443*IF(AK443="◎",I443,J443)/100,2))),0)</f>
        <v>2.52</v>
      </c>
      <c r="AG443" s="203">
        <f t="shared" ca="1" si="52"/>
        <v>10303</v>
      </c>
      <c r="AJ443" s="460" t="str">
        <f>IFERROR(VLOOKUP(申込書!$C$30,★業種!$D$2:$E$87,2,FALSE),"")</f>
        <v>1003</v>
      </c>
      <c r="AK443" s="460" t="str">
        <f ca="1">IF(申込書!$C$36="◎",IF(OR(D443="浜坂・温泉",D443="美方・村岡",D443="香住",D443="岡山",D443="大阪"),"",IF(LEFT(F443)="D","◎",IF(AG443=0,"",IFERROR(IF(VLOOKUP(AG443,★仕入先!$A$2:$C$211,3,FALSE)=0,"","◎"),"")))),"")</f>
        <v/>
      </c>
      <c r="AL443" s="460">
        <f>申込書!$H$14</f>
        <v>0</v>
      </c>
      <c r="AM443" s="460" t="str">
        <f>申込書!$C$32</f>
        <v>B4（折り無し）</v>
      </c>
      <c r="AN443" s="460" t="str">
        <f>VLOOKUP(AM443,★サイズ表記!$D$4:$E$55,2,FALSE)</f>
        <v>1001</v>
      </c>
      <c r="AO443" s="460">
        <f>IF(C443&lt;&gt;"⑧兵庫",VLOOKUP(LEFT(F443),★新聞!$A$4:$B$12,2,FALSE),IF(LEFT(F443)&lt;&gt;"S",VLOOKUP(LEFT(F443),★新聞!$A$4:$B$12,2,FALSE),VLOOKUP("X",★新聞!$A$4:$B$12,2,FALSE)))</f>
        <v>3</v>
      </c>
      <c r="AP443" s="460" t="str">
        <f t="shared" ca="1" si="53"/>
        <v>0</v>
      </c>
      <c r="AQ443" s="460" t="str">
        <f>IF(申込書!$C$38="","",申込書!$C$38)</f>
        <v/>
      </c>
    </row>
    <row r="444" spans="1:43">
      <c r="A444" s="463">
        <f t="shared" si="54"/>
        <v>443</v>
      </c>
      <c r="B444" s="463" t="str">
        <f t="shared" si="55"/>
        <v>東部</v>
      </c>
      <c r="C444" s="464" t="s">
        <v>1151</v>
      </c>
      <c r="D444" s="464" t="s">
        <v>1602</v>
      </c>
      <c r="E444" s="464">
        <f>VLOOKUP(D444,★折込地区!$A$2:$D$10,4,FALSE)</f>
        <v>2</v>
      </c>
      <c r="F444" s="464" t="s">
        <v>383</v>
      </c>
      <c r="G444" s="464" t="str">
        <f>INDEX(★新聞!$E$4:$I$12, MATCH(LEFT(F444),★新聞!$A$4:$A$12,0), MATCH(LEFT(W444),★新聞!$E$3:$I$3,0))</f>
        <v>AG</v>
      </c>
      <c r="H444" s="475" t="s">
        <v>1153</v>
      </c>
      <c r="I444" s="464" cm="1">
        <f t="array" ref="I444">IFERROR(INDEX(★原価率!$A$2:$E$50,MATCH($C444&amp;$H444,★原価率!$A$2:$A$50&amp;★原価率!$B$2:$B$50,0),3),0)</f>
        <v>90</v>
      </c>
      <c r="J444" s="464" cm="1">
        <f t="array" ref="J444">IFERROR(INDEX(★原価率!$A$2:$E$50,MATCH($C444&amp;$H444,★原価率!$A$2:$A$50&amp;★原価率!$B$2:$B$50,0),4),0)</f>
        <v>90</v>
      </c>
      <c r="K444" s="464" cm="1">
        <f t="array" ref="K444">IFERROR(INDEX(★原価率!$A$2:$E$50,MATCH($C444&amp;$H444,★原価率!$A$2:$A$50&amp;★原価率!$B$2:$B$50,0),5),0)</f>
        <v>100</v>
      </c>
      <c r="L444" s="528">
        <f>IFERROR(VLOOKUP(W444,★商品!$A$1:$H$1231,8,FALSE),0)</f>
        <v>2.8</v>
      </c>
      <c r="M444" s="203" t="str">
        <f ca="1">CONCATENATE(VLOOKUP(B444,★営業所!$A$2:$B$5,2,FALSE),TEXT(NOW(),"yyyy"))</f>
        <v>T2023</v>
      </c>
      <c r="N444" s="203">
        <v>1</v>
      </c>
      <c r="O444" s="203">
        <v>0</v>
      </c>
      <c r="P444" s="213">
        <f>申込書!$B$6</f>
        <v>0</v>
      </c>
      <c r="Q444" s="203">
        <f>申込書!$C$34</f>
        <v>1000040</v>
      </c>
      <c r="R444" s="203">
        <v>0</v>
      </c>
      <c r="U444" s="203">
        <f>VLOOKUP(B444,★営業所!$A$2:$C$5,3,FALSE)</f>
        <v>8</v>
      </c>
      <c r="V444" s="203">
        <f>申込書!$B$9</f>
        <v>0</v>
      </c>
      <c r="W444" s="203" t="str">
        <f>CONCATENATE(VLOOKUP(B444,★営業所!$A$2:$B$5,2,FALSE),VLOOKUP(申込書!$C$32,★サイズ表記!$D$4:$E$55,2,FALSE),VLOOKUP(D444,★折込地区!$A$2:$B$11,2,FALSE))</f>
        <v>T1001Kry</v>
      </c>
      <c r="X444" s="203" t="str">
        <f>CONCATENATE(申込書!$B$9," ",VLOOKUP(RIGHT(W444,3),★折込地区!$B$2:$C$10,2,FALSE),"")</f>
        <v xml:space="preserve"> 倉吉</v>
      </c>
      <c r="Z444" s="206">
        <f t="shared" ca="1" si="48"/>
        <v>0</v>
      </c>
      <c r="AB444" s="383">
        <f t="shared" si="49"/>
        <v>2.8</v>
      </c>
      <c r="AC444" s="203" t="str">
        <f t="shared" si="50"/>
        <v>M1001</v>
      </c>
      <c r="AD444" s="203" t="str">
        <f>VLOOKUP(AC444,★原価商品!$E$6:$F$349,2,FALSE)</f>
        <v>毎日/B4（折り無し）</v>
      </c>
      <c r="AE444" s="203">
        <f t="shared" ca="1" si="51"/>
        <v>0</v>
      </c>
      <c r="AF444" s="383">
        <f ca="1">IFERROR(IF(VLOOKUP(申込書!$C$32,★サイズ表記!$F$4:$H$55,3,FALSE)="切り捨て",ROUNDDOWN(L444*IF(AK444="◎",I444,J444)/100,2),IF(VLOOKUP(申込書!$C$32,★サイズ表記!$F$4:$H$55,3,FALSE)="切り上げ",ROUNDUP(L444*IF(AK444="◎",I444,J444)/100,2),ROUND(L444*IF(AK444="◎",I444,J444)/100,2))),0)</f>
        <v>2.52</v>
      </c>
      <c r="AG444" s="203">
        <f t="shared" ca="1" si="52"/>
        <v>10303</v>
      </c>
      <c r="AJ444" s="460" t="str">
        <f>IFERROR(VLOOKUP(申込書!$C$30,★業種!$D$2:$E$87,2,FALSE),"")</f>
        <v>1003</v>
      </c>
      <c r="AK444" s="460" t="str">
        <f ca="1">IF(申込書!$C$36="◎",IF(OR(D444="浜坂・温泉",D444="美方・村岡",D444="香住",D444="岡山",D444="大阪"),"",IF(LEFT(F444)="D","◎",IF(AG444=0,"",IFERROR(IF(VLOOKUP(AG444,★仕入先!$A$2:$C$211,3,FALSE)=0,"","◎"),"")))),"")</f>
        <v/>
      </c>
      <c r="AL444" s="460">
        <f>申込書!$H$14</f>
        <v>0</v>
      </c>
      <c r="AM444" s="460" t="str">
        <f>申込書!$C$32</f>
        <v>B4（折り無し）</v>
      </c>
      <c r="AN444" s="460" t="str">
        <f>VLOOKUP(AM444,★サイズ表記!$D$4:$E$55,2,FALSE)</f>
        <v>1001</v>
      </c>
      <c r="AO444" s="460">
        <f>IF(C444&lt;&gt;"⑧兵庫",VLOOKUP(LEFT(F444),★新聞!$A$4:$B$12,2,FALSE),IF(LEFT(F444)&lt;&gt;"S",VLOOKUP(LEFT(F444),★新聞!$A$4:$B$12,2,FALSE),VLOOKUP("X",★新聞!$A$4:$B$12,2,FALSE)))</f>
        <v>4</v>
      </c>
      <c r="AP444" s="460" t="str">
        <f t="shared" ca="1" si="53"/>
        <v>0</v>
      </c>
      <c r="AQ444" s="460" t="str">
        <f>IF(申込書!$C$38="","",申込書!$C$38)</f>
        <v/>
      </c>
    </row>
    <row r="445" spans="1:43">
      <c r="A445" s="463">
        <f t="shared" si="54"/>
        <v>444</v>
      </c>
      <c r="B445" s="463" t="str">
        <f t="shared" si="55"/>
        <v>東部</v>
      </c>
      <c r="C445" s="464" t="s">
        <v>1151</v>
      </c>
      <c r="D445" s="464" t="s">
        <v>1602</v>
      </c>
      <c r="E445" s="464">
        <f>VLOOKUP(D445,★折込地区!$A$2:$D$10,4,FALSE)</f>
        <v>2</v>
      </c>
      <c r="F445" s="464" t="s">
        <v>448</v>
      </c>
      <c r="G445" s="464" t="str">
        <f>INDEX(★新聞!$E$4:$I$12, MATCH(LEFT(F445),★新聞!$A$4:$A$12,0), MATCH(LEFT(W445),★新聞!$E$3:$I$3,0))</f>
        <v>AG</v>
      </c>
      <c r="H445" s="475" t="s">
        <v>1153</v>
      </c>
      <c r="I445" s="464" cm="1">
        <f t="array" ref="I445">IFERROR(INDEX(★原価率!$A$2:$E$50,MATCH($C445&amp;$H445,★原価率!$A$2:$A$50&amp;★原価率!$B$2:$B$50,0),3),0)</f>
        <v>90</v>
      </c>
      <c r="J445" s="464" cm="1">
        <f t="array" ref="J445">IFERROR(INDEX(★原価率!$A$2:$E$50,MATCH($C445&amp;$H445,★原価率!$A$2:$A$50&amp;★原価率!$B$2:$B$50,0),4),0)</f>
        <v>90</v>
      </c>
      <c r="K445" s="464" cm="1">
        <f t="array" ref="K445">IFERROR(INDEX(★原価率!$A$2:$E$50,MATCH($C445&amp;$H445,★原価率!$A$2:$A$50&amp;★原価率!$B$2:$B$50,0),5),0)</f>
        <v>100</v>
      </c>
      <c r="L445" s="528">
        <f>IFERROR(VLOOKUP(W445,★商品!$A$1:$H$1231,8,FALSE),0)</f>
        <v>2.8</v>
      </c>
      <c r="M445" s="203" t="str">
        <f ca="1">CONCATENATE(VLOOKUP(B445,★営業所!$A$2:$B$5,2,FALSE),TEXT(NOW(),"yyyy"))</f>
        <v>T2023</v>
      </c>
      <c r="N445" s="203">
        <v>1</v>
      </c>
      <c r="O445" s="203">
        <v>0</v>
      </c>
      <c r="P445" s="213">
        <f>申込書!$B$6</f>
        <v>0</v>
      </c>
      <c r="Q445" s="203">
        <f>申込書!$C$34</f>
        <v>1000040</v>
      </c>
      <c r="R445" s="203">
        <v>0</v>
      </c>
      <c r="U445" s="203">
        <f>VLOOKUP(B445,★営業所!$A$2:$C$5,3,FALSE)</f>
        <v>8</v>
      </c>
      <c r="V445" s="203">
        <f>申込書!$B$9</f>
        <v>0</v>
      </c>
      <c r="W445" s="203" t="str">
        <f>CONCATENATE(VLOOKUP(B445,★営業所!$A$2:$B$5,2,FALSE),VLOOKUP(申込書!$C$32,★サイズ表記!$D$4:$E$55,2,FALSE),VLOOKUP(D445,★折込地区!$A$2:$B$11,2,FALSE))</f>
        <v>T1001Kry</v>
      </c>
      <c r="X445" s="203" t="str">
        <f>CONCATENATE(申込書!$B$9," ",VLOOKUP(RIGHT(W445,3),★折込地区!$B$2:$C$10,2,FALSE),"")</f>
        <v xml:space="preserve"> 倉吉</v>
      </c>
      <c r="Z445" s="206">
        <f t="shared" ca="1" si="48"/>
        <v>0</v>
      </c>
      <c r="AB445" s="383">
        <f t="shared" si="49"/>
        <v>2.8</v>
      </c>
      <c r="AC445" s="203" t="str">
        <f t="shared" si="50"/>
        <v>M1001</v>
      </c>
      <c r="AD445" s="203" t="str">
        <f>VLOOKUP(AC445,★原価商品!$E$6:$F$349,2,FALSE)</f>
        <v>毎日/B4（折り無し）</v>
      </c>
      <c r="AE445" s="203">
        <f t="shared" ca="1" si="51"/>
        <v>0</v>
      </c>
      <c r="AF445" s="383">
        <f ca="1">IFERROR(IF(VLOOKUP(申込書!$C$32,★サイズ表記!$F$4:$H$55,3,FALSE)="切り捨て",ROUNDDOWN(L445*IF(AK445="◎",I445,J445)/100,2),IF(VLOOKUP(申込書!$C$32,★サイズ表記!$F$4:$H$55,3,FALSE)="切り上げ",ROUNDUP(L445*IF(AK445="◎",I445,J445)/100,2),ROUND(L445*IF(AK445="◎",I445,J445)/100,2))),0)</f>
        <v>2.52</v>
      </c>
      <c r="AG445" s="203">
        <f t="shared" ca="1" si="52"/>
        <v>10303</v>
      </c>
      <c r="AJ445" s="460" t="str">
        <f>IFERROR(VLOOKUP(申込書!$C$30,★業種!$D$2:$E$87,2,FALSE),"")</f>
        <v>1003</v>
      </c>
      <c r="AK445" s="460" t="str">
        <f ca="1">IF(申込書!$C$36="◎",IF(OR(D445="浜坂・温泉",D445="美方・村岡",D445="香住",D445="岡山",D445="大阪"),"",IF(LEFT(F445)="D","◎",IF(AG445=0,"",IFERROR(IF(VLOOKUP(AG445,★仕入先!$A$2:$C$211,3,FALSE)=0,"","◎"),"")))),"")</f>
        <v/>
      </c>
      <c r="AL445" s="460">
        <f>申込書!$H$14</f>
        <v>0</v>
      </c>
      <c r="AM445" s="460" t="str">
        <f>申込書!$C$32</f>
        <v>B4（折り無し）</v>
      </c>
      <c r="AN445" s="460" t="str">
        <f>VLOOKUP(AM445,★サイズ表記!$D$4:$E$55,2,FALSE)</f>
        <v>1001</v>
      </c>
      <c r="AO445" s="460">
        <f>IF(C445&lt;&gt;"⑧兵庫",VLOOKUP(LEFT(F445),★新聞!$A$4:$B$12,2,FALSE),IF(LEFT(F445)&lt;&gt;"S",VLOOKUP(LEFT(F445),★新聞!$A$4:$B$12,2,FALSE),VLOOKUP("X",★新聞!$A$4:$B$12,2,FALSE)))</f>
        <v>4</v>
      </c>
      <c r="AP445" s="460" t="str">
        <f t="shared" ca="1" si="53"/>
        <v>0</v>
      </c>
      <c r="AQ445" s="460" t="str">
        <f>IF(申込書!$C$38="","",申込書!$C$38)</f>
        <v/>
      </c>
    </row>
    <row r="446" spans="1:43">
      <c r="A446" s="463">
        <f t="shared" si="54"/>
        <v>445</v>
      </c>
      <c r="B446" s="463" t="str">
        <f t="shared" si="55"/>
        <v>東部</v>
      </c>
      <c r="C446" s="464" t="s">
        <v>1151</v>
      </c>
      <c r="D446" s="464" t="s">
        <v>1602</v>
      </c>
      <c r="E446" s="464">
        <f>VLOOKUP(D446,★折込地区!$A$2:$D$10,4,FALSE)</f>
        <v>2</v>
      </c>
      <c r="F446" s="464" t="s">
        <v>449</v>
      </c>
      <c r="G446" s="464" t="str">
        <f>INDEX(★新聞!$E$4:$I$12, MATCH(LEFT(F446),★新聞!$A$4:$A$12,0), MATCH(LEFT(W446),★新聞!$E$3:$I$3,0))</f>
        <v>AG</v>
      </c>
      <c r="H446" s="475" t="s">
        <v>1104</v>
      </c>
      <c r="I446" s="464" cm="1">
        <f t="array" ref="I446">IFERROR(INDEX(★原価率!$A$2:$E$50,MATCH($C446&amp;$H446,★原価率!$A$2:$A$50&amp;★原価率!$B$2:$B$50,0),3),0)</f>
        <v>86</v>
      </c>
      <c r="J446" s="464" cm="1">
        <f t="array" ref="J446">IFERROR(INDEX(★原価率!$A$2:$E$50,MATCH($C446&amp;$H446,★原価率!$A$2:$A$50&amp;★原価率!$B$2:$B$50,0),4),0)</f>
        <v>86</v>
      </c>
      <c r="K446" s="464" cm="1">
        <f t="array" ref="K446">IFERROR(INDEX(★原価率!$A$2:$E$50,MATCH($C446&amp;$H446,★原価率!$A$2:$A$50&amp;★原価率!$B$2:$B$50,0),5),0)</f>
        <v>100</v>
      </c>
      <c r="L446" s="528">
        <f>IFERROR(VLOOKUP(W446,★商品!$A$1:$H$1231,8,FALSE),0)</f>
        <v>2.8</v>
      </c>
      <c r="M446" s="203" t="str">
        <f ca="1">CONCATENATE(VLOOKUP(B446,★営業所!$A$2:$B$5,2,FALSE),TEXT(NOW(),"yyyy"))</f>
        <v>T2023</v>
      </c>
      <c r="N446" s="203">
        <v>1</v>
      </c>
      <c r="O446" s="203">
        <v>0</v>
      </c>
      <c r="P446" s="213">
        <f>申込書!$B$6</f>
        <v>0</v>
      </c>
      <c r="Q446" s="203">
        <f>申込書!$C$34</f>
        <v>1000040</v>
      </c>
      <c r="R446" s="203">
        <v>0</v>
      </c>
      <c r="U446" s="203">
        <f>VLOOKUP(B446,★営業所!$A$2:$C$5,3,FALSE)</f>
        <v>8</v>
      </c>
      <c r="V446" s="203">
        <f>申込書!$B$9</f>
        <v>0</v>
      </c>
      <c r="W446" s="203" t="str">
        <f>CONCATENATE(VLOOKUP(B446,★営業所!$A$2:$B$5,2,FALSE),VLOOKUP(申込書!$C$32,★サイズ表記!$D$4:$E$55,2,FALSE),VLOOKUP(D446,★折込地区!$A$2:$B$11,2,FALSE))</f>
        <v>T1001Kry</v>
      </c>
      <c r="X446" s="203" t="str">
        <f>CONCATENATE(申込書!$B$9," ",VLOOKUP(RIGHT(W446,3),★折込地区!$B$2:$C$10,2,FALSE),"")</f>
        <v xml:space="preserve"> 倉吉</v>
      </c>
      <c r="Z446" s="206">
        <f t="shared" ca="1" si="48"/>
        <v>0</v>
      </c>
      <c r="AB446" s="383">
        <f t="shared" si="49"/>
        <v>2.8</v>
      </c>
      <c r="AC446" s="203" t="str">
        <f t="shared" si="50"/>
        <v>M1001</v>
      </c>
      <c r="AD446" s="203" t="str">
        <f>VLOOKUP(AC446,★原価商品!$E$6:$F$349,2,FALSE)</f>
        <v>毎日/B4（折り無し）</v>
      </c>
      <c r="AE446" s="203">
        <f t="shared" ca="1" si="51"/>
        <v>0</v>
      </c>
      <c r="AF446" s="383">
        <f ca="1">IFERROR(IF(VLOOKUP(申込書!$C$32,★サイズ表記!$F$4:$H$55,3,FALSE)="切り捨て",ROUNDDOWN(L446*IF(AK446="◎",I446,J446)/100,2),IF(VLOOKUP(申込書!$C$32,★サイズ表記!$F$4:$H$55,3,FALSE)="切り上げ",ROUNDUP(L446*IF(AK446="◎",I446,J446)/100,2),ROUND(L446*IF(AK446="◎",I446,J446)/100,2))),0)</f>
        <v>2.4</v>
      </c>
      <c r="AG446" s="203">
        <f t="shared" ca="1" si="52"/>
        <v>0</v>
      </c>
      <c r="AJ446" s="460" t="str">
        <f>IFERROR(VLOOKUP(申込書!$C$30,★業種!$D$2:$E$87,2,FALSE),"")</f>
        <v>1003</v>
      </c>
      <c r="AK446" s="460" t="str">
        <f ca="1">IF(申込書!$C$36="◎",IF(OR(D446="浜坂・温泉",D446="美方・村岡",D446="香住",D446="岡山",D446="大阪"),"",IF(LEFT(F446)="D","◎",IF(AG446=0,"",IFERROR(IF(VLOOKUP(AG446,★仕入先!$A$2:$C$211,3,FALSE)=0,"","◎"),"")))),"")</f>
        <v/>
      </c>
      <c r="AL446" s="460">
        <f>申込書!$H$14</f>
        <v>0</v>
      </c>
      <c r="AM446" s="460" t="str">
        <f>申込書!$C$32</f>
        <v>B4（折り無し）</v>
      </c>
      <c r="AN446" s="460" t="str">
        <f>VLOOKUP(AM446,★サイズ表記!$D$4:$E$55,2,FALSE)</f>
        <v>1001</v>
      </c>
      <c r="AO446" s="460">
        <f>IF(C446&lt;&gt;"⑧兵庫",VLOOKUP(LEFT(F446),★新聞!$A$4:$B$12,2,FALSE),IF(LEFT(F446)&lt;&gt;"S",VLOOKUP(LEFT(F446),★新聞!$A$4:$B$12,2,FALSE),VLOOKUP("X",★新聞!$A$4:$B$12,2,FALSE)))</f>
        <v>4</v>
      </c>
      <c r="AP446" s="460" t="str">
        <f t="shared" ca="1" si="53"/>
        <v>0</v>
      </c>
      <c r="AQ446" s="460" t="str">
        <f>IF(申込書!$C$38="","",申込書!$C$38)</f>
        <v/>
      </c>
    </row>
    <row r="447" spans="1:43">
      <c r="A447" s="463">
        <f t="shared" si="54"/>
        <v>446</v>
      </c>
      <c r="B447" s="463" t="str">
        <f t="shared" si="55"/>
        <v>東部</v>
      </c>
      <c r="C447" s="464" t="s">
        <v>1151</v>
      </c>
      <c r="D447" s="464" t="s">
        <v>1602</v>
      </c>
      <c r="E447" s="464">
        <f>VLOOKUP(D447,★折込地区!$A$2:$D$10,4,FALSE)</f>
        <v>2</v>
      </c>
      <c r="F447" s="464" t="s">
        <v>450</v>
      </c>
      <c r="G447" s="464" t="str">
        <f>INDEX(★新聞!$E$4:$I$12, MATCH(LEFT(F447),★新聞!$A$4:$A$12,0), MATCH(LEFT(W447),★新聞!$E$3:$I$3,0))</f>
        <v>AG</v>
      </c>
      <c r="H447" s="475" t="s">
        <v>1104</v>
      </c>
      <c r="I447" s="464" cm="1">
        <f t="array" ref="I447">IFERROR(INDEX(★原価率!$A$2:$E$50,MATCH($C447&amp;$H447,★原価率!$A$2:$A$50&amp;★原価率!$B$2:$B$50,0),3),0)</f>
        <v>86</v>
      </c>
      <c r="J447" s="464" cm="1">
        <f t="array" ref="J447">IFERROR(INDEX(★原価率!$A$2:$E$50,MATCH($C447&amp;$H447,★原価率!$A$2:$A$50&amp;★原価率!$B$2:$B$50,0),4),0)</f>
        <v>86</v>
      </c>
      <c r="K447" s="464" cm="1">
        <f t="array" ref="K447">IFERROR(INDEX(★原価率!$A$2:$E$50,MATCH($C447&amp;$H447,★原価率!$A$2:$A$50&amp;★原価率!$B$2:$B$50,0),5),0)</f>
        <v>100</v>
      </c>
      <c r="L447" s="528">
        <f>IFERROR(VLOOKUP(W447,★商品!$A$1:$H$1231,8,FALSE),0)</f>
        <v>2.8</v>
      </c>
      <c r="M447" s="203" t="str">
        <f ca="1">CONCATENATE(VLOOKUP(B447,★営業所!$A$2:$B$5,2,FALSE),TEXT(NOW(),"yyyy"))</f>
        <v>T2023</v>
      </c>
      <c r="N447" s="203">
        <v>1</v>
      </c>
      <c r="O447" s="203">
        <v>0</v>
      </c>
      <c r="P447" s="213">
        <f>申込書!$B$6</f>
        <v>0</v>
      </c>
      <c r="Q447" s="203">
        <f>申込書!$C$34</f>
        <v>1000040</v>
      </c>
      <c r="R447" s="203">
        <v>0</v>
      </c>
      <c r="U447" s="203">
        <f>VLOOKUP(B447,★営業所!$A$2:$C$5,3,FALSE)</f>
        <v>8</v>
      </c>
      <c r="V447" s="203">
        <f>申込書!$B$9</f>
        <v>0</v>
      </c>
      <c r="W447" s="203" t="str">
        <f>CONCATENATE(VLOOKUP(B447,★営業所!$A$2:$B$5,2,FALSE),VLOOKUP(申込書!$C$32,★サイズ表記!$D$4:$E$55,2,FALSE),VLOOKUP(D447,★折込地区!$A$2:$B$11,2,FALSE))</f>
        <v>T1001Kry</v>
      </c>
      <c r="X447" s="203" t="str">
        <f>CONCATENATE(申込書!$B$9," ",VLOOKUP(RIGHT(W447,3),★折込地区!$B$2:$C$10,2,FALSE),"")</f>
        <v xml:space="preserve"> 倉吉</v>
      </c>
      <c r="Z447" s="206">
        <f t="shared" ca="1" si="48"/>
        <v>0</v>
      </c>
      <c r="AB447" s="383">
        <f t="shared" si="49"/>
        <v>2.8</v>
      </c>
      <c r="AC447" s="203" t="str">
        <f t="shared" si="50"/>
        <v>M1001</v>
      </c>
      <c r="AD447" s="203" t="str">
        <f>VLOOKUP(AC447,★原価商品!$E$6:$F$349,2,FALSE)</f>
        <v>毎日/B4（折り無し）</v>
      </c>
      <c r="AE447" s="203">
        <f t="shared" ca="1" si="51"/>
        <v>0</v>
      </c>
      <c r="AF447" s="383">
        <f ca="1">IFERROR(IF(VLOOKUP(申込書!$C$32,★サイズ表記!$F$4:$H$55,3,FALSE)="切り捨て",ROUNDDOWN(L447*IF(AK447="◎",I447,J447)/100,2),IF(VLOOKUP(申込書!$C$32,★サイズ表記!$F$4:$H$55,3,FALSE)="切り上げ",ROUNDUP(L447*IF(AK447="◎",I447,J447)/100,2),ROUND(L447*IF(AK447="◎",I447,J447)/100,2))),0)</f>
        <v>2.4</v>
      </c>
      <c r="AG447" s="203">
        <f t="shared" ca="1" si="52"/>
        <v>0</v>
      </c>
      <c r="AJ447" s="460" t="str">
        <f>IFERROR(VLOOKUP(申込書!$C$30,★業種!$D$2:$E$87,2,FALSE),"")</f>
        <v>1003</v>
      </c>
      <c r="AK447" s="460" t="str">
        <f ca="1">IF(申込書!$C$36="◎",IF(OR(D447="浜坂・温泉",D447="美方・村岡",D447="香住",D447="岡山",D447="大阪"),"",IF(LEFT(F447)="D","◎",IF(AG447=0,"",IFERROR(IF(VLOOKUP(AG447,★仕入先!$A$2:$C$211,3,FALSE)=0,"","◎"),"")))),"")</f>
        <v/>
      </c>
      <c r="AL447" s="460">
        <f>申込書!$H$14</f>
        <v>0</v>
      </c>
      <c r="AM447" s="460" t="str">
        <f>申込書!$C$32</f>
        <v>B4（折り無し）</v>
      </c>
      <c r="AN447" s="460" t="str">
        <f>VLOOKUP(AM447,★サイズ表記!$D$4:$E$55,2,FALSE)</f>
        <v>1001</v>
      </c>
      <c r="AO447" s="460">
        <f>IF(C447&lt;&gt;"⑧兵庫",VLOOKUP(LEFT(F447),★新聞!$A$4:$B$12,2,FALSE),IF(LEFT(F447)&lt;&gt;"S",VLOOKUP(LEFT(F447),★新聞!$A$4:$B$12,2,FALSE),VLOOKUP("X",★新聞!$A$4:$B$12,2,FALSE)))</f>
        <v>4</v>
      </c>
      <c r="AP447" s="460" t="str">
        <f t="shared" ca="1" si="53"/>
        <v>0</v>
      </c>
      <c r="AQ447" s="460" t="str">
        <f>IF(申込書!$C$38="","",申込書!$C$38)</f>
        <v/>
      </c>
    </row>
    <row r="448" spans="1:43">
      <c r="A448" s="463">
        <f t="shared" si="54"/>
        <v>447</v>
      </c>
      <c r="B448" s="463" t="str">
        <f t="shared" si="55"/>
        <v>東部</v>
      </c>
      <c r="C448" s="464" t="s">
        <v>1151</v>
      </c>
      <c r="D448" s="464" t="s">
        <v>1602</v>
      </c>
      <c r="E448" s="464">
        <f>VLOOKUP(D448,★折込地区!$A$2:$D$10,4,FALSE)</f>
        <v>2</v>
      </c>
      <c r="F448" s="464" t="s">
        <v>451</v>
      </c>
      <c r="G448" s="464" t="str">
        <f>INDEX(★新聞!$E$4:$I$12, MATCH(LEFT(F448),★新聞!$A$4:$A$12,0), MATCH(LEFT(W448),★新聞!$E$3:$I$3,0))</f>
        <v>AG</v>
      </c>
      <c r="H448" s="475" t="s">
        <v>1104</v>
      </c>
      <c r="I448" s="464" cm="1">
        <f t="array" ref="I448">IFERROR(INDEX(★原価率!$A$2:$E$50,MATCH($C448&amp;$H448,★原価率!$A$2:$A$50&amp;★原価率!$B$2:$B$50,0),3),0)</f>
        <v>86</v>
      </c>
      <c r="J448" s="464" cm="1">
        <f t="array" ref="J448">IFERROR(INDEX(★原価率!$A$2:$E$50,MATCH($C448&amp;$H448,★原価率!$A$2:$A$50&amp;★原価率!$B$2:$B$50,0),4),0)</f>
        <v>86</v>
      </c>
      <c r="K448" s="464" cm="1">
        <f t="array" ref="K448">IFERROR(INDEX(★原価率!$A$2:$E$50,MATCH($C448&amp;$H448,★原価率!$A$2:$A$50&amp;★原価率!$B$2:$B$50,0),5),0)</f>
        <v>100</v>
      </c>
      <c r="L448" s="528">
        <f>IFERROR(VLOOKUP(W448,★商品!$A$1:$H$1231,8,FALSE),0)</f>
        <v>2.8</v>
      </c>
      <c r="M448" s="203" t="str">
        <f ca="1">CONCATENATE(VLOOKUP(B448,★営業所!$A$2:$B$5,2,FALSE),TEXT(NOW(),"yyyy"))</f>
        <v>T2023</v>
      </c>
      <c r="N448" s="203">
        <v>1</v>
      </c>
      <c r="O448" s="203">
        <v>0</v>
      </c>
      <c r="P448" s="213">
        <f>申込書!$B$6</f>
        <v>0</v>
      </c>
      <c r="Q448" s="203">
        <f>申込書!$C$34</f>
        <v>1000040</v>
      </c>
      <c r="R448" s="203">
        <v>0</v>
      </c>
      <c r="U448" s="203">
        <f>VLOOKUP(B448,★営業所!$A$2:$C$5,3,FALSE)</f>
        <v>8</v>
      </c>
      <c r="V448" s="203">
        <f>申込書!$B$9</f>
        <v>0</v>
      </c>
      <c r="W448" s="203" t="str">
        <f>CONCATENATE(VLOOKUP(B448,★営業所!$A$2:$B$5,2,FALSE),VLOOKUP(申込書!$C$32,★サイズ表記!$D$4:$E$55,2,FALSE),VLOOKUP(D448,★折込地区!$A$2:$B$11,2,FALSE))</f>
        <v>T1001Kry</v>
      </c>
      <c r="X448" s="203" t="str">
        <f>CONCATENATE(申込書!$B$9," ",VLOOKUP(RIGHT(W448,3),★折込地区!$B$2:$C$10,2,FALSE),"")</f>
        <v xml:space="preserve"> 倉吉</v>
      </c>
      <c r="Z448" s="206">
        <f t="shared" ca="1" si="48"/>
        <v>0</v>
      </c>
      <c r="AB448" s="383">
        <f t="shared" si="49"/>
        <v>2.8</v>
      </c>
      <c r="AC448" s="203" t="str">
        <f t="shared" si="50"/>
        <v>M1001</v>
      </c>
      <c r="AD448" s="203" t="str">
        <f>VLOOKUP(AC448,★原価商品!$E$6:$F$349,2,FALSE)</f>
        <v>毎日/B4（折り無し）</v>
      </c>
      <c r="AE448" s="203">
        <f t="shared" ca="1" si="51"/>
        <v>0</v>
      </c>
      <c r="AF448" s="383">
        <f ca="1">IFERROR(IF(VLOOKUP(申込書!$C$32,★サイズ表記!$F$4:$H$55,3,FALSE)="切り捨て",ROUNDDOWN(L448*IF(AK448="◎",I448,J448)/100,2),IF(VLOOKUP(申込書!$C$32,★サイズ表記!$F$4:$H$55,3,FALSE)="切り上げ",ROUNDUP(L448*IF(AK448="◎",I448,J448)/100,2),ROUND(L448*IF(AK448="◎",I448,J448)/100,2))),0)</f>
        <v>2.4</v>
      </c>
      <c r="AG448" s="203">
        <f t="shared" ca="1" si="52"/>
        <v>0</v>
      </c>
      <c r="AJ448" s="460" t="str">
        <f>IFERROR(VLOOKUP(申込書!$C$30,★業種!$D$2:$E$87,2,FALSE),"")</f>
        <v>1003</v>
      </c>
      <c r="AK448" s="460" t="str">
        <f ca="1">IF(申込書!$C$36="◎",IF(OR(D448="浜坂・温泉",D448="美方・村岡",D448="香住",D448="岡山",D448="大阪"),"",IF(LEFT(F448)="D","◎",IF(AG448=0,"",IFERROR(IF(VLOOKUP(AG448,★仕入先!$A$2:$C$211,3,FALSE)=0,"","◎"),"")))),"")</f>
        <v/>
      </c>
      <c r="AL448" s="460">
        <f>申込書!$H$14</f>
        <v>0</v>
      </c>
      <c r="AM448" s="460" t="str">
        <f>申込書!$C$32</f>
        <v>B4（折り無し）</v>
      </c>
      <c r="AN448" s="460" t="str">
        <f>VLOOKUP(AM448,★サイズ表記!$D$4:$E$55,2,FALSE)</f>
        <v>1001</v>
      </c>
      <c r="AO448" s="460">
        <f>IF(C448&lt;&gt;"⑧兵庫",VLOOKUP(LEFT(F448),★新聞!$A$4:$B$12,2,FALSE),IF(LEFT(F448)&lt;&gt;"S",VLOOKUP(LEFT(F448),★新聞!$A$4:$B$12,2,FALSE),VLOOKUP("X",★新聞!$A$4:$B$12,2,FALSE)))</f>
        <v>4</v>
      </c>
      <c r="AP448" s="460" t="str">
        <f t="shared" ca="1" si="53"/>
        <v>0</v>
      </c>
      <c r="AQ448" s="460" t="str">
        <f>IF(申込書!$C$38="","",申込書!$C$38)</f>
        <v/>
      </c>
    </row>
    <row r="449" spans="1:43">
      <c r="A449" s="463">
        <f t="shared" si="54"/>
        <v>448</v>
      </c>
      <c r="B449" s="463" t="str">
        <f t="shared" si="55"/>
        <v>東部</v>
      </c>
      <c r="C449" s="464" t="s">
        <v>1151</v>
      </c>
      <c r="D449" s="464" t="s">
        <v>1602</v>
      </c>
      <c r="E449" s="464">
        <f>VLOOKUP(D449,★折込地区!$A$2:$D$10,4,FALSE)</f>
        <v>2</v>
      </c>
      <c r="F449" s="464" t="s">
        <v>452</v>
      </c>
      <c r="G449" s="464" t="str">
        <f>INDEX(★新聞!$E$4:$I$12, MATCH(LEFT(F449),★新聞!$A$4:$A$12,0), MATCH(LEFT(W449),★新聞!$E$3:$I$3,0))</f>
        <v>AG</v>
      </c>
      <c r="H449" s="475" t="s">
        <v>1153</v>
      </c>
      <c r="I449" s="464" cm="1">
        <f t="array" ref="I449">IFERROR(INDEX(★原価率!$A$2:$E$50,MATCH($C449&amp;$H449,★原価率!$A$2:$A$50&amp;★原価率!$B$2:$B$50,0),3),0)</f>
        <v>90</v>
      </c>
      <c r="J449" s="464" cm="1">
        <f t="array" ref="J449">IFERROR(INDEX(★原価率!$A$2:$E$50,MATCH($C449&amp;$H449,★原価率!$A$2:$A$50&amp;★原価率!$B$2:$B$50,0),4),0)</f>
        <v>90</v>
      </c>
      <c r="K449" s="464" cm="1">
        <f t="array" ref="K449">IFERROR(INDEX(★原価率!$A$2:$E$50,MATCH($C449&amp;$H449,★原価率!$A$2:$A$50&amp;★原価率!$B$2:$B$50,0),5),0)</f>
        <v>100</v>
      </c>
      <c r="L449" s="528">
        <f>IFERROR(VLOOKUP(W449,★商品!$A$1:$H$1231,8,FALSE),0)</f>
        <v>2.8</v>
      </c>
      <c r="M449" s="203" t="str">
        <f ca="1">CONCATENATE(VLOOKUP(B449,★営業所!$A$2:$B$5,2,FALSE),TEXT(NOW(),"yyyy"))</f>
        <v>T2023</v>
      </c>
      <c r="N449" s="203">
        <v>1</v>
      </c>
      <c r="O449" s="203">
        <v>0</v>
      </c>
      <c r="P449" s="213">
        <f>申込書!$B$6</f>
        <v>0</v>
      </c>
      <c r="Q449" s="203">
        <f>申込書!$C$34</f>
        <v>1000040</v>
      </c>
      <c r="R449" s="203">
        <v>0</v>
      </c>
      <c r="U449" s="203">
        <f>VLOOKUP(B449,★営業所!$A$2:$C$5,3,FALSE)</f>
        <v>8</v>
      </c>
      <c r="V449" s="203">
        <f>申込書!$B$9</f>
        <v>0</v>
      </c>
      <c r="W449" s="203" t="str">
        <f>CONCATENATE(VLOOKUP(B449,★営業所!$A$2:$B$5,2,FALSE),VLOOKUP(申込書!$C$32,★サイズ表記!$D$4:$E$55,2,FALSE),VLOOKUP(D449,★折込地区!$A$2:$B$11,2,FALSE))</f>
        <v>T1001Kry</v>
      </c>
      <c r="X449" s="203" t="str">
        <f>CONCATENATE(申込書!$B$9," ",VLOOKUP(RIGHT(W449,3),★折込地区!$B$2:$C$10,2,FALSE),"")</f>
        <v xml:space="preserve"> 倉吉</v>
      </c>
      <c r="Z449" s="206">
        <f t="shared" ca="1" si="48"/>
        <v>0</v>
      </c>
      <c r="AB449" s="383">
        <f t="shared" si="49"/>
        <v>2.8</v>
      </c>
      <c r="AC449" s="203" t="str">
        <f t="shared" si="50"/>
        <v>M1001</v>
      </c>
      <c r="AD449" s="203" t="str">
        <f>VLOOKUP(AC449,★原価商品!$E$6:$F$349,2,FALSE)</f>
        <v>毎日/B4（折り無し）</v>
      </c>
      <c r="AE449" s="203">
        <f t="shared" ca="1" si="51"/>
        <v>0</v>
      </c>
      <c r="AF449" s="383">
        <f ca="1">IFERROR(IF(VLOOKUP(申込書!$C$32,★サイズ表記!$F$4:$H$55,3,FALSE)="切り捨て",ROUNDDOWN(L449*IF(AK449="◎",I449,J449)/100,2),IF(VLOOKUP(申込書!$C$32,★サイズ表記!$F$4:$H$55,3,FALSE)="切り上げ",ROUNDUP(L449*IF(AK449="◎",I449,J449)/100,2),ROUND(L449*IF(AK449="◎",I449,J449)/100,2))),0)</f>
        <v>2.52</v>
      </c>
      <c r="AG449" s="203">
        <f t="shared" ca="1" si="52"/>
        <v>10303</v>
      </c>
      <c r="AJ449" s="460" t="str">
        <f>IFERROR(VLOOKUP(申込書!$C$30,★業種!$D$2:$E$87,2,FALSE),"")</f>
        <v>1003</v>
      </c>
      <c r="AK449" s="460" t="str">
        <f ca="1">IF(申込書!$C$36="◎",IF(OR(D449="浜坂・温泉",D449="美方・村岡",D449="香住",D449="岡山",D449="大阪"),"",IF(LEFT(F449)="D","◎",IF(AG449=0,"",IFERROR(IF(VLOOKUP(AG449,★仕入先!$A$2:$C$211,3,FALSE)=0,"","◎"),"")))),"")</f>
        <v/>
      </c>
      <c r="AL449" s="460">
        <f>申込書!$H$14</f>
        <v>0</v>
      </c>
      <c r="AM449" s="460" t="str">
        <f>申込書!$C$32</f>
        <v>B4（折り無し）</v>
      </c>
      <c r="AN449" s="460" t="str">
        <f>VLOOKUP(AM449,★サイズ表記!$D$4:$E$55,2,FALSE)</f>
        <v>1001</v>
      </c>
      <c r="AO449" s="460">
        <f>IF(C449&lt;&gt;"⑧兵庫",VLOOKUP(LEFT(F449),★新聞!$A$4:$B$12,2,FALSE),IF(LEFT(F449)&lt;&gt;"S",VLOOKUP(LEFT(F449),★新聞!$A$4:$B$12,2,FALSE),VLOOKUP("X",★新聞!$A$4:$B$12,2,FALSE)))</f>
        <v>4</v>
      </c>
      <c r="AP449" s="460" t="str">
        <f t="shared" ca="1" si="53"/>
        <v>0</v>
      </c>
      <c r="AQ449" s="460" t="str">
        <f>IF(申込書!$C$38="","",申込書!$C$38)</f>
        <v/>
      </c>
    </row>
    <row r="450" spans="1:43">
      <c r="A450" s="463">
        <f t="shared" si="54"/>
        <v>449</v>
      </c>
      <c r="B450" s="463" t="str">
        <f t="shared" si="55"/>
        <v>東部</v>
      </c>
      <c r="C450" s="464" t="s">
        <v>1151</v>
      </c>
      <c r="D450" s="464" t="s">
        <v>1602</v>
      </c>
      <c r="E450" s="464">
        <f>VLOOKUP(D450,★折込地区!$A$2:$D$10,4,FALSE)</f>
        <v>2</v>
      </c>
      <c r="F450" s="464" t="s">
        <v>453</v>
      </c>
      <c r="G450" s="464" t="str">
        <f>INDEX(★新聞!$E$4:$I$12, MATCH(LEFT(F450),★新聞!$A$4:$A$12,0), MATCH(LEFT(W450),★新聞!$E$3:$I$3,0))</f>
        <v>AG</v>
      </c>
      <c r="H450" s="475" t="s">
        <v>1107</v>
      </c>
      <c r="I450" s="464" cm="1">
        <f t="array" ref="I450">IFERROR(INDEX(★原価率!$A$2:$E$50,MATCH($C450&amp;$H450,★原価率!$A$2:$A$50&amp;★原価率!$B$2:$B$50,0),3),0)</f>
        <v>82</v>
      </c>
      <c r="J450" s="464" cm="1">
        <f t="array" ref="J450">IFERROR(INDEX(★原価率!$A$2:$E$50,MATCH($C450&amp;$H450,★原価率!$A$2:$A$50&amp;★原価率!$B$2:$B$50,0),4),0)</f>
        <v>82</v>
      </c>
      <c r="K450" s="464" cm="1">
        <f t="array" ref="K450">IFERROR(INDEX(★原価率!$A$2:$E$50,MATCH($C450&amp;$H450,★原価率!$A$2:$A$50&amp;★原価率!$B$2:$B$50,0),5),0)</f>
        <v>100</v>
      </c>
      <c r="L450" s="528">
        <f>IFERROR(VLOOKUP(W450,★商品!$A$1:$H$1231,8,FALSE),0)</f>
        <v>2.8</v>
      </c>
      <c r="M450" s="203" t="str">
        <f ca="1">CONCATENATE(VLOOKUP(B450,★営業所!$A$2:$B$5,2,FALSE),TEXT(NOW(),"yyyy"))</f>
        <v>T2023</v>
      </c>
      <c r="N450" s="203">
        <v>1</v>
      </c>
      <c r="O450" s="203">
        <v>0</v>
      </c>
      <c r="P450" s="213">
        <f>申込書!$B$6</f>
        <v>0</v>
      </c>
      <c r="Q450" s="203">
        <f>申込書!$C$34</f>
        <v>1000040</v>
      </c>
      <c r="R450" s="203">
        <v>0</v>
      </c>
      <c r="U450" s="203">
        <f>VLOOKUP(B450,★営業所!$A$2:$C$5,3,FALSE)</f>
        <v>8</v>
      </c>
      <c r="V450" s="203">
        <f>申込書!$B$9</f>
        <v>0</v>
      </c>
      <c r="W450" s="203" t="str">
        <f>CONCATENATE(VLOOKUP(B450,★営業所!$A$2:$B$5,2,FALSE),VLOOKUP(申込書!$C$32,★サイズ表記!$D$4:$E$55,2,FALSE),VLOOKUP(D450,★折込地区!$A$2:$B$11,2,FALSE))</f>
        <v>T1001Kry</v>
      </c>
      <c r="X450" s="203" t="str">
        <f>CONCATENATE(申込書!$B$9," ",VLOOKUP(RIGHT(W450,3),★折込地区!$B$2:$C$10,2,FALSE),"")</f>
        <v xml:space="preserve"> 倉吉</v>
      </c>
      <c r="Z450" s="206">
        <f t="shared" ref="Z450:Z513" ca="1" si="56">SUMIFS($AE$2:$AE$977,$W$2:$W$977,W450,$AG$2:$AG$977,"&lt;&gt;0")</f>
        <v>0</v>
      </c>
      <c r="AB450" s="383">
        <f t="shared" ref="AB450:AB513" si="57">IFERROR(L450*K450/100,0)</f>
        <v>2.8</v>
      </c>
      <c r="AC450" s="203" t="str">
        <f t="shared" ref="AC450:AC513" si="58">CONCATENATE(LEFT(F450),AN450)</f>
        <v>M1001</v>
      </c>
      <c r="AD450" s="203" t="str">
        <f>VLOOKUP(AC450,★原価商品!$E$6:$F$349,2,FALSE)</f>
        <v>毎日/B4（折り無し）</v>
      </c>
      <c r="AE450" s="203">
        <f t="shared" ref="AE450:AE513" ca="1" si="59">INDIRECT(C450 &amp; "!" &amp; F450)</f>
        <v>0</v>
      </c>
      <c r="AF450" s="383">
        <f ca="1">IFERROR(IF(VLOOKUP(申込書!$C$32,★サイズ表記!$F$4:$H$55,3,FALSE)="切り捨て",ROUNDDOWN(L450*IF(AK450="◎",I450,J450)/100,2),IF(VLOOKUP(申込書!$C$32,★サイズ表記!$F$4:$H$55,3,FALSE)="切り上げ",ROUNDUP(L450*IF(AK450="◎",I450,J450)/100,2),ROUND(L450*IF(AK450="◎",I450,J450)/100,2))),0)</f>
        <v>2.29</v>
      </c>
      <c r="AG450" s="203">
        <f t="shared" ref="AG450:AG513" ca="1" si="60">IFERROR(INDIRECT(C450 &amp; "!" &amp; G450 &amp; MID(F450,2,1000)),0)</f>
        <v>0</v>
      </c>
      <c r="AJ450" s="460" t="str">
        <f>IFERROR(VLOOKUP(申込書!$C$30,★業種!$D$2:$E$87,2,FALSE),"")</f>
        <v>1003</v>
      </c>
      <c r="AK450" s="460" t="str">
        <f ca="1">IF(申込書!$C$36="◎",IF(OR(D450="浜坂・温泉",D450="美方・村岡",D450="香住",D450="岡山",D450="大阪"),"",IF(LEFT(F450)="D","◎",IF(AG450=0,"",IFERROR(IF(VLOOKUP(AG450,★仕入先!$A$2:$C$211,3,FALSE)=0,"","◎"),"")))),"")</f>
        <v/>
      </c>
      <c r="AL450" s="460">
        <f>申込書!$H$14</f>
        <v>0</v>
      </c>
      <c r="AM450" s="460" t="str">
        <f>申込書!$C$32</f>
        <v>B4（折り無し）</v>
      </c>
      <c r="AN450" s="460" t="str">
        <f>VLOOKUP(AM450,★サイズ表記!$D$4:$E$55,2,FALSE)</f>
        <v>1001</v>
      </c>
      <c r="AO450" s="460">
        <f>IF(C450&lt;&gt;"⑧兵庫",VLOOKUP(LEFT(F450),★新聞!$A$4:$B$12,2,FALSE),IF(LEFT(F450)&lt;&gt;"S",VLOOKUP(LEFT(F450),★新聞!$A$4:$B$12,2,FALSE),VLOOKUP("X",★新聞!$A$4:$B$12,2,FALSE)))</f>
        <v>4</v>
      </c>
      <c r="AP450" s="460" t="str">
        <f t="shared" ref="AP450:AP513" ca="1" si="61">FIXED(SUM($AE$2:$AE$977),0,FALSE)</f>
        <v>0</v>
      </c>
      <c r="AQ450" s="460" t="str">
        <f>IF(申込書!$C$38="","",申込書!$C$38)</f>
        <v/>
      </c>
    </row>
    <row r="451" spans="1:43">
      <c r="A451" s="463">
        <f t="shared" si="54"/>
        <v>450</v>
      </c>
      <c r="B451" s="463" t="str">
        <f t="shared" si="55"/>
        <v>東部</v>
      </c>
      <c r="C451" s="464" t="s">
        <v>1151</v>
      </c>
      <c r="D451" s="464" t="s">
        <v>1602</v>
      </c>
      <c r="E451" s="464">
        <f>VLOOKUP(D451,★折込地区!$A$2:$D$10,4,FALSE)</f>
        <v>2</v>
      </c>
      <c r="F451" s="464" t="s">
        <v>457</v>
      </c>
      <c r="G451" s="464" t="str">
        <f>INDEX(★新聞!$E$4:$I$12, MATCH(LEFT(F451),★新聞!$A$4:$A$12,0), MATCH(LEFT(W451),★新聞!$E$3:$I$3,0))</f>
        <v>AG</v>
      </c>
      <c r="H451" s="475" t="s">
        <v>1153</v>
      </c>
      <c r="I451" s="464" cm="1">
        <f t="array" ref="I451">IFERROR(INDEX(★原価率!$A$2:$E$50,MATCH($C451&amp;$H451,★原価率!$A$2:$A$50&amp;★原価率!$B$2:$B$50,0),3),0)</f>
        <v>90</v>
      </c>
      <c r="J451" s="464" cm="1">
        <f t="array" ref="J451">IFERROR(INDEX(★原価率!$A$2:$E$50,MATCH($C451&amp;$H451,★原価率!$A$2:$A$50&amp;★原価率!$B$2:$B$50,0),4),0)</f>
        <v>90</v>
      </c>
      <c r="K451" s="464" cm="1">
        <f t="array" ref="K451">IFERROR(INDEX(★原価率!$A$2:$E$50,MATCH($C451&amp;$H451,★原価率!$A$2:$A$50&amp;★原価率!$B$2:$B$50,0),5),0)</f>
        <v>100</v>
      </c>
      <c r="L451" s="528">
        <f>IFERROR(VLOOKUP(W451,★商品!$A$1:$H$1231,8,FALSE),0)</f>
        <v>2.8</v>
      </c>
      <c r="M451" s="203" t="str">
        <f ca="1">CONCATENATE(VLOOKUP(B451,★営業所!$A$2:$B$5,2,FALSE),TEXT(NOW(),"yyyy"))</f>
        <v>T2023</v>
      </c>
      <c r="N451" s="203">
        <v>1</v>
      </c>
      <c r="O451" s="203">
        <v>0</v>
      </c>
      <c r="P451" s="213">
        <f>申込書!$B$6</f>
        <v>0</v>
      </c>
      <c r="Q451" s="203">
        <f>申込書!$C$34</f>
        <v>1000040</v>
      </c>
      <c r="R451" s="203">
        <v>0</v>
      </c>
      <c r="U451" s="203">
        <f>VLOOKUP(B451,★営業所!$A$2:$C$5,3,FALSE)</f>
        <v>8</v>
      </c>
      <c r="V451" s="203">
        <f>申込書!$B$9</f>
        <v>0</v>
      </c>
      <c r="W451" s="203" t="str">
        <f>CONCATENATE(VLOOKUP(B451,★営業所!$A$2:$B$5,2,FALSE),VLOOKUP(申込書!$C$32,★サイズ表記!$D$4:$E$55,2,FALSE),VLOOKUP(D451,★折込地区!$A$2:$B$11,2,FALSE))</f>
        <v>T1001Kry</v>
      </c>
      <c r="X451" s="203" t="str">
        <f>CONCATENATE(申込書!$B$9," ",VLOOKUP(RIGHT(W451,3),★折込地区!$B$2:$C$10,2,FALSE),"")</f>
        <v xml:space="preserve"> 倉吉</v>
      </c>
      <c r="Z451" s="206">
        <f t="shared" ca="1" si="56"/>
        <v>0</v>
      </c>
      <c r="AB451" s="383">
        <f t="shared" si="57"/>
        <v>2.8</v>
      </c>
      <c r="AC451" s="203" t="str">
        <f t="shared" si="58"/>
        <v>M1001</v>
      </c>
      <c r="AD451" s="203" t="str">
        <f>VLOOKUP(AC451,★原価商品!$E$6:$F$349,2,FALSE)</f>
        <v>毎日/B4（折り無し）</v>
      </c>
      <c r="AE451" s="203">
        <f t="shared" ca="1" si="59"/>
        <v>0</v>
      </c>
      <c r="AF451" s="383">
        <f ca="1">IFERROR(IF(VLOOKUP(申込書!$C$32,★サイズ表記!$F$4:$H$55,3,FALSE)="切り捨て",ROUNDDOWN(L451*IF(AK451="◎",I451,J451)/100,2),IF(VLOOKUP(申込書!$C$32,★サイズ表記!$F$4:$H$55,3,FALSE)="切り上げ",ROUNDUP(L451*IF(AK451="◎",I451,J451)/100,2),ROUND(L451*IF(AK451="◎",I451,J451)/100,2))),0)</f>
        <v>2.52</v>
      </c>
      <c r="AG451" s="203">
        <f t="shared" ca="1" si="60"/>
        <v>10303</v>
      </c>
      <c r="AJ451" s="460" t="str">
        <f>IFERROR(VLOOKUP(申込書!$C$30,★業種!$D$2:$E$87,2,FALSE),"")</f>
        <v>1003</v>
      </c>
      <c r="AK451" s="460" t="str">
        <f ca="1">IF(申込書!$C$36="◎",IF(OR(D451="浜坂・温泉",D451="美方・村岡",D451="香住",D451="岡山",D451="大阪"),"",IF(LEFT(F451)="D","◎",IF(AG451=0,"",IFERROR(IF(VLOOKUP(AG451,★仕入先!$A$2:$C$211,3,FALSE)=0,"","◎"),"")))),"")</f>
        <v/>
      </c>
      <c r="AL451" s="460">
        <f>申込書!$H$14</f>
        <v>0</v>
      </c>
      <c r="AM451" s="460" t="str">
        <f>申込書!$C$32</f>
        <v>B4（折り無し）</v>
      </c>
      <c r="AN451" s="460" t="str">
        <f>VLOOKUP(AM451,★サイズ表記!$D$4:$E$55,2,FALSE)</f>
        <v>1001</v>
      </c>
      <c r="AO451" s="460">
        <f>IF(C451&lt;&gt;"⑧兵庫",VLOOKUP(LEFT(F451),★新聞!$A$4:$B$12,2,FALSE),IF(LEFT(F451)&lt;&gt;"S",VLOOKUP(LEFT(F451),★新聞!$A$4:$B$12,2,FALSE),VLOOKUP("X",★新聞!$A$4:$B$12,2,FALSE)))</f>
        <v>4</v>
      </c>
      <c r="AP451" s="460" t="str">
        <f t="shared" ca="1" si="61"/>
        <v>0</v>
      </c>
      <c r="AQ451" s="460" t="str">
        <f>IF(申込書!$C$38="","",申込書!$C$38)</f>
        <v/>
      </c>
    </row>
    <row r="452" spans="1:43">
      <c r="A452" s="463">
        <f t="shared" ref="A452:A515" si="62">A451+1</f>
        <v>451</v>
      </c>
      <c r="B452" s="463" t="str">
        <f t="shared" si="55"/>
        <v>東部</v>
      </c>
      <c r="C452" s="464" t="s">
        <v>1151</v>
      </c>
      <c r="D452" s="464" t="s">
        <v>1602</v>
      </c>
      <c r="E452" s="464">
        <f>VLOOKUP(D452,★折込地区!$A$2:$D$10,4,FALSE)</f>
        <v>2</v>
      </c>
      <c r="F452" s="464" t="s">
        <v>458</v>
      </c>
      <c r="G452" s="464" t="str">
        <f>INDEX(★新聞!$E$4:$I$12, MATCH(LEFT(F452),★新聞!$A$4:$A$12,0), MATCH(LEFT(W452),★新聞!$E$3:$I$3,0))</f>
        <v>AG</v>
      </c>
      <c r="H452" s="475" t="s">
        <v>1107</v>
      </c>
      <c r="I452" s="464" cm="1">
        <f t="array" ref="I452">IFERROR(INDEX(★原価率!$A$2:$E$50,MATCH($C452&amp;$H452,★原価率!$A$2:$A$50&amp;★原価率!$B$2:$B$50,0),3),0)</f>
        <v>82</v>
      </c>
      <c r="J452" s="464" cm="1">
        <f t="array" ref="J452">IFERROR(INDEX(★原価率!$A$2:$E$50,MATCH($C452&amp;$H452,★原価率!$A$2:$A$50&amp;★原価率!$B$2:$B$50,0),4),0)</f>
        <v>82</v>
      </c>
      <c r="K452" s="464" cm="1">
        <f t="array" ref="K452">IFERROR(INDEX(★原価率!$A$2:$E$50,MATCH($C452&amp;$H452,★原価率!$A$2:$A$50&amp;★原価率!$B$2:$B$50,0),5),0)</f>
        <v>100</v>
      </c>
      <c r="L452" s="528">
        <f>IFERROR(VLOOKUP(W452,★商品!$A$1:$H$1231,8,FALSE),0)</f>
        <v>2.8</v>
      </c>
      <c r="M452" s="203" t="str">
        <f ca="1">CONCATENATE(VLOOKUP(B452,★営業所!$A$2:$B$5,2,FALSE),TEXT(NOW(),"yyyy"))</f>
        <v>T2023</v>
      </c>
      <c r="N452" s="203">
        <v>1</v>
      </c>
      <c r="O452" s="203">
        <v>0</v>
      </c>
      <c r="P452" s="213">
        <f>申込書!$B$6</f>
        <v>0</v>
      </c>
      <c r="Q452" s="203">
        <f>申込書!$C$34</f>
        <v>1000040</v>
      </c>
      <c r="R452" s="203">
        <v>0</v>
      </c>
      <c r="U452" s="203">
        <f>VLOOKUP(B452,★営業所!$A$2:$C$5,3,FALSE)</f>
        <v>8</v>
      </c>
      <c r="V452" s="203">
        <f>申込書!$B$9</f>
        <v>0</v>
      </c>
      <c r="W452" s="203" t="str">
        <f>CONCATENATE(VLOOKUP(B452,★営業所!$A$2:$B$5,2,FALSE),VLOOKUP(申込書!$C$32,★サイズ表記!$D$4:$E$55,2,FALSE),VLOOKUP(D452,★折込地区!$A$2:$B$11,2,FALSE))</f>
        <v>T1001Kry</v>
      </c>
      <c r="X452" s="203" t="str">
        <f>CONCATENATE(申込書!$B$9," ",VLOOKUP(RIGHT(W452,3),★折込地区!$B$2:$C$10,2,FALSE),"")</f>
        <v xml:space="preserve"> 倉吉</v>
      </c>
      <c r="Z452" s="206">
        <f t="shared" ca="1" si="56"/>
        <v>0</v>
      </c>
      <c r="AB452" s="383">
        <f t="shared" si="57"/>
        <v>2.8</v>
      </c>
      <c r="AC452" s="203" t="str">
        <f t="shared" si="58"/>
        <v>M1001</v>
      </c>
      <c r="AD452" s="203" t="str">
        <f>VLOOKUP(AC452,★原価商品!$E$6:$F$349,2,FALSE)</f>
        <v>毎日/B4（折り無し）</v>
      </c>
      <c r="AE452" s="203">
        <f t="shared" ca="1" si="59"/>
        <v>0</v>
      </c>
      <c r="AF452" s="383">
        <f ca="1">IFERROR(IF(VLOOKUP(申込書!$C$32,★サイズ表記!$F$4:$H$55,3,FALSE)="切り捨て",ROUNDDOWN(L452*IF(AK452="◎",I452,J452)/100,2),IF(VLOOKUP(申込書!$C$32,★サイズ表記!$F$4:$H$55,3,FALSE)="切り上げ",ROUNDUP(L452*IF(AK452="◎",I452,J452)/100,2),ROUND(L452*IF(AK452="◎",I452,J452)/100,2))),0)</f>
        <v>2.29</v>
      </c>
      <c r="AG452" s="203">
        <f t="shared" ca="1" si="60"/>
        <v>0</v>
      </c>
      <c r="AJ452" s="460" t="str">
        <f>IFERROR(VLOOKUP(申込書!$C$30,★業種!$D$2:$E$87,2,FALSE),"")</f>
        <v>1003</v>
      </c>
      <c r="AK452" s="460" t="str">
        <f ca="1">IF(申込書!$C$36="◎",IF(OR(D452="浜坂・温泉",D452="美方・村岡",D452="香住",D452="岡山",D452="大阪"),"",IF(LEFT(F452)="D","◎",IF(AG452=0,"",IFERROR(IF(VLOOKUP(AG452,★仕入先!$A$2:$C$211,3,FALSE)=0,"","◎"),"")))),"")</f>
        <v/>
      </c>
      <c r="AL452" s="460">
        <f>申込書!$H$14</f>
        <v>0</v>
      </c>
      <c r="AM452" s="460" t="str">
        <f>申込書!$C$32</f>
        <v>B4（折り無し）</v>
      </c>
      <c r="AN452" s="460" t="str">
        <f>VLOOKUP(AM452,★サイズ表記!$D$4:$E$55,2,FALSE)</f>
        <v>1001</v>
      </c>
      <c r="AO452" s="460">
        <f>IF(C452&lt;&gt;"⑧兵庫",VLOOKUP(LEFT(F452),★新聞!$A$4:$B$12,2,FALSE),IF(LEFT(F452)&lt;&gt;"S",VLOOKUP(LEFT(F452),★新聞!$A$4:$B$12,2,FALSE),VLOOKUP("X",★新聞!$A$4:$B$12,2,FALSE)))</f>
        <v>4</v>
      </c>
      <c r="AP452" s="460" t="str">
        <f t="shared" ca="1" si="61"/>
        <v>0</v>
      </c>
      <c r="AQ452" s="460" t="str">
        <f>IF(申込書!$C$38="","",申込書!$C$38)</f>
        <v/>
      </c>
    </row>
    <row r="453" spans="1:43">
      <c r="A453" s="463">
        <f t="shared" si="62"/>
        <v>452</v>
      </c>
      <c r="B453" s="463" t="str">
        <f t="shared" si="55"/>
        <v>東部</v>
      </c>
      <c r="C453" s="464" t="s">
        <v>1151</v>
      </c>
      <c r="D453" s="464" t="s">
        <v>1602</v>
      </c>
      <c r="E453" s="464">
        <f>VLOOKUP(D453,★折込地区!$A$2:$D$10,4,FALSE)</f>
        <v>2</v>
      </c>
      <c r="F453" s="464" t="s">
        <v>459</v>
      </c>
      <c r="G453" s="464" t="str">
        <f>INDEX(★新聞!$E$4:$I$12, MATCH(LEFT(F453),★新聞!$A$4:$A$12,0), MATCH(LEFT(W453),★新聞!$E$3:$I$3,0))</f>
        <v>AG</v>
      </c>
      <c r="H453" s="555" t="s">
        <v>1105</v>
      </c>
      <c r="I453" s="464" cm="1">
        <f t="array" ref="I453">IFERROR(INDEX(★原価率!$A$2:$E$50,MATCH($C453&amp;$H453,★原価率!$A$2:$A$50&amp;★原価率!$B$2:$B$50,0),3),0)</f>
        <v>78</v>
      </c>
      <c r="J453" s="464" cm="1">
        <f t="array" ref="J453">IFERROR(INDEX(★原価率!$A$2:$E$50,MATCH($C453&amp;$H453,★原価率!$A$2:$A$50&amp;★原価率!$B$2:$B$50,0),4),0)</f>
        <v>82</v>
      </c>
      <c r="K453" s="464" cm="1">
        <f t="array" ref="K453">IFERROR(INDEX(★原価率!$A$2:$E$50,MATCH($C453&amp;$H453,★原価率!$A$2:$A$50&amp;★原価率!$B$2:$B$50,0),5),0)</f>
        <v>100</v>
      </c>
      <c r="L453" s="528">
        <f>IFERROR(VLOOKUP(W453,★商品!$A$1:$H$1231,8,FALSE),0)</f>
        <v>2.8</v>
      </c>
      <c r="M453" s="203" t="str">
        <f ca="1">CONCATENATE(VLOOKUP(B453,★営業所!$A$2:$B$5,2,FALSE),TEXT(NOW(),"yyyy"))</f>
        <v>T2023</v>
      </c>
      <c r="N453" s="203">
        <v>1</v>
      </c>
      <c r="O453" s="203">
        <v>0</v>
      </c>
      <c r="P453" s="213">
        <f>申込書!$B$6</f>
        <v>0</v>
      </c>
      <c r="Q453" s="203">
        <f>申込書!$C$34</f>
        <v>1000040</v>
      </c>
      <c r="R453" s="203">
        <v>0</v>
      </c>
      <c r="U453" s="203">
        <f>VLOOKUP(B453,★営業所!$A$2:$C$5,3,FALSE)</f>
        <v>8</v>
      </c>
      <c r="V453" s="203">
        <f>申込書!$B$9</f>
        <v>0</v>
      </c>
      <c r="W453" s="203" t="str">
        <f>CONCATENATE(VLOOKUP(B453,★営業所!$A$2:$B$5,2,FALSE),VLOOKUP(申込書!$C$32,★サイズ表記!$D$4:$E$55,2,FALSE),VLOOKUP(D453,★折込地区!$A$2:$B$11,2,FALSE))</f>
        <v>T1001Kry</v>
      </c>
      <c r="X453" s="203" t="str">
        <f>CONCATENATE(申込書!$B$9," ",VLOOKUP(RIGHT(W453,3),★折込地区!$B$2:$C$10,2,FALSE),"")</f>
        <v xml:space="preserve"> 倉吉</v>
      </c>
      <c r="Z453" s="206">
        <f t="shared" ca="1" si="56"/>
        <v>0</v>
      </c>
      <c r="AB453" s="383">
        <f t="shared" si="57"/>
        <v>2.8</v>
      </c>
      <c r="AC453" s="203" t="str">
        <f t="shared" si="58"/>
        <v>M1001</v>
      </c>
      <c r="AD453" s="203" t="str">
        <f>VLOOKUP(AC453,★原価商品!$E$6:$F$349,2,FALSE)</f>
        <v>毎日/B4（折り無し）</v>
      </c>
      <c r="AE453" s="203">
        <f t="shared" ca="1" si="59"/>
        <v>0</v>
      </c>
      <c r="AF453" s="383">
        <f ca="1">IFERROR(IF(VLOOKUP(申込書!$C$32,★サイズ表記!$F$4:$H$55,3,FALSE)="切り捨て",ROUNDDOWN(L453*IF(AK453="◎",I453,J453)/100,2),IF(VLOOKUP(申込書!$C$32,★サイズ表記!$F$4:$H$55,3,FALSE)="切り上げ",ROUNDUP(L453*IF(AK453="◎",I453,J453)/100,2),ROUND(L453*IF(AK453="◎",I453,J453)/100,2))),0)</f>
        <v>2.29</v>
      </c>
      <c r="AG453" s="203">
        <f t="shared" ca="1" si="60"/>
        <v>10303</v>
      </c>
      <c r="AJ453" s="460" t="str">
        <f>IFERROR(VLOOKUP(申込書!$C$30,★業種!$D$2:$E$87,2,FALSE),"")</f>
        <v>1003</v>
      </c>
      <c r="AK453" s="460" t="str">
        <f ca="1">IF(申込書!$C$36="◎",IF(OR(D453="浜坂・温泉",D453="美方・村岡",D453="香住",D453="岡山",D453="大阪"),"",IF(LEFT(F453)="D","◎",IF(AG453=0,"",IFERROR(IF(VLOOKUP(AG453,★仕入先!$A$2:$C$211,3,FALSE)=0,"","◎"),"")))),"")</f>
        <v/>
      </c>
      <c r="AL453" s="460">
        <f>申込書!$H$14</f>
        <v>0</v>
      </c>
      <c r="AM453" s="460" t="str">
        <f>申込書!$C$32</f>
        <v>B4（折り無し）</v>
      </c>
      <c r="AN453" s="460" t="str">
        <f>VLOOKUP(AM453,★サイズ表記!$D$4:$E$55,2,FALSE)</f>
        <v>1001</v>
      </c>
      <c r="AO453" s="460">
        <f>IF(C453&lt;&gt;"⑧兵庫",VLOOKUP(LEFT(F453),★新聞!$A$4:$B$12,2,FALSE),IF(LEFT(F453)&lt;&gt;"S",VLOOKUP(LEFT(F453),★新聞!$A$4:$B$12,2,FALSE),VLOOKUP("X",★新聞!$A$4:$B$12,2,FALSE)))</f>
        <v>4</v>
      </c>
      <c r="AP453" s="460" t="str">
        <f t="shared" ca="1" si="61"/>
        <v>0</v>
      </c>
      <c r="AQ453" s="460" t="str">
        <f>IF(申込書!$C$38="","",申込書!$C$38)</f>
        <v/>
      </c>
    </row>
    <row r="454" spans="1:43">
      <c r="A454" s="463">
        <f t="shared" si="62"/>
        <v>453</v>
      </c>
      <c r="B454" s="463" t="str">
        <f t="shared" si="55"/>
        <v>東部</v>
      </c>
      <c r="C454" s="464" t="s">
        <v>1151</v>
      </c>
      <c r="D454" s="464" t="s">
        <v>1602</v>
      </c>
      <c r="E454" s="464">
        <f>VLOOKUP(D454,★折込地区!$A$2:$D$10,4,FALSE)</f>
        <v>2</v>
      </c>
      <c r="F454" s="464" t="s">
        <v>460</v>
      </c>
      <c r="G454" s="464" t="str">
        <f>INDEX(★新聞!$E$4:$I$12, MATCH(LEFT(F454),★新聞!$A$4:$A$12,0), MATCH(LEFT(W454),★新聞!$E$3:$I$3,0))</f>
        <v>AG</v>
      </c>
      <c r="H454" s="475" t="s">
        <v>1107</v>
      </c>
      <c r="I454" s="464" cm="1">
        <f t="array" ref="I454">IFERROR(INDEX(★原価率!$A$2:$E$50,MATCH($C454&amp;$H454,★原価率!$A$2:$A$50&amp;★原価率!$B$2:$B$50,0),3),0)</f>
        <v>82</v>
      </c>
      <c r="J454" s="464" cm="1">
        <f t="array" ref="J454">IFERROR(INDEX(★原価率!$A$2:$E$50,MATCH($C454&amp;$H454,★原価率!$A$2:$A$50&amp;★原価率!$B$2:$B$50,0),4),0)</f>
        <v>82</v>
      </c>
      <c r="K454" s="464" cm="1">
        <f t="array" ref="K454">IFERROR(INDEX(★原価率!$A$2:$E$50,MATCH($C454&amp;$H454,★原価率!$A$2:$A$50&amp;★原価率!$B$2:$B$50,0),5),0)</f>
        <v>100</v>
      </c>
      <c r="L454" s="528">
        <f>IFERROR(VLOOKUP(W454,★商品!$A$1:$H$1231,8,FALSE),0)</f>
        <v>2.8</v>
      </c>
      <c r="M454" s="203" t="str">
        <f ca="1">CONCATENATE(VLOOKUP(B454,★営業所!$A$2:$B$5,2,FALSE),TEXT(NOW(),"yyyy"))</f>
        <v>T2023</v>
      </c>
      <c r="N454" s="203">
        <v>1</v>
      </c>
      <c r="O454" s="203">
        <v>0</v>
      </c>
      <c r="P454" s="213">
        <f>申込書!$B$6</f>
        <v>0</v>
      </c>
      <c r="Q454" s="203">
        <f>申込書!$C$34</f>
        <v>1000040</v>
      </c>
      <c r="R454" s="203">
        <v>0</v>
      </c>
      <c r="U454" s="203">
        <f>VLOOKUP(B454,★営業所!$A$2:$C$5,3,FALSE)</f>
        <v>8</v>
      </c>
      <c r="V454" s="203">
        <f>申込書!$B$9</f>
        <v>0</v>
      </c>
      <c r="W454" s="203" t="str">
        <f>CONCATENATE(VLOOKUP(B454,★営業所!$A$2:$B$5,2,FALSE),VLOOKUP(申込書!$C$32,★サイズ表記!$D$4:$E$55,2,FALSE),VLOOKUP(D454,★折込地区!$A$2:$B$11,2,FALSE))</f>
        <v>T1001Kry</v>
      </c>
      <c r="X454" s="203" t="str">
        <f>CONCATENATE(申込書!$B$9," ",VLOOKUP(RIGHT(W454,3),★折込地区!$B$2:$C$10,2,FALSE),"")</f>
        <v xml:space="preserve"> 倉吉</v>
      </c>
      <c r="Z454" s="206">
        <f t="shared" ca="1" si="56"/>
        <v>0</v>
      </c>
      <c r="AB454" s="383">
        <f t="shared" si="57"/>
        <v>2.8</v>
      </c>
      <c r="AC454" s="203" t="str">
        <f t="shared" si="58"/>
        <v>M1001</v>
      </c>
      <c r="AD454" s="203" t="str">
        <f>VLOOKUP(AC454,★原価商品!$E$6:$F$349,2,FALSE)</f>
        <v>毎日/B4（折り無し）</v>
      </c>
      <c r="AE454" s="203">
        <f t="shared" ca="1" si="59"/>
        <v>0</v>
      </c>
      <c r="AF454" s="383">
        <f ca="1">IFERROR(IF(VLOOKUP(申込書!$C$32,★サイズ表記!$F$4:$H$55,3,FALSE)="切り捨て",ROUNDDOWN(L454*IF(AK454="◎",I454,J454)/100,2),IF(VLOOKUP(申込書!$C$32,★サイズ表記!$F$4:$H$55,3,FALSE)="切り上げ",ROUNDUP(L454*IF(AK454="◎",I454,J454)/100,2),ROUND(L454*IF(AK454="◎",I454,J454)/100,2))),0)</f>
        <v>2.29</v>
      </c>
      <c r="AG454" s="203">
        <f t="shared" ca="1" si="60"/>
        <v>10303</v>
      </c>
      <c r="AJ454" s="460" t="str">
        <f>IFERROR(VLOOKUP(申込書!$C$30,★業種!$D$2:$E$87,2,FALSE),"")</f>
        <v>1003</v>
      </c>
      <c r="AK454" s="460" t="str">
        <f ca="1">IF(申込書!$C$36="◎",IF(OR(D454="浜坂・温泉",D454="美方・村岡",D454="香住",D454="岡山",D454="大阪"),"",IF(LEFT(F454)="D","◎",IF(AG454=0,"",IFERROR(IF(VLOOKUP(AG454,★仕入先!$A$2:$C$211,3,FALSE)=0,"","◎"),"")))),"")</f>
        <v/>
      </c>
      <c r="AL454" s="460">
        <f>申込書!$H$14</f>
        <v>0</v>
      </c>
      <c r="AM454" s="460" t="str">
        <f>申込書!$C$32</f>
        <v>B4（折り無し）</v>
      </c>
      <c r="AN454" s="460" t="str">
        <f>VLOOKUP(AM454,★サイズ表記!$D$4:$E$55,2,FALSE)</f>
        <v>1001</v>
      </c>
      <c r="AO454" s="460">
        <f>IF(C454&lt;&gt;"⑧兵庫",VLOOKUP(LEFT(F454),★新聞!$A$4:$B$12,2,FALSE),IF(LEFT(F454)&lt;&gt;"S",VLOOKUP(LEFT(F454),★新聞!$A$4:$B$12,2,FALSE),VLOOKUP("X",★新聞!$A$4:$B$12,2,FALSE)))</f>
        <v>4</v>
      </c>
      <c r="AP454" s="460" t="str">
        <f t="shared" ca="1" si="61"/>
        <v>0</v>
      </c>
      <c r="AQ454" s="460" t="str">
        <f>IF(申込書!$C$38="","",申込書!$C$38)</f>
        <v/>
      </c>
    </row>
    <row r="455" spans="1:43">
      <c r="A455" s="463">
        <f t="shared" si="62"/>
        <v>454</v>
      </c>
      <c r="B455" s="463" t="str">
        <f t="shared" si="55"/>
        <v>東部</v>
      </c>
      <c r="C455" s="464" t="s">
        <v>1151</v>
      </c>
      <c r="D455" s="464" t="s">
        <v>1602</v>
      </c>
      <c r="E455" s="464">
        <f>VLOOKUP(D455,★折込地区!$A$2:$D$10,4,FALSE)</f>
        <v>2</v>
      </c>
      <c r="F455" s="464" t="s">
        <v>461</v>
      </c>
      <c r="G455" s="464" t="str">
        <f>INDEX(★新聞!$E$4:$I$12, MATCH(LEFT(F455),★新聞!$A$4:$A$12,0), MATCH(LEFT(W455),★新聞!$E$3:$I$3,0))</f>
        <v>AG</v>
      </c>
      <c r="H455" s="475" t="s">
        <v>1153</v>
      </c>
      <c r="I455" s="464" cm="1">
        <f t="array" ref="I455">IFERROR(INDEX(★原価率!$A$2:$E$50,MATCH($C455&amp;$H455,★原価率!$A$2:$A$50&amp;★原価率!$B$2:$B$50,0),3),0)</f>
        <v>90</v>
      </c>
      <c r="J455" s="464" cm="1">
        <f t="array" ref="J455">IFERROR(INDEX(★原価率!$A$2:$E$50,MATCH($C455&amp;$H455,★原価率!$A$2:$A$50&amp;★原価率!$B$2:$B$50,0),4),0)</f>
        <v>90</v>
      </c>
      <c r="K455" s="464" cm="1">
        <f t="array" ref="K455">IFERROR(INDEX(★原価率!$A$2:$E$50,MATCH($C455&amp;$H455,★原価率!$A$2:$A$50&amp;★原価率!$B$2:$B$50,0),5),0)</f>
        <v>100</v>
      </c>
      <c r="L455" s="528">
        <f>IFERROR(VLOOKUP(W455,★商品!$A$1:$H$1231,8,FALSE),0)</f>
        <v>2.8</v>
      </c>
      <c r="M455" s="203" t="str">
        <f ca="1">CONCATENATE(VLOOKUP(B455,★営業所!$A$2:$B$5,2,FALSE),TEXT(NOW(),"yyyy"))</f>
        <v>T2023</v>
      </c>
      <c r="N455" s="203">
        <v>1</v>
      </c>
      <c r="O455" s="203">
        <v>0</v>
      </c>
      <c r="P455" s="213">
        <f>申込書!$B$6</f>
        <v>0</v>
      </c>
      <c r="Q455" s="203">
        <f>申込書!$C$34</f>
        <v>1000040</v>
      </c>
      <c r="R455" s="203">
        <v>0</v>
      </c>
      <c r="U455" s="203">
        <f>VLOOKUP(B455,★営業所!$A$2:$C$5,3,FALSE)</f>
        <v>8</v>
      </c>
      <c r="V455" s="203">
        <f>申込書!$B$9</f>
        <v>0</v>
      </c>
      <c r="W455" s="203" t="str">
        <f>CONCATENATE(VLOOKUP(B455,★営業所!$A$2:$B$5,2,FALSE),VLOOKUP(申込書!$C$32,★サイズ表記!$D$4:$E$55,2,FALSE),VLOOKUP(D455,★折込地区!$A$2:$B$11,2,FALSE))</f>
        <v>T1001Kry</v>
      </c>
      <c r="X455" s="203" t="str">
        <f>CONCATENATE(申込書!$B$9," ",VLOOKUP(RIGHT(W455,3),★折込地区!$B$2:$C$10,2,FALSE),"")</f>
        <v xml:space="preserve"> 倉吉</v>
      </c>
      <c r="Z455" s="206">
        <f t="shared" ca="1" si="56"/>
        <v>0</v>
      </c>
      <c r="AB455" s="383">
        <f t="shared" si="57"/>
        <v>2.8</v>
      </c>
      <c r="AC455" s="203" t="str">
        <f t="shared" si="58"/>
        <v>M1001</v>
      </c>
      <c r="AD455" s="203" t="str">
        <f>VLOOKUP(AC455,★原価商品!$E$6:$F$349,2,FALSE)</f>
        <v>毎日/B4（折り無し）</v>
      </c>
      <c r="AE455" s="203">
        <f t="shared" ca="1" si="59"/>
        <v>0</v>
      </c>
      <c r="AF455" s="383">
        <f ca="1">IFERROR(IF(VLOOKUP(申込書!$C$32,★サイズ表記!$F$4:$H$55,3,FALSE)="切り捨て",ROUNDDOWN(L455*IF(AK455="◎",I455,J455)/100,2),IF(VLOOKUP(申込書!$C$32,★サイズ表記!$F$4:$H$55,3,FALSE)="切り上げ",ROUNDUP(L455*IF(AK455="◎",I455,J455)/100,2),ROUND(L455*IF(AK455="◎",I455,J455)/100,2))),0)</f>
        <v>2.52</v>
      </c>
      <c r="AG455" s="203">
        <f t="shared" ca="1" si="60"/>
        <v>10303</v>
      </c>
      <c r="AJ455" s="460" t="str">
        <f>IFERROR(VLOOKUP(申込書!$C$30,★業種!$D$2:$E$87,2,FALSE),"")</f>
        <v>1003</v>
      </c>
      <c r="AK455" s="460" t="str">
        <f ca="1">IF(申込書!$C$36="◎",IF(OR(D455="浜坂・温泉",D455="美方・村岡",D455="香住",D455="岡山",D455="大阪"),"",IF(LEFT(F455)="D","◎",IF(AG455=0,"",IFERROR(IF(VLOOKUP(AG455,★仕入先!$A$2:$C$211,3,FALSE)=0,"","◎"),"")))),"")</f>
        <v/>
      </c>
      <c r="AL455" s="460">
        <f>申込書!$H$14</f>
        <v>0</v>
      </c>
      <c r="AM455" s="460" t="str">
        <f>申込書!$C$32</f>
        <v>B4（折り無し）</v>
      </c>
      <c r="AN455" s="460" t="str">
        <f>VLOOKUP(AM455,★サイズ表記!$D$4:$E$55,2,FALSE)</f>
        <v>1001</v>
      </c>
      <c r="AO455" s="460">
        <f>IF(C455&lt;&gt;"⑧兵庫",VLOOKUP(LEFT(F455),★新聞!$A$4:$B$12,2,FALSE),IF(LEFT(F455)&lt;&gt;"S",VLOOKUP(LEFT(F455),★新聞!$A$4:$B$12,2,FALSE),VLOOKUP("X",★新聞!$A$4:$B$12,2,FALSE)))</f>
        <v>4</v>
      </c>
      <c r="AP455" s="460" t="str">
        <f t="shared" ca="1" si="61"/>
        <v>0</v>
      </c>
      <c r="AQ455" s="460" t="str">
        <f>IF(申込書!$C$38="","",申込書!$C$38)</f>
        <v/>
      </c>
    </row>
    <row r="456" spans="1:43">
      <c r="A456" s="463">
        <f t="shared" si="62"/>
        <v>455</v>
      </c>
      <c r="B456" s="463" t="str">
        <f t="shared" si="55"/>
        <v>東部</v>
      </c>
      <c r="C456" s="464" t="s">
        <v>1151</v>
      </c>
      <c r="D456" s="464" t="s">
        <v>1602</v>
      </c>
      <c r="E456" s="464">
        <f>VLOOKUP(D456,★折込地区!$A$2:$D$10,4,FALSE)</f>
        <v>2</v>
      </c>
      <c r="F456" s="464" t="s">
        <v>462</v>
      </c>
      <c r="G456" s="464" t="str">
        <f>INDEX(★新聞!$E$4:$I$12, MATCH(LEFT(F456),★新聞!$A$4:$A$12,0), MATCH(LEFT(W456),★新聞!$E$3:$I$3,0))</f>
        <v>AG</v>
      </c>
      <c r="H456" s="475" t="s">
        <v>1153</v>
      </c>
      <c r="I456" s="464" cm="1">
        <f t="array" ref="I456">IFERROR(INDEX(★原価率!$A$2:$E$50,MATCH($C456&amp;$H456,★原価率!$A$2:$A$50&amp;★原価率!$B$2:$B$50,0),3),0)</f>
        <v>90</v>
      </c>
      <c r="J456" s="464" cm="1">
        <f t="array" ref="J456">IFERROR(INDEX(★原価率!$A$2:$E$50,MATCH($C456&amp;$H456,★原価率!$A$2:$A$50&amp;★原価率!$B$2:$B$50,0),4),0)</f>
        <v>90</v>
      </c>
      <c r="K456" s="464" cm="1">
        <f t="array" ref="K456">IFERROR(INDEX(★原価率!$A$2:$E$50,MATCH($C456&amp;$H456,★原価率!$A$2:$A$50&amp;★原価率!$B$2:$B$50,0),5),0)</f>
        <v>100</v>
      </c>
      <c r="L456" s="528">
        <f>IFERROR(VLOOKUP(W456,★商品!$A$1:$H$1231,8,FALSE),0)</f>
        <v>2.8</v>
      </c>
      <c r="M456" s="203" t="str">
        <f ca="1">CONCATENATE(VLOOKUP(B456,★営業所!$A$2:$B$5,2,FALSE),TEXT(NOW(),"yyyy"))</f>
        <v>T2023</v>
      </c>
      <c r="N456" s="203">
        <v>1</v>
      </c>
      <c r="O456" s="203">
        <v>0</v>
      </c>
      <c r="P456" s="213">
        <f>申込書!$B$6</f>
        <v>0</v>
      </c>
      <c r="Q456" s="203">
        <f>申込書!$C$34</f>
        <v>1000040</v>
      </c>
      <c r="R456" s="203">
        <v>0</v>
      </c>
      <c r="U456" s="203">
        <f>VLOOKUP(B456,★営業所!$A$2:$C$5,3,FALSE)</f>
        <v>8</v>
      </c>
      <c r="V456" s="203">
        <f>申込書!$B$9</f>
        <v>0</v>
      </c>
      <c r="W456" s="203" t="str">
        <f>CONCATENATE(VLOOKUP(B456,★営業所!$A$2:$B$5,2,FALSE),VLOOKUP(申込書!$C$32,★サイズ表記!$D$4:$E$55,2,FALSE),VLOOKUP(D456,★折込地区!$A$2:$B$11,2,FALSE))</f>
        <v>T1001Kry</v>
      </c>
      <c r="X456" s="203" t="str">
        <f>CONCATENATE(申込書!$B$9," ",VLOOKUP(RIGHT(W456,3),★折込地区!$B$2:$C$10,2,FALSE),"")</f>
        <v xml:space="preserve"> 倉吉</v>
      </c>
      <c r="Z456" s="206">
        <f t="shared" ca="1" si="56"/>
        <v>0</v>
      </c>
      <c r="AB456" s="383">
        <f t="shared" si="57"/>
        <v>2.8</v>
      </c>
      <c r="AC456" s="203" t="str">
        <f t="shared" si="58"/>
        <v>M1001</v>
      </c>
      <c r="AD456" s="203" t="str">
        <f>VLOOKUP(AC456,★原価商品!$E$6:$F$349,2,FALSE)</f>
        <v>毎日/B4（折り無し）</v>
      </c>
      <c r="AE456" s="203">
        <f t="shared" ca="1" si="59"/>
        <v>0</v>
      </c>
      <c r="AF456" s="383">
        <f ca="1">IFERROR(IF(VLOOKUP(申込書!$C$32,★サイズ表記!$F$4:$H$55,3,FALSE)="切り捨て",ROUNDDOWN(L456*IF(AK456="◎",I456,J456)/100,2),IF(VLOOKUP(申込書!$C$32,★サイズ表記!$F$4:$H$55,3,FALSE)="切り上げ",ROUNDUP(L456*IF(AK456="◎",I456,J456)/100,2),ROUND(L456*IF(AK456="◎",I456,J456)/100,2))),0)</f>
        <v>2.52</v>
      </c>
      <c r="AG456" s="203">
        <f t="shared" ca="1" si="60"/>
        <v>10303</v>
      </c>
      <c r="AJ456" s="460" t="str">
        <f>IFERROR(VLOOKUP(申込書!$C$30,★業種!$D$2:$E$87,2,FALSE),"")</f>
        <v>1003</v>
      </c>
      <c r="AK456" s="460" t="str">
        <f ca="1">IF(申込書!$C$36="◎",IF(OR(D456="浜坂・温泉",D456="美方・村岡",D456="香住",D456="岡山",D456="大阪"),"",IF(LEFT(F456)="D","◎",IF(AG456=0,"",IFERROR(IF(VLOOKUP(AG456,★仕入先!$A$2:$C$211,3,FALSE)=0,"","◎"),"")))),"")</f>
        <v/>
      </c>
      <c r="AL456" s="460">
        <f>申込書!$H$14</f>
        <v>0</v>
      </c>
      <c r="AM456" s="460" t="str">
        <f>申込書!$C$32</f>
        <v>B4（折り無し）</v>
      </c>
      <c r="AN456" s="460" t="str">
        <f>VLOOKUP(AM456,★サイズ表記!$D$4:$E$55,2,FALSE)</f>
        <v>1001</v>
      </c>
      <c r="AO456" s="460">
        <f>IF(C456&lt;&gt;"⑧兵庫",VLOOKUP(LEFT(F456),★新聞!$A$4:$B$12,2,FALSE),IF(LEFT(F456)&lt;&gt;"S",VLOOKUP(LEFT(F456),★新聞!$A$4:$B$12,2,FALSE),VLOOKUP("X",★新聞!$A$4:$B$12,2,FALSE)))</f>
        <v>4</v>
      </c>
      <c r="AP456" s="460" t="str">
        <f t="shared" ca="1" si="61"/>
        <v>0</v>
      </c>
      <c r="AQ456" s="460" t="str">
        <f>IF(申込書!$C$38="","",申込書!$C$38)</f>
        <v/>
      </c>
    </row>
    <row r="457" spans="1:43">
      <c r="A457" s="463">
        <f t="shared" si="62"/>
        <v>456</v>
      </c>
      <c r="B457" s="463" t="str">
        <f t="shared" si="55"/>
        <v>東部</v>
      </c>
      <c r="C457" s="464" t="s">
        <v>1151</v>
      </c>
      <c r="D457" s="464" t="s">
        <v>1602</v>
      </c>
      <c r="E457" s="464">
        <f>VLOOKUP(D457,★折込地区!$A$2:$D$10,4,FALSE)</f>
        <v>2</v>
      </c>
      <c r="F457" s="464" t="s">
        <v>463</v>
      </c>
      <c r="G457" s="464" t="str">
        <f>INDEX(★新聞!$E$4:$I$12, MATCH(LEFT(F457),★新聞!$A$4:$A$12,0), MATCH(LEFT(W457),★新聞!$E$3:$I$3,0))</f>
        <v>AG</v>
      </c>
      <c r="H457" s="475" t="s">
        <v>1153</v>
      </c>
      <c r="I457" s="464" cm="1">
        <f t="array" ref="I457">IFERROR(INDEX(★原価率!$A$2:$E$50,MATCH($C457&amp;$H457,★原価率!$A$2:$A$50&amp;★原価率!$B$2:$B$50,0),3),0)</f>
        <v>90</v>
      </c>
      <c r="J457" s="464" cm="1">
        <f t="array" ref="J457">IFERROR(INDEX(★原価率!$A$2:$E$50,MATCH($C457&amp;$H457,★原価率!$A$2:$A$50&amp;★原価率!$B$2:$B$50,0),4),0)</f>
        <v>90</v>
      </c>
      <c r="K457" s="464" cm="1">
        <f t="array" ref="K457">IFERROR(INDEX(★原価率!$A$2:$E$50,MATCH($C457&amp;$H457,★原価率!$A$2:$A$50&amp;★原価率!$B$2:$B$50,0),5),0)</f>
        <v>100</v>
      </c>
      <c r="L457" s="528">
        <f>IFERROR(VLOOKUP(W457,★商品!$A$1:$H$1231,8,FALSE),0)</f>
        <v>2.8</v>
      </c>
      <c r="M457" s="203" t="str">
        <f ca="1">CONCATENATE(VLOOKUP(B457,★営業所!$A$2:$B$5,2,FALSE),TEXT(NOW(),"yyyy"))</f>
        <v>T2023</v>
      </c>
      <c r="N457" s="203">
        <v>1</v>
      </c>
      <c r="O457" s="203">
        <v>0</v>
      </c>
      <c r="P457" s="213">
        <f>申込書!$B$6</f>
        <v>0</v>
      </c>
      <c r="Q457" s="203">
        <f>申込書!$C$34</f>
        <v>1000040</v>
      </c>
      <c r="R457" s="203">
        <v>0</v>
      </c>
      <c r="U457" s="203">
        <f>VLOOKUP(B457,★営業所!$A$2:$C$5,3,FALSE)</f>
        <v>8</v>
      </c>
      <c r="V457" s="203">
        <f>申込書!$B$9</f>
        <v>0</v>
      </c>
      <c r="W457" s="203" t="str">
        <f>CONCATENATE(VLOOKUP(B457,★営業所!$A$2:$B$5,2,FALSE),VLOOKUP(申込書!$C$32,★サイズ表記!$D$4:$E$55,2,FALSE),VLOOKUP(D457,★折込地区!$A$2:$B$11,2,FALSE))</f>
        <v>T1001Kry</v>
      </c>
      <c r="X457" s="203" t="str">
        <f>CONCATENATE(申込書!$B$9," ",VLOOKUP(RIGHT(W457,3),★折込地区!$B$2:$C$10,2,FALSE),"")</f>
        <v xml:space="preserve"> 倉吉</v>
      </c>
      <c r="Z457" s="206">
        <f t="shared" ca="1" si="56"/>
        <v>0</v>
      </c>
      <c r="AB457" s="383">
        <f t="shared" si="57"/>
        <v>2.8</v>
      </c>
      <c r="AC457" s="203" t="str">
        <f t="shared" si="58"/>
        <v>M1001</v>
      </c>
      <c r="AD457" s="203" t="str">
        <f>VLOOKUP(AC457,★原価商品!$E$6:$F$349,2,FALSE)</f>
        <v>毎日/B4（折り無し）</v>
      </c>
      <c r="AE457" s="203">
        <f t="shared" ca="1" si="59"/>
        <v>0</v>
      </c>
      <c r="AF457" s="383">
        <f ca="1">IFERROR(IF(VLOOKUP(申込書!$C$32,★サイズ表記!$F$4:$H$55,3,FALSE)="切り捨て",ROUNDDOWN(L457*IF(AK457="◎",I457,J457)/100,2),IF(VLOOKUP(申込書!$C$32,★サイズ表記!$F$4:$H$55,3,FALSE)="切り上げ",ROUNDUP(L457*IF(AK457="◎",I457,J457)/100,2),ROUND(L457*IF(AK457="◎",I457,J457)/100,2))),0)</f>
        <v>2.52</v>
      </c>
      <c r="AG457" s="203">
        <f t="shared" ca="1" si="60"/>
        <v>10303</v>
      </c>
      <c r="AJ457" s="460" t="str">
        <f>IFERROR(VLOOKUP(申込書!$C$30,★業種!$D$2:$E$87,2,FALSE),"")</f>
        <v>1003</v>
      </c>
      <c r="AK457" s="460" t="str">
        <f ca="1">IF(申込書!$C$36="◎",IF(OR(D457="浜坂・温泉",D457="美方・村岡",D457="香住",D457="岡山",D457="大阪"),"",IF(LEFT(F457)="D","◎",IF(AG457=0,"",IFERROR(IF(VLOOKUP(AG457,★仕入先!$A$2:$C$211,3,FALSE)=0,"","◎"),"")))),"")</f>
        <v/>
      </c>
      <c r="AL457" s="460">
        <f>申込書!$H$14</f>
        <v>0</v>
      </c>
      <c r="AM457" s="460" t="str">
        <f>申込書!$C$32</f>
        <v>B4（折り無し）</v>
      </c>
      <c r="AN457" s="460" t="str">
        <f>VLOOKUP(AM457,★サイズ表記!$D$4:$E$55,2,FALSE)</f>
        <v>1001</v>
      </c>
      <c r="AO457" s="460">
        <f>IF(C457&lt;&gt;"⑧兵庫",VLOOKUP(LEFT(F457),★新聞!$A$4:$B$12,2,FALSE),IF(LEFT(F457)&lt;&gt;"S",VLOOKUP(LEFT(F457),★新聞!$A$4:$B$12,2,FALSE),VLOOKUP("X",★新聞!$A$4:$B$12,2,FALSE)))</f>
        <v>4</v>
      </c>
      <c r="AP457" s="460" t="str">
        <f t="shared" ca="1" si="61"/>
        <v>0</v>
      </c>
      <c r="AQ457" s="460" t="str">
        <f>IF(申込書!$C$38="","",申込書!$C$38)</f>
        <v/>
      </c>
    </row>
    <row r="458" spans="1:43">
      <c r="A458" s="463">
        <f t="shared" si="62"/>
        <v>457</v>
      </c>
      <c r="B458" s="463" t="str">
        <f t="shared" si="55"/>
        <v>東部</v>
      </c>
      <c r="C458" s="464" t="s">
        <v>1151</v>
      </c>
      <c r="D458" s="464" t="s">
        <v>1602</v>
      </c>
      <c r="E458" s="464">
        <f>VLOOKUP(D458,★折込地区!$A$2:$D$10,4,FALSE)</f>
        <v>2</v>
      </c>
      <c r="F458" s="464" t="s">
        <v>464</v>
      </c>
      <c r="G458" s="464" t="str">
        <f>INDEX(★新聞!$E$4:$I$12, MATCH(LEFT(F458),★新聞!$A$4:$A$12,0), MATCH(LEFT(W458),★新聞!$E$3:$I$3,0))</f>
        <v>AG</v>
      </c>
      <c r="H458" s="475" t="s">
        <v>1153</v>
      </c>
      <c r="I458" s="464" cm="1">
        <f t="array" ref="I458">IFERROR(INDEX(★原価率!$A$2:$E$50,MATCH($C458&amp;$H458,★原価率!$A$2:$A$50&amp;★原価率!$B$2:$B$50,0),3),0)</f>
        <v>90</v>
      </c>
      <c r="J458" s="464" cm="1">
        <f t="array" ref="J458">IFERROR(INDEX(★原価率!$A$2:$E$50,MATCH($C458&amp;$H458,★原価率!$A$2:$A$50&amp;★原価率!$B$2:$B$50,0),4),0)</f>
        <v>90</v>
      </c>
      <c r="K458" s="464" cm="1">
        <f t="array" ref="K458">IFERROR(INDEX(★原価率!$A$2:$E$50,MATCH($C458&amp;$H458,★原価率!$A$2:$A$50&amp;★原価率!$B$2:$B$50,0),5),0)</f>
        <v>100</v>
      </c>
      <c r="L458" s="528">
        <f>IFERROR(VLOOKUP(W458,★商品!$A$1:$H$1231,8,FALSE),0)</f>
        <v>2.8</v>
      </c>
      <c r="M458" s="203" t="str">
        <f ca="1">CONCATENATE(VLOOKUP(B458,★営業所!$A$2:$B$5,2,FALSE),TEXT(NOW(),"yyyy"))</f>
        <v>T2023</v>
      </c>
      <c r="N458" s="203">
        <v>1</v>
      </c>
      <c r="O458" s="203">
        <v>0</v>
      </c>
      <c r="P458" s="213">
        <f>申込書!$B$6</f>
        <v>0</v>
      </c>
      <c r="Q458" s="203">
        <f>申込書!$C$34</f>
        <v>1000040</v>
      </c>
      <c r="R458" s="203">
        <v>0</v>
      </c>
      <c r="U458" s="203">
        <f>VLOOKUP(B458,★営業所!$A$2:$C$5,3,FALSE)</f>
        <v>8</v>
      </c>
      <c r="V458" s="203">
        <f>申込書!$B$9</f>
        <v>0</v>
      </c>
      <c r="W458" s="203" t="str">
        <f>CONCATENATE(VLOOKUP(B458,★営業所!$A$2:$B$5,2,FALSE),VLOOKUP(申込書!$C$32,★サイズ表記!$D$4:$E$55,2,FALSE),VLOOKUP(D458,★折込地区!$A$2:$B$11,2,FALSE))</f>
        <v>T1001Kry</v>
      </c>
      <c r="X458" s="203" t="str">
        <f>CONCATENATE(申込書!$B$9," ",VLOOKUP(RIGHT(W458,3),★折込地区!$B$2:$C$10,2,FALSE),"")</f>
        <v xml:space="preserve"> 倉吉</v>
      </c>
      <c r="Z458" s="206">
        <f t="shared" ca="1" si="56"/>
        <v>0</v>
      </c>
      <c r="AB458" s="383">
        <f t="shared" si="57"/>
        <v>2.8</v>
      </c>
      <c r="AC458" s="203" t="str">
        <f t="shared" si="58"/>
        <v>M1001</v>
      </c>
      <c r="AD458" s="203" t="str">
        <f>VLOOKUP(AC458,★原価商品!$E$6:$F$349,2,FALSE)</f>
        <v>毎日/B4（折り無し）</v>
      </c>
      <c r="AE458" s="203">
        <f t="shared" ca="1" si="59"/>
        <v>0</v>
      </c>
      <c r="AF458" s="383">
        <f ca="1">IFERROR(IF(VLOOKUP(申込書!$C$32,★サイズ表記!$F$4:$H$55,3,FALSE)="切り捨て",ROUNDDOWN(L458*IF(AK458="◎",I458,J458)/100,2),IF(VLOOKUP(申込書!$C$32,★サイズ表記!$F$4:$H$55,3,FALSE)="切り上げ",ROUNDUP(L458*IF(AK458="◎",I458,J458)/100,2),ROUND(L458*IF(AK458="◎",I458,J458)/100,2))),0)</f>
        <v>2.52</v>
      </c>
      <c r="AG458" s="203">
        <f t="shared" ca="1" si="60"/>
        <v>10303</v>
      </c>
      <c r="AJ458" s="460" t="str">
        <f>IFERROR(VLOOKUP(申込書!$C$30,★業種!$D$2:$E$87,2,FALSE),"")</f>
        <v>1003</v>
      </c>
      <c r="AK458" s="460" t="str">
        <f ca="1">IF(申込書!$C$36="◎",IF(OR(D458="浜坂・温泉",D458="美方・村岡",D458="香住",D458="岡山",D458="大阪"),"",IF(LEFT(F458)="D","◎",IF(AG458=0,"",IFERROR(IF(VLOOKUP(AG458,★仕入先!$A$2:$C$211,3,FALSE)=0,"","◎"),"")))),"")</f>
        <v/>
      </c>
      <c r="AL458" s="460">
        <f>申込書!$H$14</f>
        <v>0</v>
      </c>
      <c r="AM458" s="460" t="str">
        <f>申込書!$C$32</f>
        <v>B4（折り無し）</v>
      </c>
      <c r="AN458" s="460" t="str">
        <f>VLOOKUP(AM458,★サイズ表記!$D$4:$E$55,2,FALSE)</f>
        <v>1001</v>
      </c>
      <c r="AO458" s="460">
        <f>IF(C458&lt;&gt;"⑧兵庫",VLOOKUP(LEFT(F458),★新聞!$A$4:$B$12,2,FALSE),IF(LEFT(F458)&lt;&gt;"S",VLOOKUP(LEFT(F458),★新聞!$A$4:$B$12,2,FALSE),VLOOKUP("X",★新聞!$A$4:$B$12,2,FALSE)))</f>
        <v>4</v>
      </c>
      <c r="AP458" s="460" t="str">
        <f t="shared" ca="1" si="61"/>
        <v>0</v>
      </c>
      <c r="AQ458" s="460" t="str">
        <f>IF(申込書!$C$38="","",申込書!$C$38)</f>
        <v/>
      </c>
    </row>
    <row r="459" spans="1:43">
      <c r="A459" s="463">
        <f t="shared" si="62"/>
        <v>458</v>
      </c>
      <c r="B459" s="463" t="str">
        <f t="shared" si="55"/>
        <v>東部</v>
      </c>
      <c r="C459" s="464" t="s">
        <v>1151</v>
      </c>
      <c r="D459" s="464" t="s">
        <v>1602</v>
      </c>
      <c r="E459" s="464">
        <f>VLOOKUP(D459,★折込地区!$A$2:$D$10,4,FALSE)</f>
        <v>2</v>
      </c>
      <c r="F459" s="464" t="s">
        <v>465</v>
      </c>
      <c r="G459" s="464" t="str">
        <f>INDEX(★新聞!$E$4:$I$12, MATCH(LEFT(F459),★新聞!$A$4:$A$12,0), MATCH(LEFT(W459),★新聞!$E$3:$I$3,0))</f>
        <v>AG</v>
      </c>
      <c r="H459" s="555" t="s">
        <v>1105</v>
      </c>
      <c r="I459" s="464" cm="1">
        <f t="array" ref="I459">IFERROR(INDEX(★原価率!$A$2:$E$50,MATCH($C459&amp;$H459,★原価率!$A$2:$A$50&amp;★原価率!$B$2:$B$50,0),3),0)</f>
        <v>78</v>
      </c>
      <c r="J459" s="464" cm="1">
        <f t="array" ref="J459">IFERROR(INDEX(★原価率!$A$2:$E$50,MATCH($C459&amp;$H459,★原価率!$A$2:$A$50&amp;★原価率!$B$2:$B$50,0),4),0)</f>
        <v>82</v>
      </c>
      <c r="K459" s="464" cm="1">
        <f t="array" ref="K459">IFERROR(INDEX(★原価率!$A$2:$E$50,MATCH($C459&amp;$H459,★原価率!$A$2:$A$50&amp;★原価率!$B$2:$B$50,0),5),0)</f>
        <v>100</v>
      </c>
      <c r="L459" s="528">
        <f>IFERROR(VLOOKUP(W459,★商品!$A$1:$H$1231,8,FALSE),0)</f>
        <v>2.8</v>
      </c>
      <c r="M459" s="203" t="str">
        <f ca="1">CONCATENATE(VLOOKUP(B459,★営業所!$A$2:$B$5,2,FALSE),TEXT(NOW(),"yyyy"))</f>
        <v>T2023</v>
      </c>
      <c r="N459" s="203">
        <v>1</v>
      </c>
      <c r="O459" s="203">
        <v>0</v>
      </c>
      <c r="P459" s="213">
        <f>申込書!$B$6</f>
        <v>0</v>
      </c>
      <c r="Q459" s="203">
        <f>申込書!$C$34</f>
        <v>1000040</v>
      </c>
      <c r="R459" s="203">
        <v>0</v>
      </c>
      <c r="U459" s="203">
        <f>VLOOKUP(B459,★営業所!$A$2:$C$5,3,FALSE)</f>
        <v>8</v>
      </c>
      <c r="V459" s="203">
        <f>申込書!$B$9</f>
        <v>0</v>
      </c>
      <c r="W459" s="203" t="str">
        <f>CONCATENATE(VLOOKUP(B459,★営業所!$A$2:$B$5,2,FALSE),VLOOKUP(申込書!$C$32,★サイズ表記!$D$4:$E$55,2,FALSE),VLOOKUP(D459,★折込地区!$A$2:$B$11,2,FALSE))</f>
        <v>T1001Kry</v>
      </c>
      <c r="X459" s="203" t="str">
        <f>CONCATENATE(申込書!$B$9," ",VLOOKUP(RIGHT(W459,3),★折込地区!$B$2:$C$10,2,FALSE),"")</f>
        <v xml:space="preserve"> 倉吉</v>
      </c>
      <c r="Z459" s="206">
        <f t="shared" ca="1" si="56"/>
        <v>0</v>
      </c>
      <c r="AB459" s="383">
        <f t="shared" si="57"/>
        <v>2.8</v>
      </c>
      <c r="AC459" s="203" t="str">
        <f t="shared" si="58"/>
        <v>M1001</v>
      </c>
      <c r="AD459" s="203" t="str">
        <f>VLOOKUP(AC459,★原価商品!$E$6:$F$349,2,FALSE)</f>
        <v>毎日/B4（折り無し）</v>
      </c>
      <c r="AE459" s="203">
        <f t="shared" ca="1" si="59"/>
        <v>0</v>
      </c>
      <c r="AF459" s="383">
        <f ca="1">IFERROR(IF(VLOOKUP(申込書!$C$32,★サイズ表記!$F$4:$H$55,3,FALSE)="切り捨て",ROUNDDOWN(L459*IF(AK459="◎",I459,J459)/100,2),IF(VLOOKUP(申込書!$C$32,★サイズ表記!$F$4:$H$55,3,FALSE)="切り上げ",ROUNDUP(L459*IF(AK459="◎",I459,J459)/100,2),ROUND(L459*IF(AK459="◎",I459,J459)/100,2))),0)</f>
        <v>2.29</v>
      </c>
      <c r="AG459" s="203">
        <f t="shared" ca="1" si="60"/>
        <v>10303</v>
      </c>
      <c r="AJ459" s="460" t="str">
        <f>IFERROR(VLOOKUP(申込書!$C$30,★業種!$D$2:$E$87,2,FALSE),"")</f>
        <v>1003</v>
      </c>
      <c r="AK459" s="460" t="str">
        <f ca="1">IF(申込書!$C$36="◎",IF(OR(D459="浜坂・温泉",D459="美方・村岡",D459="香住",D459="岡山",D459="大阪"),"",IF(LEFT(F459)="D","◎",IF(AG459=0,"",IFERROR(IF(VLOOKUP(AG459,★仕入先!$A$2:$C$211,3,FALSE)=0,"","◎"),"")))),"")</f>
        <v/>
      </c>
      <c r="AL459" s="460">
        <f>申込書!$H$14</f>
        <v>0</v>
      </c>
      <c r="AM459" s="460" t="str">
        <f>申込書!$C$32</f>
        <v>B4（折り無し）</v>
      </c>
      <c r="AN459" s="460" t="str">
        <f>VLOOKUP(AM459,★サイズ表記!$D$4:$E$55,2,FALSE)</f>
        <v>1001</v>
      </c>
      <c r="AO459" s="460">
        <f>IF(C459&lt;&gt;"⑧兵庫",VLOOKUP(LEFT(F459),★新聞!$A$4:$B$12,2,FALSE),IF(LEFT(F459)&lt;&gt;"S",VLOOKUP(LEFT(F459),★新聞!$A$4:$B$12,2,FALSE),VLOOKUP("X",★新聞!$A$4:$B$12,2,FALSE)))</f>
        <v>4</v>
      </c>
      <c r="AP459" s="460" t="str">
        <f t="shared" ca="1" si="61"/>
        <v>0</v>
      </c>
      <c r="AQ459" s="460" t="str">
        <f>IF(申込書!$C$38="","",申込書!$C$38)</f>
        <v/>
      </c>
    </row>
    <row r="460" spans="1:43">
      <c r="A460" s="463">
        <f t="shared" si="62"/>
        <v>459</v>
      </c>
      <c r="B460" s="463" t="str">
        <f t="shared" si="55"/>
        <v>東部</v>
      </c>
      <c r="C460" s="464" t="s">
        <v>1151</v>
      </c>
      <c r="D460" s="464" t="s">
        <v>1602</v>
      </c>
      <c r="E460" s="464">
        <f>VLOOKUP(D460,★折込地区!$A$2:$D$10,4,FALSE)</f>
        <v>2</v>
      </c>
      <c r="F460" s="464" t="s">
        <v>466</v>
      </c>
      <c r="G460" s="464" t="str">
        <f>INDEX(★新聞!$E$4:$I$12, MATCH(LEFT(F460),★新聞!$A$4:$A$12,0), MATCH(LEFT(W460),★新聞!$E$3:$I$3,0))</f>
        <v>AG</v>
      </c>
      <c r="H460" s="555" t="s">
        <v>1105</v>
      </c>
      <c r="I460" s="464" cm="1">
        <f t="array" ref="I460">IFERROR(INDEX(★原価率!$A$2:$E$50,MATCH($C460&amp;$H460,★原価率!$A$2:$A$50&amp;★原価率!$B$2:$B$50,0),3),0)</f>
        <v>78</v>
      </c>
      <c r="J460" s="464" cm="1">
        <f t="array" ref="J460">IFERROR(INDEX(★原価率!$A$2:$E$50,MATCH($C460&amp;$H460,★原価率!$A$2:$A$50&amp;★原価率!$B$2:$B$50,0),4),0)</f>
        <v>82</v>
      </c>
      <c r="K460" s="464" cm="1">
        <f t="array" ref="K460">IFERROR(INDEX(★原価率!$A$2:$E$50,MATCH($C460&amp;$H460,★原価率!$A$2:$A$50&amp;★原価率!$B$2:$B$50,0),5),0)</f>
        <v>100</v>
      </c>
      <c r="L460" s="528">
        <f>IFERROR(VLOOKUP(W460,★商品!$A$1:$H$1231,8,FALSE),0)</f>
        <v>2.8</v>
      </c>
      <c r="M460" s="203" t="str">
        <f ca="1">CONCATENATE(VLOOKUP(B460,★営業所!$A$2:$B$5,2,FALSE),TEXT(NOW(),"yyyy"))</f>
        <v>T2023</v>
      </c>
      <c r="N460" s="203">
        <v>1</v>
      </c>
      <c r="O460" s="203">
        <v>0</v>
      </c>
      <c r="P460" s="213">
        <f>申込書!$B$6</f>
        <v>0</v>
      </c>
      <c r="Q460" s="203">
        <f>申込書!$C$34</f>
        <v>1000040</v>
      </c>
      <c r="R460" s="203">
        <v>0</v>
      </c>
      <c r="U460" s="203">
        <f>VLOOKUP(B460,★営業所!$A$2:$C$5,3,FALSE)</f>
        <v>8</v>
      </c>
      <c r="V460" s="203">
        <f>申込書!$B$9</f>
        <v>0</v>
      </c>
      <c r="W460" s="203" t="str">
        <f>CONCATENATE(VLOOKUP(B460,★営業所!$A$2:$B$5,2,FALSE),VLOOKUP(申込書!$C$32,★サイズ表記!$D$4:$E$55,2,FALSE),VLOOKUP(D460,★折込地区!$A$2:$B$11,2,FALSE))</f>
        <v>T1001Kry</v>
      </c>
      <c r="X460" s="203" t="str">
        <f>CONCATENATE(申込書!$B$9," ",VLOOKUP(RIGHT(W460,3),★折込地区!$B$2:$C$10,2,FALSE),"")</f>
        <v xml:space="preserve"> 倉吉</v>
      </c>
      <c r="Z460" s="206">
        <f t="shared" ca="1" si="56"/>
        <v>0</v>
      </c>
      <c r="AB460" s="383">
        <f t="shared" si="57"/>
        <v>2.8</v>
      </c>
      <c r="AC460" s="203" t="str">
        <f t="shared" si="58"/>
        <v>M1001</v>
      </c>
      <c r="AD460" s="203" t="str">
        <f>VLOOKUP(AC460,★原価商品!$E$6:$F$349,2,FALSE)</f>
        <v>毎日/B4（折り無し）</v>
      </c>
      <c r="AE460" s="203">
        <f t="shared" ca="1" si="59"/>
        <v>0</v>
      </c>
      <c r="AF460" s="383">
        <f ca="1">IFERROR(IF(VLOOKUP(申込書!$C$32,★サイズ表記!$F$4:$H$55,3,FALSE)="切り捨て",ROUNDDOWN(L460*IF(AK460="◎",I460,J460)/100,2),IF(VLOOKUP(申込書!$C$32,★サイズ表記!$F$4:$H$55,3,FALSE)="切り上げ",ROUNDUP(L460*IF(AK460="◎",I460,J460)/100,2),ROUND(L460*IF(AK460="◎",I460,J460)/100,2))),0)</f>
        <v>2.29</v>
      </c>
      <c r="AG460" s="203">
        <f t="shared" ca="1" si="60"/>
        <v>10303</v>
      </c>
      <c r="AJ460" s="460" t="str">
        <f>IFERROR(VLOOKUP(申込書!$C$30,★業種!$D$2:$E$87,2,FALSE),"")</f>
        <v>1003</v>
      </c>
      <c r="AK460" s="460" t="str">
        <f ca="1">IF(申込書!$C$36="◎",IF(OR(D460="浜坂・温泉",D460="美方・村岡",D460="香住",D460="岡山",D460="大阪"),"",IF(LEFT(F460)="D","◎",IF(AG460=0,"",IFERROR(IF(VLOOKUP(AG460,★仕入先!$A$2:$C$211,3,FALSE)=0,"","◎"),"")))),"")</f>
        <v/>
      </c>
      <c r="AL460" s="460">
        <f>申込書!$H$14</f>
        <v>0</v>
      </c>
      <c r="AM460" s="460" t="str">
        <f>申込書!$C$32</f>
        <v>B4（折り無し）</v>
      </c>
      <c r="AN460" s="460" t="str">
        <f>VLOOKUP(AM460,★サイズ表記!$D$4:$E$55,2,FALSE)</f>
        <v>1001</v>
      </c>
      <c r="AO460" s="460">
        <f>IF(C460&lt;&gt;"⑧兵庫",VLOOKUP(LEFT(F460),★新聞!$A$4:$B$12,2,FALSE),IF(LEFT(F460)&lt;&gt;"S",VLOOKUP(LEFT(F460),★新聞!$A$4:$B$12,2,FALSE),VLOOKUP("X",★新聞!$A$4:$B$12,2,FALSE)))</f>
        <v>4</v>
      </c>
      <c r="AP460" s="460" t="str">
        <f t="shared" ca="1" si="61"/>
        <v>0</v>
      </c>
      <c r="AQ460" s="460" t="str">
        <f>IF(申込書!$C$38="","",申込書!$C$38)</f>
        <v/>
      </c>
    </row>
    <row r="461" spans="1:43">
      <c r="A461" s="463">
        <f t="shared" si="62"/>
        <v>460</v>
      </c>
      <c r="B461" s="463" t="str">
        <f t="shared" si="55"/>
        <v>東部</v>
      </c>
      <c r="C461" s="464" t="s">
        <v>1151</v>
      </c>
      <c r="D461" s="464" t="s">
        <v>1602</v>
      </c>
      <c r="E461" s="464">
        <f>VLOOKUP(D461,★折込地区!$A$2:$D$10,4,FALSE)</f>
        <v>2</v>
      </c>
      <c r="F461" s="464" t="s">
        <v>469</v>
      </c>
      <c r="G461" s="464" t="str">
        <f>INDEX(★新聞!$E$4:$I$12, MATCH(LEFT(F461),★新聞!$A$4:$A$12,0), MATCH(LEFT(W461),★新聞!$E$3:$I$3,0))</f>
        <v>AJ</v>
      </c>
      <c r="H461" s="475" t="s">
        <v>1153</v>
      </c>
      <c r="I461" s="464" cm="1">
        <f t="array" ref="I461">IFERROR(INDEX(★原価率!$A$2:$E$50,MATCH($C461&amp;$H461,★原価率!$A$2:$A$50&amp;★原価率!$B$2:$B$50,0),3),0)</f>
        <v>90</v>
      </c>
      <c r="J461" s="464" cm="1">
        <f t="array" ref="J461">IFERROR(INDEX(★原価率!$A$2:$E$50,MATCH($C461&amp;$H461,★原価率!$A$2:$A$50&amp;★原価率!$B$2:$B$50,0),4),0)</f>
        <v>90</v>
      </c>
      <c r="K461" s="464" cm="1">
        <f t="array" ref="K461">IFERROR(INDEX(★原価率!$A$2:$E$50,MATCH($C461&amp;$H461,★原価率!$A$2:$A$50&amp;★原価率!$B$2:$B$50,0),5),0)</f>
        <v>100</v>
      </c>
      <c r="L461" s="528">
        <f>IFERROR(VLOOKUP(W461,★商品!$A$1:$H$1231,8,FALSE),0)</f>
        <v>2.8</v>
      </c>
      <c r="M461" s="203" t="str">
        <f ca="1">CONCATENATE(VLOOKUP(B461,★営業所!$A$2:$B$5,2,FALSE),TEXT(NOW(),"yyyy"))</f>
        <v>T2023</v>
      </c>
      <c r="N461" s="203">
        <v>1</v>
      </c>
      <c r="O461" s="203">
        <v>0</v>
      </c>
      <c r="P461" s="213">
        <f>申込書!$B$6</f>
        <v>0</v>
      </c>
      <c r="Q461" s="203">
        <f>申込書!$C$34</f>
        <v>1000040</v>
      </c>
      <c r="R461" s="203">
        <v>0</v>
      </c>
      <c r="U461" s="203">
        <f>VLOOKUP(B461,★営業所!$A$2:$C$5,3,FALSE)</f>
        <v>8</v>
      </c>
      <c r="V461" s="203">
        <f>申込書!$B$9</f>
        <v>0</v>
      </c>
      <c r="W461" s="203" t="str">
        <f>CONCATENATE(VLOOKUP(B461,★営業所!$A$2:$B$5,2,FALSE),VLOOKUP(申込書!$C$32,★サイズ表記!$D$4:$E$55,2,FALSE),VLOOKUP(D461,★折込地区!$A$2:$B$11,2,FALSE))</f>
        <v>T1001Kry</v>
      </c>
      <c r="X461" s="203" t="str">
        <f>CONCATENATE(申込書!$B$9," ",VLOOKUP(RIGHT(W461,3),★折込地区!$B$2:$C$10,2,FALSE),"")</f>
        <v xml:space="preserve"> 倉吉</v>
      </c>
      <c r="Z461" s="206">
        <f t="shared" ca="1" si="56"/>
        <v>0</v>
      </c>
      <c r="AB461" s="383">
        <f t="shared" si="57"/>
        <v>2.8</v>
      </c>
      <c r="AC461" s="203" t="str">
        <f t="shared" si="58"/>
        <v>P1001</v>
      </c>
      <c r="AD461" s="203" t="str">
        <f>VLOOKUP(AC461,★原価商品!$E$6:$F$349,2,FALSE)</f>
        <v>産経/B4（折り無し）</v>
      </c>
      <c r="AE461" s="203">
        <f t="shared" ca="1" si="59"/>
        <v>0</v>
      </c>
      <c r="AF461" s="383">
        <f ca="1">IFERROR(IF(VLOOKUP(申込書!$C$32,★サイズ表記!$F$4:$H$55,3,FALSE)="切り捨て",ROUNDDOWN(L461*IF(AK461="◎",I461,J461)/100,2),IF(VLOOKUP(申込書!$C$32,★サイズ表記!$F$4:$H$55,3,FALSE)="切り上げ",ROUNDUP(L461*IF(AK461="◎",I461,J461)/100,2),ROUND(L461*IF(AK461="◎",I461,J461)/100,2))),0)</f>
        <v>2.52</v>
      </c>
      <c r="AG461" s="203">
        <f t="shared" ca="1" si="60"/>
        <v>10303</v>
      </c>
      <c r="AJ461" s="460" t="str">
        <f>IFERROR(VLOOKUP(申込書!$C$30,★業種!$D$2:$E$87,2,FALSE),"")</f>
        <v>1003</v>
      </c>
      <c r="AK461" s="460" t="str">
        <f ca="1">IF(申込書!$C$36="◎",IF(OR(D461="浜坂・温泉",D461="美方・村岡",D461="香住",D461="岡山",D461="大阪"),"",IF(LEFT(F461)="D","◎",IF(AG461=0,"",IFERROR(IF(VLOOKUP(AG461,★仕入先!$A$2:$C$211,3,FALSE)=0,"","◎"),"")))),"")</f>
        <v/>
      </c>
      <c r="AL461" s="460">
        <f>申込書!$H$14</f>
        <v>0</v>
      </c>
      <c r="AM461" s="460" t="str">
        <f>申込書!$C$32</f>
        <v>B4（折り無し）</v>
      </c>
      <c r="AN461" s="460" t="str">
        <f>VLOOKUP(AM461,★サイズ表記!$D$4:$E$55,2,FALSE)</f>
        <v>1001</v>
      </c>
      <c r="AO461" s="460">
        <f>IF(C461&lt;&gt;"⑧兵庫",VLOOKUP(LEFT(F461),★新聞!$A$4:$B$12,2,FALSE),IF(LEFT(F461)&lt;&gt;"S",VLOOKUP(LEFT(F461),★新聞!$A$4:$B$12,2,FALSE),VLOOKUP("X",★新聞!$A$4:$B$12,2,FALSE)))</f>
        <v>5</v>
      </c>
      <c r="AP461" s="460" t="str">
        <f t="shared" ca="1" si="61"/>
        <v>0</v>
      </c>
      <c r="AQ461" s="460" t="str">
        <f>IF(申込書!$C$38="","",申込書!$C$38)</f>
        <v/>
      </c>
    </row>
    <row r="462" spans="1:43">
      <c r="A462" s="463">
        <f t="shared" si="62"/>
        <v>461</v>
      </c>
      <c r="B462" s="463" t="str">
        <f t="shared" si="55"/>
        <v>東部</v>
      </c>
      <c r="C462" s="464" t="s">
        <v>1151</v>
      </c>
      <c r="D462" s="464" t="s">
        <v>1602</v>
      </c>
      <c r="E462" s="464">
        <f>VLOOKUP(D462,★折込地区!$A$2:$D$10,4,FALSE)</f>
        <v>2</v>
      </c>
      <c r="F462" s="464" t="s">
        <v>470</v>
      </c>
      <c r="G462" s="464" t="str">
        <f>INDEX(★新聞!$E$4:$I$12, MATCH(LEFT(F462),★新聞!$A$4:$A$12,0), MATCH(LEFT(W462),★新聞!$E$3:$I$3,0))</f>
        <v>AJ</v>
      </c>
      <c r="H462" s="475" t="s">
        <v>1153</v>
      </c>
      <c r="I462" s="464" cm="1">
        <f t="array" ref="I462">IFERROR(INDEX(★原価率!$A$2:$E$50,MATCH($C462&amp;$H462,★原価率!$A$2:$A$50&amp;★原価率!$B$2:$B$50,0),3),0)</f>
        <v>90</v>
      </c>
      <c r="J462" s="464" cm="1">
        <f t="array" ref="J462">IFERROR(INDEX(★原価率!$A$2:$E$50,MATCH($C462&amp;$H462,★原価率!$A$2:$A$50&amp;★原価率!$B$2:$B$50,0),4),0)</f>
        <v>90</v>
      </c>
      <c r="K462" s="464" cm="1">
        <f t="array" ref="K462">IFERROR(INDEX(★原価率!$A$2:$E$50,MATCH($C462&amp;$H462,★原価率!$A$2:$A$50&amp;★原価率!$B$2:$B$50,0),5),0)</f>
        <v>100</v>
      </c>
      <c r="L462" s="528">
        <f>IFERROR(VLOOKUP(W462,★商品!$A$1:$H$1231,8,FALSE),0)</f>
        <v>2.8</v>
      </c>
      <c r="M462" s="203" t="str">
        <f ca="1">CONCATENATE(VLOOKUP(B462,★営業所!$A$2:$B$5,2,FALSE),TEXT(NOW(),"yyyy"))</f>
        <v>T2023</v>
      </c>
      <c r="N462" s="203">
        <v>1</v>
      </c>
      <c r="O462" s="203">
        <v>0</v>
      </c>
      <c r="P462" s="213">
        <f>申込書!$B$6</f>
        <v>0</v>
      </c>
      <c r="Q462" s="203">
        <f>申込書!$C$34</f>
        <v>1000040</v>
      </c>
      <c r="R462" s="203">
        <v>0</v>
      </c>
      <c r="U462" s="203">
        <f>VLOOKUP(B462,★営業所!$A$2:$C$5,3,FALSE)</f>
        <v>8</v>
      </c>
      <c r="V462" s="203">
        <f>申込書!$B$9</f>
        <v>0</v>
      </c>
      <c r="W462" s="203" t="str">
        <f>CONCATENATE(VLOOKUP(B462,★営業所!$A$2:$B$5,2,FALSE),VLOOKUP(申込書!$C$32,★サイズ表記!$D$4:$E$55,2,FALSE),VLOOKUP(D462,★折込地区!$A$2:$B$11,2,FALSE))</f>
        <v>T1001Kry</v>
      </c>
      <c r="X462" s="203" t="str">
        <f>CONCATENATE(申込書!$B$9," ",VLOOKUP(RIGHT(W462,3),★折込地区!$B$2:$C$10,2,FALSE),"")</f>
        <v xml:space="preserve"> 倉吉</v>
      </c>
      <c r="Z462" s="206">
        <f t="shared" ca="1" si="56"/>
        <v>0</v>
      </c>
      <c r="AB462" s="383">
        <f t="shared" si="57"/>
        <v>2.8</v>
      </c>
      <c r="AC462" s="203" t="str">
        <f t="shared" si="58"/>
        <v>P1001</v>
      </c>
      <c r="AD462" s="203" t="str">
        <f>VLOOKUP(AC462,★原価商品!$E$6:$F$349,2,FALSE)</f>
        <v>産経/B4（折り無し）</v>
      </c>
      <c r="AE462" s="203">
        <f t="shared" ca="1" si="59"/>
        <v>0</v>
      </c>
      <c r="AF462" s="383">
        <f ca="1">IFERROR(IF(VLOOKUP(申込書!$C$32,★サイズ表記!$F$4:$H$55,3,FALSE)="切り捨て",ROUNDDOWN(L462*IF(AK462="◎",I462,J462)/100,2),IF(VLOOKUP(申込書!$C$32,★サイズ表記!$F$4:$H$55,3,FALSE)="切り上げ",ROUNDUP(L462*IF(AK462="◎",I462,J462)/100,2),ROUND(L462*IF(AK462="◎",I462,J462)/100,2))),0)</f>
        <v>2.52</v>
      </c>
      <c r="AG462" s="203">
        <f t="shared" ca="1" si="60"/>
        <v>10303</v>
      </c>
      <c r="AJ462" s="460" t="str">
        <f>IFERROR(VLOOKUP(申込書!$C$30,★業種!$D$2:$E$87,2,FALSE),"")</f>
        <v>1003</v>
      </c>
      <c r="AK462" s="460" t="str">
        <f ca="1">IF(申込書!$C$36="◎",IF(OR(D462="浜坂・温泉",D462="美方・村岡",D462="香住",D462="岡山",D462="大阪"),"",IF(LEFT(F462)="D","◎",IF(AG462=0,"",IFERROR(IF(VLOOKUP(AG462,★仕入先!$A$2:$C$211,3,FALSE)=0,"","◎"),"")))),"")</f>
        <v/>
      </c>
      <c r="AL462" s="460">
        <f>申込書!$H$14</f>
        <v>0</v>
      </c>
      <c r="AM462" s="460" t="str">
        <f>申込書!$C$32</f>
        <v>B4（折り無し）</v>
      </c>
      <c r="AN462" s="460" t="str">
        <f>VLOOKUP(AM462,★サイズ表記!$D$4:$E$55,2,FALSE)</f>
        <v>1001</v>
      </c>
      <c r="AO462" s="460">
        <f>IF(C462&lt;&gt;"⑧兵庫",VLOOKUP(LEFT(F462),★新聞!$A$4:$B$12,2,FALSE),IF(LEFT(F462)&lt;&gt;"S",VLOOKUP(LEFT(F462),★新聞!$A$4:$B$12,2,FALSE),VLOOKUP("X",★新聞!$A$4:$B$12,2,FALSE)))</f>
        <v>5</v>
      </c>
      <c r="AP462" s="460" t="str">
        <f t="shared" ca="1" si="61"/>
        <v>0</v>
      </c>
      <c r="AQ462" s="460" t="str">
        <f>IF(申込書!$C$38="","",申込書!$C$38)</f>
        <v/>
      </c>
    </row>
    <row r="463" spans="1:43">
      <c r="A463" s="463">
        <f t="shared" si="62"/>
        <v>462</v>
      </c>
      <c r="B463" s="463" t="str">
        <f t="shared" si="55"/>
        <v>東部</v>
      </c>
      <c r="C463" s="464" t="s">
        <v>1151</v>
      </c>
      <c r="D463" s="464" t="s">
        <v>1602</v>
      </c>
      <c r="E463" s="464">
        <f>VLOOKUP(D463,★折込地区!$A$2:$D$10,4,FALSE)</f>
        <v>2</v>
      </c>
      <c r="F463" s="464" t="s">
        <v>471</v>
      </c>
      <c r="G463" s="464" t="str">
        <f>INDEX(★新聞!$E$4:$I$12, MATCH(LEFT(F463),★新聞!$A$4:$A$12,0), MATCH(LEFT(W463),★新聞!$E$3:$I$3,0))</f>
        <v>AJ</v>
      </c>
      <c r="H463" s="475" t="s">
        <v>1104</v>
      </c>
      <c r="I463" s="464" cm="1">
        <f t="array" ref="I463">IFERROR(INDEX(★原価率!$A$2:$E$50,MATCH($C463&amp;$H463,★原価率!$A$2:$A$50&amp;★原価率!$B$2:$B$50,0),3),0)</f>
        <v>86</v>
      </c>
      <c r="J463" s="464" cm="1">
        <f t="array" ref="J463">IFERROR(INDEX(★原価率!$A$2:$E$50,MATCH($C463&amp;$H463,★原価率!$A$2:$A$50&amp;★原価率!$B$2:$B$50,0),4),0)</f>
        <v>86</v>
      </c>
      <c r="K463" s="464" cm="1">
        <f t="array" ref="K463">IFERROR(INDEX(★原価率!$A$2:$E$50,MATCH($C463&amp;$H463,★原価率!$A$2:$A$50&amp;★原価率!$B$2:$B$50,0),5),0)</f>
        <v>100</v>
      </c>
      <c r="L463" s="528">
        <f>IFERROR(VLOOKUP(W463,★商品!$A$1:$H$1231,8,FALSE),0)</f>
        <v>2.8</v>
      </c>
      <c r="M463" s="203" t="str">
        <f ca="1">CONCATENATE(VLOOKUP(B463,★営業所!$A$2:$B$5,2,FALSE),TEXT(NOW(),"yyyy"))</f>
        <v>T2023</v>
      </c>
      <c r="N463" s="203">
        <v>1</v>
      </c>
      <c r="O463" s="203">
        <v>0</v>
      </c>
      <c r="P463" s="213">
        <f>申込書!$B$6</f>
        <v>0</v>
      </c>
      <c r="Q463" s="203">
        <f>申込書!$C$34</f>
        <v>1000040</v>
      </c>
      <c r="R463" s="203">
        <v>0</v>
      </c>
      <c r="U463" s="203">
        <f>VLOOKUP(B463,★営業所!$A$2:$C$5,3,FALSE)</f>
        <v>8</v>
      </c>
      <c r="V463" s="203">
        <f>申込書!$B$9</f>
        <v>0</v>
      </c>
      <c r="W463" s="203" t="str">
        <f>CONCATENATE(VLOOKUP(B463,★営業所!$A$2:$B$5,2,FALSE),VLOOKUP(申込書!$C$32,★サイズ表記!$D$4:$E$55,2,FALSE),VLOOKUP(D463,★折込地区!$A$2:$B$11,2,FALSE))</f>
        <v>T1001Kry</v>
      </c>
      <c r="X463" s="203" t="str">
        <f>CONCATENATE(申込書!$B$9," ",VLOOKUP(RIGHT(W463,3),★折込地区!$B$2:$C$10,2,FALSE),"")</f>
        <v xml:space="preserve"> 倉吉</v>
      </c>
      <c r="Z463" s="206">
        <f t="shared" ca="1" si="56"/>
        <v>0</v>
      </c>
      <c r="AB463" s="383">
        <f t="shared" si="57"/>
        <v>2.8</v>
      </c>
      <c r="AC463" s="203" t="str">
        <f t="shared" si="58"/>
        <v>P1001</v>
      </c>
      <c r="AD463" s="203" t="str">
        <f>VLOOKUP(AC463,★原価商品!$E$6:$F$349,2,FALSE)</f>
        <v>産経/B4（折り無し）</v>
      </c>
      <c r="AE463" s="203">
        <f t="shared" ca="1" si="59"/>
        <v>0</v>
      </c>
      <c r="AF463" s="383">
        <f ca="1">IFERROR(IF(VLOOKUP(申込書!$C$32,★サイズ表記!$F$4:$H$55,3,FALSE)="切り捨て",ROUNDDOWN(L463*IF(AK463="◎",I463,J463)/100,2),IF(VLOOKUP(申込書!$C$32,★サイズ表記!$F$4:$H$55,3,FALSE)="切り上げ",ROUNDUP(L463*IF(AK463="◎",I463,J463)/100,2),ROUND(L463*IF(AK463="◎",I463,J463)/100,2))),0)</f>
        <v>2.4</v>
      </c>
      <c r="AG463" s="203">
        <f t="shared" ca="1" si="60"/>
        <v>0</v>
      </c>
      <c r="AJ463" s="460" t="str">
        <f>IFERROR(VLOOKUP(申込書!$C$30,★業種!$D$2:$E$87,2,FALSE),"")</f>
        <v>1003</v>
      </c>
      <c r="AK463" s="460" t="str">
        <f ca="1">IF(申込書!$C$36="◎",IF(OR(D463="浜坂・温泉",D463="美方・村岡",D463="香住",D463="岡山",D463="大阪"),"",IF(LEFT(F463)="D","◎",IF(AG463=0,"",IFERROR(IF(VLOOKUP(AG463,★仕入先!$A$2:$C$211,3,FALSE)=0,"","◎"),"")))),"")</f>
        <v/>
      </c>
      <c r="AL463" s="460">
        <f>申込書!$H$14</f>
        <v>0</v>
      </c>
      <c r="AM463" s="460" t="str">
        <f>申込書!$C$32</f>
        <v>B4（折り無し）</v>
      </c>
      <c r="AN463" s="460" t="str">
        <f>VLOOKUP(AM463,★サイズ表記!$D$4:$E$55,2,FALSE)</f>
        <v>1001</v>
      </c>
      <c r="AO463" s="460">
        <f>IF(C463&lt;&gt;"⑧兵庫",VLOOKUP(LEFT(F463),★新聞!$A$4:$B$12,2,FALSE),IF(LEFT(F463)&lt;&gt;"S",VLOOKUP(LEFT(F463),★新聞!$A$4:$B$12,2,FALSE),VLOOKUP("X",★新聞!$A$4:$B$12,2,FALSE)))</f>
        <v>5</v>
      </c>
      <c r="AP463" s="460" t="str">
        <f t="shared" ca="1" si="61"/>
        <v>0</v>
      </c>
      <c r="AQ463" s="460" t="str">
        <f>IF(申込書!$C$38="","",申込書!$C$38)</f>
        <v/>
      </c>
    </row>
    <row r="464" spans="1:43">
      <c r="A464" s="463">
        <f t="shared" si="62"/>
        <v>463</v>
      </c>
      <c r="B464" s="463" t="str">
        <f t="shared" si="55"/>
        <v>東部</v>
      </c>
      <c r="C464" s="464" t="s">
        <v>1151</v>
      </c>
      <c r="D464" s="464" t="s">
        <v>1602</v>
      </c>
      <c r="E464" s="464">
        <f>VLOOKUP(D464,★折込地区!$A$2:$D$10,4,FALSE)</f>
        <v>2</v>
      </c>
      <c r="F464" s="464" t="s">
        <v>472</v>
      </c>
      <c r="G464" s="464" t="str">
        <f>INDEX(★新聞!$E$4:$I$12, MATCH(LEFT(F464),★新聞!$A$4:$A$12,0), MATCH(LEFT(W464),★新聞!$E$3:$I$3,0))</f>
        <v>AJ</v>
      </c>
      <c r="H464" s="475" t="s">
        <v>1104</v>
      </c>
      <c r="I464" s="464" cm="1">
        <f t="array" ref="I464">IFERROR(INDEX(★原価率!$A$2:$E$50,MATCH($C464&amp;$H464,★原価率!$A$2:$A$50&amp;★原価率!$B$2:$B$50,0),3),0)</f>
        <v>86</v>
      </c>
      <c r="J464" s="464" cm="1">
        <f t="array" ref="J464">IFERROR(INDEX(★原価率!$A$2:$E$50,MATCH($C464&amp;$H464,★原価率!$A$2:$A$50&amp;★原価率!$B$2:$B$50,0),4),0)</f>
        <v>86</v>
      </c>
      <c r="K464" s="464" cm="1">
        <f t="array" ref="K464">IFERROR(INDEX(★原価率!$A$2:$E$50,MATCH($C464&amp;$H464,★原価率!$A$2:$A$50&amp;★原価率!$B$2:$B$50,0),5),0)</f>
        <v>100</v>
      </c>
      <c r="L464" s="528">
        <f>IFERROR(VLOOKUP(W464,★商品!$A$1:$H$1231,8,FALSE),0)</f>
        <v>2.8</v>
      </c>
      <c r="M464" s="203" t="str">
        <f ca="1">CONCATENATE(VLOOKUP(B464,★営業所!$A$2:$B$5,2,FALSE),TEXT(NOW(),"yyyy"))</f>
        <v>T2023</v>
      </c>
      <c r="N464" s="203">
        <v>1</v>
      </c>
      <c r="O464" s="203">
        <v>0</v>
      </c>
      <c r="P464" s="213">
        <f>申込書!$B$6</f>
        <v>0</v>
      </c>
      <c r="Q464" s="203">
        <f>申込書!$C$34</f>
        <v>1000040</v>
      </c>
      <c r="R464" s="203">
        <v>0</v>
      </c>
      <c r="U464" s="203">
        <f>VLOOKUP(B464,★営業所!$A$2:$C$5,3,FALSE)</f>
        <v>8</v>
      </c>
      <c r="V464" s="203">
        <f>申込書!$B$9</f>
        <v>0</v>
      </c>
      <c r="W464" s="203" t="str">
        <f>CONCATENATE(VLOOKUP(B464,★営業所!$A$2:$B$5,2,FALSE),VLOOKUP(申込書!$C$32,★サイズ表記!$D$4:$E$55,2,FALSE),VLOOKUP(D464,★折込地区!$A$2:$B$11,2,FALSE))</f>
        <v>T1001Kry</v>
      </c>
      <c r="X464" s="203" t="str">
        <f>CONCATENATE(申込書!$B$9," ",VLOOKUP(RIGHT(W464,3),★折込地区!$B$2:$C$10,2,FALSE),"")</f>
        <v xml:space="preserve"> 倉吉</v>
      </c>
      <c r="Z464" s="206">
        <f t="shared" ca="1" si="56"/>
        <v>0</v>
      </c>
      <c r="AB464" s="383">
        <f t="shared" si="57"/>
        <v>2.8</v>
      </c>
      <c r="AC464" s="203" t="str">
        <f t="shared" si="58"/>
        <v>P1001</v>
      </c>
      <c r="AD464" s="203" t="str">
        <f>VLOOKUP(AC464,★原価商品!$E$6:$F$349,2,FALSE)</f>
        <v>産経/B4（折り無し）</v>
      </c>
      <c r="AE464" s="203">
        <f t="shared" ca="1" si="59"/>
        <v>0</v>
      </c>
      <c r="AF464" s="383">
        <f ca="1">IFERROR(IF(VLOOKUP(申込書!$C$32,★サイズ表記!$F$4:$H$55,3,FALSE)="切り捨て",ROUNDDOWN(L464*IF(AK464="◎",I464,J464)/100,2),IF(VLOOKUP(申込書!$C$32,★サイズ表記!$F$4:$H$55,3,FALSE)="切り上げ",ROUNDUP(L464*IF(AK464="◎",I464,J464)/100,2),ROUND(L464*IF(AK464="◎",I464,J464)/100,2))),0)</f>
        <v>2.4</v>
      </c>
      <c r="AG464" s="203">
        <f t="shared" ca="1" si="60"/>
        <v>0</v>
      </c>
      <c r="AJ464" s="460" t="str">
        <f>IFERROR(VLOOKUP(申込書!$C$30,★業種!$D$2:$E$87,2,FALSE),"")</f>
        <v>1003</v>
      </c>
      <c r="AK464" s="460" t="str">
        <f ca="1">IF(申込書!$C$36="◎",IF(OR(D464="浜坂・温泉",D464="美方・村岡",D464="香住",D464="岡山",D464="大阪"),"",IF(LEFT(F464)="D","◎",IF(AG464=0,"",IFERROR(IF(VLOOKUP(AG464,★仕入先!$A$2:$C$211,3,FALSE)=0,"","◎"),"")))),"")</f>
        <v/>
      </c>
      <c r="AL464" s="460">
        <f>申込書!$H$14</f>
        <v>0</v>
      </c>
      <c r="AM464" s="460" t="str">
        <f>申込書!$C$32</f>
        <v>B4（折り無し）</v>
      </c>
      <c r="AN464" s="460" t="str">
        <f>VLOOKUP(AM464,★サイズ表記!$D$4:$E$55,2,FALSE)</f>
        <v>1001</v>
      </c>
      <c r="AO464" s="460">
        <f>IF(C464&lt;&gt;"⑧兵庫",VLOOKUP(LEFT(F464),★新聞!$A$4:$B$12,2,FALSE),IF(LEFT(F464)&lt;&gt;"S",VLOOKUP(LEFT(F464),★新聞!$A$4:$B$12,2,FALSE),VLOOKUP("X",★新聞!$A$4:$B$12,2,FALSE)))</f>
        <v>5</v>
      </c>
      <c r="AP464" s="460" t="str">
        <f t="shared" ca="1" si="61"/>
        <v>0</v>
      </c>
      <c r="AQ464" s="460" t="str">
        <f>IF(申込書!$C$38="","",申込書!$C$38)</f>
        <v/>
      </c>
    </row>
    <row r="465" spans="1:43">
      <c r="A465" s="463">
        <f t="shared" si="62"/>
        <v>464</v>
      </c>
      <c r="B465" s="463" t="str">
        <f t="shared" si="55"/>
        <v>東部</v>
      </c>
      <c r="C465" s="464" t="s">
        <v>1151</v>
      </c>
      <c r="D465" s="464" t="s">
        <v>1602</v>
      </c>
      <c r="E465" s="464">
        <f>VLOOKUP(D465,★折込地区!$A$2:$D$10,4,FALSE)</f>
        <v>2</v>
      </c>
      <c r="F465" s="464" t="s">
        <v>473</v>
      </c>
      <c r="G465" s="464" t="str">
        <f>INDEX(★新聞!$E$4:$I$12, MATCH(LEFT(F465),★新聞!$A$4:$A$12,0), MATCH(LEFT(W465),★新聞!$E$3:$I$3,0))</f>
        <v>AJ</v>
      </c>
      <c r="H465" s="475" t="s">
        <v>1104</v>
      </c>
      <c r="I465" s="464" cm="1">
        <f t="array" ref="I465">IFERROR(INDEX(★原価率!$A$2:$E$50,MATCH($C465&amp;$H465,★原価率!$A$2:$A$50&amp;★原価率!$B$2:$B$50,0),3),0)</f>
        <v>86</v>
      </c>
      <c r="J465" s="464" cm="1">
        <f t="array" ref="J465">IFERROR(INDEX(★原価率!$A$2:$E$50,MATCH($C465&amp;$H465,★原価率!$A$2:$A$50&amp;★原価率!$B$2:$B$50,0),4),0)</f>
        <v>86</v>
      </c>
      <c r="K465" s="464" cm="1">
        <f t="array" ref="K465">IFERROR(INDEX(★原価率!$A$2:$E$50,MATCH($C465&amp;$H465,★原価率!$A$2:$A$50&amp;★原価率!$B$2:$B$50,0),5),0)</f>
        <v>100</v>
      </c>
      <c r="L465" s="528">
        <f>IFERROR(VLOOKUP(W465,★商品!$A$1:$H$1231,8,FALSE),0)</f>
        <v>2.8</v>
      </c>
      <c r="M465" s="203" t="str">
        <f ca="1">CONCATENATE(VLOOKUP(B465,★営業所!$A$2:$B$5,2,FALSE),TEXT(NOW(),"yyyy"))</f>
        <v>T2023</v>
      </c>
      <c r="N465" s="203">
        <v>1</v>
      </c>
      <c r="O465" s="203">
        <v>0</v>
      </c>
      <c r="P465" s="213">
        <f>申込書!$B$6</f>
        <v>0</v>
      </c>
      <c r="Q465" s="203">
        <f>申込書!$C$34</f>
        <v>1000040</v>
      </c>
      <c r="R465" s="203">
        <v>0</v>
      </c>
      <c r="U465" s="203">
        <f>VLOOKUP(B465,★営業所!$A$2:$C$5,3,FALSE)</f>
        <v>8</v>
      </c>
      <c r="V465" s="203">
        <f>申込書!$B$9</f>
        <v>0</v>
      </c>
      <c r="W465" s="203" t="str">
        <f>CONCATENATE(VLOOKUP(B465,★営業所!$A$2:$B$5,2,FALSE),VLOOKUP(申込書!$C$32,★サイズ表記!$D$4:$E$55,2,FALSE),VLOOKUP(D465,★折込地区!$A$2:$B$11,2,FALSE))</f>
        <v>T1001Kry</v>
      </c>
      <c r="X465" s="203" t="str">
        <f>CONCATENATE(申込書!$B$9," ",VLOOKUP(RIGHT(W465,3),★折込地区!$B$2:$C$10,2,FALSE),"")</f>
        <v xml:space="preserve"> 倉吉</v>
      </c>
      <c r="Z465" s="206">
        <f t="shared" ca="1" si="56"/>
        <v>0</v>
      </c>
      <c r="AB465" s="383">
        <f t="shared" si="57"/>
        <v>2.8</v>
      </c>
      <c r="AC465" s="203" t="str">
        <f t="shared" si="58"/>
        <v>P1001</v>
      </c>
      <c r="AD465" s="203" t="str">
        <f>VLOOKUP(AC465,★原価商品!$E$6:$F$349,2,FALSE)</f>
        <v>産経/B4（折り無し）</v>
      </c>
      <c r="AE465" s="203">
        <f t="shared" ca="1" si="59"/>
        <v>0</v>
      </c>
      <c r="AF465" s="383">
        <f ca="1">IFERROR(IF(VLOOKUP(申込書!$C$32,★サイズ表記!$F$4:$H$55,3,FALSE)="切り捨て",ROUNDDOWN(L465*IF(AK465="◎",I465,J465)/100,2),IF(VLOOKUP(申込書!$C$32,★サイズ表記!$F$4:$H$55,3,FALSE)="切り上げ",ROUNDUP(L465*IF(AK465="◎",I465,J465)/100,2),ROUND(L465*IF(AK465="◎",I465,J465)/100,2))),0)</f>
        <v>2.4</v>
      </c>
      <c r="AG465" s="203">
        <f t="shared" ca="1" si="60"/>
        <v>0</v>
      </c>
      <c r="AJ465" s="460" t="str">
        <f>IFERROR(VLOOKUP(申込書!$C$30,★業種!$D$2:$E$87,2,FALSE),"")</f>
        <v>1003</v>
      </c>
      <c r="AK465" s="460" t="str">
        <f ca="1">IF(申込書!$C$36="◎",IF(OR(D465="浜坂・温泉",D465="美方・村岡",D465="香住",D465="岡山",D465="大阪"),"",IF(LEFT(F465)="D","◎",IF(AG465=0,"",IFERROR(IF(VLOOKUP(AG465,★仕入先!$A$2:$C$211,3,FALSE)=0,"","◎"),"")))),"")</f>
        <v/>
      </c>
      <c r="AL465" s="460">
        <f>申込書!$H$14</f>
        <v>0</v>
      </c>
      <c r="AM465" s="460" t="str">
        <f>申込書!$C$32</f>
        <v>B4（折り無し）</v>
      </c>
      <c r="AN465" s="460" t="str">
        <f>VLOOKUP(AM465,★サイズ表記!$D$4:$E$55,2,FALSE)</f>
        <v>1001</v>
      </c>
      <c r="AO465" s="460">
        <f>IF(C465&lt;&gt;"⑧兵庫",VLOOKUP(LEFT(F465),★新聞!$A$4:$B$12,2,FALSE),IF(LEFT(F465)&lt;&gt;"S",VLOOKUP(LEFT(F465),★新聞!$A$4:$B$12,2,FALSE),VLOOKUP("X",★新聞!$A$4:$B$12,2,FALSE)))</f>
        <v>5</v>
      </c>
      <c r="AP465" s="460" t="str">
        <f t="shared" ca="1" si="61"/>
        <v>0</v>
      </c>
      <c r="AQ465" s="460" t="str">
        <f>IF(申込書!$C$38="","",申込書!$C$38)</f>
        <v/>
      </c>
    </row>
    <row r="466" spans="1:43">
      <c r="A466" s="463">
        <f t="shared" si="62"/>
        <v>465</v>
      </c>
      <c r="B466" s="463" t="str">
        <f t="shared" si="55"/>
        <v>東部</v>
      </c>
      <c r="C466" s="464" t="s">
        <v>1151</v>
      </c>
      <c r="D466" s="464" t="s">
        <v>1602</v>
      </c>
      <c r="E466" s="464">
        <f>VLOOKUP(D466,★折込地区!$A$2:$D$10,4,FALSE)</f>
        <v>2</v>
      </c>
      <c r="F466" s="464" t="s">
        <v>474</v>
      </c>
      <c r="G466" s="464" t="str">
        <f>INDEX(★新聞!$E$4:$I$12, MATCH(LEFT(F466),★新聞!$A$4:$A$12,0), MATCH(LEFT(W466),★新聞!$E$3:$I$3,0))</f>
        <v>AJ</v>
      </c>
      <c r="H466" s="475" t="s">
        <v>1153</v>
      </c>
      <c r="I466" s="464" cm="1">
        <f t="array" ref="I466">IFERROR(INDEX(★原価率!$A$2:$E$50,MATCH($C466&amp;$H466,★原価率!$A$2:$A$50&amp;★原価率!$B$2:$B$50,0),3),0)</f>
        <v>90</v>
      </c>
      <c r="J466" s="464" cm="1">
        <f t="array" ref="J466">IFERROR(INDEX(★原価率!$A$2:$E$50,MATCH($C466&amp;$H466,★原価率!$A$2:$A$50&amp;★原価率!$B$2:$B$50,0),4),0)</f>
        <v>90</v>
      </c>
      <c r="K466" s="464" cm="1">
        <f t="array" ref="K466">IFERROR(INDEX(★原価率!$A$2:$E$50,MATCH($C466&amp;$H466,★原価率!$A$2:$A$50&amp;★原価率!$B$2:$B$50,0),5),0)</f>
        <v>100</v>
      </c>
      <c r="L466" s="528">
        <f>IFERROR(VLOOKUP(W466,★商品!$A$1:$H$1231,8,FALSE),0)</f>
        <v>2.8</v>
      </c>
      <c r="M466" s="203" t="str">
        <f ca="1">CONCATENATE(VLOOKUP(B466,★営業所!$A$2:$B$5,2,FALSE),TEXT(NOW(),"yyyy"))</f>
        <v>T2023</v>
      </c>
      <c r="N466" s="203">
        <v>1</v>
      </c>
      <c r="O466" s="203">
        <v>0</v>
      </c>
      <c r="P466" s="213">
        <f>申込書!$B$6</f>
        <v>0</v>
      </c>
      <c r="Q466" s="203">
        <f>申込書!$C$34</f>
        <v>1000040</v>
      </c>
      <c r="R466" s="203">
        <v>0</v>
      </c>
      <c r="U466" s="203">
        <f>VLOOKUP(B466,★営業所!$A$2:$C$5,3,FALSE)</f>
        <v>8</v>
      </c>
      <c r="V466" s="203">
        <f>申込書!$B$9</f>
        <v>0</v>
      </c>
      <c r="W466" s="203" t="str">
        <f>CONCATENATE(VLOOKUP(B466,★営業所!$A$2:$B$5,2,FALSE),VLOOKUP(申込書!$C$32,★サイズ表記!$D$4:$E$55,2,FALSE),VLOOKUP(D466,★折込地区!$A$2:$B$11,2,FALSE))</f>
        <v>T1001Kry</v>
      </c>
      <c r="X466" s="203" t="str">
        <f>CONCATENATE(申込書!$B$9," ",VLOOKUP(RIGHT(W466,3),★折込地区!$B$2:$C$10,2,FALSE),"")</f>
        <v xml:space="preserve"> 倉吉</v>
      </c>
      <c r="Z466" s="206">
        <f t="shared" ca="1" si="56"/>
        <v>0</v>
      </c>
      <c r="AB466" s="383">
        <f t="shared" si="57"/>
        <v>2.8</v>
      </c>
      <c r="AC466" s="203" t="str">
        <f t="shared" si="58"/>
        <v>P1001</v>
      </c>
      <c r="AD466" s="203" t="str">
        <f>VLOOKUP(AC466,★原価商品!$E$6:$F$349,2,FALSE)</f>
        <v>産経/B4（折り無し）</v>
      </c>
      <c r="AE466" s="203">
        <f t="shared" ca="1" si="59"/>
        <v>0</v>
      </c>
      <c r="AF466" s="383">
        <f ca="1">IFERROR(IF(VLOOKUP(申込書!$C$32,★サイズ表記!$F$4:$H$55,3,FALSE)="切り捨て",ROUNDDOWN(L466*IF(AK466="◎",I466,J466)/100,2),IF(VLOOKUP(申込書!$C$32,★サイズ表記!$F$4:$H$55,3,FALSE)="切り上げ",ROUNDUP(L466*IF(AK466="◎",I466,J466)/100,2),ROUND(L466*IF(AK466="◎",I466,J466)/100,2))),0)</f>
        <v>2.52</v>
      </c>
      <c r="AG466" s="203">
        <f t="shared" ca="1" si="60"/>
        <v>10303</v>
      </c>
      <c r="AJ466" s="460" t="str">
        <f>IFERROR(VLOOKUP(申込書!$C$30,★業種!$D$2:$E$87,2,FALSE),"")</f>
        <v>1003</v>
      </c>
      <c r="AK466" s="460" t="str">
        <f ca="1">IF(申込書!$C$36="◎",IF(OR(D466="浜坂・温泉",D466="美方・村岡",D466="香住",D466="岡山",D466="大阪"),"",IF(LEFT(F466)="D","◎",IF(AG466=0,"",IFERROR(IF(VLOOKUP(AG466,★仕入先!$A$2:$C$211,3,FALSE)=0,"","◎"),"")))),"")</f>
        <v/>
      </c>
      <c r="AL466" s="460">
        <f>申込書!$H$14</f>
        <v>0</v>
      </c>
      <c r="AM466" s="460" t="str">
        <f>申込書!$C$32</f>
        <v>B4（折り無し）</v>
      </c>
      <c r="AN466" s="460" t="str">
        <f>VLOOKUP(AM466,★サイズ表記!$D$4:$E$55,2,FALSE)</f>
        <v>1001</v>
      </c>
      <c r="AO466" s="460">
        <f>IF(C466&lt;&gt;"⑧兵庫",VLOOKUP(LEFT(F466),★新聞!$A$4:$B$12,2,FALSE),IF(LEFT(F466)&lt;&gt;"S",VLOOKUP(LEFT(F466),★新聞!$A$4:$B$12,2,FALSE),VLOOKUP("X",★新聞!$A$4:$B$12,2,FALSE)))</f>
        <v>5</v>
      </c>
      <c r="AP466" s="460" t="str">
        <f t="shared" ca="1" si="61"/>
        <v>0</v>
      </c>
      <c r="AQ466" s="460" t="str">
        <f>IF(申込書!$C$38="","",申込書!$C$38)</f>
        <v/>
      </c>
    </row>
    <row r="467" spans="1:43">
      <c r="A467" s="463">
        <f t="shared" si="62"/>
        <v>466</v>
      </c>
      <c r="B467" s="463" t="str">
        <f t="shared" si="55"/>
        <v>東部</v>
      </c>
      <c r="C467" s="464" t="s">
        <v>1151</v>
      </c>
      <c r="D467" s="464" t="s">
        <v>1602</v>
      </c>
      <c r="E467" s="464">
        <f>VLOOKUP(D467,★折込地区!$A$2:$D$10,4,FALSE)</f>
        <v>2</v>
      </c>
      <c r="F467" s="464" t="s">
        <v>475</v>
      </c>
      <c r="G467" s="464" t="str">
        <f>INDEX(★新聞!$E$4:$I$12, MATCH(LEFT(F467),★新聞!$A$4:$A$12,0), MATCH(LEFT(W467),★新聞!$E$3:$I$3,0))</f>
        <v>AJ</v>
      </c>
      <c r="H467" s="475" t="s">
        <v>1107</v>
      </c>
      <c r="I467" s="464" cm="1">
        <f t="array" ref="I467">IFERROR(INDEX(★原価率!$A$2:$E$50,MATCH($C467&amp;$H467,★原価率!$A$2:$A$50&amp;★原価率!$B$2:$B$50,0),3),0)</f>
        <v>82</v>
      </c>
      <c r="J467" s="464" cm="1">
        <f t="array" ref="J467">IFERROR(INDEX(★原価率!$A$2:$E$50,MATCH($C467&amp;$H467,★原価率!$A$2:$A$50&amp;★原価率!$B$2:$B$50,0),4),0)</f>
        <v>82</v>
      </c>
      <c r="K467" s="464" cm="1">
        <f t="array" ref="K467">IFERROR(INDEX(★原価率!$A$2:$E$50,MATCH($C467&amp;$H467,★原価率!$A$2:$A$50&amp;★原価率!$B$2:$B$50,0),5),0)</f>
        <v>100</v>
      </c>
      <c r="L467" s="528">
        <f>IFERROR(VLOOKUP(W467,★商品!$A$1:$H$1231,8,FALSE),0)</f>
        <v>2.8</v>
      </c>
      <c r="M467" s="203" t="str">
        <f ca="1">CONCATENATE(VLOOKUP(B467,★営業所!$A$2:$B$5,2,FALSE),TEXT(NOW(),"yyyy"))</f>
        <v>T2023</v>
      </c>
      <c r="N467" s="203">
        <v>1</v>
      </c>
      <c r="O467" s="203">
        <v>0</v>
      </c>
      <c r="P467" s="213">
        <f>申込書!$B$6</f>
        <v>0</v>
      </c>
      <c r="Q467" s="203">
        <f>申込書!$C$34</f>
        <v>1000040</v>
      </c>
      <c r="R467" s="203">
        <v>0</v>
      </c>
      <c r="U467" s="203">
        <f>VLOOKUP(B467,★営業所!$A$2:$C$5,3,FALSE)</f>
        <v>8</v>
      </c>
      <c r="V467" s="203">
        <f>申込書!$B$9</f>
        <v>0</v>
      </c>
      <c r="W467" s="203" t="str">
        <f>CONCATENATE(VLOOKUP(B467,★営業所!$A$2:$B$5,2,FALSE),VLOOKUP(申込書!$C$32,★サイズ表記!$D$4:$E$55,2,FALSE),VLOOKUP(D467,★折込地区!$A$2:$B$11,2,FALSE))</f>
        <v>T1001Kry</v>
      </c>
      <c r="X467" s="203" t="str">
        <f>CONCATENATE(申込書!$B$9," ",VLOOKUP(RIGHT(W467,3),★折込地区!$B$2:$C$10,2,FALSE),"")</f>
        <v xml:space="preserve"> 倉吉</v>
      </c>
      <c r="Z467" s="206">
        <f t="shared" ca="1" si="56"/>
        <v>0</v>
      </c>
      <c r="AB467" s="383">
        <f t="shared" si="57"/>
        <v>2.8</v>
      </c>
      <c r="AC467" s="203" t="str">
        <f t="shared" si="58"/>
        <v>P1001</v>
      </c>
      <c r="AD467" s="203" t="str">
        <f>VLOOKUP(AC467,★原価商品!$E$6:$F$349,2,FALSE)</f>
        <v>産経/B4（折り無し）</v>
      </c>
      <c r="AE467" s="203">
        <f t="shared" ca="1" si="59"/>
        <v>0</v>
      </c>
      <c r="AF467" s="383">
        <f ca="1">IFERROR(IF(VLOOKUP(申込書!$C$32,★サイズ表記!$F$4:$H$55,3,FALSE)="切り捨て",ROUNDDOWN(L467*IF(AK467="◎",I467,J467)/100,2),IF(VLOOKUP(申込書!$C$32,★サイズ表記!$F$4:$H$55,3,FALSE)="切り上げ",ROUNDUP(L467*IF(AK467="◎",I467,J467)/100,2),ROUND(L467*IF(AK467="◎",I467,J467)/100,2))),0)</f>
        <v>2.29</v>
      </c>
      <c r="AG467" s="203">
        <f t="shared" ca="1" si="60"/>
        <v>0</v>
      </c>
      <c r="AJ467" s="460" t="str">
        <f>IFERROR(VLOOKUP(申込書!$C$30,★業種!$D$2:$E$87,2,FALSE),"")</f>
        <v>1003</v>
      </c>
      <c r="AK467" s="460" t="str">
        <f ca="1">IF(申込書!$C$36="◎",IF(OR(D467="浜坂・温泉",D467="美方・村岡",D467="香住",D467="岡山",D467="大阪"),"",IF(LEFT(F467)="D","◎",IF(AG467=0,"",IFERROR(IF(VLOOKUP(AG467,★仕入先!$A$2:$C$211,3,FALSE)=0,"","◎"),"")))),"")</f>
        <v/>
      </c>
      <c r="AL467" s="460">
        <f>申込書!$H$14</f>
        <v>0</v>
      </c>
      <c r="AM467" s="460" t="str">
        <f>申込書!$C$32</f>
        <v>B4（折り無し）</v>
      </c>
      <c r="AN467" s="460" t="str">
        <f>VLOOKUP(AM467,★サイズ表記!$D$4:$E$55,2,FALSE)</f>
        <v>1001</v>
      </c>
      <c r="AO467" s="460">
        <f>IF(C467&lt;&gt;"⑧兵庫",VLOOKUP(LEFT(F467),★新聞!$A$4:$B$12,2,FALSE),IF(LEFT(F467)&lt;&gt;"S",VLOOKUP(LEFT(F467),★新聞!$A$4:$B$12,2,FALSE),VLOOKUP("X",★新聞!$A$4:$B$12,2,FALSE)))</f>
        <v>5</v>
      </c>
      <c r="AP467" s="460" t="str">
        <f t="shared" ca="1" si="61"/>
        <v>0</v>
      </c>
      <c r="AQ467" s="460" t="str">
        <f>IF(申込書!$C$38="","",申込書!$C$38)</f>
        <v/>
      </c>
    </row>
    <row r="468" spans="1:43">
      <c r="A468" s="463">
        <f t="shared" si="62"/>
        <v>467</v>
      </c>
      <c r="B468" s="463" t="str">
        <f t="shared" si="55"/>
        <v>東部</v>
      </c>
      <c r="C468" s="464" t="s">
        <v>1151</v>
      </c>
      <c r="D468" s="464" t="s">
        <v>1602</v>
      </c>
      <c r="E468" s="464">
        <f>VLOOKUP(D468,★折込地区!$A$2:$D$10,4,FALSE)</f>
        <v>2</v>
      </c>
      <c r="F468" s="464" t="s">
        <v>479</v>
      </c>
      <c r="G468" s="464" t="str">
        <f>INDEX(★新聞!$E$4:$I$12, MATCH(LEFT(F468),★新聞!$A$4:$A$12,0), MATCH(LEFT(W468),★新聞!$E$3:$I$3,0))</f>
        <v>AJ</v>
      </c>
      <c r="H468" s="475" t="s">
        <v>1153</v>
      </c>
      <c r="I468" s="464" cm="1">
        <f t="array" ref="I468">IFERROR(INDEX(★原価率!$A$2:$E$50,MATCH($C468&amp;$H468,★原価率!$A$2:$A$50&amp;★原価率!$B$2:$B$50,0),3),0)</f>
        <v>90</v>
      </c>
      <c r="J468" s="464" cm="1">
        <f t="array" ref="J468">IFERROR(INDEX(★原価率!$A$2:$E$50,MATCH($C468&amp;$H468,★原価率!$A$2:$A$50&amp;★原価率!$B$2:$B$50,0),4),0)</f>
        <v>90</v>
      </c>
      <c r="K468" s="464" cm="1">
        <f t="array" ref="K468">IFERROR(INDEX(★原価率!$A$2:$E$50,MATCH($C468&amp;$H468,★原価率!$A$2:$A$50&amp;★原価率!$B$2:$B$50,0),5),0)</f>
        <v>100</v>
      </c>
      <c r="L468" s="528">
        <f>IFERROR(VLOOKUP(W468,★商品!$A$1:$H$1231,8,FALSE),0)</f>
        <v>2.8</v>
      </c>
      <c r="M468" s="203" t="str">
        <f ca="1">CONCATENATE(VLOOKUP(B468,★営業所!$A$2:$B$5,2,FALSE),TEXT(NOW(),"yyyy"))</f>
        <v>T2023</v>
      </c>
      <c r="N468" s="203">
        <v>1</v>
      </c>
      <c r="O468" s="203">
        <v>0</v>
      </c>
      <c r="P468" s="213">
        <f>申込書!$B$6</f>
        <v>0</v>
      </c>
      <c r="Q468" s="203">
        <f>申込書!$C$34</f>
        <v>1000040</v>
      </c>
      <c r="R468" s="203">
        <v>0</v>
      </c>
      <c r="U468" s="203">
        <f>VLOOKUP(B468,★営業所!$A$2:$C$5,3,FALSE)</f>
        <v>8</v>
      </c>
      <c r="V468" s="203">
        <f>申込書!$B$9</f>
        <v>0</v>
      </c>
      <c r="W468" s="203" t="str">
        <f>CONCATENATE(VLOOKUP(B468,★営業所!$A$2:$B$5,2,FALSE),VLOOKUP(申込書!$C$32,★サイズ表記!$D$4:$E$55,2,FALSE),VLOOKUP(D468,★折込地区!$A$2:$B$11,2,FALSE))</f>
        <v>T1001Kry</v>
      </c>
      <c r="X468" s="203" t="str">
        <f>CONCATENATE(申込書!$B$9," ",VLOOKUP(RIGHT(W468,3),★折込地区!$B$2:$C$10,2,FALSE),"")</f>
        <v xml:space="preserve"> 倉吉</v>
      </c>
      <c r="Z468" s="206">
        <f t="shared" ca="1" si="56"/>
        <v>0</v>
      </c>
      <c r="AB468" s="383">
        <f t="shared" si="57"/>
        <v>2.8</v>
      </c>
      <c r="AC468" s="203" t="str">
        <f t="shared" si="58"/>
        <v>P1001</v>
      </c>
      <c r="AD468" s="203" t="str">
        <f>VLOOKUP(AC468,★原価商品!$E$6:$F$349,2,FALSE)</f>
        <v>産経/B4（折り無し）</v>
      </c>
      <c r="AE468" s="203">
        <f t="shared" ca="1" si="59"/>
        <v>0</v>
      </c>
      <c r="AF468" s="383">
        <f ca="1">IFERROR(IF(VLOOKUP(申込書!$C$32,★サイズ表記!$F$4:$H$55,3,FALSE)="切り捨て",ROUNDDOWN(L468*IF(AK468="◎",I468,J468)/100,2),IF(VLOOKUP(申込書!$C$32,★サイズ表記!$F$4:$H$55,3,FALSE)="切り上げ",ROUNDUP(L468*IF(AK468="◎",I468,J468)/100,2),ROUND(L468*IF(AK468="◎",I468,J468)/100,2))),0)</f>
        <v>2.52</v>
      </c>
      <c r="AG468" s="203">
        <f t="shared" ca="1" si="60"/>
        <v>10303</v>
      </c>
      <c r="AJ468" s="460" t="str">
        <f>IFERROR(VLOOKUP(申込書!$C$30,★業種!$D$2:$E$87,2,FALSE),"")</f>
        <v>1003</v>
      </c>
      <c r="AK468" s="460" t="str">
        <f ca="1">IF(申込書!$C$36="◎",IF(OR(D468="浜坂・温泉",D468="美方・村岡",D468="香住",D468="岡山",D468="大阪"),"",IF(LEFT(F468)="D","◎",IF(AG468=0,"",IFERROR(IF(VLOOKUP(AG468,★仕入先!$A$2:$C$211,3,FALSE)=0,"","◎"),"")))),"")</f>
        <v/>
      </c>
      <c r="AL468" s="460">
        <f>申込書!$H$14</f>
        <v>0</v>
      </c>
      <c r="AM468" s="460" t="str">
        <f>申込書!$C$32</f>
        <v>B4（折り無し）</v>
      </c>
      <c r="AN468" s="460" t="str">
        <f>VLOOKUP(AM468,★サイズ表記!$D$4:$E$55,2,FALSE)</f>
        <v>1001</v>
      </c>
      <c r="AO468" s="460">
        <f>IF(C468&lt;&gt;"⑧兵庫",VLOOKUP(LEFT(F468),★新聞!$A$4:$B$12,2,FALSE),IF(LEFT(F468)&lt;&gt;"S",VLOOKUP(LEFT(F468),★新聞!$A$4:$B$12,2,FALSE),VLOOKUP("X",★新聞!$A$4:$B$12,2,FALSE)))</f>
        <v>5</v>
      </c>
      <c r="AP468" s="460" t="str">
        <f t="shared" ca="1" si="61"/>
        <v>0</v>
      </c>
      <c r="AQ468" s="460" t="str">
        <f>IF(申込書!$C$38="","",申込書!$C$38)</f>
        <v/>
      </c>
    </row>
    <row r="469" spans="1:43">
      <c r="A469" s="463">
        <f t="shared" si="62"/>
        <v>468</v>
      </c>
      <c r="B469" s="463" t="str">
        <f t="shared" si="55"/>
        <v>東部</v>
      </c>
      <c r="C469" s="464" t="s">
        <v>1151</v>
      </c>
      <c r="D469" s="464" t="s">
        <v>1602</v>
      </c>
      <c r="E469" s="464">
        <f>VLOOKUP(D469,★折込地区!$A$2:$D$10,4,FALSE)</f>
        <v>2</v>
      </c>
      <c r="F469" s="464" t="s">
        <v>480</v>
      </c>
      <c r="G469" s="464" t="str">
        <f>INDEX(★新聞!$E$4:$I$12, MATCH(LEFT(F469),★新聞!$A$4:$A$12,0), MATCH(LEFT(W469),★新聞!$E$3:$I$3,0))</f>
        <v>AJ</v>
      </c>
      <c r="H469" s="475" t="s">
        <v>1107</v>
      </c>
      <c r="I469" s="464" cm="1">
        <f t="array" ref="I469">IFERROR(INDEX(★原価率!$A$2:$E$50,MATCH($C469&amp;$H469,★原価率!$A$2:$A$50&amp;★原価率!$B$2:$B$50,0),3),0)</f>
        <v>82</v>
      </c>
      <c r="J469" s="464" cm="1">
        <f t="array" ref="J469">IFERROR(INDEX(★原価率!$A$2:$E$50,MATCH($C469&amp;$H469,★原価率!$A$2:$A$50&amp;★原価率!$B$2:$B$50,0),4),0)</f>
        <v>82</v>
      </c>
      <c r="K469" s="464" cm="1">
        <f t="array" ref="K469">IFERROR(INDEX(★原価率!$A$2:$E$50,MATCH($C469&amp;$H469,★原価率!$A$2:$A$50&amp;★原価率!$B$2:$B$50,0),5),0)</f>
        <v>100</v>
      </c>
      <c r="L469" s="528">
        <f>IFERROR(VLOOKUP(W469,★商品!$A$1:$H$1231,8,FALSE),0)</f>
        <v>2.8</v>
      </c>
      <c r="M469" s="203" t="str">
        <f ca="1">CONCATENATE(VLOOKUP(B469,★営業所!$A$2:$B$5,2,FALSE),TEXT(NOW(),"yyyy"))</f>
        <v>T2023</v>
      </c>
      <c r="N469" s="203">
        <v>1</v>
      </c>
      <c r="O469" s="203">
        <v>0</v>
      </c>
      <c r="P469" s="213">
        <f>申込書!$B$6</f>
        <v>0</v>
      </c>
      <c r="Q469" s="203">
        <f>申込書!$C$34</f>
        <v>1000040</v>
      </c>
      <c r="R469" s="203">
        <v>0</v>
      </c>
      <c r="U469" s="203">
        <f>VLOOKUP(B469,★営業所!$A$2:$C$5,3,FALSE)</f>
        <v>8</v>
      </c>
      <c r="V469" s="203">
        <f>申込書!$B$9</f>
        <v>0</v>
      </c>
      <c r="W469" s="203" t="str">
        <f>CONCATENATE(VLOOKUP(B469,★営業所!$A$2:$B$5,2,FALSE),VLOOKUP(申込書!$C$32,★サイズ表記!$D$4:$E$55,2,FALSE),VLOOKUP(D469,★折込地区!$A$2:$B$11,2,FALSE))</f>
        <v>T1001Kry</v>
      </c>
      <c r="X469" s="203" t="str">
        <f>CONCATENATE(申込書!$B$9," ",VLOOKUP(RIGHT(W469,3),★折込地区!$B$2:$C$10,2,FALSE),"")</f>
        <v xml:space="preserve"> 倉吉</v>
      </c>
      <c r="Z469" s="206">
        <f t="shared" ca="1" si="56"/>
        <v>0</v>
      </c>
      <c r="AB469" s="383">
        <f t="shared" si="57"/>
        <v>2.8</v>
      </c>
      <c r="AC469" s="203" t="str">
        <f t="shared" si="58"/>
        <v>P1001</v>
      </c>
      <c r="AD469" s="203" t="str">
        <f>VLOOKUP(AC469,★原価商品!$E$6:$F$349,2,FALSE)</f>
        <v>産経/B4（折り無し）</v>
      </c>
      <c r="AE469" s="203">
        <f t="shared" ca="1" si="59"/>
        <v>0</v>
      </c>
      <c r="AF469" s="383">
        <f ca="1">IFERROR(IF(VLOOKUP(申込書!$C$32,★サイズ表記!$F$4:$H$55,3,FALSE)="切り捨て",ROUNDDOWN(L469*IF(AK469="◎",I469,J469)/100,2),IF(VLOOKUP(申込書!$C$32,★サイズ表記!$F$4:$H$55,3,FALSE)="切り上げ",ROUNDUP(L469*IF(AK469="◎",I469,J469)/100,2),ROUND(L469*IF(AK469="◎",I469,J469)/100,2))),0)</f>
        <v>2.29</v>
      </c>
      <c r="AG469" s="203">
        <f t="shared" ca="1" si="60"/>
        <v>0</v>
      </c>
      <c r="AJ469" s="460" t="str">
        <f>IFERROR(VLOOKUP(申込書!$C$30,★業種!$D$2:$E$87,2,FALSE),"")</f>
        <v>1003</v>
      </c>
      <c r="AK469" s="460" t="str">
        <f ca="1">IF(申込書!$C$36="◎",IF(OR(D469="浜坂・温泉",D469="美方・村岡",D469="香住",D469="岡山",D469="大阪"),"",IF(LEFT(F469)="D","◎",IF(AG469=0,"",IFERROR(IF(VLOOKUP(AG469,★仕入先!$A$2:$C$211,3,FALSE)=0,"","◎"),"")))),"")</f>
        <v/>
      </c>
      <c r="AL469" s="460">
        <f>申込書!$H$14</f>
        <v>0</v>
      </c>
      <c r="AM469" s="460" t="str">
        <f>申込書!$C$32</f>
        <v>B4（折り無し）</v>
      </c>
      <c r="AN469" s="460" t="str">
        <f>VLOOKUP(AM469,★サイズ表記!$D$4:$E$55,2,FALSE)</f>
        <v>1001</v>
      </c>
      <c r="AO469" s="460">
        <f>IF(C469&lt;&gt;"⑧兵庫",VLOOKUP(LEFT(F469),★新聞!$A$4:$B$12,2,FALSE),IF(LEFT(F469)&lt;&gt;"S",VLOOKUP(LEFT(F469),★新聞!$A$4:$B$12,2,FALSE),VLOOKUP("X",★新聞!$A$4:$B$12,2,FALSE)))</f>
        <v>5</v>
      </c>
      <c r="AP469" s="460" t="str">
        <f t="shared" ca="1" si="61"/>
        <v>0</v>
      </c>
      <c r="AQ469" s="460" t="str">
        <f>IF(申込書!$C$38="","",申込書!$C$38)</f>
        <v/>
      </c>
    </row>
    <row r="470" spans="1:43">
      <c r="A470" s="463">
        <f t="shared" si="62"/>
        <v>469</v>
      </c>
      <c r="B470" s="463" t="str">
        <f t="shared" si="55"/>
        <v>東部</v>
      </c>
      <c r="C470" s="464" t="s">
        <v>1151</v>
      </c>
      <c r="D470" s="464" t="s">
        <v>1602</v>
      </c>
      <c r="E470" s="464">
        <f>VLOOKUP(D470,★折込地区!$A$2:$D$10,4,FALSE)</f>
        <v>2</v>
      </c>
      <c r="F470" s="464" t="s">
        <v>481</v>
      </c>
      <c r="G470" s="464" t="str">
        <f>INDEX(★新聞!$E$4:$I$12, MATCH(LEFT(F470),★新聞!$A$4:$A$12,0), MATCH(LEFT(W470),★新聞!$E$3:$I$3,0))</f>
        <v>AJ</v>
      </c>
      <c r="H470" s="555" t="s">
        <v>1105</v>
      </c>
      <c r="I470" s="464" cm="1">
        <f t="array" ref="I470">IFERROR(INDEX(★原価率!$A$2:$E$50,MATCH($C470&amp;$H470,★原価率!$A$2:$A$50&amp;★原価率!$B$2:$B$50,0),3),0)</f>
        <v>78</v>
      </c>
      <c r="J470" s="464" cm="1">
        <f t="array" ref="J470">IFERROR(INDEX(★原価率!$A$2:$E$50,MATCH($C470&amp;$H470,★原価率!$A$2:$A$50&amp;★原価率!$B$2:$B$50,0),4),0)</f>
        <v>82</v>
      </c>
      <c r="K470" s="464" cm="1">
        <f t="array" ref="K470">IFERROR(INDEX(★原価率!$A$2:$E$50,MATCH($C470&amp;$H470,★原価率!$A$2:$A$50&amp;★原価率!$B$2:$B$50,0),5),0)</f>
        <v>100</v>
      </c>
      <c r="L470" s="528">
        <f>IFERROR(VLOOKUP(W470,★商品!$A$1:$H$1231,8,FALSE),0)</f>
        <v>2.8</v>
      </c>
      <c r="M470" s="203" t="str">
        <f ca="1">CONCATENATE(VLOOKUP(B470,★営業所!$A$2:$B$5,2,FALSE),TEXT(NOW(),"yyyy"))</f>
        <v>T2023</v>
      </c>
      <c r="N470" s="203">
        <v>1</v>
      </c>
      <c r="O470" s="203">
        <v>0</v>
      </c>
      <c r="P470" s="213">
        <f>申込書!$B$6</f>
        <v>0</v>
      </c>
      <c r="Q470" s="203">
        <f>申込書!$C$34</f>
        <v>1000040</v>
      </c>
      <c r="R470" s="203">
        <v>0</v>
      </c>
      <c r="U470" s="203">
        <f>VLOOKUP(B470,★営業所!$A$2:$C$5,3,FALSE)</f>
        <v>8</v>
      </c>
      <c r="V470" s="203">
        <f>申込書!$B$9</f>
        <v>0</v>
      </c>
      <c r="W470" s="203" t="str">
        <f>CONCATENATE(VLOOKUP(B470,★営業所!$A$2:$B$5,2,FALSE),VLOOKUP(申込書!$C$32,★サイズ表記!$D$4:$E$55,2,FALSE),VLOOKUP(D470,★折込地区!$A$2:$B$11,2,FALSE))</f>
        <v>T1001Kry</v>
      </c>
      <c r="X470" s="203" t="str">
        <f>CONCATENATE(申込書!$B$9," ",VLOOKUP(RIGHT(W470,3),★折込地区!$B$2:$C$10,2,FALSE),"")</f>
        <v xml:space="preserve"> 倉吉</v>
      </c>
      <c r="Z470" s="206">
        <f t="shared" ca="1" si="56"/>
        <v>0</v>
      </c>
      <c r="AB470" s="383">
        <f t="shared" si="57"/>
        <v>2.8</v>
      </c>
      <c r="AC470" s="203" t="str">
        <f t="shared" si="58"/>
        <v>P1001</v>
      </c>
      <c r="AD470" s="203" t="str">
        <f>VLOOKUP(AC470,★原価商品!$E$6:$F$349,2,FALSE)</f>
        <v>産経/B4（折り無し）</v>
      </c>
      <c r="AE470" s="203">
        <f t="shared" ca="1" si="59"/>
        <v>0</v>
      </c>
      <c r="AF470" s="383">
        <f ca="1">IFERROR(IF(VLOOKUP(申込書!$C$32,★サイズ表記!$F$4:$H$55,3,FALSE)="切り捨て",ROUNDDOWN(L470*IF(AK470="◎",I470,J470)/100,2),IF(VLOOKUP(申込書!$C$32,★サイズ表記!$F$4:$H$55,3,FALSE)="切り上げ",ROUNDUP(L470*IF(AK470="◎",I470,J470)/100,2),ROUND(L470*IF(AK470="◎",I470,J470)/100,2))),0)</f>
        <v>2.29</v>
      </c>
      <c r="AG470" s="203">
        <f t="shared" ca="1" si="60"/>
        <v>10303</v>
      </c>
      <c r="AJ470" s="460" t="str">
        <f>IFERROR(VLOOKUP(申込書!$C$30,★業種!$D$2:$E$87,2,FALSE),"")</f>
        <v>1003</v>
      </c>
      <c r="AK470" s="460" t="str">
        <f ca="1">IF(申込書!$C$36="◎",IF(OR(D470="浜坂・温泉",D470="美方・村岡",D470="香住",D470="岡山",D470="大阪"),"",IF(LEFT(F470)="D","◎",IF(AG470=0,"",IFERROR(IF(VLOOKUP(AG470,★仕入先!$A$2:$C$211,3,FALSE)=0,"","◎"),"")))),"")</f>
        <v/>
      </c>
      <c r="AL470" s="460">
        <f>申込書!$H$14</f>
        <v>0</v>
      </c>
      <c r="AM470" s="460" t="str">
        <f>申込書!$C$32</f>
        <v>B4（折り無し）</v>
      </c>
      <c r="AN470" s="460" t="str">
        <f>VLOOKUP(AM470,★サイズ表記!$D$4:$E$55,2,FALSE)</f>
        <v>1001</v>
      </c>
      <c r="AO470" s="460">
        <f>IF(C470&lt;&gt;"⑧兵庫",VLOOKUP(LEFT(F470),★新聞!$A$4:$B$12,2,FALSE),IF(LEFT(F470)&lt;&gt;"S",VLOOKUP(LEFT(F470),★新聞!$A$4:$B$12,2,FALSE),VLOOKUP("X",★新聞!$A$4:$B$12,2,FALSE)))</f>
        <v>5</v>
      </c>
      <c r="AP470" s="460" t="str">
        <f t="shared" ca="1" si="61"/>
        <v>0</v>
      </c>
      <c r="AQ470" s="460" t="str">
        <f>IF(申込書!$C$38="","",申込書!$C$38)</f>
        <v/>
      </c>
    </row>
    <row r="471" spans="1:43">
      <c r="A471" s="463">
        <f t="shared" si="62"/>
        <v>470</v>
      </c>
      <c r="B471" s="463" t="str">
        <f t="shared" si="55"/>
        <v>東部</v>
      </c>
      <c r="C471" s="464" t="s">
        <v>1151</v>
      </c>
      <c r="D471" s="464" t="s">
        <v>1602</v>
      </c>
      <c r="E471" s="464">
        <f>VLOOKUP(D471,★折込地区!$A$2:$D$10,4,FALSE)</f>
        <v>2</v>
      </c>
      <c r="F471" s="464" t="s">
        <v>482</v>
      </c>
      <c r="G471" s="464" t="str">
        <f>INDEX(★新聞!$E$4:$I$12, MATCH(LEFT(F471),★新聞!$A$4:$A$12,0), MATCH(LEFT(W471),★新聞!$E$3:$I$3,0))</f>
        <v>AJ</v>
      </c>
      <c r="H471" s="475" t="s">
        <v>1107</v>
      </c>
      <c r="I471" s="464" cm="1">
        <f t="array" ref="I471">IFERROR(INDEX(★原価率!$A$2:$E$50,MATCH($C471&amp;$H471,★原価率!$A$2:$A$50&amp;★原価率!$B$2:$B$50,0),3),0)</f>
        <v>82</v>
      </c>
      <c r="J471" s="464" cm="1">
        <f t="array" ref="J471">IFERROR(INDEX(★原価率!$A$2:$E$50,MATCH($C471&amp;$H471,★原価率!$A$2:$A$50&amp;★原価率!$B$2:$B$50,0),4),0)</f>
        <v>82</v>
      </c>
      <c r="K471" s="464" cm="1">
        <f t="array" ref="K471">IFERROR(INDEX(★原価率!$A$2:$E$50,MATCH($C471&amp;$H471,★原価率!$A$2:$A$50&amp;★原価率!$B$2:$B$50,0),5),0)</f>
        <v>100</v>
      </c>
      <c r="L471" s="528">
        <f>IFERROR(VLOOKUP(W471,★商品!$A$1:$H$1231,8,FALSE),0)</f>
        <v>2.8</v>
      </c>
      <c r="M471" s="203" t="str">
        <f ca="1">CONCATENATE(VLOOKUP(B471,★営業所!$A$2:$B$5,2,FALSE),TEXT(NOW(),"yyyy"))</f>
        <v>T2023</v>
      </c>
      <c r="N471" s="203">
        <v>1</v>
      </c>
      <c r="O471" s="203">
        <v>0</v>
      </c>
      <c r="P471" s="213">
        <f>申込書!$B$6</f>
        <v>0</v>
      </c>
      <c r="Q471" s="203">
        <f>申込書!$C$34</f>
        <v>1000040</v>
      </c>
      <c r="R471" s="203">
        <v>0</v>
      </c>
      <c r="U471" s="203">
        <f>VLOOKUP(B471,★営業所!$A$2:$C$5,3,FALSE)</f>
        <v>8</v>
      </c>
      <c r="V471" s="203">
        <f>申込書!$B$9</f>
        <v>0</v>
      </c>
      <c r="W471" s="203" t="str">
        <f>CONCATENATE(VLOOKUP(B471,★営業所!$A$2:$B$5,2,FALSE),VLOOKUP(申込書!$C$32,★サイズ表記!$D$4:$E$55,2,FALSE),VLOOKUP(D471,★折込地区!$A$2:$B$11,2,FALSE))</f>
        <v>T1001Kry</v>
      </c>
      <c r="X471" s="203" t="str">
        <f>CONCATENATE(申込書!$B$9," ",VLOOKUP(RIGHT(W471,3),★折込地区!$B$2:$C$10,2,FALSE),"")</f>
        <v xml:space="preserve"> 倉吉</v>
      </c>
      <c r="Z471" s="206">
        <f t="shared" ca="1" si="56"/>
        <v>0</v>
      </c>
      <c r="AB471" s="383">
        <f t="shared" si="57"/>
        <v>2.8</v>
      </c>
      <c r="AC471" s="203" t="str">
        <f t="shared" si="58"/>
        <v>P1001</v>
      </c>
      <c r="AD471" s="203" t="str">
        <f>VLOOKUP(AC471,★原価商品!$E$6:$F$349,2,FALSE)</f>
        <v>産経/B4（折り無し）</v>
      </c>
      <c r="AE471" s="203">
        <f t="shared" ca="1" si="59"/>
        <v>0</v>
      </c>
      <c r="AF471" s="383">
        <f ca="1">IFERROR(IF(VLOOKUP(申込書!$C$32,★サイズ表記!$F$4:$H$55,3,FALSE)="切り捨て",ROUNDDOWN(L471*IF(AK471="◎",I471,J471)/100,2),IF(VLOOKUP(申込書!$C$32,★サイズ表記!$F$4:$H$55,3,FALSE)="切り上げ",ROUNDUP(L471*IF(AK471="◎",I471,J471)/100,2),ROUND(L471*IF(AK471="◎",I471,J471)/100,2))),0)</f>
        <v>2.29</v>
      </c>
      <c r="AG471" s="203">
        <f t="shared" ca="1" si="60"/>
        <v>10303</v>
      </c>
      <c r="AJ471" s="460" t="str">
        <f>IFERROR(VLOOKUP(申込書!$C$30,★業種!$D$2:$E$87,2,FALSE),"")</f>
        <v>1003</v>
      </c>
      <c r="AK471" s="460" t="str">
        <f ca="1">IF(申込書!$C$36="◎",IF(OR(D471="浜坂・温泉",D471="美方・村岡",D471="香住",D471="岡山",D471="大阪"),"",IF(LEFT(F471)="D","◎",IF(AG471=0,"",IFERROR(IF(VLOOKUP(AG471,★仕入先!$A$2:$C$211,3,FALSE)=0,"","◎"),"")))),"")</f>
        <v/>
      </c>
      <c r="AL471" s="460">
        <f>申込書!$H$14</f>
        <v>0</v>
      </c>
      <c r="AM471" s="460" t="str">
        <f>申込書!$C$32</f>
        <v>B4（折り無し）</v>
      </c>
      <c r="AN471" s="460" t="str">
        <f>VLOOKUP(AM471,★サイズ表記!$D$4:$E$55,2,FALSE)</f>
        <v>1001</v>
      </c>
      <c r="AO471" s="460">
        <f>IF(C471&lt;&gt;"⑧兵庫",VLOOKUP(LEFT(F471),★新聞!$A$4:$B$12,2,FALSE),IF(LEFT(F471)&lt;&gt;"S",VLOOKUP(LEFT(F471),★新聞!$A$4:$B$12,2,FALSE),VLOOKUP("X",★新聞!$A$4:$B$12,2,FALSE)))</f>
        <v>5</v>
      </c>
      <c r="AP471" s="460" t="str">
        <f t="shared" ca="1" si="61"/>
        <v>0</v>
      </c>
      <c r="AQ471" s="460" t="str">
        <f>IF(申込書!$C$38="","",申込書!$C$38)</f>
        <v/>
      </c>
    </row>
    <row r="472" spans="1:43">
      <c r="A472" s="463">
        <f t="shared" si="62"/>
        <v>471</v>
      </c>
      <c r="B472" s="463" t="str">
        <f t="shared" si="55"/>
        <v>東部</v>
      </c>
      <c r="C472" s="464" t="s">
        <v>1151</v>
      </c>
      <c r="D472" s="464" t="s">
        <v>1602</v>
      </c>
      <c r="E472" s="464">
        <f>VLOOKUP(D472,★折込地区!$A$2:$D$10,4,FALSE)</f>
        <v>2</v>
      </c>
      <c r="F472" s="464" t="s">
        <v>483</v>
      </c>
      <c r="G472" s="464" t="str">
        <f>INDEX(★新聞!$E$4:$I$12, MATCH(LEFT(F472),★新聞!$A$4:$A$12,0), MATCH(LEFT(W472),★新聞!$E$3:$I$3,0))</f>
        <v>AJ</v>
      </c>
      <c r="H472" s="475" t="s">
        <v>1153</v>
      </c>
      <c r="I472" s="464" cm="1">
        <f t="array" ref="I472">IFERROR(INDEX(★原価率!$A$2:$E$50,MATCH($C472&amp;$H472,★原価率!$A$2:$A$50&amp;★原価率!$B$2:$B$50,0),3),0)</f>
        <v>90</v>
      </c>
      <c r="J472" s="464" cm="1">
        <f t="array" ref="J472">IFERROR(INDEX(★原価率!$A$2:$E$50,MATCH($C472&amp;$H472,★原価率!$A$2:$A$50&amp;★原価率!$B$2:$B$50,0),4),0)</f>
        <v>90</v>
      </c>
      <c r="K472" s="464" cm="1">
        <f t="array" ref="K472">IFERROR(INDEX(★原価率!$A$2:$E$50,MATCH($C472&amp;$H472,★原価率!$A$2:$A$50&amp;★原価率!$B$2:$B$50,0),5),0)</f>
        <v>100</v>
      </c>
      <c r="L472" s="528">
        <f>IFERROR(VLOOKUP(W472,★商品!$A$1:$H$1231,8,FALSE),0)</f>
        <v>2.8</v>
      </c>
      <c r="M472" s="203" t="str">
        <f ca="1">CONCATENATE(VLOOKUP(B472,★営業所!$A$2:$B$5,2,FALSE),TEXT(NOW(),"yyyy"))</f>
        <v>T2023</v>
      </c>
      <c r="N472" s="203">
        <v>1</v>
      </c>
      <c r="O472" s="203">
        <v>0</v>
      </c>
      <c r="P472" s="213">
        <f>申込書!$B$6</f>
        <v>0</v>
      </c>
      <c r="Q472" s="203">
        <f>申込書!$C$34</f>
        <v>1000040</v>
      </c>
      <c r="R472" s="203">
        <v>0</v>
      </c>
      <c r="U472" s="203">
        <f>VLOOKUP(B472,★営業所!$A$2:$C$5,3,FALSE)</f>
        <v>8</v>
      </c>
      <c r="V472" s="203">
        <f>申込書!$B$9</f>
        <v>0</v>
      </c>
      <c r="W472" s="203" t="str">
        <f>CONCATENATE(VLOOKUP(B472,★営業所!$A$2:$B$5,2,FALSE),VLOOKUP(申込書!$C$32,★サイズ表記!$D$4:$E$55,2,FALSE),VLOOKUP(D472,★折込地区!$A$2:$B$11,2,FALSE))</f>
        <v>T1001Kry</v>
      </c>
      <c r="X472" s="203" t="str">
        <f>CONCATENATE(申込書!$B$9," ",VLOOKUP(RIGHT(W472,3),★折込地区!$B$2:$C$10,2,FALSE),"")</f>
        <v xml:space="preserve"> 倉吉</v>
      </c>
      <c r="Z472" s="206">
        <f t="shared" ca="1" si="56"/>
        <v>0</v>
      </c>
      <c r="AB472" s="383">
        <f t="shared" si="57"/>
        <v>2.8</v>
      </c>
      <c r="AC472" s="203" t="str">
        <f t="shared" si="58"/>
        <v>P1001</v>
      </c>
      <c r="AD472" s="203" t="str">
        <f>VLOOKUP(AC472,★原価商品!$E$6:$F$349,2,FALSE)</f>
        <v>産経/B4（折り無し）</v>
      </c>
      <c r="AE472" s="203">
        <f t="shared" ca="1" si="59"/>
        <v>0</v>
      </c>
      <c r="AF472" s="383">
        <f ca="1">IFERROR(IF(VLOOKUP(申込書!$C$32,★サイズ表記!$F$4:$H$55,3,FALSE)="切り捨て",ROUNDDOWN(L472*IF(AK472="◎",I472,J472)/100,2),IF(VLOOKUP(申込書!$C$32,★サイズ表記!$F$4:$H$55,3,FALSE)="切り上げ",ROUNDUP(L472*IF(AK472="◎",I472,J472)/100,2),ROUND(L472*IF(AK472="◎",I472,J472)/100,2))),0)</f>
        <v>2.52</v>
      </c>
      <c r="AG472" s="203">
        <f t="shared" ca="1" si="60"/>
        <v>10303</v>
      </c>
      <c r="AJ472" s="460" t="str">
        <f>IFERROR(VLOOKUP(申込書!$C$30,★業種!$D$2:$E$87,2,FALSE),"")</f>
        <v>1003</v>
      </c>
      <c r="AK472" s="460" t="str">
        <f ca="1">IF(申込書!$C$36="◎",IF(OR(D472="浜坂・温泉",D472="美方・村岡",D472="香住",D472="岡山",D472="大阪"),"",IF(LEFT(F472)="D","◎",IF(AG472=0,"",IFERROR(IF(VLOOKUP(AG472,★仕入先!$A$2:$C$211,3,FALSE)=0,"","◎"),"")))),"")</f>
        <v/>
      </c>
      <c r="AL472" s="460">
        <f>申込書!$H$14</f>
        <v>0</v>
      </c>
      <c r="AM472" s="460" t="str">
        <f>申込書!$C$32</f>
        <v>B4（折り無し）</v>
      </c>
      <c r="AN472" s="460" t="str">
        <f>VLOOKUP(AM472,★サイズ表記!$D$4:$E$55,2,FALSE)</f>
        <v>1001</v>
      </c>
      <c r="AO472" s="460">
        <f>IF(C472&lt;&gt;"⑧兵庫",VLOOKUP(LEFT(F472),★新聞!$A$4:$B$12,2,FALSE),IF(LEFT(F472)&lt;&gt;"S",VLOOKUP(LEFT(F472),★新聞!$A$4:$B$12,2,FALSE),VLOOKUP("X",★新聞!$A$4:$B$12,2,FALSE)))</f>
        <v>5</v>
      </c>
      <c r="AP472" s="460" t="str">
        <f t="shared" ca="1" si="61"/>
        <v>0</v>
      </c>
      <c r="AQ472" s="460" t="str">
        <f>IF(申込書!$C$38="","",申込書!$C$38)</f>
        <v/>
      </c>
    </row>
    <row r="473" spans="1:43">
      <c r="A473" s="463">
        <f t="shared" si="62"/>
        <v>472</v>
      </c>
      <c r="B473" s="463" t="str">
        <f t="shared" si="55"/>
        <v>東部</v>
      </c>
      <c r="C473" s="464" t="s">
        <v>1151</v>
      </c>
      <c r="D473" s="464" t="s">
        <v>1602</v>
      </c>
      <c r="E473" s="464">
        <f>VLOOKUP(D473,★折込地区!$A$2:$D$10,4,FALSE)</f>
        <v>2</v>
      </c>
      <c r="F473" s="464" t="s">
        <v>484</v>
      </c>
      <c r="G473" s="464" t="str">
        <f>INDEX(★新聞!$E$4:$I$12, MATCH(LEFT(F473),★新聞!$A$4:$A$12,0), MATCH(LEFT(W473),★新聞!$E$3:$I$3,0))</f>
        <v>AJ</v>
      </c>
      <c r="H473" s="475" t="s">
        <v>1153</v>
      </c>
      <c r="I473" s="464" cm="1">
        <f t="array" ref="I473">IFERROR(INDEX(★原価率!$A$2:$E$50,MATCH($C473&amp;$H473,★原価率!$A$2:$A$50&amp;★原価率!$B$2:$B$50,0),3),0)</f>
        <v>90</v>
      </c>
      <c r="J473" s="464" cm="1">
        <f t="array" ref="J473">IFERROR(INDEX(★原価率!$A$2:$E$50,MATCH($C473&amp;$H473,★原価率!$A$2:$A$50&amp;★原価率!$B$2:$B$50,0),4),0)</f>
        <v>90</v>
      </c>
      <c r="K473" s="464" cm="1">
        <f t="array" ref="K473">IFERROR(INDEX(★原価率!$A$2:$E$50,MATCH($C473&amp;$H473,★原価率!$A$2:$A$50&amp;★原価率!$B$2:$B$50,0),5),0)</f>
        <v>100</v>
      </c>
      <c r="L473" s="528">
        <f>IFERROR(VLOOKUP(W473,★商品!$A$1:$H$1231,8,FALSE),0)</f>
        <v>2.8</v>
      </c>
      <c r="M473" s="203" t="str">
        <f ca="1">CONCATENATE(VLOOKUP(B473,★営業所!$A$2:$B$5,2,FALSE),TEXT(NOW(),"yyyy"))</f>
        <v>T2023</v>
      </c>
      <c r="N473" s="203">
        <v>1</v>
      </c>
      <c r="O473" s="203">
        <v>0</v>
      </c>
      <c r="P473" s="213">
        <f>申込書!$B$6</f>
        <v>0</v>
      </c>
      <c r="Q473" s="203">
        <f>申込書!$C$34</f>
        <v>1000040</v>
      </c>
      <c r="R473" s="203">
        <v>0</v>
      </c>
      <c r="U473" s="203">
        <f>VLOOKUP(B473,★営業所!$A$2:$C$5,3,FALSE)</f>
        <v>8</v>
      </c>
      <c r="V473" s="203">
        <f>申込書!$B$9</f>
        <v>0</v>
      </c>
      <c r="W473" s="203" t="str">
        <f>CONCATENATE(VLOOKUP(B473,★営業所!$A$2:$B$5,2,FALSE),VLOOKUP(申込書!$C$32,★サイズ表記!$D$4:$E$55,2,FALSE),VLOOKUP(D473,★折込地区!$A$2:$B$11,2,FALSE))</f>
        <v>T1001Kry</v>
      </c>
      <c r="X473" s="203" t="str">
        <f>CONCATENATE(申込書!$B$9," ",VLOOKUP(RIGHT(W473,3),★折込地区!$B$2:$C$10,2,FALSE),"")</f>
        <v xml:space="preserve"> 倉吉</v>
      </c>
      <c r="Z473" s="206">
        <f t="shared" ca="1" si="56"/>
        <v>0</v>
      </c>
      <c r="AB473" s="383">
        <f t="shared" si="57"/>
        <v>2.8</v>
      </c>
      <c r="AC473" s="203" t="str">
        <f t="shared" si="58"/>
        <v>P1001</v>
      </c>
      <c r="AD473" s="203" t="str">
        <f>VLOOKUP(AC473,★原価商品!$E$6:$F$349,2,FALSE)</f>
        <v>産経/B4（折り無し）</v>
      </c>
      <c r="AE473" s="203">
        <f t="shared" ca="1" si="59"/>
        <v>0</v>
      </c>
      <c r="AF473" s="383">
        <f ca="1">IFERROR(IF(VLOOKUP(申込書!$C$32,★サイズ表記!$F$4:$H$55,3,FALSE)="切り捨て",ROUNDDOWN(L473*IF(AK473="◎",I473,J473)/100,2),IF(VLOOKUP(申込書!$C$32,★サイズ表記!$F$4:$H$55,3,FALSE)="切り上げ",ROUNDUP(L473*IF(AK473="◎",I473,J473)/100,2),ROUND(L473*IF(AK473="◎",I473,J473)/100,2))),0)</f>
        <v>2.52</v>
      </c>
      <c r="AG473" s="203">
        <f t="shared" ca="1" si="60"/>
        <v>10303</v>
      </c>
      <c r="AJ473" s="460" t="str">
        <f>IFERROR(VLOOKUP(申込書!$C$30,★業種!$D$2:$E$87,2,FALSE),"")</f>
        <v>1003</v>
      </c>
      <c r="AK473" s="460" t="str">
        <f ca="1">IF(申込書!$C$36="◎",IF(OR(D473="浜坂・温泉",D473="美方・村岡",D473="香住",D473="岡山",D473="大阪"),"",IF(LEFT(F473)="D","◎",IF(AG473=0,"",IFERROR(IF(VLOOKUP(AG473,★仕入先!$A$2:$C$211,3,FALSE)=0,"","◎"),"")))),"")</f>
        <v/>
      </c>
      <c r="AL473" s="460">
        <f>申込書!$H$14</f>
        <v>0</v>
      </c>
      <c r="AM473" s="460" t="str">
        <f>申込書!$C$32</f>
        <v>B4（折り無し）</v>
      </c>
      <c r="AN473" s="460" t="str">
        <f>VLOOKUP(AM473,★サイズ表記!$D$4:$E$55,2,FALSE)</f>
        <v>1001</v>
      </c>
      <c r="AO473" s="460">
        <f>IF(C473&lt;&gt;"⑧兵庫",VLOOKUP(LEFT(F473),★新聞!$A$4:$B$12,2,FALSE),IF(LEFT(F473)&lt;&gt;"S",VLOOKUP(LEFT(F473),★新聞!$A$4:$B$12,2,FALSE),VLOOKUP("X",★新聞!$A$4:$B$12,2,FALSE)))</f>
        <v>5</v>
      </c>
      <c r="AP473" s="460" t="str">
        <f t="shared" ca="1" si="61"/>
        <v>0</v>
      </c>
      <c r="AQ473" s="460" t="str">
        <f>IF(申込書!$C$38="","",申込書!$C$38)</f>
        <v/>
      </c>
    </row>
    <row r="474" spans="1:43">
      <c r="A474" s="463">
        <f t="shared" si="62"/>
        <v>473</v>
      </c>
      <c r="B474" s="463" t="str">
        <f t="shared" si="55"/>
        <v>東部</v>
      </c>
      <c r="C474" s="464" t="s">
        <v>1151</v>
      </c>
      <c r="D474" s="464" t="s">
        <v>1602</v>
      </c>
      <c r="E474" s="464">
        <f>VLOOKUP(D474,★折込地区!$A$2:$D$10,4,FALSE)</f>
        <v>2</v>
      </c>
      <c r="F474" s="464" t="s">
        <v>485</v>
      </c>
      <c r="G474" s="464" t="str">
        <f>INDEX(★新聞!$E$4:$I$12, MATCH(LEFT(F474),★新聞!$A$4:$A$12,0), MATCH(LEFT(W474),★新聞!$E$3:$I$3,0))</f>
        <v>AJ</v>
      </c>
      <c r="H474" s="475" t="s">
        <v>1153</v>
      </c>
      <c r="I474" s="464" cm="1">
        <f t="array" ref="I474">IFERROR(INDEX(★原価率!$A$2:$E$50,MATCH($C474&amp;$H474,★原価率!$A$2:$A$50&amp;★原価率!$B$2:$B$50,0),3),0)</f>
        <v>90</v>
      </c>
      <c r="J474" s="464" cm="1">
        <f t="array" ref="J474">IFERROR(INDEX(★原価率!$A$2:$E$50,MATCH($C474&amp;$H474,★原価率!$A$2:$A$50&amp;★原価率!$B$2:$B$50,0),4),0)</f>
        <v>90</v>
      </c>
      <c r="K474" s="464" cm="1">
        <f t="array" ref="K474">IFERROR(INDEX(★原価率!$A$2:$E$50,MATCH($C474&amp;$H474,★原価率!$A$2:$A$50&amp;★原価率!$B$2:$B$50,0),5),0)</f>
        <v>100</v>
      </c>
      <c r="L474" s="528">
        <f>IFERROR(VLOOKUP(W474,★商品!$A$1:$H$1231,8,FALSE),0)</f>
        <v>2.8</v>
      </c>
      <c r="M474" s="203" t="str">
        <f ca="1">CONCATENATE(VLOOKUP(B474,★営業所!$A$2:$B$5,2,FALSE),TEXT(NOW(),"yyyy"))</f>
        <v>T2023</v>
      </c>
      <c r="N474" s="203">
        <v>1</v>
      </c>
      <c r="O474" s="203">
        <v>0</v>
      </c>
      <c r="P474" s="213">
        <f>申込書!$B$6</f>
        <v>0</v>
      </c>
      <c r="Q474" s="203">
        <f>申込書!$C$34</f>
        <v>1000040</v>
      </c>
      <c r="R474" s="203">
        <v>0</v>
      </c>
      <c r="U474" s="203">
        <f>VLOOKUP(B474,★営業所!$A$2:$C$5,3,FALSE)</f>
        <v>8</v>
      </c>
      <c r="V474" s="203">
        <f>申込書!$B$9</f>
        <v>0</v>
      </c>
      <c r="W474" s="203" t="str">
        <f>CONCATENATE(VLOOKUP(B474,★営業所!$A$2:$B$5,2,FALSE),VLOOKUP(申込書!$C$32,★サイズ表記!$D$4:$E$55,2,FALSE),VLOOKUP(D474,★折込地区!$A$2:$B$11,2,FALSE))</f>
        <v>T1001Kry</v>
      </c>
      <c r="X474" s="203" t="str">
        <f>CONCATENATE(申込書!$B$9," ",VLOOKUP(RIGHT(W474,3),★折込地区!$B$2:$C$10,2,FALSE),"")</f>
        <v xml:space="preserve"> 倉吉</v>
      </c>
      <c r="Z474" s="206">
        <f t="shared" ca="1" si="56"/>
        <v>0</v>
      </c>
      <c r="AB474" s="383">
        <f t="shared" si="57"/>
        <v>2.8</v>
      </c>
      <c r="AC474" s="203" t="str">
        <f t="shared" si="58"/>
        <v>P1001</v>
      </c>
      <c r="AD474" s="203" t="str">
        <f>VLOOKUP(AC474,★原価商品!$E$6:$F$349,2,FALSE)</f>
        <v>産経/B4（折り無し）</v>
      </c>
      <c r="AE474" s="203">
        <f t="shared" ca="1" si="59"/>
        <v>0</v>
      </c>
      <c r="AF474" s="383">
        <f ca="1">IFERROR(IF(VLOOKUP(申込書!$C$32,★サイズ表記!$F$4:$H$55,3,FALSE)="切り捨て",ROUNDDOWN(L474*IF(AK474="◎",I474,J474)/100,2),IF(VLOOKUP(申込書!$C$32,★サイズ表記!$F$4:$H$55,3,FALSE)="切り上げ",ROUNDUP(L474*IF(AK474="◎",I474,J474)/100,2),ROUND(L474*IF(AK474="◎",I474,J474)/100,2))),0)</f>
        <v>2.52</v>
      </c>
      <c r="AG474" s="203">
        <f t="shared" ca="1" si="60"/>
        <v>10303</v>
      </c>
      <c r="AJ474" s="460" t="str">
        <f>IFERROR(VLOOKUP(申込書!$C$30,★業種!$D$2:$E$87,2,FALSE),"")</f>
        <v>1003</v>
      </c>
      <c r="AK474" s="460" t="str">
        <f ca="1">IF(申込書!$C$36="◎",IF(OR(D474="浜坂・温泉",D474="美方・村岡",D474="香住",D474="岡山",D474="大阪"),"",IF(LEFT(F474)="D","◎",IF(AG474=0,"",IFERROR(IF(VLOOKUP(AG474,★仕入先!$A$2:$C$211,3,FALSE)=0,"","◎"),"")))),"")</f>
        <v/>
      </c>
      <c r="AL474" s="460">
        <f>申込書!$H$14</f>
        <v>0</v>
      </c>
      <c r="AM474" s="460" t="str">
        <f>申込書!$C$32</f>
        <v>B4（折り無し）</v>
      </c>
      <c r="AN474" s="460" t="str">
        <f>VLOOKUP(AM474,★サイズ表記!$D$4:$E$55,2,FALSE)</f>
        <v>1001</v>
      </c>
      <c r="AO474" s="460">
        <f>IF(C474&lt;&gt;"⑧兵庫",VLOOKUP(LEFT(F474),★新聞!$A$4:$B$12,2,FALSE),IF(LEFT(F474)&lt;&gt;"S",VLOOKUP(LEFT(F474),★新聞!$A$4:$B$12,2,FALSE),VLOOKUP("X",★新聞!$A$4:$B$12,2,FALSE)))</f>
        <v>5</v>
      </c>
      <c r="AP474" s="460" t="str">
        <f t="shared" ca="1" si="61"/>
        <v>0</v>
      </c>
      <c r="AQ474" s="460" t="str">
        <f>IF(申込書!$C$38="","",申込書!$C$38)</f>
        <v/>
      </c>
    </row>
    <row r="475" spans="1:43">
      <c r="A475" s="463">
        <f t="shared" si="62"/>
        <v>474</v>
      </c>
      <c r="B475" s="463" t="str">
        <f t="shared" si="55"/>
        <v>東部</v>
      </c>
      <c r="C475" s="464" t="s">
        <v>1151</v>
      </c>
      <c r="D475" s="464" t="s">
        <v>1602</v>
      </c>
      <c r="E475" s="464">
        <f>VLOOKUP(D475,★折込地区!$A$2:$D$10,4,FALSE)</f>
        <v>2</v>
      </c>
      <c r="F475" s="464" t="s">
        <v>486</v>
      </c>
      <c r="G475" s="464" t="str">
        <f>INDEX(★新聞!$E$4:$I$12, MATCH(LEFT(F475),★新聞!$A$4:$A$12,0), MATCH(LEFT(W475),★新聞!$E$3:$I$3,0))</f>
        <v>AJ</v>
      </c>
      <c r="H475" s="475" t="s">
        <v>1153</v>
      </c>
      <c r="I475" s="464" cm="1">
        <f t="array" ref="I475">IFERROR(INDEX(★原価率!$A$2:$E$50,MATCH($C475&amp;$H475,★原価率!$A$2:$A$50&amp;★原価率!$B$2:$B$50,0),3),0)</f>
        <v>90</v>
      </c>
      <c r="J475" s="464" cm="1">
        <f t="array" ref="J475">IFERROR(INDEX(★原価率!$A$2:$E$50,MATCH($C475&amp;$H475,★原価率!$A$2:$A$50&amp;★原価率!$B$2:$B$50,0),4),0)</f>
        <v>90</v>
      </c>
      <c r="K475" s="464" cm="1">
        <f t="array" ref="K475">IFERROR(INDEX(★原価率!$A$2:$E$50,MATCH($C475&amp;$H475,★原価率!$A$2:$A$50&amp;★原価率!$B$2:$B$50,0),5),0)</f>
        <v>100</v>
      </c>
      <c r="L475" s="528">
        <f>IFERROR(VLOOKUP(W475,★商品!$A$1:$H$1231,8,FALSE),0)</f>
        <v>2.8</v>
      </c>
      <c r="M475" s="203" t="str">
        <f ca="1">CONCATENATE(VLOOKUP(B475,★営業所!$A$2:$B$5,2,FALSE),TEXT(NOW(),"yyyy"))</f>
        <v>T2023</v>
      </c>
      <c r="N475" s="203">
        <v>1</v>
      </c>
      <c r="O475" s="203">
        <v>0</v>
      </c>
      <c r="P475" s="213">
        <f>申込書!$B$6</f>
        <v>0</v>
      </c>
      <c r="Q475" s="203">
        <f>申込書!$C$34</f>
        <v>1000040</v>
      </c>
      <c r="R475" s="203">
        <v>0</v>
      </c>
      <c r="U475" s="203">
        <f>VLOOKUP(B475,★営業所!$A$2:$C$5,3,FALSE)</f>
        <v>8</v>
      </c>
      <c r="V475" s="203">
        <f>申込書!$B$9</f>
        <v>0</v>
      </c>
      <c r="W475" s="203" t="str">
        <f>CONCATENATE(VLOOKUP(B475,★営業所!$A$2:$B$5,2,FALSE),VLOOKUP(申込書!$C$32,★サイズ表記!$D$4:$E$55,2,FALSE),VLOOKUP(D475,★折込地区!$A$2:$B$11,2,FALSE))</f>
        <v>T1001Kry</v>
      </c>
      <c r="X475" s="203" t="str">
        <f>CONCATENATE(申込書!$B$9," ",VLOOKUP(RIGHT(W475,3),★折込地区!$B$2:$C$10,2,FALSE),"")</f>
        <v xml:space="preserve"> 倉吉</v>
      </c>
      <c r="Z475" s="206">
        <f t="shared" ca="1" si="56"/>
        <v>0</v>
      </c>
      <c r="AB475" s="383">
        <f t="shared" si="57"/>
        <v>2.8</v>
      </c>
      <c r="AC475" s="203" t="str">
        <f t="shared" si="58"/>
        <v>P1001</v>
      </c>
      <c r="AD475" s="203" t="str">
        <f>VLOOKUP(AC475,★原価商品!$E$6:$F$349,2,FALSE)</f>
        <v>産経/B4（折り無し）</v>
      </c>
      <c r="AE475" s="203">
        <f t="shared" ca="1" si="59"/>
        <v>0</v>
      </c>
      <c r="AF475" s="383">
        <f ca="1">IFERROR(IF(VLOOKUP(申込書!$C$32,★サイズ表記!$F$4:$H$55,3,FALSE)="切り捨て",ROUNDDOWN(L475*IF(AK475="◎",I475,J475)/100,2),IF(VLOOKUP(申込書!$C$32,★サイズ表記!$F$4:$H$55,3,FALSE)="切り上げ",ROUNDUP(L475*IF(AK475="◎",I475,J475)/100,2),ROUND(L475*IF(AK475="◎",I475,J475)/100,2))),0)</f>
        <v>2.52</v>
      </c>
      <c r="AG475" s="203">
        <f t="shared" ca="1" si="60"/>
        <v>10303</v>
      </c>
      <c r="AJ475" s="460" t="str">
        <f>IFERROR(VLOOKUP(申込書!$C$30,★業種!$D$2:$E$87,2,FALSE),"")</f>
        <v>1003</v>
      </c>
      <c r="AK475" s="460" t="str">
        <f ca="1">IF(申込書!$C$36="◎",IF(OR(D475="浜坂・温泉",D475="美方・村岡",D475="香住",D475="岡山",D475="大阪"),"",IF(LEFT(F475)="D","◎",IF(AG475=0,"",IFERROR(IF(VLOOKUP(AG475,★仕入先!$A$2:$C$211,3,FALSE)=0,"","◎"),"")))),"")</f>
        <v/>
      </c>
      <c r="AL475" s="460">
        <f>申込書!$H$14</f>
        <v>0</v>
      </c>
      <c r="AM475" s="460" t="str">
        <f>申込書!$C$32</f>
        <v>B4（折り無し）</v>
      </c>
      <c r="AN475" s="460" t="str">
        <f>VLOOKUP(AM475,★サイズ表記!$D$4:$E$55,2,FALSE)</f>
        <v>1001</v>
      </c>
      <c r="AO475" s="460">
        <f>IF(C475&lt;&gt;"⑧兵庫",VLOOKUP(LEFT(F475),★新聞!$A$4:$B$12,2,FALSE),IF(LEFT(F475)&lt;&gt;"S",VLOOKUP(LEFT(F475),★新聞!$A$4:$B$12,2,FALSE),VLOOKUP("X",★新聞!$A$4:$B$12,2,FALSE)))</f>
        <v>5</v>
      </c>
      <c r="AP475" s="460" t="str">
        <f t="shared" ca="1" si="61"/>
        <v>0</v>
      </c>
      <c r="AQ475" s="460" t="str">
        <f>IF(申込書!$C$38="","",申込書!$C$38)</f>
        <v/>
      </c>
    </row>
    <row r="476" spans="1:43">
      <c r="A476" s="463">
        <f t="shared" si="62"/>
        <v>475</v>
      </c>
      <c r="B476" s="463" t="str">
        <f t="shared" si="55"/>
        <v>東部</v>
      </c>
      <c r="C476" s="464" t="s">
        <v>1151</v>
      </c>
      <c r="D476" s="464" t="s">
        <v>1602</v>
      </c>
      <c r="E476" s="464">
        <f>VLOOKUP(D476,★折込地区!$A$2:$D$10,4,FALSE)</f>
        <v>2</v>
      </c>
      <c r="F476" s="464" t="s">
        <v>487</v>
      </c>
      <c r="G476" s="464" t="str">
        <f>INDEX(★新聞!$E$4:$I$12, MATCH(LEFT(F476),★新聞!$A$4:$A$12,0), MATCH(LEFT(W476),★新聞!$E$3:$I$3,0))</f>
        <v>AJ</v>
      </c>
      <c r="H476" s="555" t="s">
        <v>1105</v>
      </c>
      <c r="I476" s="464" cm="1">
        <f t="array" ref="I476">IFERROR(INDEX(★原価率!$A$2:$E$50,MATCH($C476&amp;$H476,★原価率!$A$2:$A$50&amp;★原価率!$B$2:$B$50,0),3),0)</f>
        <v>78</v>
      </c>
      <c r="J476" s="464" cm="1">
        <f t="array" ref="J476">IFERROR(INDEX(★原価率!$A$2:$E$50,MATCH($C476&amp;$H476,★原価率!$A$2:$A$50&amp;★原価率!$B$2:$B$50,0),4),0)</f>
        <v>82</v>
      </c>
      <c r="K476" s="464" cm="1">
        <f t="array" ref="K476">IFERROR(INDEX(★原価率!$A$2:$E$50,MATCH($C476&amp;$H476,★原価率!$A$2:$A$50&amp;★原価率!$B$2:$B$50,0),5),0)</f>
        <v>100</v>
      </c>
      <c r="L476" s="528">
        <f>IFERROR(VLOOKUP(W476,★商品!$A$1:$H$1231,8,FALSE),0)</f>
        <v>2.8</v>
      </c>
      <c r="M476" s="203" t="str">
        <f ca="1">CONCATENATE(VLOOKUP(B476,★営業所!$A$2:$B$5,2,FALSE),TEXT(NOW(),"yyyy"))</f>
        <v>T2023</v>
      </c>
      <c r="N476" s="203">
        <v>1</v>
      </c>
      <c r="O476" s="203">
        <v>0</v>
      </c>
      <c r="P476" s="213">
        <f>申込書!$B$6</f>
        <v>0</v>
      </c>
      <c r="Q476" s="203">
        <f>申込書!$C$34</f>
        <v>1000040</v>
      </c>
      <c r="R476" s="203">
        <v>0</v>
      </c>
      <c r="U476" s="203">
        <f>VLOOKUP(B476,★営業所!$A$2:$C$5,3,FALSE)</f>
        <v>8</v>
      </c>
      <c r="V476" s="203">
        <f>申込書!$B$9</f>
        <v>0</v>
      </c>
      <c r="W476" s="203" t="str">
        <f>CONCATENATE(VLOOKUP(B476,★営業所!$A$2:$B$5,2,FALSE),VLOOKUP(申込書!$C$32,★サイズ表記!$D$4:$E$55,2,FALSE),VLOOKUP(D476,★折込地区!$A$2:$B$11,2,FALSE))</f>
        <v>T1001Kry</v>
      </c>
      <c r="X476" s="203" t="str">
        <f>CONCATENATE(申込書!$B$9," ",VLOOKUP(RIGHT(W476,3),★折込地区!$B$2:$C$10,2,FALSE),"")</f>
        <v xml:space="preserve"> 倉吉</v>
      </c>
      <c r="Z476" s="206">
        <f t="shared" ca="1" si="56"/>
        <v>0</v>
      </c>
      <c r="AB476" s="383">
        <f t="shared" si="57"/>
        <v>2.8</v>
      </c>
      <c r="AC476" s="203" t="str">
        <f t="shared" si="58"/>
        <v>P1001</v>
      </c>
      <c r="AD476" s="203" t="str">
        <f>VLOOKUP(AC476,★原価商品!$E$6:$F$349,2,FALSE)</f>
        <v>産経/B4（折り無し）</v>
      </c>
      <c r="AE476" s="203">
        <f t="shared" ca="1" si="59"/>
        <v>0</v>
      </c>
      <c r="AF476" s="383">
        <f ca="1">IFERROR(IF(VLOOKUP(申込書!$C$32,★サイズ表記!$F$4:$H$55,3,FALSE)="切り捨て",ROUNDDOWN(L476*IF(AK476="◎",I476,J476)/100,2),IF(VLOOKUP(申込書!$C$32,★サイズ表記!$F$4:$H$55,3,FALSE)="切り上げ",ROUNDUP(L476*IF(AK476="◎",I476,J476)/100,2),ROUND(L476*IF(AK476="◎",I476,J476)/100,2))),0)</f>
        <v>2.29</v>
      </c>
      <c r="AG476" s="203">
        <f t="shared" ca="1" si="60"/>
        <v>10303</v>
      </c>
      <c r="AJ476" s="460" t="str">
        <f>IFERROR(VLOOKUP(申込書!$C$30,★業種!$D$2:$E$87,2,FALSE),"")</f>
        <v>1003</v>
      </c>
      <c r="AK476" s="460" t="str">
        <f ca="1">IF(申込書!$C$36="◎",IF(OR(D476="浜坂・温泉",D476="美方・村岡",D476="香住",D476="岡山",D476="大阪"),"",IF(LEFT(F476)="D","◎",IF(AG476=0,"",IFERROR(IF(VLOOKUP(AG476,★仕入先!$A$2:$C$211,3,FALSE)=0,"","◎"),"")))),"")</f>
        <v/>
      </c>
      <c r="AL476" s="460">
        <f>申込書!$H$14</f>
        <v>0</v>
      </c>
      <c r="AM476" s="460" t="str">
        <f>申込書!$C$32</f>
        <v>B4（折り無し）</v>
      </c>
      <c r="AN476" s="460" t="str">
        <f>VLOOKUP(AM476,★サイズ表記!$D$4:$E$55,2,FALSE)</f>
        <v>1001</v>
      </c>
      <c r="AO476" s="460">
        <f>IF(C476&lt;&gt;"⑧兵庫",VLOOKUP(LEFT(F476),★新聞!$A$4:$B$12,2,FALSE),IF(LEFT(F476)&lt;&gt;"S",VLOOKUP(LEFT(F476),★新聞!$A$4:$B$12,2,FALSE),VLOOKUP("X",★新聞!$A$4:$B$12,2,FALSE)))</f>
        <v>5</v>
      </c>
      <c r="AP476" s="460" t="str">
        <f t="shared" ca="1" si="61"/>
        <v>0</v>
      </c>
      <c r="AQ476" s="460" t="str">
        <f>IF(申込書!$C$38="","",申込書!$C$38)</f>
        <v/>
      </c>
    </row>
    <row r="477" spans="1:43">
      <c r="A477" s="463">
        <f t="shared" si="62"/>
        <v>476</v>
      </c>
      <c r="B477" s="463" t="str">
        <f t="shared" si="55"/>
        <v>東部</v>
      </c>
      <c r="C477" s="464" t="s">
        <v>1151</v>
      </c>
      <c r="D477" s="464" t="s">
        <v>1602</v>
      </c>
      <c r="E477" s="464">
        <f>VLOOKUP(D477,★折込地区!$A$2:$D$10,4,FALSE)</f>
        <v>2</v>
      </c>
      <c r="F477" s="464" t="s">
        <v>488</v>
      </c>
      <c r="G477" s="464" t="str">
        <f>INDEX(★新聞!$E$4:$I$12, MATCH(LEFT(F477),★新聞!$A$4:$A$12,0), MATCH(LEFT(W477),★新聞!$E$3:$I$3,0))</f>
        <v>AJ</v>
      </c>
      <c r="H477" s="555" t="s">
        <v>1105</v>
      </c>
      <c r="I477" s="464" cm="1">
        <f t="array" ref="I477">IFERROR(INDEX(★原価率!$A$2:$E$50,MATCH($C477&amp;$H477,★原価率!$A$2:$A$50&amp;★原価率!$B$2:$B$50,0),3),0)</f>
        <v>78</v>
      </c>
      <c r="J477" s="464" cm="1">
        <f t="array" ref="J477">IFERROR(INDEX(★原価率!$A$2:$E$50,MATCH($C477&amp;$H477,★原価率!$A$2:$A$50&amp;★原価率!$B$2:$B$50,0),4),0)</f>
        <v>82</v>
      </c>
      <c r="K477" s="464" cm="1">
        <f t="array" ref="K477">IFERROR(INDEX(★原価率!$A$2:$E$50,MATCH($C477&amp;$H477,★原価率!$A$2:$A$50&amp;★原価率!$B$2:$B$50,0),5),0)</f>
        <v>100</v>
      </c>
      <c r="L477" s="528">
        <f>IFERROR(VLOOKUP(W477,★商品!$A$1:$H$1231,8,FALSE),0)</f>
        <v>2.8</v>
      </c>
      <c r="M477" s="203" t="str">
        <f ca="1">CONCATENATE(VLOOKUP(B477,★営業所!$A$2:$B$5,2,FALSE),TEXT(NOW(),"yyyy"))</f>
        <v>T2023</v>
      </c>
      <c r="N477" s="203">
        <v>1</v>
      </c>
      <c r="O477" s="203">
        <v>0</v>
      </c>
      <c r="P477" s="213">
        <f>申込書!$B$6</f>
        <v>0</v>
      </c>
      <c r="Q477" s="203">
        <f>申込書!$C$34</f>
        <v>1000040</v>
      </c>
      <c r="R477" s="203">
        <v>0</v>
      </c>
      <c r="U477" s="203">
        <f>VLOOKUP(B477,★営業所!$A$2:$C$5,3,FALSE)</f>
        <v>8</v>
      </c>
      <c r="V477" s="203">
        <f>申込書!$B$9</f>
        <v>0</v>
      </c>
      <c r="W477" s="203" t="str">
        <f>CONCATENATE(VLOOKUP(B477,★営業所!$A$2:$B$5,2,FALSE),VLOOKUP(申込書!$C$32,★サイズ表記!$D$4:$E$55,2,FALSE),VLOOKUP(D477,★折込地区!$A$2:$B$11,2,FALSE))</f>
        <v>T1001Kry</v>
      </c>
      <c r="X477" s="203" t="str">
        <f>CONCATENATE(申込書!$B$9," ",VLOOKUP(RIGHT(W477,3),★折込地区!$B$2:$C$10,2,FALSE),"")</f>
        <v xml:space="preserve"> 倉吉</v>
      </c>
      <c r="Z477" s="206">
        <f t="shared" ca="1" si="56"/>
        <v>0</v>
      </c>
      <c r="AB477" s="383">
        <f t="shared" si="57"/>
        <v>2.8</v>
      </c>
      <c r="AC477" s="203" t="str">
        <f t="shared" si="58"/>
        <v>P1001</v>
      </c>
      <c r="AD477" s="203" t="str">
        <f>VLOOKUP(AC477,★原価商品!$E$6:$F$349,2,FALSE)</f>
        <v>産経/B4（折り無し）</v>
      </c>
      <c r="AE477" s="203">
        <f t="shared" ca="1" si="59"/>
        <v>0</v>
      </c>
      <c r="AF477" s="383">
        <f ca="1">IFERROR(IF(VLOOKUP(申込書!$C$32,★サイズ表記!$F$4:$H$55,3,FALSE)="切り捨て",ROUNDDOWN(L477*IF(AK477="◎",I477,J477)/100,2),IF(VLOOKUP(申込書!$C$32,★サイズ表記!$F$4:$H$55,3,FALSE)="切り上げ",ROUNDUP(L477*IF(AK477="◎",I477,J477)/100,2),ROUND(L477*IF(AK477="◎",I477,J477)/100,2))),0)</f>
        <v>2.29</v>
      </c>
      <c r="AG477" s="203">
        <f t="shared" ca="1" si="60"/>
        <v>10303</v>
      </c>
      <c r="AJ477" s="460" t="str">
        <f>IFERROR(VLOOKUP(申込書!$C$30,★業種!$D$2:$E$87,2,FALSE),"")</f>
        <v>1003</v>
      </c>
      <c r="AK477" s="460" t="str">
        <f ca="1">IF(申込書!$C$36="◎",IF(OR(D477="浜坂・温泉",D477="美方・村岡",D477="香住",D477="岡山",D477="大阪"),"",IF(LEFT(F477)="D","◎",IF(AG477=0,"",IFERROR(IF(VLOOKUP(AG477,★仕入先!$A$2:$C$211,3,FALSE)=0,"","◎"),"")))),"")</f>
        <v/>
      </c>
      <c r="AL477" s="460">
        <f>申込書!$H$14</f>
        <v>0</v>
      </c>
      <c r="AM477" s="460" t="str">
        <f>申込書!$C$32</f>
        <v>B4（折り無し）</v>
      </c>
      <c r="AN477" s="460" t="str">
        <f>VLOOKUP(AM477,★サイズ表記!$D$4:$E$55,2,FALSE)</f>
        <v>1001</v>
      </c>
      <c r="AO477" s="460">
        <f>IF(C477&lt;&gt;"⑧兵庫",VLOOKUP(LEFT(F477),★新聞!$A$4:$B$12,2,FALSE),IF(LEFT(F477)&lt;&gt;"S",VLOOKUP(LEFT(F477),★新聞!$A$4:$B$12,2,FALSE),VLOOKUP("X",★新聞!$A$4:$B$12,2,FALSE)))</f>
        <v>5</v>
      </c>
      <c r="AP477" s="460" t="str">
        <f t="shared" ca="1" si="61"/>
        <v>0</v>
      </c>
      <c r="AQ477" s="460" t="str">
        <f>IF(申込書!$C$38="","",申込書!$C$38)</f>
        <v/>
      </c>
    </row>
    <row r="478" spans="1:43">
      <c r="A478" s="463">
        <f t="shared" si="62"/>
        <v>477</v>
      </c>
      <c r="B478" s="463" t="str">
        <f t="shared" si="55"/>
        <v>東部</v>
      </c>
      <c r="C478" s="464" t="s">
        <v>1151</v>
      </c>
      <c r="D478" s="464" t="s">
        <v>1602</v>
      </c>
      <c r="E478" s="464">
        <f>VLOOKUP(D478,★折込地区!$A$2:$D$10,4,FALSE)</f>
        <v>2</v>
      </c>
      <c r="F478" s="464" t="s">
        <v>491</v>
      </c>
      <c r="G478" s="464" t="str">
        <f>INDEX(★新聞!$E$4:$I$12, MATCH(LEFT(F478),★新聞!$A$4:$A$12,0), MATCH(LEFT(W478),★新聞!$E$3:$I$3,0))</f>
        <v>AM</v>
      </c>
      <c r="H478" s="475" t="s">
        <v>1153</v>
      </c>
      <c r="I478" s="464" cm="1">
        <f t="array" ref="I478">IFERROR(INDEX(★原価率!$A$2:$E$50,MATCH($C478&amp;$H478,★原価率!$A$2:$A$50&amp;★原価率!$B$2:$B$50,0),3),0)</f>
        <v>90</v>
      </c>
      <c r="J478" s="464" cm="1">
        <f t="array" ref="J478">IFERROR(INDEX(★原価率!$A$2:$E$50,MATCH($C478&amp;$H478,★原価率!$A$2:$A$50&amp;★原価率!$B$2:$B$50,0),4),0)</f>
        <v>90</v>
      </c>
      <c r="K478" s="464" cm="1">
        <f t="array" ref="K478">IFERROR(INDEX(★原価率!$A$2:$E$50,MATCH($C478&amp;$H478,★原価率!$A$2:$A$50&amp;★原価率!$B$2:$B$50,0),5),0)</f>
        <v>100</v>
      </c>
      <c r="L478" s="528">
        <f>IFERROR(VLOOKUP(W478,★商品!$A$1:$H$1231,8,FALSE),0)</f>
        <v>2.8</v>
      </c>
      <c r="M478" s="203" t="str">
        <f ca="1">CONCATENATE(VLOOKUP(B478,★営業所!$A$2:$B$5,2,FALSE),TEXT(NOW(),"yyyy"))</f>
        <v>T2023</v>
      </c>
      <c r="N478" s="203">
        <v>1</v>
      </c>
      <c r="O478" s="203">
        <v>0</v>
      </c>
      <c r="P478" s="213">
        <f>申込書!$B$6</f>
        <v>0</v>
      </c>
      <c r="Q478" s="203">
        <f>申込書!$C$34</f>
        <v>1000040</v>
      </c>
      <c r="R478" s="203">
        <v>0</v>
      </c>
      <c r="U478" s="203">
        <f>VLOOKUP(B478,★営業所!$A$2:$C$5,3,FALSE)</f>
        <v>8</v>
      </c>
      <c r="V478" s="203">
        <f>申込書!$B$9</f>
        <v>0</v>
      </c>
      <c r="W478" s="203" t="str">
        <f>CONCATENATE(VLOOKUP(B478,★営業所!$A$2:$B$5,2,FALSE),VLOOKUP(申込書!$C$32,★サイズ表記!$D$4:$E$55,2,FALSE),VLOOKUP(D478,★折込地区!$A$2:$B$11,2,FALSE))</f>
        <v>T1001Kry</v>
      </c>
      <c r="X478" s="203" t="str">
        <f>CONCATENATE(申込書!$B$9," ",VLOOKUP(RIGHT(W478,3),★折込地区!$B$2:$C$10,2,FALSE),"")</f>
        <v xml:space="preserve"> 倉吉</v>
      </c>
      <c r="Z478" s="206">
        <f t="shared" ca="1" si="56"/>
        <v>0</v>
      </c>
      <c r="AB478" s="383">
        <f t="shared" si="57"/>
        <v>2.8</v>
      </c>
      <c r="AC478" s="203" t="str">
        <f t="shared" si="58"/>
        <v>S1001</v>
      </c>
      <c r="AD478" s="203" t="str">
        <f>VLOOKUP(AC478,★原価商品!$E$6:$F$349,2,FALSE)</f>
        <v>山陰中央/B4（折り無し）</v>
      </c>
      <c r="AE478" s="203">
        <f t="shared" ca="1" si="59"/>
        <v>0</v>
      </c>
      <c r="AF478" s="383">
        <f ca="1">IFERROR(IF(VLOOKUP(申込書!$C$32,★サイズ表記!$F$4:$H$55,3,FALSE)="切り捨て",ROUNDDOWN(L478*IF(AK478="◎",I478,J478)/100,2),IF(VLOOKUP(申込書!$C$32,★サイズ表記!$F$4:$H$55,3,FALSE)="切り上げ",ROUNDUP(L478*IF(AK478="◎",I478,J478)/100,2),ROUND(L478*IF(AK478="◎",I478,J478)/100,2))),0)</f>
        <v>2.52</v>
      </c>
      <c r="AG478" s="203">
        <f t="shared" ca="1" si="60"/>
        <v>10303</v>
      </c>
      <c r="AJ478" s="460" t="str">
        <f>IFERROR(VLOOKUP(申込書!$C$30,★業種!$D$2:$E$87,2,FALSE),"")</f>
        <v>1003</v>
      </c>
      <c r="AK478" s="460" t="str">
        <f ca="1">IF(申込書!$C$36="◎",IF(OR(D478="浜坂・温泉",D478="美方・村岡",D478="香住",D478="岡山",D478="大阪"),"",IF(LEFT(F478)="D","◎",IF(AG478=0,"",IFERROR(IF(VLOOKUP(AG478,★仕入先!$A$2:$C$211,3,FALSE)=0,"","◎"),"")))),"")</f>
        <v/>
      </c>
      <c r="AL478" s="460">
        <f>申込書!$H$14</f>
        <v>0</v>
      </c>
      <c r="AM478" s="460" t="str">
        <f>申込書!$C$32</f>
        <v>B4（折り無し）</v>
      </c>
      <c r="AN478" s="460" t="str">
        <f>VLOOKUP(AM478,★サイズ表記!$D$4:$E$55,2,FALSE)</f>
        <v>1001</v>
      </c>
      <c r="AO478" s="460">
        <f>IF(C478&lt;&gt;"⑧兵庫",VLOOKUP(LEFT(F478),★新聞!$A$4:$B$12,2,FALSE),IF(LEFT(F478)&lt;&gt;"S",VLOOKUP(LEFT(F478),★新聞!$A$4:$B$12,2,FALSE),VLOOKUP("X",★新聞!$A$4:$B$12,2,FALSE)))</f>
        <v>6</v>
      </c>
      <c r="AP478" s="460" t="str">
        <f t="shared" ca="1" si="61"/>
        <v>0</v>
      </c>
      <c r="AQ478" s="460" t="str">
        <f>IF(申込書!$C$38="","",申込書!$C$38)</f>
        <v/>
      </c>
    </row>
    <row r="479" spans="1:43">
      <c r="A479" s="463">
        <f t="shared" si="62"/>
        <v>478</v>
      </c>
      <c r="B479" s="463" t="str">
        <f t="shared" si="55"/>
        <v>東部</v>
      </c>
      <c r="C479" s="464" t="s">
        <v>1151</v>
      </c>
      <c r="D479" s="464" t="s">
        <v>1602</v>
      </c>
      <c r="E479" s="464">
        <f>VLOOKUP(D479,★折込地区!$A$2:$D$10,4,FALSE)</f>
        <v>2</v>
      </c>
      <c r="F479" s="464" t="s">
        <v>492</v>
      </c>
      <c r="G479" s="464" t="str">
        <f>INDEX(★新聞!$E$4:$I$12, MATCH(LEFT(F479),★新聞!$A$4:$A$12,0), MATCH(LEFT(W479),★新聞!$E$3:$I$3,0))</f>
        <v>AM</v>
      </c>
      <c r="H479" s="475" t="s">
        <v>1103</v>
      </c>
      <c r="I479" s="464" cm="1">
        <f t="array" ref="I479">IFERROR(INDEX(★原価率!$A$2:$E$50,MATCH($C479&amp;$H479,★原価率!$A$2:$A$50&amp;★原価率!$B$2:$B$50,0),3),0)</f>
        <v>86</v>
      </c>
      <c r="J479" s="464" cm="1">
        <f t="array" ref="J479">IFERROR(INDEX(★原価率!$A$2:$E$50,MATCH($C479&amp;$H479,★原価率!$A$2:$A$50&amp;★原価率!$B$2:$B$50,0),4),0)</f>
        <v>86</v>
      </c>
      <c r="K479" s="464" cm="1">
        <f t="array" ref="K479">IFERROR(INDEX(★原価率!$A$2:$E$50,MATCH($C479&amp;$H479,★原価率!$A$2:$A$50&amp;★原価率!$B$2:$B$50,0),5),0)</f>
        <v>100</v>
      </c>
      <c r="L479" s="528">
        <f>IFERROR(VLOOKUP(W479,★商品!$A$1:$H$1231,8,FALSE),0)</f>
        <v>2.8</v>
      </c>
      <c r="M479" s="203" t="str">
        <f ca="1">CONCATENATE(VLOOKUP(B479,★営業所!$A$2:$B$5,2,FALSE),TEXT(NOW(),"yyyy"))</f>
        <v>T2023</v>
      </c>
      <c r="N479" s="203">
        <v>1</v>
      </c>
      <c r="O479" s="203">
        <v>0</v>
      </c>
      <c r="P479" s="213">
        <f>申込書!$B$6</f>
        <v>0</v>
      </c>
      <c r="Q479" s="203">
        <f>申込書!$C$34</f>
        <v>1000040</v>
      </c>
      <c r="R479" s="203">
        <v>0</v>
      </c>
      <c r="U479" s="203">
        <f>VLOOKUP(B479,★営業所!$A$2:$C$5,3,FALSE)</f>
        <v>8</v>
      </c>
      <c r="V479" s="203">
        <f>申込書!$B$9</f>
        <v>0</v>
      </c>
      <c r="W479" s="203" t="str">
        <f>CONCATENATE(VLOOKUP(B479,★営業所!$A$2:$B$5,2,FALSE),VLOOKUP(申込書!$C$32,★サイズ表記!$D$4:$E$55,2,FALSE),VLOOKUP(D479,★折込地区!$A$2:$B$11,2,FALSE))</f>
        <v>T1001Kry</v>
      </c>
      <c r="X479" s="203" t="str">
        <f>CONCATENATE(申込書!$B$9," ",VLOOKUP(RIGHT(W479,3),★折込地区!$B$2:$C$10,2,FALSE),"")</f>
        <v xml:space="preserve"> 倉吉</v>
      </c>
      <c r="Z479" s="206">
        <f t="shared" ca="1" si="56"/>
        <v>0</v>
      </c>
      <c r="AB479" s="383">
        <f t="shared" si="57"/>
        <v>2.8</v>
      </c>
      <c r="AC479" s="203" t="str">
        <f t="shared" si="58"/>
        <v>S1001</v>
      </c>
      <c r="AD479" s="203" t="str">
        <f>VLOOKUP(AC479,★原価商品!$E$6:$F$349,2,FALSE)</f>
        <v>山陰中央/B4（折り無し）</v>
      </c>
      <c r="AE479" s="203">
        <f t="shared" ca="1" si="59"/>
        <v>0</v>
      </c>
      <c r="AF479" s="383">
        <f ca="1">IFERROR(IF(VLOOKUP(申込書!$C$32,★サイズ表記!$F$4:$H$55,3,FALSE)="切り捨て",ROUNDDOWN(L479*IF(AK479="◎",I479,J479)/100,2),IF(VLOOKUP(申込書!$C$32,★サイズ表記!$F$4:$H$55,3,FALSE)="切り上げ",ROUNDUP(L479*IF(AK479="◎",I479,J479)/100,2),ROUND(L479*IF(AK479="◎",I479,J479)/100,2))),0)</f>
        <v>2.4</v>
      </c>
      <c r="AG479" s="203">
        <f t="shared" ca="1" si="60"/>
        <v>0</v>
      </c>
      <c r="AJ479" s="460" t="str">
        <f>IFERROR(VLOOKUP(申込書!$C$30,★業種!$D$2:$E$87,2,FALSE),"")</f>
        <v>1003</v>
      </c>
      <c r="AK479" s="460" t="str">
        <f ca="1">IF(申込書!$C$36="◎",IF(OR(D479="浜坂・温泉",D479="美方・村岡",D479="香住",D479="岡山",D479="大阪"),"",IF(LEFT(F479)="D","◎",IF(AG479=0,"",IFERROR(IF(VLOOKUP(AG479,★仕入先!$A$2:$C$211,3,FALSE)=0,"","◎"),"")))),"")</f>
        <v/>
      </c>
      <c r="AL479" s="460">
        <f>申込書!$H$14</f>
        <v>0</v>
      </c>
      <c r="AM479" s="460" t="str">
        <f>申込書!$C$32</f>
        <v>B4（折り無し）</v>
      </c>
      <c r="AN479" s="460" t="str">
        <f>VLOOKUP(AM479,★サイズ表記!$D$4:$E$55,2,FALSE)</f>
        <v>1001</v>
      </c>
      <c r="AO479" s="460">
        <f>IF(C479&lt;&gt;"⑧兵庫",VLOOKUP(LEFT(F479),★新聞!$A$4:$B$12,2,FALSE),IF(LEFT(F479)&lt;&gt;"S",VLOOKUP(LEFT(F479),★新聞!$A$4:$B$12,2,FALSE),VLOOKUP("X",★新聞!$A$4:$B$12,2,FALSE)))</f>
        <v>6</v>
      </c>
      <c r="AP479" s="460" t="str">
        <f t="shared" ca="1" si="61"/>
        <v>0</v>
      </c>
      <c r="AQ479" s="460" t="str">
        <f>IF(申込書!$C$38="","",申込書!$C$38)</f>
        <v/>
      </c>
    </row>
    <row r="480" spans="1:43">
      <c r="A480" s="463">
        <f t="shared" si="62"/>
        <v>479</v>
      </c>
      <c r="B480" s="463" t="str">
        <f t="shared" si="55"/>
        <v>東部</v>
      </c>
      <c r="C480" s="464" t="s">
        <v>1151</v>
      </c>
      <c r="D480" s="464" t="s">
        <v>1602</v>
      </c>
      <c r="E480" s="464">
        <f>VLOOKUP(D480,★折込地区!$A$2:$D$10,4,FALSE)</f>
        <v>2</v>
      </c>
      <c r="F480" s="464" t="s">
        <v>493</v>
      </c>
      <c r="G480" s="464" t="str">
        <f>INDEX(★新聞!$E$4:$I$12, MATCH(LEFT(F480),★新聞!$A$4:$A$12,0), MATCH(LEFT(W480),★新聞!$E$3:$I$3,0))</f>
        <v>AM</v>
      </c>
      <c r="H480" s="475" t="s">
        <v>1103</v>
      </c>
      <c r="I480" s="464" cm="1">
        <f t="array" ref="I480">IFERROR(INDEX(★原価率!$A$2:$E$50,MATCH($C480&amp;$H480,★原価率!$A$2:$A$50&amp;★原価率!$B$2:$B$50,0),3),0)</f>
        <v>86</v>
      </c>
      <c r="J480" s="464" cm="1">
        <f t="array" ref="J480">IFERROR(INDEX(★原価率!$A$2:$E$50,MATCH($C480&amp;$H480,★原価率!$A$2:$A$50&amp;★原価率!$B$2:$B$50,0),4),0)</f>
        <v>86</v>
      </c>
      <c r="K480" s="464" cm="1">
        <f t="array" ref="K480">IFERROR(INDEX(★原価率!$A$2:$E$50,MATCH($C480&amp;$H480,★原価率!$A$2:$A$50&amp;★原価率!$B$2:$B$50,0),5),0)</f>
        <v>100</v>
      </c>
      <c r="L480" s="528">
        <f>IFERROR(VLOOKUP(W480,★商品!$A$1:$H$1231,8,FALSE),0)</f>
        <v>2.8</v>
      </c>
      <c r="M480" s="203" t="str">
        <f ca="1">CONCATENATE(VLOOKUP(B480,★営業所!$A$2:$B$5,2,FALSE),TEXT(NOW(),"yyyy"))</f>
        <v>T2023</v>
      </c>
      <c r="N480" s="203">
        <v>1</v>
      </c>
      <c r="O480" s="203">
        <v>0</v>
      </c>
      <c r="P480" s="213">
        <f>申込書!$B$6</f>
        <v>0</v>
      </c>
      <c r="Q480" s="203">
        <f>申込書!$C$34</f>
        <v>1000040</v>
      </c>
      <c r="R480" s="203">
        <v>0</v>
      </c>
      <c r="U480" s="203">
        <f>VLOOKUP(B480,★営業所!$A$2:$C$5,3,FALSE)</f>
        <v>8</v>
      </c>
      <c r="V480" s="203">
        <f>申込書!$B$9</f>
        <v>0</v>
      </c>
      <c r="W480" s="203" t="str">
        <f>CONCATENATE(VLOOKUP(B480,★営業所!$A$2:$B$5,2,FALSE),VLOOKUP(申込書!$C$32,★サイズ表記!$D$4:$E$55,2,FALSE),VLOOKUP(D480,★折込地区!$A$2:$B$11,2,FALSE))</f>
        <v>T1001Kry</v>
      </c>
      <c r="X480" s="203" t="str">
        <f>CONCATENATE(申込書!$B$9," ",VLOOKUP(RIGHT(W480,3),★折込地区!$B$2:$C$10,2,FALSE),"")</f>
        <v xml:space="preserve"> 倉吉</v>
      </c>
      <c r="Z480" s="206">
        <f t="shared" ca="1" si="56"/>
        <v>0</v>
      </c>
      <c r="AB480" s="383">
        <f t="shared" si="57"/>
        <v>2.8</v>
      </c>
      <c r="AC480" s="203" t="str">
        <f t="shared" si="58"/>
        <v>S1001</v>
      </c>
      <c r="AD480" s="203" t="str">
        <f>VLOOKUP(AC480,★原価商品!$E$6:$F$349,2,FALSE)</f>
        <v>山陰中央/B4（折り無し）</v>
      </c>
      <c r="AE480" s="203">
        <f t="shared" ca="1" si="59"/>
        <v>0</v>
      </c>
      <c r="AF480" s="383">
        <f ca="1">IFERROR(IF(VLOOKUP(申込書!$C$32,★サイズ表記!$F$4:$H$55,3,FALSE)="切り捨て",ROUNDDOWN(L480*IF(AK480="◎",I480,J480)/100,2),IF(VLOOKUP(申込書!$C$32,★サイズ表記!$F$4:$H$55,3,FALSE)="切り上げ",ROUNDUP(L480*IF(AK480="◎",I480,J480)/100,2),ROUND(L480*IF(AK480="◎",I480,J480)/100,2))),0)</f>
        <v>2.4</v>
      </c>
      <c r="AG480" s="203">
        <f t="shared" ca="1" si="60"/>
        <v>0</v>
      </c>
      <c r="AJ480" s="460" t="str">
        <f>IFERROR(VLOOKUP(申込書!$C$30,★業種!$D$2:$E$87,2,FALSE),"")</f>
        <v>1003</v>
      </c>
      <c r="AK480" s="460" t="str">
        <f ca="1">IF(申込書!$C$36="◎",IF(OR(D480="浜坂・温泉",D480="美方・村岡",D480="香住",D480="岡山",D480="大阪"),"",IF(LEFT(F480)="D","◎",IF(AG480=0,"",IFERROR(IF(VLOOKUP(AG480,★仕入先!$A$2:$C$211,3,FALSE)=0,"","◎"),"")))),"")</f>
        <v/>
      </c>
      <c r="AL480" s="460">
        <f>申込書!$H$14</f>
        <v>0</v>
      </c>
      <c r="AM480" s="460" t="str">
        <f>申込書!$C$32</f>
        <v>B4（折り無し）</v>
      </c>
      <c r="AN480" s="460" t="str">
        <f>VLOOKUP(AM480,★サイズ表記!$D$4:$E$55,2,FALSE)</f>
        <v>1001</v>
      </c>
      <c r="AO480" s="460">
        <f>IF(C480&lt;&gt;"⑧兵庫",VLOOKUP(LEFT(F480),★新聞!$A$4:$B$12,2,FALSE),IF(LEFT(F480)&lt;&gt;"S",VLOOKUP(LEFT(F480),★新聞!$A$4:$B$12,2,FALSE),VLOOKUP("X",★新聞!$A$4:$B$12,2,FALSE)))</f>
        <v>6</v>
      </c>
      <c r="AP480" s="460" t="str">
        <f t="shared" ca="1" si="61"/>
        <v>0</v>
      </c>
      <c r="AQ480" s="460" t="str">
        <f>IF(申込書!$C$38="","",申込書!$C$38)</f>
        <v/>
      </c>
    </row>
    <row r="481" spans="1:43">
      <c r="A481" s="463">
        <f t="shared" si="62"/>
        <v>480</v>
      </c>
      <c r="B481" s="463" t="str">
        <f t="shared" si="55"/>
        <v>東部</v>
      </c>
      <c r="C481" s="464" t="s">
        <v>1151</v>
      </c>
      <c r="D481" s="464" t="s">
        <v>1602</v>
      </c>
      <c r="E481" s="464">
        <f>VLOOKUP(D481,★折込地区!$A$2:$D$10,4,FALSE)</f>
        <v>2</v>
      </c>
      <c r="F481" s="464" t="s">
        <v>494</v>
      </c>
      <c r="G481" s="464" t="str">
        <f>INDEX(★新聞!$E$4:$I$12, MATCH(LEFT(F481),★新聞!$A$4:$A$12,0), MATCH(LEFT(W481),★新聞!$E$3:$I$3,0))</f>
        <v>AM</v>
      </c>
      <c r="H481" s="475" t="s">
        <v>1103</v>
      </c>
      <c r="I481" s="464" cm="1">
        <f t="array" ref="I481">IFERROR(INDEX(★原価率!$A$2:$E$50,MATCH($C481&amp;$H481,★原価率!$A$2:$A$50&amp;★原価率!$B$2:$B$50,0),3),0)</f>
        <v>86</v>
      </c>
      <c r="J481" s="464" cm="1">
        <f t="array" ref="J481">IFERROR(INDEX(★原価率!$A$2:$E$50,MATCH($C481&amp;$H481,★原価率!$A$2:$A$50&amp;★原価率!$B$2:$B$50,0),4),0)</f>
        <v>86</v>
      </c>
      <c r="K481" s="464" cm="1">
        <f t="array" ref="K481">IFERROR(INDEX(★原価率!$A$2:$E$50,MATCH($C481&amp;$H481,★原価率!$A$2:$A$50&amp;★原価率!$B$2:$B$50,0),5),0)</f>
        <v>100</v>
      </c>
      <c r="L481" s="528">
        <f>IFERROR(VLOOKUP(W481,★商品!$A$1:$H$1231,8,FALSE),0)</f>
        <v>2.8</v>
      </c>
      <c r="M481" s="203" t="str">
        <f ca="1">CONCATENATE(VLOOKUP(B481,★営業所!$A$2:$B$5,2,FALSE),TEXT(NOW(),"yyyy"))</f>
        <v>T2023</v>
      </c>
      <c r="N481" s="203">
        <v>1</v>
      </c>
      <c r="O481" s="203">
        <v>0</v>
      </c>
      <c r="P481" s="213">
        <f>申込書!$B$6</f>
        <v>0</v>
      </c>
      <c r="Q481" s="203">
        <f>申込書!$C$34</f>
        <v>1000040</v>
      </c>
      <c r="R481" s="203">
        <v>0</v>
      </c>
      <c r="U481" s="203">
        <f>VLOOKUP(B481,★営業所!$A$2:$C$5,3,FALSE)</f>
        <v>8</v>
      </c>
      <c r="V481" s="203">
        <f>申込書!$B$9</f>
        <v>0</v>
      </c>
      <c r="W481" s="203" t="str">
        <f>CONCATENATE(VLOOKUP(B481,★営業所!$A$2:$B$5,2,FALSE),VLOOKUP(申込書!$C$32,★サイズ表記!$D$4:$E$55,2,FALSE),VLOOKUP(D481,★折込地区!$A$2:$B$11,2,FALSE))</f>
        <v>T1001Kry</v>
      </c>
      <c r="X481" s="203" t="str">
        <f>CONCATENATE(申込書!$B$9," ",VLOOKUP(RIGHT(W481,3),★折込地区!$B$2:$C$10,2,FALSE),"")</f>
        <v xml:space="preserve"> 倉吉</v>
      </c>
      <c r="Z481" s="206">
        <f t="shared" ca="1" si="56"/>
        <v>0</v>
      </c>
      <c r="AB481" s="383">
        <f t="shared" si="57"/>
        <v>2.8</v>
      </c>
      <c r="AC481" s="203" t="str">
        <f t="shared" si="58"/>
        <v>S1001</v>
      </c>
      <c r="AD481" s="203" t="str">
        <f>VLOOKUP(AC481,★原価商品!$E$6:$F$349,2,FALSE)</f>
        <v>山陰中央/B4（折り無し）</v>
      </c>
      <c r="AE481" s="203">
        <f t="shared" ca="1" si="59"/>
        <v>0</v>
      </c>
      <c r="AF481" s="383">
        <f ca="1">IFERROR(IF(VLOOKUP(申込書!$C$32,★サイズ表記!$F$4:$H$55,3,FALSE)="切り捨て",ROUNDDOWN(L481*IF(AK481="◎",I481,J481)/100,2),IF(VLOOKUP(申込書!$C$32,★サイズ表記!$F$4:$H$55,3,FALSE)="切り上げ",ROUNDUP(L481*IF(AK481="◎",I481,J481)/100,2),ROUND(L481*IF(AK481="◎",I481,J481)/100,2))),0)</f>
        <v>2.4</v>
      </c>
      <c r="AG481" s="203">
        <f t="shared" ca="1" si="60"/>
        <v>0</v>
      </c>
      <c r="AJ481" s="460" t="str">
        <f>IFERROR(VLOOKUP(申込書!$C$30,★業種!$D$2:$E$87,2,FALSE),"")</f>
        <v>1003</v>
      </c>
      <c r="AK481" s="460" t="str">
        <f ca="1">IF(申込書!$C$36="◎",IF(OR(D481="浜坂・温泉",D481="美方・村岡",D481="香住",D481="岡山",D481="大阪"),"",IF(LEFT(F481)="D","◎",IF(AG481=0,"",IFERROR(IF(VLOOKUP(AG481,★仕入先!$A$2:$C$211,3,FALSE)=0,"","◎"),"")))),"")</f>
        <v/>
      </c>
      <c r="AL481" s="460">
        <f>申込書!$H$14</f>
        <v>0</v>
      </c>
      <c r="AM481" s="460" t="str">
        <f>申込書!$C$32</f>
        <v>B4（折り無し）</v>
      </c>
      <c r="AN481" s="460" t="str">
        <f>VLOOKUP(AM481,★サイズ表記!$D$4:$E$55,2,FALSE)</f>
        <v>1001</v>
      </c>
      <c r="AO481" s="460">
        <f>IF(C481&lt;&gt;"⑧兵庫",VLOOKUP(LEFT(F481),★新聞!$A$4:$B$12,2,FALSE),IF(LEFT(F481)&lt;&gt;"S",VLOOKUP(LEFT(F481),★新聞!$A$4:$B$12,2,FALSE),VLOOKUP("X",★新聞!$A$4:$B$12,2,FALSE)))</f>
        <v>6</v>
      </c>
      <c r="AP481" s="460" t="str">
        <f t="shared" ca="1" si="61"/>
        <v>0</v>
      </c>
      <c r="AQ481" s="460" t="str">
        <f>IF(申込書!$C$38="","",申込書!$C$38)</f>
        <v/>
      </c>
    </row>
    <row r="482" spans="1:43">
      <c r="A482" s="463">
        <f t="shared" si="62"/>
        <v>481</v>
      </c>
      <c r="B482" s="463" t="str">
        <f t="shared" si="55"/>
        <v>東部</v>
      </c>
      <c r="C482" s="464" t="s">
        <v>1151</v>
      </c>
      <c r="D482" s="464" t="s">
        <v>1602</v>
      </c>
      <c r="E482" s="464">
        <f>VLOOKUP(D482,★折込地区!$A$2:$D$10,4,FALSE)</f>
        <v>2</v>
      </c>
      <c r="F482" s="464" t="s">
        <v>495</v>
      </c>
      <c r="G482" s="464" t="str">
        <f>INDEX(★新聞!$E$4:$I$12, MATCH(LEFT(F482),★新聞!$A$4:$A$12,0), MATCH(LEFT(W482),★新聞!$E$3:$I$3,0))</f>
        <v>AM</v>
      </c>
      <c r="H482" s="475" t="s">
        <v>1103</v>
      </c>
      <c r="I482" s="464" cm="1">
        <f t="array" ref="I482">IFERROR(INDEX(★原価率!$A$2:$E$50,MATCH($C482&amp;$H482,★原価率!$A$2:$A$50&amp;★原価率!$B$2:$B$50,0),3),0)</f>
        <v>86</v>
      </c>
      <c r="J482" s="464" cm="1">
        <f t="array" ref="J482">IFERROR(INDEX(★原価率!$A$2:$E$50,MATCH($C482&amp;$H482,★原価率!$A$2:$A$50&amp;★原価率!$B$2:$B$50,0),4),0)</f>
        <v>86</v>
      </c>
      <c r="K482" s="464" cm="1">
        <f t="array" ref="K482">IFERROR(INDEX(★原価率!$A$2:$E$50,MATCH($C482&amp;$H482,★原価率!$A$2:$A$50&amp;★原価率!$B$2:$B$50,0),5),0)</f>
        <v>100</v>
      </c>
      <c r="L482" s="528">
        <f>IFERROR(VLOOKUP(W482,★商品!$A$1:$H$1231,8,FALSE),0)</f>
        <v>2.8</v>
      </c>
      <c r="M482" s="203" t="str">
        <f ca="1">CONCATENATE(VLOOKUP(B482,★営業所!$A$2:$B$5,2,FALSE),TEXT(NOW(),"yyyy"))</f>
        <v>T2023</v>
      </c>
      <c r="N482" s="203">
        <v>1</v>
      </c>
      <c r="O482" s="203">
        <v>0</v>
      </c>
      <c r="P482" s="213">
        <f>申込書!$B$6</f>
        <v>0</v>
      </c>
      <c r="Q482" s="203">
        <f>申込書!$C$34</f>
        <v>1000040</v>
      </c>
      <c r="R482" s="203">
        <v>0</v>
      </c>
      <c r="U482" s="203">
        <f>VLOOKUP(B482,★営業所!$A$2:$C$5,3,FALSE)</f>
        <v>8</v>
      </c>
      <c r="V482" s="203">
        <f>申込書!$B$9</f>
        <v>0</v>
      </c>
      <c r="W482" s="203" t="str">
        <f>CONCATENATE(VLOOKUP(B482,★営業所!$A$2:$B$5,2,FALSE),VLOOKUP(申込書!$C$32,★サイズ表記!$D$4:$E$55,2,FALSE),VLOOKUP(D482,★折込地区!$A$2:$B$11,2,FALSE))</f>
        <v>T1001Kry</v>
      </c>
      <c r="X482" s="203" t="str">
        <f>CONCATENATE(申込書!$B$9," ",VLOOKUP(RIGHT(W482,3),★折込地区!$B$2:$C$10,2,FALSE),"")</f>
        <v xml:space="preserve"> 倉吉</v>
      </c>
      <c r="Z482" s="206">
        <f t="shared" ca="1" si="56"/>
        <v>0</v>
      </c>
      <c r="AB482" s="383">
        <f t="shared" si="57"/>
        <v>2.8</v>
      </c>
      <c r="AC482" s="203" t="str">
        <f t="shared" si="58"/>
        <v>S1001</v>
      </c>
      <c r="AD482" s="203" t="str">
        <f>VLOOKUP(AC482,★原価商品!$E$6:$F$349,2,FALSE)</f>
        <v>山陰中央/B4（折り無し）</v>
      </c>
      <c r="AE482" s="203">
        <f t="shared" ca="1" si="59"/>
        <v>0</v>
      </c>
      <c r="AF482" s="383">
        <f ca="1">IFERROR(IF(VLOOKUP(申込書!$C$32,★サイズ表記!$F$4:$H$55,3,FALSE)="切り捨て",ROUNDDOWN(L482*IF(AK482="◎",I482,J482)/100,2),IF(VLOOKUP(申込書!$C$32,★サイズ表記!$F$4:$H$55,3,FALSE)="切り上げ",ROUNDUP(L482*IF(AK482="◎",I482,J482)/100,2),ROUND(L482*IF(AK482="◎",I482,J482)/100,2))),0)</f>
        <v>2.4</v>
      </c>
      <c r="AG482" s="203">
        <f t="shared" ca="1" si="60"/>
        <v>0</v>
      </c>
      <c r="AJ482" s="460" t="str">
        <f>IFERROR(VLOOKUP(申込書!$C$30,★業種!$D$2:$E$87,2,FALSE),"")</f>
        <v>1003</v>
      </c>
      <c r="AK482" s="460" t="str">
        <f ca="1">IF(申込書!$C$36="◎",IF(OR(D482="浜坂・温泉",D482="美方・村岡",D482="香住",D482="岡山",D482="大阪"),"",IF(LEFT(F482)="D","◎",IF(AG482=0,"",IFERROR(IF(VLOOKUP(AG482,★仕入先!$A$2:$C$211,3,FALSE)=0,"","◎"),"")))),"")</f>
        <v/>
      </c>
      <c r="AL482" s="460">
        <f>申込書!$H$14</f>
        <v>0</v>
      </c>
      <c r="AM482" s="460" t="str">
        <f>申込書!$C$32</f>
        <v>B4（折り無し）</v>
      </c>
      <c r="AN482" s="460" t="str">
        <f>VLOOKUP(AM482,★サイズ表記!$D$4:$E$55,2,FALSE)</f>
        <v>1001</v>
      </c>
      <c r="AO482" s="460">
        <f>IF(C482&lt;&gt;"⑧兵庫",VLOOKUP(LEFT(F482),★新聞!$A$4:$B$12,2,FALSE),IF(LEFT(F482)&lt;&gt;"S",VLOOKUP(LEFT(F482),★新聞!$A$4:$B$12,2,FALSE),VLOOKUP("X",★新聞!$A$4:$B$12,2,FALSE)))</f>
        <v>6</v>
      </c>
      <c r="AP482" s="460" t="str">
        <f t="shared" ca="1" si="61"/>
        <v>0</v>
      </c>
      <c r="AQ482" s="460" t="str">
        <f>IF(申込書!$C$38="","",申込書!$C$38)</f>
        <v/>
      </c>
    </row>
    <row r="483" spans="1:43">
      <c r="A483" s="463">
        <f t="shared" si="62"/>
        <v>482</v>
      </c>
      <c r="B483" s="463" t="str">
        <f t="shared" si="55"/>
        <v>東部</v>
      </c>
      <c r="C483" s="464" t="s">
        <v>1151</v>
      </c>
      <c r="D483" s="464" t="s">
        <v>1602</v>
      </c>
      <c r="E483" s="464">
        <f>VLOOKUP(D483,★折込地区!$A$2:$D$10,4,FALSE)</f>
        <v>2</v>
      </c>
      <c r="F483" s="464" t="s">
        <v>496</v>
      </c>
      <c r="G483" s="464" t="str">
        <f>INDEX(★新聞!$E$4:$I$12, MATCH(LEFT(F483),★新聞!$A$4:$A$12,0), MATCH(LEFT(W483),★新聞!$E$3:$I$3,0))</f>
        <v>AM</v>
      </c>
      <c r="H483" s="475" t="s">
        <v>1109</v>
      </c>
      <c r="I483" s="464" cm="1">
        <f t="array" ref="I483">IFERROR(INDEX(★原価率!$A$2:$E$50,MATCH($C483&amp;$H483,★原価率!$A$2:$A$50&amp;★原価率!$B$2:$B$50,0),3),0)</f>
        <v>82</v>
      </c>
      <c r="J483" s="464" cm="1">
        <f t="array" ref="J483">IFERROR(INDEX(★原価率!$A$2:$E$50,MATCH($C483&amp;$H483,★原価率!$A$2:$A$50&amp;★原価率!$B$2:$B$50,0),4),0)</f>
        <v>82</v>
      </c>
      <c r="K483" s="464" cm="1">
        <f t="array" ref="K483">IFERROR(INDEX(★原価率!$A$2:$E$50,MATCH($C483&amp;$H483,★原価率!$A$2:$A$50&amp;★原価率!$B$2:$B$50,0),5),0)</f>
        <v>100</v>
      </c>
      <c r="L483" s="528">
        <f>IFERROR(VLOOKUP(W483,★商品!$A$1:$H$1231,8,FALSE),0)</f>
        <v>2.8</v>
      </c>
      <c r="M483" s="203" t="str">
        <f ca="1">CONCATENATE(VLOOKUP(B483,★営業所!$A$2:$B$5,2,FALSE),TEXT(NOW(),"yyyy"))</f>
        <v>T2023</v>
      </c>
      <c r="N483" s="203">
        <v>1</v>
      </c>
      <c r="O483" s="203">
        <v>0</v>
      </c>
      <c r="P483" s="213">
        <f>申込書!$B$6</f>
        <v>0</v>
      </c>
      <c r="Q483" s="203">
        <f>申込書!$C$34</f>
        <v>1000040</v>
      </c>
      <c r="R483" s="203">
        <v>0</v>
      </c>
      <c r="U483" s="203">
        <f>VLOOKUP(B483,★営業所!$A$2:$C$5,3,FALSE)</f>
        <v>8</v>
      </c>
      <c r="V483" s="203">
        <f>申込書!$B$9</f>
        <v>0</v>
      </c>
      <c r="W483" s="203" t="str">
        <f>CONCATENATE(VLOOKUP(B483,★営業所!$A$2:$B$5,2,FALSE),VLOOKUP(申込書!$C$32,★サイズ表記!$D$4:$E$55,2,FALSE),VLOOKUP(D483,★折込地区!$A$2:$B$11,2,FALSE))</f>
        <v>T1001Kry</v>
      </c>
      <c r="X483" s="203" t="str">
        <f>CONCATENATE(申込書!$B$9," ",VLOOKUP(RIGHT(W483,3),★折込地区!$B$2:$C$10,2,FALSE),"")</f>
        <v xml:space="preserve"> 倉吉</v>
      </c>
      <c r="Z483" s="206">
        <f t="shared" ca="1" si="56"/>
        <v>0</v>
      </c>
      <c r="AB483" s="383">
        <f t="shared" si="57"/>
        <v>2.8</v>
      </c>
      <c r="AC483" s="203" t="str">
        <f t="shared" si="58"/>
        <v>S1001</v>
      </c>
      <c r="AD483" s="203" t="str">
        <f>VLOOKUP(AC483,★原価商品!$E$6:$F$349,2,FALSE)</f>
        <v>山陰中央/B4（折り無し）</v>
      </c>
      <c r="AE483" s="203">
        <f t="shared" ca="1" si="59"/>
        <v>0</v>
      </c>
      <c r="AF483" s="383">
        <f ca="1">IFERROR(IF(VLOOKUP(申込書!$C$32,★サイズ表記!$F$4:$H$55,3,FALSE)="切り捨て",ROUNDDOWN(L483*IF(AK483="◎",I483,J483)/100,2),IF(VLOOKUP(申込書!$C$32,★サイズ表記!$F$4:$H$55,3,FALSE)="切り上げ",ROUNDUP(L483*IF(AK483="◎",I483,J483)/100,2),ROUND(L483*IF(AK483="◎",I483,J483)/100,2))),0)</f>
        <v>2.29</v>
      </c>
      <c r="AG483" s="203">
        <f t="shared" ca="1" si="60"/>
        <v>0</v>
      </c>
      <c r="AJ483" s="460" t="str">
        <f>IFERROR(VLOOKUP(申込書!$C$30,★業種!$D$2:$E$87,2,FALSE),"")</f>
        <v>1003</v>
      </c>
      <c r="AK483" s="460" t="str">
        <f ca="1">IF(申込書!$C$36="◎",IF(OR(D483="浜坂・温泉",D483="美方・村岡",D483="香住",D483="岡山",D483="大阪"),"",IF(LEFT(F483)="D","◎",IF(AG483=0,"",IFERROR(IF(VLOOKUP(AG483,★仕入先!$A$2:$C$211,3,FALSE)=0,"","◎"),"")))),"")</f>
        <v/>
      </c>
      <c r="AL483" s="460">
        <f>申込書!$H$14</f>
        <v>0</v>
      </c>
      <c r="AM483" s="460" t="str">
        <f>申込書!$C$32</f>
        <v>B4（折り無し）</v>
      </c>
      <c r="AN483" s="460" t="str">
        <f>VLOOKUP(AM483,★サイズ表記!$D$4:$E$55,2,FALSE)</f>
        <v>1001</v>
      </c>
      <c r="AO483" s="460">
        <f>IF(C483&lt;&gt;"⑧兵庫",VLOOKUP(LEFT(F483),★新聞!$A$4:$B$12,2,FALSE),IF(LEFT(F483)&lt;&gt;"S",VLOOKUP(LEFT(F483),★新聞!$A$4:$B$12,2,FALSE),VLOOKUP("X",★新聞!$A$4:$B$12,2,FALSE)))</f>
        <v>6</v>
      </c>
      <c r="AP483" s="460" t="str">
        <f t="shared" ca="1" si="61"/>
        <v>0</v>
      </c>
      <c r="AQ483" s="460" t="str">
        <f>IF(申込書!$C$38="","",申込書!$C$38)</f>
        <v/>
      </c>
    </row>
    <row r="484" spans="1:43">
      <c r="A484" s="463">
        <f t="shared" si="62"/>
        <v>483</v>
      </c>
      <c r="B484" s="463" t="str">
        <f t="shared" si="55"/>
        <v>東部</v>
      </c>
      <c r="C484" s="464" t="s">
        <v>1151</v>
      </c>
      <c r="D484" s="464" t="s">
        <v>1602</v>
      </c>
      <c r="E484" s="464">
        <f>VLOOKUP(D484,★折込地区!$A$2:$D$10,4,FALSE)</f>
        <v>2</v>
      </c>
      <c r="F484" s="464" t="s">
        <v>497</v>
      </c>
      <c r="G484" s="464" t="str">
        <f>INDEX(★新聞!$E$4:$I$12, MATCH(LEFT(F484),★新聞!$A$4:$A$12,0), MATCH(LEFT(W484),★新聞!$E$3:$I$3,0))</f>
        <v>AM</v>
      </c>
      <c r="H484" s="475" t="s">
        <v>1109</v>
      </c>
      <c r="I484" s="464" cm="1">
        <f t="array" ref="I484">IFERROR(INDEX(★原価率!$A$2:$E$50,MATCH($C484&amp;$H484,★原価率!$A$2:$A$50&amp;★原価率!$B$2:$B$50,0),3),0)</f>
        <v>82</v>
      </c>
      <c r="J484" s="464" cm="1">
        <f t="array" ref="J484">IFERROR(INDEX(★原価率!$A$2:$E$50,MATCH($C484&amp;$H484,★原価率!$A$2:$A$50&amp;★原価率!$B$2:$B$50,0),4),0)</f>
        <v>82</v>
      </c>
      <c r="K484" s="464" cm="1">
        <f t="array" ref="K484">IFERROR(INDEX(★原価率!$A$2:$E$50,MATCH($C484&amp;$H484,★原価率!$A$2:$A$50&amp;★原価率!$B$2:$B$50,0),5),0)</f>
        <v>100</v>
      </c>
      <c r="L484" s="528">
        <f>IFERROR(VLOOKUP(W484,★商品!$A$1:$H$1231,8,FALSE),0)</f>
        <v>2.8</v>
      </c>
      <c r="M484" s="203" t="str">
        <f ca="1">CONCATENATE(VLOOKUP(B484,★営業所!$A$2:$B$5,2,FALSE),TEXT(NOW(),"yyyy"))</f>
        <v>T2023</v>
      </c>
      <c r="N484" s="203">
        <v>1</v>
      </c>
      <c r="O484" s="203">
        <v>0</v>
      </c>
      <c r="P484" s="213">
        <f>申込書!$B$6</f>
        <v>0</v>
      </c>
      <c r="Q484" s="203">
        <f>申込書!$C$34</f>
        <v>1000040</v>
      </c>
      <c r="R484" s="203">
        <v>0</v>
      </c>
      <c r="U484" s="203">
        <f>VLOOKUP(B484,★営業所!$A$2:$C$5,3,FALSE)</f>
        <v>8</v>
      </c>
      <c r="V484" s="203">
        <f>申込書!$B$9</f>
        <v>0</v>
      </c>
      <c r="W484" s="203" t="str">
        <f>CONCATENATE(VLOOKUP(B484,★営業所!$A$2:$B$5,2,FALSE),VLOOKUP(申込書!$C$32,★サイズ表記!$D$4:$E$55,2,FALSE),VLOOKUP(D484,★折込地区!$A$2:$B$11,2,FALSE))</f>
        <v>T1001Kry</v>
      </c>
      <c r="X484" s="203" t="str">
        <f>CONCATENATE(申込書!$B$9," ",VLOOKUP(RIGHT(W484,3),★折込地区!$B$2:$C$10,2,FALSE),"")</f>
        <v xml:space="preserve"> 倉吉</v>
      </c>
      <c r="Z484" s="206">
        <f t="shared" ca="1" si="56"/>
        <v>0</v>
      </c>
      <c r="AB484" s="383">
        <f t="shared" si="57"/>
        <v>2.8</v>
      </c>
      <c r="AC484" s="203" t="str">
        <f t="shared" si="58"/>
        <v>S1001</v>
      </c>
      <c r="AD484" s="203" t="str">
        <f>VLOOKUP(AC484,★原価商品!$E$6:$F$349,2,FALSE)</f>
        <v>山陰中央/B4（折り無し）</v>
      </c>
      <c r="AE484" s="203">
        <f t="shared" ca="1" si="59"/>
        <v>0</v>
      </c>
      <c r="AF484" s="383">
        <f ca="1">IFERROR(IF(VLOOKUP(申込書!$C$32,★サイズ表記!$F$4:$H$55,3,FALSE)="切り捨て",ROUNDDOWN(L484*IF(AK484="◎",I484,J484)/100,2),IF(VLOOKUP(申込書!$C$32,★サイズ表記!$F$4:$H$55,3,FALSE)="切り上げ",ROUNDUP(L484*IF(AK484="◎",I484,J484)/100,2),ROUND(L484*IF(AK484="◎",I484,J484)/100,2))),0)</f>
        <v>2.29</v>
      </c>
      <c r="AG484" s="203">
        <f t="shared" ca="1" si="60"/>
        <v>0</v>
      </c>
      <c r="AJ484" s="460" t="str">
        <f>IFERROR(VLOOKUP(申込書!$C$30,★業種!$D$2:$E$87,2,FALSE),"")</f>
        <v>1003</v>
      </c>
      <c r="AK484" s="460" t="str">
        <f ca="1">IF(申込書!$C$36="◎",IF(OR(D484="浜坂・温泉",D484="美方・村岡",D484="香住",D484="岡山",D484="大阪"),"",IF(LEFT(F484)="D","◎",IF(AG484=0,"",IFERROR(IF(VLOOKUP(AG484,★仕入先!$A$2:$C$211,3,FALSE)=0,"","◎"),"")))),"")</f>
        <v/>
      </c>
      <c r="AL484" s="460">
        <f>申込書!$H$14</f>
        <v>0</v>
      </c>
      <c r="AM484" s="460" t="str">
        <f>申込書!$C$32</f>
        <v>B4（折り無し）</v>
      </c>
      <c r="AN484" s="460" t="str">
        <f>VLOOKUP(AM484,★サイズ表記!$D$4:$E$55,2,FALSE)</f>
        <v>1001</v>
      </c>
      <c r="AO484" s="460">
        <f>IF(C484&lt;&gt;"⑧兵庫",VLOOKUP(LEFT(F484),★新聞!$A$4:$B$12,2,FALSE),IF(LEFT(F484)&lt;&gt;"S",VLOOKUP(LEFT(F484),★新聞!$A$4:$B$12,2,FALSE),VLOOKUP("X",★新聞!$A$4:$B$12,2,FALSE)))</f>
        <v>6</v>
      </c>
      <c r="AP484" s="460" t="str">
        <f t="shared" ca="1" si="61"/>
        <v>0</v>
      </c>
      <c r="AQ484" s="460" t="str">
        <f>IF(申込書!$C$38="","",申込書!$C$38)</f>
        <v/>
      </c>
    </row>
    <row r="485" spans="1:43">
      <c r="A485" s="463">
        <f t="shared" si="62"/>
        <v>484</v>
      </c>
      <c r="B485" s="463" t="str">
        <f t="shared" si="55"/>
        <v>東部</v>
      </c>
      <c r="C485" s="464" t="s">
        <v>1151</v>
      </c>
      <c r="D485" s="464" t="s">
        <v>1602</v>
      </c>
      <c r="E485" s="464">
        <f>VLOOKUP(D485,★折込地区!$A$2:$D$10,4,FALSE)</f>
        <v>2</v>
      </c>
      <c r="F485" s="464" t="s">
        <v>501</v>
      </c>
      <c r="G485" s="464" t="str">
        <f>INDEX(★新聞!$E$4:$I$12, MATCH(LEFT(F485),★新聞!$A$4:$A$12,0), MATCH(LEFT(W485),★新聞!$E$3:$I$3,0))</f>
        <v>AM</v>
      </c>
      <c r="H485" s="475" t="s">
        <v>1153</v>
      </c>
      <c r="I485" s="464" cm="1">
        <f t="array" ref="I485">IFERROR(INDEX(★原価率!$A$2:$E$50,MATCH($C485&amp;$H485,★原価率!$A$2:$A$50&amp;★原価率!$B$2:$B$50,0),3),0)</f>
        <v>90</v>
      </c>
      <c r="J485" s="464" cm="1">
        <f t="array" ref="J485">IFERROR(INDEX(★原価率!$A$2:$E$50,MATCH($C485&amp;$H485,★原価率!$A$2:$A$50&amp;★原価率!$B$2:$B$50,0),4),0)</f>
        <v>90</v>
      </c>
      <c r="K485" s="464" cm="1">
        <f t="array" ref="K485">IFERROR(INDEX(★原価率!$A$2:$E$50,MATCH($C485&amp;$H485,★原価率!$A$2:$A$50&amp;★原価率!$B$2:$B$50,0),5),0)</f>
        <v>100</v>
      </c>
      <c r="L485" s="528">
        <f>IFERROR(VLOOKUP(W485,★商品!$A$1:$H$1231,8,FALSE),0)</f>
        <v>2.8</v>
      </c>
      <c r="M485" s="203" t="str">
        <f ca="1">CONCATENATE(VLOOKUP(B485,★営業所!$A$2:$B$5,2,FALSE),TEXT(NOW(),"yyyy"))</f>
        <v>T2023</v>
      </c>
      <c r="N485" s="203">
        <v>1</v>
      </c>
      <c r="O485" s="203">
        <v>0</v>
      </c>
      <c r="P485" s="213">
        <f>申込書!$B$6</f>
        <v>0</v>
      </c>
      <c r="Q485" s="203">
        <f>申込書!$C$34</f>
        <v>1000040</v>
      </c>
      <c r="R485" s="203">
        <v>0</v>
      </c>
      <c r="U485" s="203">
        <f>VLOOKUP(B485,★営業所!$A$2:$C$5,3,FALSE)</f>
        <v>8</v>
      </c>
      <c r="V485" s="203">
        <f>申込書!$B$9</f>
        <v>0</v>
      </c>
      <c r="W485" s="203" t="str">
        <f>CONCATENATE(VLOOKUP(B485,★営業所!$A$2:$B$5,2,FALSE),VLOOKUP(申込書!$C$32,★サイズ表記!$D$4:$E$55,2,FALSE),VLOOKUP(D485,★折込地区!$A$2:$B$11,2,FALSE))</f>
        <v>T1001Kry</v>
      </c>
      <c r="X485" s="203" t="str">
        <f>CONCATENATE(申込書!$B$9," ",VLOOKUP(RIGHT(W485,3),★折込地区!$B$2:$C$10,2,FALSE),"")</f>
        <v xml:space="preserve"> 倉吉</v>
      </c>
      <c r="Z485" s="206">
        <f t="shared" ca="1" si="56"/>
        <v>0</v>
      </c>
      <c r="AB485" s="383">
        <f t="shared" si="57"/>
        <v>2.8</v>
      </c>
      <c r="AC485" s="203" t="str">
        <f t="shared" si="58"/>
        <v>S1001</v>
      </c>
      <c r="AD485" s="203" t="str">
        <f>VLOOKUP(AC485,★原価商品!$E$6:$F$349,2,FALSE)</f>
        <v>山陰中央/B4（折り無し）</v>
      </c>
      <c r="AE485" s="203">
        <f t="shared" ca="1" si="59"/>
        <v>0</v>
      </c>
      <c r="AF485" s="383">
        <f ca="1">IFERROR(IF(VLOOKUP(申込書!$C$32,★サイズ表記!$F$4:$H$55,3,FALSE)="切り捨て",ROUNDDOWN(L485*IF(AK485="◎",I485,J485)/100,2),IF(VLOOKUP(申込書!$C$32,★サイズ表記!$F$4:$H$55,3,FALSE)="切り上げ",ROUNDUP(L485*IF(AK485="◎",I485,J485)/100,2),ROUND(L485*IF(AK485="◎",I485,J485)/100,2))),0)</f>
        <v>2.52</v>
      </c>
      <c r="AG485" s="203">
        <f t="shared" ca="1" si="60"/>
        <v>10303</v>
      </c>
      <c r="AJ485" s="460" t="str">
        <f>IFERROR(VLOOKUP(申込書!$C$30,★業種!$D$2:$E$87,2,FALSE),"")</f>
        <v>1003</v>
      </c>
      <c r="AK485" s="460" t="str">
        <f ca="1">IF(申込書!$C$36="◎",IF(OR(D485="浜坂・温泉",D485="美方・村岡",D485="香住",D485="岡山",D485="大阪"),"",IF(LEFT(F485)="D","◎",IF(AG485=0,"",IFERROR(IF(VLOOKUP(AG485,★仕入先!$A$2:$C$211,3,FALSE)=0,"","◎"),"")))),"")</f>
        <v/>
      </c>
      <c r="AL485" s="460">
        <f>申込書!$H$14</f>
        <v>0</v>
      </c>
      <c r="AM485" s="460" t="str">
        <f>申込書!$C$32</f>
        <v>B4（折り無し）</v>
      </c>
      <c r="AN485" s="460" t="str">
        <f>VLOOKUP(AM485,★サイズ表記!$D$4:$E$55,2,FALSE)</f>
        <v>1001</v>
      </c>
      <c r="AO485" s="460">
        <f>IF(C485&lt;&gt;"⑧兵庫",VLOOKUP(LEFT(F485),★新聞!$A$4:$B$12,2,FALSE),IF(LEFT(F485)&lt;&gt;"S",VLOOKUP(LEFT(F485),★新聞!$A$4:$B$12,2,FALSE),VLOOKUP("X",★新聞!$A$4:$B$12,2,FALSE)))</f>
        <v>6</v>
      </c>
      <c r="AP485" s="460" t="str">
        <f t="shared" ca="1" si="61"/>
        <v>0</v>
      </c>
      <c r="AQ485" s="460" t="str">
        <f>IF(申込書!$C$38="","",申込書!$C$38)</f>
        <v/>
      </c>
    </row>
    <row r="486" spans="1:43">
      <c r="A486" s="463">
        <f t="shared" si="62"/>
        <v>485</v>
      </c>
      <c r="B486" s="463" t="str">
        <f t="shared" si="55"/>
        <v>東部</v>
      </c>
      <c r="C486" s="464" t="s">
        <v>1151</v>
      </c>
      <c r="D486" s="464" t="s">
        <v>1602</v>
      </c>
      <c r="E486" s="464">
        <f>VLOOKUP(D486,★折込地区!$A$2:$D$10,4,FALSE)</f>
        <v>2</v>
      </c>
      <c r="F486" s="464" t="s">
        <v>502</v>
      </c>
      <c r="G486" s="464" t="str">
        <f>INDEX(★新聞!$E$4:$I$12, MATCH(LEFT(F486),★新聞!$A$4:$A$12,0), MATCH(LEFT(W486),★新聞!$E$3:$I$3,0))</f>
        <v>AM</v>
      </c>
      <c r="H486" s="475" t="s">
        <v>1109</v>
      </c>
      <c r="I486" s="464" cm="1">
        <f t="array" ref="I486">IFERROR(INDEX(★原価率!$A$2:$E$50,MATCH($C486&amp;$H486,★原価率!$A$2:$A$50&amp;★原価率!$B$2:$B$50,0),3),0)</f>
        <v>82</v>
      </c>
      <c r="J486" s="464" cm="1">
        <f t="array" ref="J486">IFERROR(INDEX(★原価率!$A$2:$E$50,MATCH($C486&amp;$H486,★原価率!$A$2:$A$50&amp;★原価率!$B$2:$B$50,0),4),0)</f>
        <v>82</v>
      </c>
      <c r="K486" s="464" cm="1">
        <f t="array" ref="K486">IFERROR(INDEX(★原価率!$A$2:$E$50,MATCH($C486&amp;$H486,★原価率!$A$2:$A$50&amp;★原価率!$B$2:$B$50,0),5),0)</f>
        <v>100</v>
      </c>
      <c r="L486" s="528">
        <f>IFERROR(VLOOKUP(W486,★商品!$A$1:$H$1231,8,FALSE),0)</f>
        <v>2.8</v>
      </c>
      <c r="M486" s="203" t="str">
        <f ca="1">CONCATENATE(VLOOKUP(B486,★営業所!$A$2:$B$5,2,FALSE),TEXT(NOW(),"yyyy"))</f>
        <v>T2023</v>
      </c>
      <c r="N486" s="203">
        <v>1</v>
      </c>
      <c r="O486" s="203">
        <v>0</v>
      </c>
      <c r="P486" s="213">
        <f>申込書!$B$6</f>
        <v>0</v>
      </c>
      <c r="Q486" s="203">
        <f>申込書!$C$34</f>
        <v>1000040</v>
      </c>
      <c r="R486" s="203">
        <v>0</v>
      </c>
      <c r="U486" s="203">
        <f>VLOOKUP(B486,★営業所!$A$2:$C$5,3,FALSE)</f>
        <v>8</v>
      </c>
      <c r="V486" s="203">
        <f>申込書!$B$9</f>
        <v>0</v>
      </c>
      <c r="W486" s="203" t="str">
        <f>CONCATENATE(VLOOKUP(B486,★営業所!$A$2:$B$5,2,FALSE),VLOOKUP(申込書!$C$32,★サイズ表記!$D$4:$E$55,2,FALSE),VLOOKUP(D486,★折込地区!$A$2:$B$11,2,FALSE))</f>
        <v>T1001Kry</v>
      </c>
      <c r="X486" s="203" t="str">
        <f>CONCATENATE(申込書!$B$9," ",VLOOKUP(RIGHT(W486,3),★折込地区!$B$2:$C$10,2,FALSE),"")</f>
        <v xml:space="preserve"> 倉吉</v>
      </c>
      <c r="Z486" s="206">
        <f t="shared" ca="1" si="56"/>
        <v>0</v>
      </c>
      <c r="AB486" s="383">
        <f t="shared" si="57"/>
        <v>2.8</v>
      </c>
      <c r="AC486" s="203" t="str">
        <f t="shared" si="58"/>
        <v>S1001</v>
      </c>
      <c r="AD486" s="203" t="str">
        <f>VLOOKUP(AC486,★原価商品!$E$6:$F$349,2,FALSE)</f>
        <v>山陰中央/B4（折り無し）</v>
      </c>
      <c r="AE486" s="203">
        <f t="shared" ca="1" si="59"/>
        <v>0</v>
      </c>
      <c r="AF486" s="383">
        <f ca="1">IFERROR(IF(VLOOKUP(申込書!$C$32,★サイズ表記!$F$4:$H$55,3,FALSE)="切り捨て",ROUNDDOWN(L486*IF(AK486="◎",I486,J486)/100,2),IF(VLOOKUP(申込書!$C$32,★サイズ表記!$F$4:$H$55,3,FALSE)="切り上げ",ROUNDUP(L486*IF(AK486="◎",I486,J486)/100,2),ROUND(L486*IF(AK486="◎",I486,J486)/100,2))),0)</f>
        <v>2.29</v>
      </c>
      <c r="AG486" s="203">
        <f t="shared" ca="1" si="60"/>
        <v>0</v>
      </c>
      <c r="AJ486" s="460" t="str">
        <f>IFERROR(VLOOKUP(申込書!$C$30,★業種!$D$2:$E$87,2,FALSE),"")</f>
        <v>1003</v>
      </c>
      <c r="AK486" s="460" t="str">
        <f ca="1">IF(申込書!$C$36="◎",IF(OR(D486="浜坂・温泉",D486="美方・村岡",D486="香住",D486="岡山",D486="大阪"),"",IF(LEFT(F486)="D","◎",IF(AG486=0,"",IFERROR(IF(VLOOKUP(AG486,★仕入先!$A$2:$C$211,3,FALSE)=0,"","◎"),"")))),"")</f>
        <v/>
      </c>
      <c r="AL486" s="460">
        <f>申込書!$H$14</f>
        <v>0</v>
      </c>
      <c r="AM486" s="460" t="str">
        <f>申込書!$C$32</f>
        <v>B4（折り無し）</v>
      </c>
      <c r="AN486" s="460" t="str">
        <f>VLOOKUP(AM486,★サイズ表記!$D$4:$E$55,2,FALSE)</f>
        <v>1001</v>
      </c>
      <c r="AO486" s="460">
        <f>IF(C486&lt;&gt;"⑧兵庫",VLOOKUP(LEFT(F486),★新聞!$A$4:$B$12,2,FALSE),IF(LEFT(F486)&lt;&gt;"S",VLOOKUP(LEFT(F486),★新聞!$A$4:$B$12,2,FALSE),VLOOKUP("X",★新聞!$A$4:$B$12,2,FALSE)))</f>
        <v>6</v>
      </c>
      <c r="AP486" s="460" t="str">
        <f t="shared" ca="1" si="61"/>
        <v>0</v>
      </c>
      <c r="AQ486" s="460" t="str">
        <f>IF(申込書!$C$38="","",申込書!$C$38)</f>
        <v/>
      </c>
    </row>
    <row r="487" spans="1:43">
      <c r="A487" s="463">
        <f t="shared" si="62"/>
        <v>486</v>
      </c>
      <c r="B487" s="463" t="str">
        <f t="shared" si="55"/>
        <v>東部</v>
      </c>
      <c r="C487" s="464" t="s">
        <v>1151</v>
      </c>
      <c r="D487" s="464" t="s">
        <v>1602</v>
      </c>
      <c r="E487" s="464">
        <f>VLOOKUP(D487,★折込地区!$A$2:$D$10,4,FALSE)</f>
        <v>2</v>
      </c>
      <c r="F487" s="464" t="s">
        <v>503</v>
      </c>
      <c r="G487" s="464" t="str">
        <f>INDEX(★新聞!$E$4:$I$12, MATCH(LEFT(F487),★新聞!$A$4:$A$12,0), MATCH(LEFT(W487),★新聞!$E$3:$I$3,0))</f>
        <v>AM</v>
      </c>
      <c r="H487" s="475" t="s">
        <v>1153</v>
      </c>
      <c r="I487" s="464" cm="1">
        <f t="array" ref="I487">IFERROR(INDEX(★原価率!$A$2:$E$50,MATCH($C487&amp;$H487,★原価率!$A$2:$A$50&amp;★原価率!$B$2:$B$50,0),3),0)</f>
        <v>90</v>
      </c>
      <c r="J487" s="464" cm="1">
        <f t="array" ref="J487">IFERROR(INDEX(★原価率!$A$2:$E$50,MATCH($C487&amp;$H487,★原価率!$A$2:$A$50&amp;★原価率!$B$2:$B$50,0),4),0)</f>
        <v>90</v>
      </c>
      <c r="K487" s="464" cm="1">
        <f t="array" ref="K487">IFERROR(INDEX(★原価率!$A$2:$E$50,MATCH($C487&amp;$H487,★原価率!$A$2:$A$50&amp;★原価率!$B$2:$B$50,0),5),0)</f>
        <v>100</v>
      </c>
      <c r="L487" s="528">
        <f>IFERROR(VLOOKUP(W487,★商品!$A$1:$H$1231,8,FALSE),0)</f>
        <v>2.8</v>
      </c>
      <c r="M487" s="203" t="str">
        <f ca="1">CONCATENATE(VLOOKUP(B487,★営業所!$A$2:$B$5,2,FALSE),TEXT(NOW(),"yyyy"))</f>
        <v>T2023</v>
      </c>
      <c r="N487" s="203">
        <v>1</v>
      </c>
      <c r="O487" s="203">
        <v>0</v>
      </c>
      <c r="P487" s="213">
        <f>申込書!$B$6</f>
        <v>0</v>
      </c>
      <c r="Q487" s="203">
        <f>申込書!$C$34</f>
        <v>1000040</v>
      </c>
      <c r="R487" s="203">
        <v>0</v>
      </c>
      <c r="U487" s="203">
        <f>VLOOKUP(B487,★営業所!$A$2:$C$5,3,FALSE)</f>
        <v>8</v>
      </c>
      <c r="V487" s="203">
        <f>申込書!$B$9</f>
        <v>0</v>
      </c>
      <c r="W487" s="203" t="str">
        <f>CONCATENATE(VLOOKUP(B487,★営業所!$A$2:$B$5,2,FALSE),VLOOKUP(申込書!$C$32,★サイズ表記!$D$4:$E$55,2,FALSE),VLOOKUP(D487,★折込地区!$A$2:$B$11,2,FALSE))</f>
        <v>T1001Kry</v>
      </c>
      <c r="X487" s="203" t="str">
        <f>CONCATENATE(申込書!$B$9," ",VLOOKUP(RIGHT(W487,3),★折込地区!$B$2:$C$10,2,FALSE),"")</f>
        <v xml:space="preserve"> 倉吉</v>
      </c>
      <c r="Z487" s="206">
        <f t="shared" ca="1" si="56"/>
        <v>0</v>
      </c>
      <c r="AB487" s="383">
        <f t="shared" si="57"/>
        <v>2.8</v>
      </c>
      <c r="AC487" s="203" t="str">
        <f t="shared" si="58"/>
        <v>S1001</v>
      </c>
      <c r="AD487" s="203" t="str">
        <f>VLOOKUP(AC487,★原価商品!$E$6:$F$349,2,FALSE)</f>
        <v>山陰中央/B4（折り無し）</v>
      </c>
      <c r="AE487" s="203">
        <f t="shared" ca="1" si="59"/>
        <v>0</v>
      </c>
      <c r="AF487" s="383">
        <f ca="1">IFERROR(IF(VLOOKUP(申込書!$C$32,★サイズ表記!$F$4:$H$55,3,FALSE)="切り捨て",ROUNDDOWN(L487*IF(AK487="◎",I487,J487)/100,2),IF(VLOOKUP(申込書!$C$32,★サイズ表記!$F$4:$H$55,3,FALSE)="切り上げ",ROUNDUP(L487*IF(AK487="◎",I487,J487)/100,2),ROUND(L487*IF(AK487="◎",I487,J487)/100,2))),0)</f>
        <v>2.52</v>
      </c>
      <c r="AG487" s="203">
        <f t="shared" ca="1" si="60"/>
        <v>10303</v>
      </c>
      <c r="AJ487" s="460" t="str">
        <f>IFERROR(VLOOKUP(申込書!$C$30,★業種!$D$2:$E$87,2,FALSE),"")</f>
        <v>1003</v>
      </c>
      <c r="AK487" s="460" t="str">
        <f ca="1">IF(申込書!$C$36="◎",IF(OR(D487="浜坂・温泉",D487="美方・村岡",D487="香住",D487="岡山",D487="大阪"),"",IF(LEFT(F487)="D","◎",IF(AG487=0,"",IFERROR(IF(VLOOKUP(AG487,★仕入先!$A$2:$C$211,3,FALSE)=0,"","◎"),"")))),"")</f>
        <v/>
      </c>
      <c r="AL487" s="460">
        <f>申込書!$H$14</f>
        <v>0</v>
      </c>
      <c r="AM487" s="460" t="str">
        <f>申込書!$C$32</f>
        <v>B4（折り無し）</v>
      </c>
      <c r="AN487" s="460" t="str">
        <f>VLOOKUP(AM487,★サイズ表記!$D$4:$E$55,2,FALSE)</f>
        <v>1001</v>
      </c>
      <c r="AO487" s="460">
        <f>IF(C487&lt;&gt;"⑧兵庫",VLOOKUP(LEFT(F487),★新聞!$A$4:$B$12,2,FALSE),IF(LEFT(F487)&lt;&gt;"S",VLOOKUP(LEFT(F487),★新聞!$A$4:$B$12,2,FALSE),VLOOKUP("X",★新聞!$A$4:$B$12,2,FALSE)))</f>
        <v>6</v>
      </c>
      <c r="AP487" s="460" t="str">
        <f t="shared" ca="1" si="61"/>
        <v>0</v>
      </c>
      <c r="AQ487" s="460" t="str">
        <f>IF(申込書!$C$38="","",申込書!$C$38)</f>
        <v/>
      </c>
    </row>
    <row r="488" spans="1:43">
      <c r="A488" s="463">
        <f t="shared" si="62"/>
        <v>487</v>
      </c>
      <c r="B488" s="463" t="str">
        <f t="shared" si="55"/>
        <v>東部</v>
      </c>
      <c r="C488" s="464" t="s">
        <v>1151</v>
      </c>
      <c r="D488" s="464" t="s">
        <v>1602</v>
      </c>
      <c r="E488" s="464">
        <f>VLOOKUP(D488,★折込地区!$A$2:$D$10,4,FALSE)</f>
        <v>2</v>
      </c>
      <c r="F488" s="464" t="s">
        <v>504</v>
      </c>
      <c r="G488" s="464" t="str">
        <f>INDEX(★新聞!$E$4:$I$12, MATCH(LEFT(F488),★新聞!$A$4:$A$12,0), MATCH(LEFT(W488),★新聞!$E$3:$I$3,0))</f>
        <v>AM</v>
      </c>
      <c r="H488" s="475" t="s">
        <v>1109</v>
      </c>
      <c r="I488" s="464" cm="1">
        <f t="array" ref="I488">IFERROR(INDEX(★原価率!$A$2:$E$50,MATCH($C488&amp;$H488,★原価率!$A$2:$A$50&amp;★原価率!$B$2:$B$50,0),3),0)</f>
        <v>82</v>
      </c>
      <c r="J488" s="464" cm="1">
        <f t="array" ref="J488">IFERROR(INDEX(★原価率!$A$2:$E$50,MATCH($C488&amp;$H488,★原価率!$A$2:$A$50&amp;★原価率!$B$2:$B$50,0),4),0)</f>
        <v>82</v>
      </c>
      <c r="K488" s="464" cm="1">
        <f t="array" ref="K488">IFERROR(INDEX(★原価率!$A$2:$E$50,MATCH($C488&amp;$H488,★原価率!$A$2:$A$50&amp;★原価率!$B$2:$B$50,0),5),0)</f>
        <v>100</v>
      </c>
      <c r="L488" s="528">
        <f>IFERROR(VLOOKUP(W488,★商品!$A$1:$H$1231,8,FALSE),0)</f>
        <v>2.8</v>
      </c>
      <c r="M488" s="203" t="str">
        <f ca="1">CONCATENATE(VLOOKUP(B488,★営業所!$A$2:$B$5,2,FALSE),TEXT(NOW(),"yyyy"))</f>
        <v>T2023</v>
      </c>
      <c r="N488" s="203">
        <v>1</v>
      </c>
      <c r="O488" s="203">
        <v>0</v>
      </c>
      <c r="P488" s="213">
        <f>申込書!$B$6</f>
        <v>0</v>
      </c>
      <c r="Q488" s="203">
        <f>申込書!$C$34</f>
        <v>1000040</v>
      </c>
      <c r="R488" s="203">
        <v>0</v>
      </c>
      <c r="U488" s="203">
        <f>VLOOKUP(B488,★営業所!$A$2:$C$5,3,FALSE)</f>
        <v>8</v>
      </c>
      <c r="V488" s="203">
        <f>申込書!$B$9</f>
        <v>0</v>
      </c>
      <c r="W488" s="203" t="str">
        <f>CONCATENATE(VLOOKUP(B488,★営業所!$A$2:$B$5,2,FALSE),VLOOKUP(申込書!$C$32,★サイズ表記!$D$4:$E$55,2,FALSE),VLOOKUP(D488,★折込地区!$A$2:$B$11,2,FALSE))</f>
        <v>T1001Kry</v>
      </c>
      <c r="X488" s="203" t="str">
        <f>CONCATENATE(申込書!$B$9," ",VLOOKUP(RIGHT(W488,3),★折込地区!$B$2:$C$10,2,FALSE),"")</f>
        <v xml:space="preserve"> 倉吉</v>
      </c>
      <c r="Z488" s="206">
        <f t="shared" ca="1" si="56"/>
        <v>0</v>
      </c>
      <c r="AB488" s="383">
        <f t="shared" si="57"/>
        <v>2.8</v>
      </c>
      <c r="AC488" s="203" t="str">
        <f t="shared" si="58"/>
        <v>S1001</v>
      </c>
      <c r="AD488" s="203" t="str">
        <f>VLOOKUP(AC488,★原価商品!$E$6:$F$349,2,FALSE)</f>
        <v>山陰中央/B4（折り無し）</v>
      </c>
      <c r="AE488" s="203">
        <f t="shared" ca="1" si="59"/>
        <v>0</v>
      </c>
      <c r="AF488" s="383">
        <f ca="1">IFERROR(IF(VLOOKUP(申込書!$C$32,★サイズ表記!$F$4:$H$55,3,FALSE)="切り捨て",ROUNDDOWN(L488*IF(AK488="◎",I488,J488)/100,2),IF(VLOOKUP(申込書!$C$32,★サイズ表記!$F$4:$H$55,3,FALSE)="切り上げ",ROUNDUP(L488*IF(AK488="◎",I488,J488)/100,2),ROUND(L488*IF(AK488="◎",I488,J488)/100,2))),0)</f>
        <v>2.29</v>
      </c>
      <c r="AG488" s="203">
        <f t="shared" ca="1" si="60"/>
        <v>0</v>
      </c>
      <c r="AJ488" s="460" t="str">
        <f>IFERROR(VLOOKUP(申込書!$C$30,★業種!$D$2:$E$87,2,FALSE),"")</f>
        <v>1003</v>
      </c>
      <c r="AK488" s="460" t="str">
        <f ca="1">IF(申込書!$C$36="◎",IF(OR(D488="浜坂・温泉",D488="美方・村岡",D488="香住",D488="岡山",D488="大阪"),"",IF(LEFT(F488)="D","◎",IF(AG488=0,"",IFERROR(IF(VLOOKUP(AG488,★仕入先!$A$2:$C$211,3,FALSE)=0,"","◎"),"")))),"")</f>
        <v/>
      </c>
      <c r="AL488" s="460">
        <f>申込書!$H$14</f>
        <v>0</v>
      </c>
      <c r="AM488" s="460" t="str">
        <f>申込書!$C$32</f>
        <v>B4（折り無し）</v>
      </c>
      <c r="AN488" s="460" t="str">
        <f>VLOOKUP(AM488,★サイズ表記!$D$4:$E$55,2,FALSE)</f>
        <v>1001</v>
      </c>
      <c r="AO488" s="460">
        <f>IF(C488&lt;&gt;"⑧兵庫",VLOOKUP(LEFT(F488),★新聞!$A$4:$B$12,2,FALSE),IF(LEFT(F488)&lt;&gt;"S",VLOOKUP(LEFT(F488),★新聞!$A$4:$B$12,2,FALSE),VLOOKUP("X",★新聞!$A$4:$B$12,2,FALSE)))</f>
        <v>6</v>
      </c>
      <c r="AP488" s="460" t="str">
        <f t="shared" ca="1" si="61"/>
        <v>0</v>
      </c>
      <c r="AQ488" s="460" t="str">
        <f>IF(申込書!$C$38="","",申込書!$C$38)</f>
        <v/>
      </c>
    </row>
    <row r="489" spans="1:43">
      <c r="A489" s="463">
        <f t="shared" si="62"/>
        <v>488</v>
      </c>
      <c r="B489" s="463" t="str">
        <f t="shared" si="55"/>
        <v>東部</v>
      </c>
      <c r="C489" s="464" t="s">
        <v>1151</v>
      </c>
      <c r="D489" s="464" t="s">
        <v>1602</v>
      </c>
      <c r="E489" s="464">
        <f>VLOOKUP(D489,★折込地区!$A$2:$D$10,4,FALSE)</f>
        <v>2</v>
      </c>
      <c r="F489" s="464" t="s">
        <v>505</v>
      </c>
      <c r="G489" s="464" t="str">
        <f>INDEX(★新聞!$E$4:$I$12, MATCH(LEFT(F489),★新聞!$A$4:$A$12,0), MATCH(LEFT(W489),★新聞!$E$3:$I$3,0))</f>
        <v>AM</v>
      </c>
      <c r="H489" s="475" t="s">
        <v>1153</v>
      </c>
      <c r="I489" s="464" cm="1">
        <f t="array" ref="I489">IFERROR(INDEX(★原価率!$A$2:$E$50,MATCH($C489&amp;$H489,★原価率!$A$2:$A$50&amp;★原価率!$B$2:$B$50,0),3),0)</f>
        <v>90</v>
      </c>
      <c r="J489" s="464" cm="1">
        <f t="array" ref="J489">IFERROR(INDEX(★原価率!$A$2:$E$50,MATCH($C489&amp;$H489,★原価率!$A$2:$A$50&amp;★原価率!$B$2:$B$50,0),4),0)</f>
        <v>90</v>
      </c>
      <c r="K489" s="464" cm="1">
        <f t="array" ref="K489">IFERROR(INDEX(★原価率!$A$2:$E$50,MATCH($C489&amp;$H489,★原価率!$A$2:$A$50&amp;★原価率!$B$2:$B$50,0),5),0)</f>
        <v>100</v>
      </c>
      <c r="L489" s="528">
        <f>IFERROR(VLOOKUP(W489,★商品!$A$1:$H$1231,8,FALSE),0)</f>
        <v>2.8</v>
      </c>
      <c r="M489" s="203" t="str">
        <f ca="1">CONCATENATE(VLOOKUP(B489,★営業所!$A$2:$B$5,2,FALSE),TEXT(NOW(),"yyyy"))</f>
        <v>T2023</v>
      </c>
      <c r="N489" s="203">
        <v>1</v>
      </c>
      <c r="O489" s="203">
        <v>0</v>
      </c>
      <c r="P489" s="213">
        <f>申込書!$B$6</f>
        <v>0</v>
      </c>
      <c r="Q489" s="203">
        <f>申込書!$C$34</f>
        <v>1000040</v>
      </c>
      <c r="R489" s="203">
        <v>0</v>
      </c>
      <c r="U489" s="203">
        <f>VLOOKUP(B489,★営業所!$A$2:$C$5,3,FALSE)</f>
        <v>8</v>
      </c>
      <c r="V489" s="203">
        <f>申込書!$B$9</f>
        <v>0</v>
      </c>
      <c r="W489" s="203" t="str">
        <f>CONCATENATE(VLOOKUP(B489,★営業所!$A$2:$B$5,2,FALSE),VLOOKUP(申込書!$C$32,★サイズ表記!$D$4:$E$55,2,FALSE),VLOOKUP(D489,★折込地区!$A$2:$B$11,2,FALSE))</f>
        <v>T1001Kry</v>
      </c>
      <c r="X489" s="203" t="str">
        <f>CONCATENATE(申込書!$B$9," ",VLOOKUP(RIGHT(W489,3),★折込地区!$B$2:$C$10,2,FALSE),"")</f>
        <v xml:space="preserve"> 倉吉</v>
      </c>
      <c r="Z489" s="206">
        <f t="shared" ca="1" si="56"/>
        <v>0</v>
      </c>
      <c r="AB489" s="383">
        <f t="shared" si="57"/>
        <v>2.8</v>
      </c>
      <c r="AC489" s="203" t="str">
        <f t="shared" si="58"/>
        <v>S1001</v>
      </c>
      <c r="AD489" s="203" t="str">
        <f>VLOOKUP(AC489,★原価商品!$E$6:$F$349,2,FALSE)</f>
        <v>山陰中央/B4（折り無し）</v>
      </c>
      <c r="AE489" s="203">
        <f t="shared" ca="1" si="59"/>
        <v>0</v>
      </c>
      <c r="AF489" s="383">
        <f ca="1">IFERROR(IF(VLOOKUP(申込書!$C$32,★サイズ表記!$F$4:$H$55,3,FALSE)="切り捨て",ROUNDDOWN(L489*IF(AK489="◎",I489,J489)/100,2),IF(VLOOKUP(申込書!$C$32,★サイズ表記!$F$4:$H$55,3,FALSE)="切り上げ",ROUNDUP(L489*IF(AK489="◎",I489,J489)/100,2),ROUND(L489*IF(AK489="◎",I489,J489)/100,2))),0)</f>
        <v>2.52</v>
      </c>
      <c r="AG489" s="203">
        <f t="shared" ca="1" si="60"/>
        <v>10303</v>
      </c>
      <c r="AJ489" s="460" t="str">
        <f>IFERROR(VLOOKUP(申込書!$C$30,★業種!$D$2:$E$87,2,FALSE),"")</f>
        <v>1003</v>
      </c>
      <c r="AK489" s="460" t="str">
        <f ca="1">IF(申込書!$C$36="◎",IF(OR(D489="浜坂・温泉",D489="美方・村岡",D489="香住",D489="岡山",D489="大阪"),"",IF(LEFT(F489)="D","◎",IF(AG489=0,"",IFERROR(IF(VLOOKUP(AG489,★仕入先!$A$2:$C$211,3,FALSE)=0,"","◎"),"")))),"")</f>
        <v/>
      </c>
      <c r="AL489" s="460">
        <f>申込書!$H$14</f>
        <v>0</v>
      </c>
      <c r="AM489" s="460" t="str">
        <f>申込書!$C$32</f>
        <v>B4（折り無し）</v>
      </c>
      <c r="AN489" s="460" t="str">
        <f>VLOOKUP(AM489,★サイズ表記!$D$4:$E$55,2,FALSE)</f>
        <v>1001</v>
      </c>
      <c r="AO489" s="460">
        <f>IF(C489&lt;&gt;"⑧兵庫",VLOOKUP(LEFT(F489),★新聞!$A$4:$B$12,2,FALSE),IF(LEFT(F489)&lt;&gt;"S",VLOOKUP(LEFT(F489),★新聞!$A$4:$B$12,2,FALSE),VLOOKUP("X",★新聞!$A$4:$B$12,2,FALSE)))</f>
        <v>6</v>
      </c>
      <c r="AP489" s="460" t="str">
        <f t="shared" ca="1" si="61"/>
        <v>0</v>
      </c>
      <c r="AQ489" s="460" t="str">
        <f>IF(申込書!$C$38="","",申込書!$C$38)</f>
        <v/>
      </c>
    </row>
    <row r="490" spans="1:43">
      <c r="A490" s="463">
        <f t="shared" si="62"/>
        <v>489</v>
      </c>
      <c r="B490" s="463" t="str">
        <f t="shared" si="55"/>
        <v>東部</v>
      </c>
      <c r="C490" s="464" t="s">
        <v>1151</v>
      </c>
      <c r="D490" s="464" t="s">
        <v>1602</v>
      </c>
      <c r="E490" s="464">
        <f>VLOOKUP(D490,★折込地区!$A$2:$D$10,4,FALSE)</f>
        <v>2</v>
      </c>
      <c r="F490" s="464" t="s">
        <v>506</v>
      </c>
      <c r="G490" s="464" t="str">
        <f>INDEX(★新聞!$E$4:$I$12, MATCH(LEFT(F490),★新聞!$A$4:$A$12,0), MATCH(LEFT(W490),★新聞!$E$3:$I$3,0))</f>
        <v>AM</v>
      </c>
      <c r="H490" s="475" t="s">
        <v>1153</v>
      </c>
      <c r="I490" s="464" cm="1">
        <f t="array" ref="I490">IFERROR(INDEX(★原価率!$A$2:$E$50,MATCH($C490&amp;$H490,★原価率!$A$2:$A$50&amp;★原価率!$B$2:$B$50,0),3),0)</f>
        <v>90</v>
      </c>
      <c r="J490" s="464" cm="1">
        <f t="array" ref="J490">IFERROR(INDEX(★原価率!$A$2:$E$50,MATCH($C490&amp;$H490,★原価率!$A$2:$A$50&amp;★原価率!$B$2:$B$50,0),4),0)</f>
        <v>90</v>
      </c>
      <c r="K490" s="464" cm="1">
        <f t="array" ref="K490">IFERROR(INDEX(★原価率!$A$2:$E$50,MATCH($C490&amp;$H490,★原価率!$A$2:$A$50&amp;★原価率!$B$2:$B$50,0),5),0)</f>
        <v>100</v>
      </c>
      <c r="L490" s="528">
        <f>IFERROR(VLOOKUP(W490,★商品!$A$1:$H$1231,8,FALSE),0)</f>
        <v>2.8</v>
      </c>
      <c r="M490" s="203" t="str">
        <f ca="1">CONCATENATE(VLOOKUP(B490,★営業所!$A$2:$B$5,2,FALSE),TEXT(NOW(),"yyyy"))</f>
        <v>T2023</v>
      </c>
      <c r="N490" s="203">
        <v>1</v>
      </c>
      <c r="O490" s="203">
        <v>0</v>
      </c>
      <c r="P490" s="213">
        <f>申込書!$B$6</f>
        <v>0</v>
      </c>
      <c r="Q490" s="203">
        <f>申込書!$C$34</f>
        <v>1000040</v>
      </c>
      <c r="R490" s="203">
        <v>0</v>
      </c>
      <c r="U490" s="203">
        <f>VLOOKUP(B490,★営業所!$A$2:$C$5,3,FALSE)</f>
        <v>8</v>
      </c>
      <c r="V490" s="203">
        <f>申込書!$B$9</f>
        <v>0</v>
      </c>
      <c r="W490" s="203" t="str">
        <f>CONCATENATE(VLOOKUP(B490,★営業所!$A$2:$B$5,2,FALSE),VLOOKUP(申込書!$C$32,★サイズ表記!$D$4:$E$55,2,FALSE),VLOOKUP(D490,★折込地区!$A$2:$B$11,2,FALSE))</f>
        <v>T1001Kry</v>
      </c>
      <c r="X490" s="203" t="str">
        <f>CONCATENATE(申込書!$B$9," ",VLOOKUP(RIGHT(W490,3),★折込地区!$B$2:$C$10,2,FALSE),"")</f>
        <v xml:space="preserve"> 倉吉</v>
      </c>
      <c r="Z490" s="206">
        <f t="shared" ca="1" si="56"/>
        <v>0</v>
      </c>
      <c r="AB490" s="383">
        <f t="shared" si="57"/>
        <v>2.8</v>
      </c>
      <c r="AC490" s="203" t="str">
        <f t="shared" si="58"/>
        <v>S1001</v>
      </c>
      <c r="AD490" s="203" t="str">
        <f>VLOOKUP(AC490,★原価商品!$E$6:$F$349,2,FALSE)</f>
        <v>山陰中央/B4（折り無し）</v>
      </c>
      <c r="AE490" s="203">
        <f t="shared" ca="1" si="59"/>
        <v>0</v>
      </c>
      <c r="AF490" s="383">
        <f ca="1">IFERROR(IF(VLOOKUP(申込書!$C$32,★サイズ表記!$F$4:$H$55,3,FALSE)="切り捨て",ROUNDDOWN(L490*IF(AK490="◎",I490,J490)/100,2),IF(VLOOKUP(申込書!$C$32,★サイズ表記!$F$4:$H$55,3,FALSE)="切り上げ",ROUNDUP(L490*IF(AK490="◎",I490,J490)/100,2),ROUND(L490*IF(AK490="◎",I490,J490)/100,2))),0)</f>
        <v>2.52</v>
      </c>
      <c r="AG490" s="203">
        <f t="shared" ca="1" si="60"/>
        <v>10303</v>
      </c>
      <c r="AJ490" s="460" t="str">
        <f>IFERROR(VLOOKUP(申込書!$C$30,★業種!$D$2:$E$87,2,FALSE),"")</f>
        <v>1003</v>
      </c>
      <c r="AK490" s="460" t="str">
        <f ca="1">IF(申込書!$C$36="◎",IF(OR(D490="浜坂・温泉",D490="美方・村岡",D490="香住",D490="岡山",D490="大阪"),"",IF(LEFT(F490)="D","◎",IF(AG490=0,"",IFERROR(IF(VLOOKUP(AG490,★仕入先!$A$2:$C$211,3,FALSE)=0,"","◎"),"")))),"")</f>
        <v/>
      </c>
      <c r="AL490" s="460">
        <f>申込書!$H$14</f>
        <v>0</v>
      </c>
      <c r="AM490" s="460" t="str">
        <f>申込書!$C$32</f>
        <v>B4（折り無し）</v>
      </c>
      <c r="AN490" s="460" t="str">
        <f>VLOOKUP(AM490,★サイズ表記!$D$4:$E$55,2,FALSE)</f>
        <v>1001</v>
      </c>
      <c r="AO490" s="460">
        <f>IF(C490&lt;&gt;"⑧兵庫",VLOOKUP(LEFT(F490),★新聞!$A$4:$B$12,2,FALSE),IF(LEFT(F490)&lt;&gt;"S",VLOOKUP(LEFT(F490),★新聞!$A$4:$B$12,2,FALSE),VLOOKUP("X",★新聞!$A$4:$B$12,2,FALSE)))</f>
        <v>6</v>
      </c>
      <c r="AP490" s="460" t="str">
        <f t="shared" ca="1" si="61"/>
        <v>0</v>
      </c>
      <c r="AQ490" s="460" t="str">
        <f>IF(申込書!$C$38="","",申込書!$C$38)</f>
        <v/>
      </c>
    </row>
    <row r="491" spans="1:43">
      <c r="A491" s="463">
        <f t="shared" si="62"/>
        <v>490</v>
      </c>
      <c r="B491" s="463" t="str">
        <f t="shared" si="55"/>
        <v>東部</v>
      </c>
      <c r="C491" s="464" t="s">
        <v>1151</v>
      </c>
      <c r="D491" s="464" t="s">
        <v>1602</v>
      </c>
      <c r="E491" s="464">
        <f>VLOOKUP(D491,★折込地区!$A$2:$D$10,4,FALSE)</f>
        <v>2</v>
      </c>
      <c r="F491" s="464" t="s">
        <v>507</v>
      </c>
      <c r="G491" s="464" t="str">
        <f>INDEX(★新聞!$E$4:$I$12, MATCH(LEFT(F491),★新聞!$A$4:$A$12,0), MATCH(LEFT(W491),★新聞!$E$3:$I$3,0))</f>
        <v>AM</v>
      </c>
      <c r="H491" s="475" t="s">
        <v>1153</v>
      </c>
      <c r="I491" s="464" cm="1">
        <f t="array" ref="I491">IFERROR(INDEX(★原価率!$A$2:$E$50,MATCH($C491&amp;$H491,★原価率!$A$2:$A$50&amp;★原価率!$B$2:$B$50,0),3),0)</f>
        <v>90</v>
      </c>
      <c r="J491" s="464" cm="1">
        <f t="array" ref="J491">IFERROR(INDEX(★原価率!$A$2:$E$50,MATCH($C491&amp;$H491,★原価率!$A$2:$A$50&amp;★原価率!$B$2:$B$50,0),4),0)</f>
        <v>90</v>
      </c>
      <c r="K491" s="464" cm="1">
        <f t="array" ref="K491">IFERROR(INDEX(★原価率!$A$2:$E$50,MATCH($C491&amp;$H491,★原価率!$A$2:$A$50&amp;★原価率!$B$2:$B$50,0),5),0)</f>
        <v>100</v>
      </c>
      <c r="L491" s="528">
        <f>IFERROR(VLOOKUP(W491,★商品!$A$1:$H$1231,8,FALSE),0)</f>
        <v>2.8</v>
      </c>
      <c r="M491" s="203" t="str">
        <f ca="1">CONCATENATE(VLOOKUP(B491,★営業所!$A$2:$B$5,2,FALSE),TEXT(NOW(),"yyyy"))</f>
        <v>T2023</v>
      </c>
      <c r="N491" s="203">
        <v>1</v>
      </c>
      <c r="O491" s="203">
        <v>0</v>
      </c>
      <c r="P491" s="213">
        <f>申込書!$B$6</f>
        <v>0</v>
      </c>
      <c r="Q491" s="203">
        <f>申込書!$C$34</f>
        <v>1000040</v>
      </c>
      <c r="R491" s="203">
        <v>0</v>
      </c>
      <c r="U491" s="203">
        <f>VLOOKUP(B491,★営業所!$A$2:$C$5,3,FALSE)</f>
        <v>8</v>
      </c>
      <c r="V491" s="203">
        <f>申込書!$B$9</f>
        <v>0</v>
      </c>
      <c r="W491" s="203" t="str">
        <f>CONCATENATE(VLOOKUP(B491,★営業所!$A$2:$B$5,2,FALSE),VLOOKUP(申込書!$C$32,★サイズ表記!$D$4:$E$55,2,FALSE),VLOOKUP(D491,★折込地区!$A$2:$B$11,2,FALSE))</f>
        <v>T1001Kry</v>
      </c>
      <c r="X491" s="203" t="str">
        <f>CONCATENATE(申込書!$B$9," ",VLOOKUP(RIGHT(W491,3),★折込地区!$B$2:$C$10,2,FALSE),"")</f>
        <v xml:space="preserve"> 倉吉</v>
      </c>
      <c r="Z491" s="206">
        <f t="shared" ca="1" si="56"/>
        <v>0</v>
      </c>
      <c r="AB491" s="383">
        <f t="shared" si="57"/>
        <v>2.8</v>
      </c>
      <c r="AC491" s="203" t="str">
        <f t="shared" si="58"/>
        <v>S1001</v>
      </c>
      <c r="AD491" s="203" t="str">
        <f>VLOOKUP(AC491,★原価商品!$E$6:$F$349,2,FALSE)</f>
        <v>山陰中央/B4（折り無し）</v>
      </c>
      <c r="AE491" s="203">
        <f t="shared" ca="1" si="59"/>
        <v>0</v>
      </c>
      <c r="AF491" s="383">
        <f ca="1">IFERROR(IF(VLOOKUP(申込書!$C$32,★サイズ表記!$F$4:$H$55,3,FALSE)="切り捨て",ROUNDDOWN(L491*IF(AK491="◎",I491,J491)/100,2),IF(VLOOKUP(申込書!$C$32,★サイズ表記!$F$4:$H$55,3,FALSE)="切り上げ",ROUNDUP(L491*IF(AK491="◎",I491,J491)/100,2),ROUND(L491*IF(AK491="◎",I491,J491)/100,2))),0)</f>
        <v>2.52</v>
      </c>
      <c r="AG491" s="203">
        <f t="shared" ca="1" si="60"/>
        <v>10303</v>
      </c>
      <c r="AJ491" s="460" t="str">
        <f>IFERROR(VLOOKUP(申込書!$C$30,★業種!$D$2:$E$87,2,FALSE),"")</f>
        <v>1003</v>
      </c>
      <c r="AK491" s="460" t="str">
        <f ca="1">IF(申込書!$C$36="◎",IF(OR(D491="浜坂・温泉",D491="美方・村岡",D491="香住",D491="岡山",D491="大阪"),"",IF(LEFT(F491)="D","◎",IF(AG491=0,"",IFERROR(IF(VLOOKUP(AG491,★仕入先!$A$2:$C$211,3,FALSE)=0,"","◎"),"")))),"")</f>
        <v/>
      </c>
      <c r="AL491" s="460">
        <f>申込書!$H$14</f>
        <v>0</v>
      </c>
      <c r="AM491" s="460" t="str">
        <f>申込書!$C$32</f>
        <v>B4（折り無し）</v>
      </c>
      <c r="AN491" s="460" t="str">
        <f>VLOOKUP(AM491,★サイズ表記!$D$4:$E$55,2,FALSE)</f>
        <v>1001</v>
      </c>
      <c r="AO491" s="460">
        <f>IF(C491&lt;&gt;"⑧兵庫",VLOOKUP(LEFT(F491),★新聞!$A$4:$B$12,2,FALSE),IF(LEFT(F491)&lt;&gt;"S",VLOOKUP(LEFT(F491),★新聞!$A$4:$B$12,2,FALSE),VLOOKUP("X",★新聞!$A$4:$B$12,2,FALSE)))</f>
        <v>6</v>
      </c>
      <c r="AP491" s="460" t="str">
        <f t="shared" ca="1" si="61"/>
        <v>0</v>
      </c>
      <c r="AQ491" s="460" t="str">
        <f>IF(申込書!$C$38="","",申込書!$C$38)</f>
        <v/>
      </c>
    </row>
    <row r="492" spans="1:43">
      <c r="A492" s="463">
        <f t="shared" si="62"/>
        <v>491</v>
      </c>
      <c r="B492" s="463" t="str">
        <f t="shared" si="55"/>
        <v>東部</v>
      </c>
      <c r="C492" s="464" t="s">
        <v>1151</v>
      </c>
      <c r="D492" s="464" t="s">
        <v>1602</v>
      </c>
      <c r="E492" s="464">
        <f>VLOOKUP(D492,★折込地区!$A$2:$D$10,4,FALSE)</f>
        <v>2</v>
      </c>
      <c r="F492" s="464" t="s">
        <v>508</v>
      </c>
      <c r="G492" s="464" t="str">
        <f>INDEX(★新聞!$E$4:$I$12, MATCH(LEFT(F492),★新聞!$A$4:$A$12,0), MATCH(LEFT(W492),★新聞!$E$3:$I$3,0))</f>
        <v>AM</v>
      </c>
      <c r="H492" s="475" t="s">
        <v>1109</v>
      </c>
      <c r="I492" s="464" cm="1">
        <f t="array" ref="I492">IFERROR(INDEX(★原価率!$A$2:$E$50,MATCH($C492&amp;$H492,★原価率!$A$2:$A$50&amp;★原価率!$B$2:$B$50,0),3),0)</f>
        <v>82</v>
      </c>
      <c r="J492" s="464" cm="1">
        <f t="array" ref="J492">IFERROR(INDEX(★原価率!$A$2:$E$50,MATCH($C492&amp;$H492,★原価率!$A$2:$A$50&amp;★原価率!$B$2:$B$50,0),4),0)</f>
        <v>82</v>
      </c>
      <c r="K492" s="464" cm="1">
        <f t="array" ref="K492">IFERROR(INDEX(★原価率!$A$2:$E$50,MATCH($C492&amp;$H492,★原価率!$A$2:$A$50&amp;★原価率!$B$2:$B$50,0),5),0)</f>
        <v>100</v>
      </c>
      <c r="L492" s="528">
        <f>IFERROR(VLOOKUP(W492,★商品!$A$1:$H$1231,8,FALSE),0)</f>
        <v>2.8</v>
      </c>
      <c r="M492" s="203" t="str">
        <f ca="1">CONCATENATE(VLOOKUP(B492,★営業所!$A$2:$B$5,2,FALSE),TEXT(NOW(),"yyyy"))</f>
        <v>T2023</v>
      </c>
      <c r="N492" s="203">
        <v>1</v>
      </c>
      <c r="O492" s="203">
        <v>0</v>
      </c>
      <c r="P492" s="213">
        <f>申込書!$B$6</f>
        <v>0</v>
      </c>
      <c r="Q492" s="203">
        <f>申込書!$C$34</f>
        <v>1000040</v>
      </c>
      <c r="R492" s="203">
        <v>0</v>
      </c>
      <c r="U492" s="203">
        <f>VLOOKUP(B492,★営業所!$A$2:$C$5,3,FALSE)</f>
        <v>8</v>
      </c>
      <c r="V492" s="203">
        <f>申込書!$B$9</f>
        <v>0</v>
      </c>
      <c r="W492" s="203" t="str">
        <f>CONCATENATE(VLOOKUP(B492,★営業所!$A$2:$B$5,2,FALSE),VLOOKUP(申込書!$C$32,★サイズ表記!$D$4:$E$55,2,FALSE),VLOOKUP(D492,★折込地区!$A$2:$B$11,2,FALSE))</f>
        <v>T1001Kry</v>
      </c>
      <c r="X492" s="203" t="str">
        <f>CONCATENATE(申込書!$B$9," ",VLOOKUP(RIGHT(W492,3),★折込地区!$B$2:$C$10,2,FALSE),"")</f>
        <v xml:space="preserve"> 倉吉</v>
      </c>
      <c r="Z492" s="206">
        <f t="shared" ca="1" si="56"/>
        <v>0</v>
      </c>
      <c r="AB492" s="383">
        <f t="shared" si="57"/>
        <v>2.8</v>
      </c>
      <c r="AC492" s="203" t="str">
        <f t="shared" si="58"/>
        <v>S1001</v>
      </c>
      <c r="AD492" s="203" t="str">
        <f>VLOOKUP(AC492,★原価商品!$E$6:$F$349,2,FALSE)</f>
        <v>山陰中央/B4（折り無し）</v>
      </c>
      <c r="AE492" s="203">
        <f t="shared" ca="1" si="59"/>
        <v>0</v>
      </c>
      <c r="AF492" s="383">
        <f ca="1">IFERROR(IF(VLOOKUP(申込書!$C$32,★サイズ表記!$F$4:$H$55,3,FALSE)="切り捨て",ROUNDDOWN(L492*IF(AK492="◎",I492,J492)/100,2),IF(VLOOKUP(申込書!$C$32,★サイズ表記!$F$4:$H$55,3,FALSE)="切り上げ",ROUNDUP(L492*IF(AK492="◎",I492,J492)/100,2),ROUND(L492*IF(AK492="◎",I492,J492)/100,2))),0)</f>
        <v>2.29</v>
      </c>
      <c r="AG492" s="203">
        <f t="shared" ca="1" si="60"/>
        <v>0</v>
      </c>
      <c r="AJ492" s="460" t="str">
        <f>IFERROR(VLOOKUP(申込書!$C$30,★業種!$D$2:$E$87,2,FALSE),"")</f>
        <v>1003</v>
      </c>
      <c r="AK492" s="460" t="str">
        <f ca="1">IF(申込書!$C$36="◎",IF(OR(D492="浜坂・温泉",D492="美方・村岡",D492="香住",D492="岡山",D492="大阪"),"",IF(LEFT(F492)="D","◎",IF(AG492=0,"",IFERROR(IF(VLOOKUP(AG492,★仕入先!$A$2:$C$211,3,FALSE)=0,"","◎"),"")))),"")</f>
        <v/>
      </c>
      <c r="AL492" s="460">
        <f>申込書!$H$14</f>
        <v>0</v>
      </c>
      <c r="AM492" s="460" t="str">
        <f>申込書!$C$32</f>
        <v>B4（折り無し）</v>
      </c>
      <c r="AN492" s="460" t="str">
        <f>VLOOKUP(AM492,★サイズ表記!$D$4:$E$55,2,FALSE)</f>
        <v>1001</v>
      </c>
      <c r="AO492" s="460">
        <f>IF(C492&lt;&gt;"⑧兵庫",VLOOKUP(LEFT(F492),★新聞!$A$4:$B$12,2,FALSE),IF(LEFT(F492)&lt;&gt;"S",VLOOKUP(LEFT(F492),★新聞!$A$4:$B$12,2,FALSE),VLOOKUP("X",★新聞!$A$4:$B$12,2,FALSE)))</f>
        <v>6</v>
      </c>
      <c r="AP492" s="460" t="str">
        <f t="shared" ca="1" si="61"/>
        <v>0</v>
      </c>
      <c r="AQ492" s="460" t="str">
        <f>IF(申込書!$C$38="","",申込書!$C$38)</f>
        <v/>
      </c>
    </row>
    <row r="493" spans="1:43">
      <c r="A493" s="463">
        <f t="shared" si="62"/>
        <v>492</v>
      </c>
      <c r="B493" s="463" t="str">
        <f t="shared" si="55"/>
        <v>東部</v>
      </c>
      <c r="C493" s="464" t="s">
        <v>1151</v>
      </c>
      <c r="D493" s="464" t="s">
        <v>1602</v>
      </c>
      <c r="E493" s="464">
        <f>VLOOKUP(D493,★折込地区!$A$2:$D$10,4,FALSE)</f>
        <v>2</v>
      </c>
      <c r="F493" s="464" t="s">
        <v>509</v>
      </c>
      <c r="G493" s="464" t="str">
        <f>INDEX(★新聞!$E$4:$I$12, MATCH(LEFT(F493),★新聞!$A$4:$A$12,0), MATCH(LEFT(W493),★新聞!$E$3:$I$3,0))</f>
        <v>AM</v>
      </c>
      <c r="H493" s="475" t="s">
        <v>1153</v>
      </c>
      <c r="I493" s="464" cm="1">
        <f t="array" ref="I493">IFERROR(INDEX(★原価率!$A$2:$E$50,MATCH($C493&amp;$H493,★原価率!$A$2:$A$50&amp;★原価率!$B$2:$B$50,0),3),0)</f>
        <v>90</v>
      </c>
      <c r="J493" s="464" cm="1">
        <f t="array" ref="J493">IFERROR(INDEX(★原価率!$A$2:$E$50,MATCH($C493&amp;$H493,★原価率!$A$2:$A$50&amp;★原価率!$B$2:$B$50,0),4),0)</f>
        <v>90</v>
      </c>
      <c r="K493" s="464" cm="1">
        <f t="array" ref="K493">IFERROR(INDEX(★原価率!$A$2:$E$50,MATCH($C493&amp;$H493,★原価率!$A$2:$A$50&amp;★原価率!$B$2:$B$50,0),5),0)</f>
        <v>100</v>
      </c>
      <c r="L493" s="528">
        <f>IFERROR(VLOOKUP(W493,★商品!$A$1:$H$1231,8,FALSE),0)</f>
        <v>2.8</v>
      </c>
      <c r="M493" s="203" t="str">
        <f ca="1">CONCATENATE(VLOOKUP(B493,★営業所!$A$2:$B$5,2,FALSE),TEXT(NOW(),"yyyy"))</f>
        <v>T2023</v>
      </c>
      <c r="N493" s="203">
        <v>1</v>
      </c>
      <c r="O493" s="203">
        <v>0</v>
      </c>
      <c r="P493" s="213">
        <f>申込書!$B$6</f>
        <v>0</v>
      </c>
      <c r="Q493" s="203">
        <f>申込書!$C$34</f>
        <v>1000040</v>
      </c>
      <c r="R493" s="203">
        <v>0</v>
      </c>
      <c r="U493" s="203">
        <f>VLOOKUP(B493,★営業所!$A$2:$C$5,3,FALSE)</f>
        <v>8</v>
      </c>
      <c r="V493" s="203">
        <f>申込書!$B$9</f>
        <v>0</v>
      </c>
      <c r="W493" s="203" t="str">
        <f>CONCATENATE(VLOOKUP(B493,★営業所!$A$2:$B$5,2,FALSE),VLOOKUP(申込書!$C$32,★サイズ表記!$D$4:$E$55,2,FALSE),VLOOKUP(D493,★折込地区!$A$2:$B$11,2,FALSE))</f>
        <v>T1001Kry</v>
      </c>
      <c r="X493" s="203" t="str">
        <f>CONCATENATE(申込書!$B$9," ",VLOOKUP(RIGHT(W493,3),★折込地区!$B$2:$C$10,2,FALSE),"")</f>
        <v xml:space="preserve"> 倉吉</v>
      </c>
      <c r="Z493" s="206">
        <f t="shared" ca="1" si="56"/>
        <v>0</v>
      </c>
      <c r="AB493" s="383">
        <f t="shared" si="57"/>
        <v>2.8</v>
      </c>
      <c r="AC493" s="203" t="str">
        <f t="shared" si="58"/>
        <v>S1001</v>
      </c>
      <c r="AD493" s="203" t="str">
        <f>VLOOKUP(AC493,★原価商品!$E$6:$F$349,2,FALSE)</f>
        <v>山陰中央/B4（折り無し）</v>
      </c>
      <c r="AE493" s="203">
        <f t="shared" ca="1" si="59"/>
        <v>0</v>
      </c>
      <c r="AF493" s="383">
        <f ca="1">IFERROR(IF(VLOOKUP(申込書!$C$32,★サイズ表記!$F$4:$H$55,3,FALSE)="切り捨て",ROUNDDOWN(L493*IF(AK493="◎",I493,J493)/100,2),IF(VLOOKUP(申込書!$C$32,★サイズ表記!$F$4:$H$55,3,FALSE)="切り上げ",ROUNDUP(L493*IF(AK493="◎",I493,J493)/100,2),ROUND(L493*IF(AK493="◎",I493,J493)/100,2))),0)</f>
        <v>2.52</v>
      </c>
      <c r="AG493" s="203">
        <f t="shared" ca="1" si="60"/>
        <v>10303</v>
      </c>
      <c r="AJ493" s="460" t="str">
        <f>IFERROR(VLOOKUP(申込書!$C$30,★業種!$D$2:$E$87,2,FALSE),"")</f>
        <v>1003</v>
      </c>
      <c r="AK493" s="460" t="str">
        <f ca="1">IF(申込書!$C$36="◎",IF(OR(D493="浜坂・温泉",D493="美方・村岡",D493="香住",D493="岡山",D493="大阪"),"",IF(LEFT(F493)="D","◎",IF(AG493=0,"",IFERROR(IF(VLOOKUP(AG493,★仕入先!$A$2:$C$211,3,FALSE)=0,"","◎"),"")))),"")</f>
        <v/>
      </c>
      <c r="AL493" s="460">
        <f>申込書!$H$14</f>
        <v>0</v>
      </c>
      <c r="AM493" s="460" t="str">
        <f>申込書!$C$32</f>
        <v>B4（折り無し）</v>
      </c>
      <c r="AN493" s="460" t="str">
        <f>VLOOKUP(AM493,★サイズ表記!$D$4:$E$55,2,FALSE)</f>
        <v>1001</v>
      </c>
      <c r="AO493" s="460">
        <f>IF(C493&lt;&gt;"⑧兵庫",VLOOKUP(LEFT(F493),★新聞!$A$4:$B$12,2,FALSE),IF(LEFT(F493)&lt;&gt;"S",VLOOKUP(LEFT(F493),★新聞!$A$4:$B$12,2,FALSE),VLOOKUP("X",★新聞!$A$4:$B$12,2,FALSE)))</f>
        <v>6</v>
      </c>
      <c r="AP493" s="460" t="str">
        <f t="shared" ca="1" si="61"/>
        <v>0</v>
      </c>
      <c r="AQ493" s="460" t="str">
        <f>IF(申込書!$C$38="","",申込書!$C$38)</f>
        <v/>
      </c>
    </row>
    <row r="494" spans="1:43">
      <c r="A494" s="463">
        <f t="shared" si="62"/>
        <v>493</v>
      </c>
      <c r="B494" s="463" t="str">
        <f t="shared" si="55"/>
        <v>東部</v>
      </c>
      <c r="C494" s="464" t="s">
        <v>1151</v>
      </c>
      <c r="D494" s="464" t="s">
        <v>1602</v>
      </c>
      <c r="E494" s="464">
        <f>VLOOKUP(D494,★折込地区!$A$2:$D$10,4,FALSE)</f>
        <v>2</v>
      </c>
      <c r="F494" s="464" t="s">
        <v>510</v>
      </c>
      <c r="G494" s="464" t="str">
        <f>INDEX(★新聞!$E$4:$I$12, MATCH(LEFT(F494),★新聞!$A$4:$A$12,0), MATCH(LEFT(W494),★新聞!$E$3:$I$3,0))</f>
        <v>AM</v>
      </c>
      <c r="H494" s="475" t="s">
        <v>1153</v>
      </c>
      <c r="I494" s="464" cm="1">
        <f t="array" ref="I494">IFERROR(INDEX(★原価率!$A$2:$E$50,MATCH($C494&amp;$H494,★原価率!$A$2:$A$50&amp;★原価率!$B$2:$B$50,0),3),0)</f>
        <v>90</v>
      </c>
      <c r="J494" s="464" cm="1">
        <f t="array" ref="J494">IFERROR(INDEX(★原価率!$A$2:$E$50,MATCH($C494&amp;$H494,★原価率!$A$2:$A$50&amp;★原価率!$B$2:$B$50,0),4),0)</f>
        <v>90</v>
      </c>
      <c r="K494" s="464" cm="1">
        <f t="array" ref="K494">IFERROR(INDEX(★原価率!$A$2:$E$50,MATCH($C494&amp;$H494,★原価率!$A$2:$A$50&amp;★原価率!$B$2:$B$50,0),5),0)</f>
        <v>100</v>
      </c>
      <c r="L494" s="528">
        <f>IFERROR(VLOOKUP(W494,★商品!$A$1:$H$1231,8,FALSE),0)</f>
        <v>2.8</v>
      </c>
      <c r="M494" s="203" t="str">
        <f ca="1">CONCATENATE(VLOOKUP(B494,★営業所!$A$2:$B$5,2,FALSE),TEXT(NOW(),"yyyy"))</f>
        <v>T2023</v>
      </c>
      <c r="N494" s="203">
        <v>1</v>
      </c>
      <c r="O494" s="203">
        <v>0</v>
      </c>
      <c r="P494" s="213">
        <f>申込書!$B$6</f>
        <v>0</v>
      </c>
      <c r="Q494" s="203">
        <f>申込書!$C$34</f>
        <v>1000040</v>
      </c>
      <c r="R494" s="203">
        <v>0</v>
      </c>
      <c r="U494" s="203">
        <f>VLOOKUP(B494,★営業所!$A$2:$C$5,3,FALSE)</f>
        <v>8</v>
      </c>
      <c r="V494" s="203">
        <f>申込書!$B$9</f>
        <v>0</v>
      </c>
      <c r="W494" s="203" t="str">
        <f>CONCATENATE(VLOOKUP(B494,★営業所!$A$2:$B$5,2,FALSE),VLOOKUP(申込書!$C$32,★サイズ表記!$D$4:$E$55,2,FALSE),VLOOKUP(D494,★折込地区!$A$2:$B$11,2,FALSE))</f>
        <v>T1001Kry</v>
      </c>
      <c r="X494" s="203" t="str">
        <f>CONCATENATE(申込書!$B$9," ",VLOOKUP(RIGHT(W494,3),★折込地区!$B$2:$C$10,2,FALSE),"")</f>
        <v xml:space="preserve"> 倉吉</v>
      </c>
      <c r="Z494" s="206">
        <f t="shared" ca="1" si="56"/>
        <v>0</v>
      </c>
      <c r="AB494" s="383">
        <f t="shared" si="57"/>
        <v>2.8</v>
      </c>
      <c r="AC494" s="203" t="str">
        <f t="shared" si="58"/>
        <v>S1001</v>
      </c>
      <c r="AD494" s="203" t="str">
        <f>VLOOKUP(AC494,★原価商品!$E$6:$F$349,2,FALSE)</f>
        <v>山陰中央/B4（折り無し）</v>
      </c>
      <c r="AE494" s="203">
        <f t="shared" ca="1" si="59"/>
        <v>0</v>
      </c>
      <c r="AF494" s="383">
        <f ca="1">IFERROR(IF(VLOOKUP(申込書!$C$32,★サイズ表記!$F$4:$H$55,3,FALSE)="切り捨て",ROUNDDOWN(L494*IF(AK494="◎",I494,J494)/100,2),IF(VLOOKUP(申込書!$C$32,★サイズ表記!$F$4:$H$55,3,FALSE)="切り上げ",ROUNDUP(L494*IF(AK494="◎",I494,J494)/100,2),ROUND(L494*IF(AK494="◎",I494,J494)/100,2))),0)</f>
        <v>2.52</v>
      </c>
      <c r="AG494" s="203">
        <f t="shared" ca="1" si="60"/>
        <v>10303</v>
      </c>
      <c r="AJ494" s="460" t="str">
        <f>IFERROR(VLOOKUP(申込書!$C$30,★業種!$D$2:$E$87,2,FALSE),"")</f>
        <v>1003</v>
      </c>
      <c r="AK494" s="460" t="str">
        <f ca="1">IF(申込書!$C$36="◎",IF(OR(D494="浜坂・温泉",D494="美方・村岡",D494="香住",D494="岡山",D494="大阪"),"",IF(LEFT(F494)="D","◎",IF(AG494=0,"",IFERROR(IF(VLOOKUP(AG494,★仕入先!$A$2:$C$211,3,FALSE)=0,"","◎"),"")))),"")</f>
        <v/>
      </c>
      <c r="AL494" s="460">
        <f>申込書!$H$14</f>
        <v>0</v>
      </c>
      <c r="AM494" s="460" t="str">
        <f>申込書!$C$32</f>
        <v>B4（折り無し）</v>
      </c>
      <c r="AN494" s="460" t="str">
        <f>VLOOKUP(AM494,★サイズ表記!$D$4:$E$55,2,FALSE)</f>
        <v>1001</v>
      </c>
      <c r="AO494" s="460">
        <f>IF(C494&lt;&gt;"⑧兵庫",VLOOKUP(LEFT(F494),★新聞!$A$4:$B$12,2,FALSE),IF(LEFT(F494)&lt;&gt;"S",VLOOKUP(LEFT(F494),★新聞!$A$4:$B$12,2,FALSE),VLOOKUP("X",★新聞!$A$4:$B$12,2,FALSE)))</f>
        <v>6</v>
      </c>
      <c r="AP494" s="460" t="str">
        <f t="shared" ca="1" si="61"/>
        <v>0</v>
      </c>
      <c r="AQ494" s="460" t="str">
        <f>IF(申込書!$C$38="","",申込書!$C$38)</f>
        <v/>
      </c>
    </row>
    <row r="495" spans="1:43">
      <c r="A495" s="463">
        <f t="shared" si="62"/>
        <v>494</v>
      </c>
      <c r="B495" s="463" t="str">
        <f t="shared" si="55"/>
        <v>東部</v>
      </c>
      <c r="C495" s="464" t="s">
        <v>1151</v>
      </c>
      <c r="D495" s="464" t="s">
        <v>1602</v>
      </c>
      <c r="E495" s="464">
        <f>VLOOKUP(D495,★折込地区!$A$2:$D$10,4,FALSE)</f>
        <v>2</v>
      </c>
      <c r="F495" s="464" t="s">
        <v>513</v>
      </c>
      <c r="G495" s="464" t="str">
        <f>INDEX(★新聞!$E$4:$I$12, MATCH(LEFT(F495),★新聞!$A$4:$A$12,0), MATCH(LEFT(W495),★新聞!$E$3:$I$3,0))</f>
        <v>AP</v>
      </c>
      <c r="H495" s="475" t="s">
        <v>1153</v>
      </c>
      <c r="I495" s="464" cm="1">
        <f t="array" ref="I495">IFERROR(INDEX(★原価率!$A$2:$E$50,MATCH($C495&amp;$H495,★原価率!$A$2:$A$50&amp;★原価率!$B$2:$B$50,0),3),0)</f>
        <v>90</v>
      </c>
      <c r="J495" s="464" cm="1">
        <f t="array" ref="J495">IFERROR(INDEX(★原価率!$A$2:$E$50,MATCH($C495&amp;$H495,★原価率!$A$2:$A$50&amp;★原価率!$B$2:$B$50,0),4),0)</f>
        <v>90</v>
      </c>
      <c r="K495" s="464" cm="1">
        <f t="array" ref="K495">IFERROR(INDEX(★原価率!$A$2:$E$50,MATCH($C495&amp;$H495,★原価率!$A$2:$A$50&amp;★原価率!$B$2:$B$50,0),5),0)</f>
        <v>100</v>
      </c>
      <c r="L495" s="528">
        <f>IFERROR(VLOOKUP(W495,★商品!$A$1:$H$1231,8,FALSE),0)</f>
        <v>2.8</v>
      </c>
      <c r="M495" s="203" t="str">
        <f ca="1">CONCATENATE(VLOOKUP(B495,★営業所!$A$2:$B$5,2,FALSE),TEXT(NOW(),"yyyy"))</f>
        <v>T2023</v>
      </c>
      <c r="N495" s="203">
        <v>1</v>
      </c>
      <c r="O495" s="203">
        <v>0</v>
      </c>
      <c r="P495" s="213">
        <f>申込書!$B$6</f>
        <v>0</v>
      </c>
      <c r="Q495" s="203">
        <f>申込書!$C$34</f>
        <v>1000040</v>
      </c>
      <c r="R495" s="203">
        <v>0</v>
      </c>
      <c r="U495" s="203">
        <f>VLOOKUP(B495,★営業所!$A$2:$C$5,3,FALSE)</f>
        <v>8</v>
      </c>
      <c r="V495" s="203">
        <f>申込書!$B$9</f>
        <v>0</v>
      </c>
      <c r="W495" s="203" t="str">
        <f>CONCATENATE(VLOOKUP(B495,★営業所!$A$2:$B$5,2,FALSE),VLOOKUP(申込書!$C$32,★サイズ表記!$D$4:$E$55,2,FALSE),VLOOKUP(D495,★折込地区!$A$2:$B$11,2,FALSE))</f>
        <v>T1001Kry</v>
      </c>
      <c r="X495" s="203" t="str">
        <f>CONCATENATE(申込書!$B$9," ",VLOOKUP(RIGHT(W495,3),★折込地区!$B$2:$C$10,2,FALSE),"")</f>
        <v xml:space="preserve"> 倉吉</v>
      </c>
      <c r="Z495" s="206">
        <f t="shared" ca="1" si="56"/>
        <v>0</v>
      </c>
      <c r="AB495" s="383">
        <f t="shared" si="57"/>
        <v>2.8</v>
      </c>
      <c r="AC495" s="203" t="str">
        <f t="shared" si="58"/>
        <v>V1001</v>
      </c>
      <c r="AD495" s="203" t="str">
        <f>VLOOKUP(AC495,★原価商品!$E$6:$F$349,2,FALSE)</f>
        <v>日経/B4（折り無し）</v>
      </c>
      <c r="AE495" s="203">
        <f t="shared" ca="1" si="59"/>
        <v>0</v>
      </c>
      <c r="AF495" s="383">
        <f ca="1">IFERROR(IF(VLOOKUP(申込書!$C$32,★サイズ表記!$F$4:$H$55,3,FALSE)="切り捨て",ROUNDDOWN(L495*IF(AK495="◎",I495,J495)/100,2),IF(VLOOKUP(申込書!$C$32,★サイズ表記!$F$4:$H$55,3,FALSE)="切り上げ",ROUNDUP(L495*IF(AK495="◎",I495,J495)/100,2),ROUND(L495*IF(AK495="◎",I495,J495)/100,2))),0)</f>
        <v>2.52</v>
      </c>
      <c r="AG495" s="203">
        <f t="shared" ca="1" si="60"/>
        <v>10303</v>
      </c>
      <c r="AJ495" s="460" t="str">
        <f>IFERROR(VLOOKUP(申込書!$C$30,★業種!$D$2:$E$87,2,FALSE),"")</f>
        <v>1003</v>
      </c>
      <c r="AK495" s="460" t="str">
        <f ca="1">IF(申込書!$C$36="◎",IF(OR(D495="浜坂・温泉",D495="美方・村岡",D495="香住",D495="岡山",D495="大阪"),"",IF(LEFT(F495)="D","◎",IF(AG495=0,"",IFERROR(IF(VLOOKUP(AG495,★仕入先!$A$2:$C$211,3,FALSE)=0,"","◎"),"")))),"")</f>
        <v/>
      </c>
      <c r="AL495" s="460">
        <f>申込書!$H$14</f>
        <v>0</v>
      </c>
      <c r="AM495" s="460" t="str">
        <f>申込書!$C$32</f>
        <v>B4（折り無し）</v>
      </c>
      <c r="AN495" s="460" t="str">
        <f>VLOOKUP(AM495,★サイズ表記!$D$4:$E$55,2,FALSE)</f>
        <v>1001</v>
      </c>
      <c r="AO495" s="460">
        <f>IF(C495&lt;&gt;"⑧兵庫",VLOOKUP(LEFT(F495),★新聞!$A$4:$B$12,2,FALSE),IF(LEFT(F495)&lt;&gt;"S",VLOOKUP(LEFT(F495),★新聞!$A$4:$B$12,2,FALSE),VLOOKUP("X",★新聞!$A$4:$B$12,2,FALSE)))</f>
        <v>7</v>
      </c>
      <c r="AP495" s="460" t="str">
        <f t="shared" ca="1" si="61"/>
        <v>0</v>
      </c>
      <c r="AQ495" s="460" t="str">
        <f>IF(申込書!$C$38="","",申込書!$C$38)</f>
        <v/>
      </c>
    </row>
    <row r="496" spans="1:43">
      <c r="A496" s="463">
        <f t="shared" si="62"/>
        <v>495</v>
      </c>
      <c r="B496" s="463" t="str">
        <f t="shared" si="55"/>
        <v>東部</v>
      </c>
      <c r="C496" s="464" t="s">
        <v>1151</v>
      </c>
      <c r="D496" s="464" t="s">
        <v>1602</v>
      </c>
      <c r="E496" s="464">
        <f>VLOOKUP(D496,★折込地区!$A$2:$D$10,4,FALSE)</f>
        <v>2</v>
      </c>
      <c r="F496" s="464" t="s">
        <v>514</v>
      </c>
      <c r="G496" s="464" t="str">
        <f>INDEX(★新聞!$E$4:$I$12, MATCH(LEFT(F496),★新聞!$A$4:$A$12,0), MATCH(LEFT(W496),★新聞!$E$3:$I$3,0))</f>
        <v>AP</v>
      </c>
      <c r="H496" s="475" t="s">
        <v>1153</v>
      </c>
      <c r="I496" s="464" cm="1">
        <f t="array" ref="I496">IFERROR(INDEX(★原価率!$A$2:$E$50,MATCH($C496&amp;$H496,★原価率!$A$2:$A$50&amp;★原価率!$B$2:$B$50,0),3),0)</f>
        <v>90</v>
      </c>
      <c r="J496" s="464" cm="1">
        <f t="array" ref="J496">IFERROR(INDEX(★原価率!$A$2:$E$50,MATCH($C496&amp;$H496,★原価率!$A$2:$A$50&amp;★原価率!$B$2:$B$50,0),4),0)</f>
        <v>90</v>
      </c>
      <c r="K496" s="464" cm="1">
        <f t="array" ref="K496">IFERROR(INDEX(★原価率!$A$2:$E$50,MATCH($C496&amp;$H496,★原価率!$A$2:$A$50&amp;★原価率!$B$2:$B$50,0),5),0)</f>
        <v>100</v>
      </c>
      <c r="L496" s="528">
        <f>IFERROR(VLOOKUP(W496,★商品!$A$1:$H$1231,8,FALSE),0)</f>
        <v>2.8</v>
      </c>
      <c r="M496" s="203" t="str">
        <f ca="1">CONCATENATE(VLOOKUP(B496,★営業所!$A$2:$B$5,2,FALSE),TEXT(NOW(),"yyyy"))</f>
        <v>T2023</v>
      </c>
      <c r="N496" s="203">
        <v>1</v>
      </c>
      <c r="O496" s="203">
        <v>0</v>
      </c>
      <c r="P496" s="213">
        <f>申込書!$B$6</f>
        <v>0</v>
      </c>
      <c r="Q496" s="203">
        <f>申込書!$C$34</f>
        <v>1000040</v>
      </c>
      <c r="R496" s="203">
        <v>0</v>
      </c>
      <c r="U496" s="203">
        <f>VLOOKUP(B496,★営業所!$A$2:$C$5,3,FALSE)</f>
        <v>8</v>
      </c>
      <c r="V496" s="203">
        <f>申込書!$B$9</f>
        <v>0</v>
      </c>
      <c r="W496" s="203" t="str">
        <f>CONCATENATE(VLOOKUP(B496,★営業所!$A$2:$B$5,2,FALSE),VLOOKUP(申込書!$C$32,★サイズ表記!$D$4:$E$55,2,FALSE),VLOOKUP(D496,★折込地区!$A$2:$B$11,2,FALSE))</f>
        <v>T1001Kry</v>
      </c>
      <c r="X496" s="203" t="str">
        <f>CONCATENATE(申込書!$B$9," ",VLOOKUP(RIGHT(W496,3),★折込地区!$B$2:$C$10,2,FALSE),"")</f>
        <v xml:space="preserve"> 倉吉</v>
      </c>
      <c r="Z496" s="206">
        <f t="shared" ca="1" si="56"/>
        <v>0</v>
      </c>
      <c r="AB496" s="383">
        <f t="shared" si="57"/>
        <v>2.8</v>
      </c>
      <c r="AC496" s="203" t="str">
        <f t="shared" si="58"/>
        <v>V1001</v>
      </c>
      <c r="AD496" s="203" t="str">
        <f>VLOOKUP(AC496,★原価商品!$E$6:$F$349,2,FALSE)</f>
        <v>日経/B4（折り無し）</v>
      </c>
      <c r="AE496" s="203">
        <f t="shared" ca="1" si="59"/>
        <v>0</v>
      </c>
      <c r="AF496" s="383">
        <f ca="1">IFERROR(IF(VLOOKUP(申込書!$C$32,★サイズ表記!$F$4:$H$55,3,FALSE)="切り捨て",ROUNDDOWN(L496*IF(AK496="◎",I496,J496)/100,2),IF(VLOOKUP(申込書!$C$32,★サイズ表記!$F$4:$H$55,3,FALSE)="切り上げ",ROUNDUP(L496*IF(AK496="◎",I496,J496)/100,2),ROUND(L496*IF(AK496="◎",I496,J496)/100,2))),0)</f>
        <v>2.52</v>
      </c>
      <c r="AG496" s="203">
        <f t="shared" ca="1" si="60"/>
        <v>10303</v>
      </c>
      <c r="AJ496" s="460" t="str">
        <f>IFERROR(VLOOKUP(申込書!$C$30,★業種!$D$2:$E$87,2,FALSE),"")</f>
        <v>1003</v>
      </c>
      <c r="AK496" s="460" t="str">
        <f ca="1">IF(申込書!$C$36="◎",IF(OR(D496="浜坂・温泉",D496="美方・村岡",D496="香住",D496="岡山",D496="大阪"),"",IF(LEFT(F496)="D","◎",IF(AG496=0,"",IFERROR(IF(VLOOKUP(AG496,★仕入先!$A$2:$C$211,3,FALSE)=0,"","◎"),"")))),"")</f>
        <v/>
      </c>
      <c r="AL496" s="460">
        <f>申込書!$H$14</f>
        <v>0</v>
      </c>
      <c r="AM496" s="460" t="str">
        <f>申込書!$C$32</f>
        <v>B4（折り無し）</v>
      </c>
      <c r="AN496" s="460" t="str">
        <f>VLOOKUP(AM496,★サイズ表記!$D$4:$E$55,2,FALSE)</f>
        <v>1001</v>
      </c>
      <c r="AO496" s="460">
        <f>IF(C496&lt;&gt;"⑧兵庫",VLOOKUP(LEFT(F496),★新聞!$A$4:$B$12,2,FALSE),IF(LEFT(F496)&lt;&gt;"S",VLOOKUP(LEFT(F496),★新聞!$A$4:$B$12,2,FALSE),VLOOKUP("X",★新聞!$A$4:$B$12,2,FALSE)))</f>
        <v>7</v>
      </c>
      <c r="AP496" s="460" t="str">
        <f t="shared" ca="1" si="61"/>
        <v>0</v>
      </c>
      <c r="AQ496" s="460" t="str">
        <f>IF(申込書!$C$38="","",申込書!$C$38)</f>
        <v/>
      </c>
    </row>
    <row r="497" spans="1:43">
      <c r="A497" s="463">
        <f t="shared" si="62"/>
        <v>496</v>
      </c>
      <c r="B497" s="463" t="str">
        <f t="shared" si="55"/>
        <v>東部</v>
      </c>
      <c r="C497" s="464" t="s">
        <v>1151</v>
      </c>
      <c r="D497" s="464" t="s">
        <v>1602</v>
      </c>
      <c r="E497" s="464">
        <f>VLOOKUP(D497,★折込地区!$A$2:$D$10,4,FALSE)</f>
        <v>2</v>
      </c>
      <c r="F497" s="464" t="s">
        <v>515</v>
      </c>
      <c r="G497" s="464" t="str">
        <f>INDEX(★新聞!$E$4:$I$12, MATCH(LEFT(F497),★新聞!$A$4:$A$12,0), MATCH(LEFT(W497),★新聞!$E$3:$I$3,0))</f>
        <v>AP</v>
      </c>
      <c r="H497" s="475" t="s">
        <v>1104</v>
      </c>
      <c r="I497" s="464" cm="1">
        <f t="array" ref="I497">IFERROR(INDEX(★原価率!$A$2:$E$50,MATCH($C497&amp;$H497,★原価率!$A$2:$A$50&amp;★原価率!$B$2:$B$50,0),3),0)</f>
        <v>86</v>
      </c>
      <c r="J497" s="464" cm="1">
        <f t="array" ref="J497">IFERROR(INDEX(★原価率!$A$2:$E$50,MATCH($C497&amp;$H497,★原価率!$A$2:$A$50&amp;★原価率!$B$2:$B$50,0),4),0)</f>
        <v>86</v>
      </c>
      <c r="K497" s="464" cm="1">
        <f t="array" ref="K497">IFERROR(INDEX(★原価率!$A$2:$E$50,MATCH($C497&amp;$H497,★原価率!$A$2:$A$50&amp;★原価率!$B$2:$B$50,0),5),0)</f>
        <v>100</v>
      </c>
      <c r="L497" s="528">
        <f>IFERROR(VLOOKUP(W497,★商品!$A$1:$H$1231,8,FALSE),0)</f>
        <v>2.8</v>
      </c>
      <c r="M497" s="203" t="str">
        <f ca="1">CONCATENATE(VLOOKUP(B497,★営業所!$A$2:$B$5,2,FALSE),TEXT(NOW(),"yyyy"))</f>
        <v>T2023</v>
      </c>
      <c r="N497" s="203">
        <v>1</v>
      </c>
      <c r="O497" s="203">
        <v>0</v>
      </c>
      <c r="P497" s="213">
        <f>申込書!$B$6</f>
        <v>0</v>
      </c>
      <c r="Q497" s="203">
        <f>申込書!$C$34</f>
        <v>1000040</v>
      </c>
      <c r="R497" s="203">
        <v>0</v>
      </c>
      <c r="U497" s="203">
        <f>VLOOKUP(B497,★営業所!$A$2:$C$5,3,FALSE)</f>
        <v>8</v>
      </c>
      <c r="V497" s="203">
        <f>申込書!$B$9</f>
        <v>0</v>
      </c>
      <c r="W497" s="203" t="str">
        <f>CONCATENATE(VLOOKUP(B497,★営業所!$A$2:$B$5,2,FALSE),VLOOKUP(申込書!$C$32,★サイズ表記!$D$4:$E$55,2,FALSE),VLOOKUP(D497,★折込地区!$A$2:$B$11,2,FALSE))</f>
        <v>T1001Kry</v>
      </c>
      <c r="X497" s="203" t="str">
        <f>CONCATENATE(申込書!$B$9," ",VLOOKUP(RIGHT(W497,3),★折込地区!$B$2:$C$10,2,FALSE),"")</f>
        <v xml:space="preserve"> 倉吉</v>
      </c>
      <c r="Z497" s="206">
        <f t="shared" ca="1" si="56"/>
        <v>0</v>
      </c>
      <c r="AB497" s="383">
        <f t="shared" si="57"/>
        <v>2.8</v>
      </c>
      <c r="AC497" s="203" t="str">
        <f t="shared" si="58"/>
        <v>V1001</v>
      </c>
      <c r="AD497" s="203" t="str">
        <f>VLOOKUP(AC497,★原価商品!$E$6:$F$349,2,FALSE)</f>
        <v>日経/B4（折り無し）</v>
      </c>
      <c r="AE497" s="203">
        <f t="shared" ca="1" si="59"/>
        <v>0</v>
      </c>
      <c r="AF497" s="383">
        <f ca="1">IFERROR(IF(VLOOKUP(申込書!$C$32,★サイズ表記!$F$4:$H$55,3,FALSE)="切り捨て",ROUNDDOWN(L497*IF(AK497="◎",I497,J497)/100,2),IF(VLOOKUP(申込書!$C$32,★サイズ表記!$F$4:$H$55,3,FALSE)="切り上げ",ROUNDUP(L497*IF(AK497="◎",I497,J497)/100,2),ROUND(L497*IF(AK497="◎",I497,J497)/100,2))),0)</f>
        <v>2.4</v>
      </c>
      <c r="AG497" s="203">
        <f t="shared" ca="1" si="60"/>
        <v>10303</v>
      </c>
      <c r="AJ497" s="460" t="str">
        <f>IFERROR(VLOOKUP(申込書!$C$30,★業種!$D$2:$E$87,2,FALSE),"")</f>
        <v>1003</v>
      </c>
      <c r="AK497" s="460" t="str">
        <f ca="1">IF(申込書!$C$36="◎",IF(OR(D497="浜坂・温泉",D497="美方・村岡",D497="香住",D497="岡山",D497="大阪"),"",IF(LEFT(F497)="D","◎",IF(AG497=0,"",IFERROR(IF(VLOOKUP(AG497,★仕入先!$A$2:$C$211,3,FALSE)=0,"","◎"),"")))),"")</f>
        <v/>
      </c>
      <c r="AL497" s="460">
        <f>申込書!$H$14</f>
        <v>0</v>
      </c>
      <c r="AM497" s="460" t="str">
        <f>申込書!$C$32</f>
        <v>B4（折り無し）</v>
      </c>
      <c r="AN497" s="460" t="str">
        <f>VLOOKUP(AM497,★サイズ表記!$D$4:$E$55,2,FALSE)</f>
        <v>1001</v>
      </c>
      <c r="AO497" s="460">
        <f>IF(C497&lt;&gt;"⑧兵庫",VLOOKUP(LEFT(F497),★新聞!$A$4:$B$12,2,FALSE),IF(LEFT(F497)&lt;&gt;"S",VLOOKUP(LEFT(F497),★新聞!$A$4:$B$12,2,FALSE),VLOOKUP("X",★新聞!$A$4:$B$12,2,FALSE)))</f>
        <v>7</v>
      </c>
      <c r="AP497" s="460" t="str">
        <f t="shared" ca="1" si="61"/>
        <v>0</v>
      </c>
      <c r="AQ497" s="460" t="str">
        <f>IF(申込書!$C$38="","",申込書!$C$38)</f>
        <v/>
      </c>
    </row>
    <row r="498" spans="1:43">
      <c r="A498" s="463">
        <f t="shared" si="62"/>
        <v>497</v>
      </c>
      <c r="B498" s="463" t="str">
        <f t="shared" si="55"/>
        <v>東部</v>
      </c>
      <c r="C498" s="464" t="s">
        <v>1151</v>
      </c>
      <c r="D498" s="464" t="s">
        <v>1602</v>
      </c>
      <c r="E498" s="464">
        <f>VLOOKUP(D498,★折込地区!$A$2:$D$10,4,FALSE)</f>
        <v>2</v>
      </c>
      <c r="F498" s="464" t="s">
        <v>516</v>
      </c>
      <c r="G498" s="464" t="str">
        <f>INDEX(★新聞!$E$4:$I$12, MATCH(LEFT(F498),★新聞!$A$4:$A$12,0), MATCH(LEFT(W498),★新聞!$E$3:$I$3,0))</f>
        <v>AP</v>
      </c>
      <c r="H498" s="475" t="s">
        <v>1104</v>
      </c>
      <c r="I498" s="464" cm="1">
        <f t="array" ref="I498">IFERROR(INDEX(★原価率!$A$2:$E$50,MATCH($C498&amp;$H498,★原価率!$A$2:$A$50&amp;★原価率!$B$2:$B$50,0),3),0)</f>
        <v>86</v>
      </c>
      <c r="J498" s="464" cm="1">
        <f t="array" ref="J498">IFERROR(INDEX(★原価率!$A$2:$E$50,MATCH($C498&amp;$H498,★原価率!$A$2:$A$50&amp;★原価率!$B$2:$B$50,0),4),0)</f>
        <v>86</v>
      </c>
      <c r="K498" s="464" cm="1">
        <f t="array" ref="K498">IFERROR(INDEX(★原価率!$A$2:$E$50,MATCH($C498&amp;$H498,★原価率!$A$2:$A$50&amp;★原価率!$B$2:$B$50,0),5),0)</f>
        <v>100</v>
      </c>
      <c r="L498" s="528">
        <f>IFERROR(VLOOKUP(W498,★商品!$A$1:$H$1231,8,FALSE),0)</f>
        <v>2.8</v>
      </c>
      <c r="M498" s="203" t="str">
        <f ca="1">CONCATENATE(VLOOKUP(B498,★営業所!$A$2:$B$5,2,FALSE),TEXT(NOW(),"yyyy"))</f>
        <v>T2023</v>
      </c>
      <c r="N498" s="203">
        <v>1</v>
      </c>
      <c r="O498" s="203">
        <v>0</v>
      </c>
      <c r="P498" s="213">
        <f>申込書!$B$6</f>
        <v>0</v>
      </c>
      <c r="Q498" s="203">
        <f>申込書!$C$34</f>
        <v>1000040</v>
      </c>
      <c r="R498" s="203">
        <v>0</v>
      </c>
      <c r="U498" s="203">
        <f>VLOOKUP(B498,★営業所!$A$2:$C$5,3,FALSE)</f>
        <v>8</v>
      </c>
      <c r="V498" s="203">
        <f>申込書!$B$9</f>
        <v>0</v>
      </c>
      <c r="W498" s="203" t="str">
        <f>CONCATENATE(VLOOKUP(B498,★営業所!$A$2:$B$5,2,FALSE),VLOOKUP(申込書!$C$32,★サイズ表記!$D$4:$E$55,2,FALSE),VLOOKUP(D498,★折込地区!$A$2:$B$11,2,FALSE))</f>
        <v>T1001Kry</v>
      </c>
      <c r="X498" s="203" t="str">
        <f>CONCATENATE(申込書!$B$9," ",VLOOKUP(RIGHT(W498,3),★折込地区!$B$2:$C$10,2,FALSE),"")</f>
        <v xml:space="preserve"> 倉吉</v>
      </c>
      <c r="Z498" s="206">
        <f t="shared" ca="1" si="56"/>
        <v>0</v>
      </c>
      <c r="AB498" s="383">
        <f t="shared" si="57"/>
        <v>2.8</v>
      </c>
      <c r="AC498" s="203" t="str">
        <f t="shared" si="58"/>
        <v>V1001</v>
      </c>
      <c r="AD498" s="203" t="str">
        <f>VLOOKUP(AC498,★原価商品!$E$6:$F$349,2,FALSE)</f>
        <v>日経/B4（折り無し）</v>
      </c>
      <c r="AE498" s="203">
        <f t="shared" ca="1" si="59"/>
        <v>0</v>
      </c>
      <c r="AF498" s="383">
        <f ca="1">IFERROR(IF(VLOOKUP(申込書!$C$32,★サイズ表記!$F$4:$H$55,3,FALSE)="切り捨て",ROUNDDOWN(L498*IF(AK498="◎",I498,J498)/100,2),IF(VLOOKUP(申込書!$C$32,★サイズ表記!$F$4:$H$55,3,FALSE)="切り上げ",ROUNDUP(L498*IF(AK498="◎",I498,J498)/100,2),ROUND(L498*IF(AK498="◎",I498,J498)/100,2))),0)</f>
        <v>2.4</v>
      </c>
      <c r="AG498" s="203">
        <f t="shared" ca="1" si="60"/>
        <v>0</v>
      </c>
      <c r="AJ498" s="460" t="str">
        <f>IFERROR(VLOOKUP(申込書!$C$30,★業種!$D$2:$E$87,2,FALSE),"")</f>
        <v>1003</v>
      </c>
      <c r="AK498" s="460" t="str">
        <f ca="1">IF(申込書!$C$36="◎",IF(OR(D498="浜坂・温泉",D498="美方・村岡",D498="香住",D498="岡山",D498="大阪"),"",IF(LEFT(F498)="D","◎",IF(AG498=0,"",IFERROR(IF(VLOOKUP(AG498,★仕入先!$A$2:$C$211,3,FALSE)=0,"","◎"),"")))),"")</f>
        <v/>
      </c>
      <c r="AL498" s="460">
        <f>申込書!$H$14</f>
        <v>0</v>
      </c>
      <c r="AM498" s="460" t="str">
        <f>申込書!$C$32</f>
        <v>B4（折り無し）</v>
      </c>
      <c r="AN498" s="460" t="str">
        <f>VLOOKUP(AM498,★サイズ表記!$D$4:$E$55,2,FALSE)</f>
        <v>1001</v>
      </c>
      <c r="AO498" s="460">
        <f>IF(C498&lt;&gt;"⑧兵庫",VLOOKUP(LEFT(F498),★新聞!$A$4:$B$12,2,FALSE),IF(LEFT(F498)&lt;&gt;"S",VLOOKUP(LEFT(F498),★新聞!$A$4:$B$12,2,FALSE),VLOOKUP("X",★新聞!$A$4:$B$12,2,FALSE)))</f>
        <v>7</v>
      </c>
      <c r="AP498" s="460" t="str">
        <f t="shared" ca="1" si="61"/>
        <v>0</v>
      </c>
      <c r="AQ498" s="460" t="str">
        <f>IF(申込書!$C$38="","",申込書!$C$38)</f>
        <v/>
      </c>
    </row>
    <row r="499" spans="1:43">
      <c r="A499" s="463">
        <f t="shared" si="62"/>
        <v>498</v>
      </c>
      <c r="B499" s="463" t="str">
        <f t="shared" si="55"/>
        <v>東部</v>
      </c>
      <c r="C499" s="464" t="s">
        <v>1151</v>
      </c>
      <c r="D499" s="464" t="s">
        <v>1602</v>
      </c>
      <c r="E499" s="464">
        <f>VLOOKUP(D499,★折込地区!$A$2:$D$10,4,FALSE)</f>
        <v>2</v>
      </c>
      <c r="F499" s="464" t="s">
        <v>517</v>
      </c>
      <c r="G499" s="464" t="str">
        <f>INDEX(★新聞!$E$4:$I$12, MATCH(LEFT(F499),★新聞!$A$4:$A$12,0), MATCH(LEFT(W499),★新聞!$E$3:$I$3,0))</f>
        <v>AP</v>
      </c>
      <c r="H499" s="475" t="s">
        <v>1104</v>
      </c>
      <c r="I499" s="464" cm="1">
        <f t="array" ref="I499">IFERROR(INDEX(★原価率!$A$2:$E$50,MATCH($C499&amp;$H499,★原価率!$A$2:$A$50&amp;★原価率!$B$2:$B$50,0),3),0)</f>
        <v>86</v>
      </c>
      <c r="J499" s="464" cm="1">
        <f t="array" ref="J499">IFERROR(INDEX(★原価率!$A$2:$E$50,MATCH($C499&amp;$H499,★原価率!$A$2:$A$50&amp;★原価率!$B$2:$B$50,0),4),0)</f>
        <v>86</v>
      </c>
      <c r="K499" s="464" cm="1">
        <f t="array" ref="K499">IFERROR(INDEX(★原価率!$A$2:$E$50,MATCH($C499&amp;$H499,★原価率!$A$2:$A$50&amp;★原価率!$B$2:$B$50,0),5),0)</f>
        <v>100</v>
      </c>
      <c r="L499" s="528">
        <f>IFERROR(VLOOKUP(W499,★商品!$A$1:$H$1231,8,FALSE),0)</f>
        <v>2.8</v>
      </c>
      <c r="M499" s="203" t="str">
        <f ca="1">CONCATENATE(VLOOKUP(B499,★営業所!$A$2:$B$5,2,FALSE),TEXT(NOW(),"yyyy"))</f>
        <v>T2023</v>
      </c>
      <c r="N499" s="203">
        <v>1</v>
      </c>
      <c r="O499" s="203">
        <v>0</v>
      </c>
      <c r="P499" s="213">
        <f>申込書!$B$6</f>
        <v>0</v>
      </c>
      <c r="Q499" s="203">
        <f>申込書!$C$34</f>
        <v>1000040</v>
      </c>
      <c r="R499" s="203">
        <v>0</v>
      </c>
      <c r="U499" s="203">
        <f>VLOOKUP(B499,★営業所!$A$2:$C$5,3,FALSE)</f>
        <v>8</v>
      </c>
      <c r="V499" s="203">
        <f>申込書!$B$9</f>
        <v>0</v>
      </c>
      <c r="W499" s="203" t="str">
        <f>CONCATENATE(VLOOKUP(B499,★営業所!$A$2:$B$5,2,FALSE),VLOOKUP(申込書!$C$32,★サイズ表記!$D$4:$E$55,2,FALSE),VLOOKUP(D499,★折込地区!$A$2:$B$11,2,FALSE))</f>
        <v>T1001Kry</v>
      </c>
      <c r="X499" s="203" t="str">
        <f>CONCATENATE(申込書!$B$9," ",VLOOKUP(RIGHT(W499,3),★折込地区!$B$2:$C$10,2,FALSE),"")</f>
        <v xml:space="preserve"> 倉吉</v>
      </c>
      <c r="Z499" s="206">
        <f t="shared" ca="1" si="56"/>
        <v>0</v>
      </c>
      <c r="AB499" s="383">
        <f t="shared" si="57"/>
        <v>2.8</v>
      </c>
      <c r="AC499" s="203" t="str">
        <f t="shared" si="58"/>
        <v>V1001</v>
      </c>
      <c r="AD499" s="203" t="str">
        <f>VLOOKUP(AC499,★原価商品!$E$6:$F$349,2,FALSE)</f>
        <v>日経/B4（折り無し）</v>
      </c>
      <c r="AE499" s="203">
        <f t="shared" ca="1" si="59"/>
        <v>0</v>
      </c>
      <c r="AF499" s="383">
        <f ca="1">IFERROR(IF(VLOOKUP(申込書!$C$32,★サイズ表記!$F$4:$H$55,3,FALSE)="切り捨て",ROUNDDOWN(L499*IF(AK499="◎",I499,J499)/100,2),IF(VLOOKUP(申込書!$C$32,★サイズ表記!$F$4:$H$55,3,FALSE)="切り上げ",ROUNDUP(L499*IF(AK499="◎",I499,J499)/100,2),ROUND(L499*IF(AK499="◎",I499,J499)/100,2))),0)</f>
        <v>2.4</v>
      </c>
      <c r="AG499" s="203">
        <f t="shared" ca="1" si="60"/>
        <v>0</v>
      </c>
      <c r="AJ499" s="460" t="str">
        <f>IFERROR(VLOOKUP(申込書!$C$30,★業種!$D$2:$E$87,2,FALSE),"")</f>
        <v>1003</v>
      </c>
      <c r="AK499" s="460" t="str">
        <f ca="1">IF(申込書!$C$36="◎",IF(OR(D499="浜坂・温泉",D499="美方・村岡",D499="香住",D499="岡山",D499="大阪"),"",IF(LEFT(F499)="D","◎",IF(AG499=0,"",IFERROR(IF(VLOOKUP(AG499,★仕入先!$A$2:$C$211,3,FALSE)=0,"","◎"),"")))),"")</f>
        <v/>
      </c>
      <c r="AL499" s="460">
        <f>申込書!$H$14</f>
        <v>0</v>
      </c>
      <c r="AM499" s="460" t="str">
        <f>申込書!$C$32</f>
        <v>B4（折り無し）</v>
      </c>
      <c r="AN499" s="460" t="str">
        <f>VLOOKUP(AM499,★サイズ表記!$D$4:$E$55,2,FALSE)</f>
        <v>1001</v>
      </c>
      <c r="AO499" s="460">
        <f>IF(C499&lt;&gt;"⑧兵庫",VLOOKUP(LEFT(F499),★新聞!$A$4:$B$12,2,FALSE),IF(LEFT(F499)&lt;&gt;"S",VLOOKUP(LEFT(F499),★新聞!$A$4:$B$12,2,FALSE),VLOOKUP("X",★新聞!$A$4:$B$12,2,FALSE)))</f>
        <v>7</v>
      </c>
      <c r="AP499" s="460" t="str">
        <f t="shared" ca="1" si="61"/>
        <v>0</v>
      </c>
      <c r="AQ499" s="460" t="str">
        <f>IF(申込書!$C$38="","",申込書!$C$38)</f>
        <v/>
      </c>
    </row>
    <row r="500" spans="1:43">
      <c r="A500" s="463">
        <f t="shared" si="62"/>
        <v>499</v>
      </c>
      <c r="B500" s="463" t="str">
        <f t="shared" si="55"/>
        <v>東部</v>
      </c>
      <c r="C500" s="464" t="s">
        <v>1151</v>
      </c>
      <c r="D500" s="464" t="s">
        <v>1602</v>
      </c>
      <c r="E500" s="464">
        <f>VLOOKUP(D500,★折込地区!$A$2:$D$10,4,FALSE)</f>
        <v>2</v>
      </c>
      <c r="F500" s="464" t="s">
        <v>518</v>
      </c>
      <c r="G500" s="464" t="str">
        <f>INDEX(★新聞!$E$4:$I$12, MATCH(LEFT(F500),★新聞!$A$4:$A$12,0), MATCH(LEFT(W500),★新聞!$E$3:$I$3,0))</f>
        <v>AP</v>
      </c>
      <c r="H500" s="475" t="s">
        <v>1153</v>
      </c>
      <c r="I500" s="464" cm="1">
        <f t="array" ref="I500">IFERROR(INDEX(★原価率!$A$2:$E$50,MATCH($C500&amp;$H500,★原価率!$A$2:$A$50&amp;★原価率!$B$2:$B$50,0),3),0)</f>
        <v>90</v>
      </c>
      <c r="J500" s="464" cm="1">
        <f t="array" ref="J500">IFERROR(INDEX(★原価率!$A$2:$E$50,MATCH($C500&amp;$H500,★原価率!$A$2:$A$50&amp;★原価率!$B$2:$B$50,0),4),0)</f>
        <v>90</v>
      </c>
      <c r="K500" s="464" cm="1">
        <f t="array" ref="K500">IFERROR(INDEX(★原価率!$A$2:$E$50,MATCH($C500&amp;$H500,★原価率!$A$2:$A$50&amp;★原価率!$B$2:$B$50,0),5),0)</f>
        <v>100</v>
      </c>
      <c r="L500" s="528">
        <f>IFERROR(VLOOKUP(W500,★商品!$A$1:$H$1231,8,FALSE),0)</f>
        <v>2.8</v>
      </c>
      <c r="M500" s="203" t="str">
        <f ca="1">CONCATENATE(VLOOKUP(B500,★営業所!$A$2:$B$5,2,FALSE),TEXT(NOW(),"yyyy"))</f>
        <v>T2023</v>
      </c>
      <c r="N500" s="203">
        <v>1</v>
      </c>
      <c r="O500" s="203">
        <v>0</v>
      </c>
      <c r="P500" s="213">
        <f>申込書!$B$6</f>
        <v>0</v>
      </c>
      <c r="Q500" s="203">
        <f>申込書!$C$34</f>
        <v>1000040</v>
      </c>
      <c r="R500" s="203">
        <v>0</v>
      </c>
      <c r="U500" s="203">
        <f>VLOOKUP(B500,★営業所!$A$2:$C$5,3,FALSE)</f>
        <v>8</v>
      </c>
      <c r="V500" s="203">
        <f>申込書!$B$9</f>
        <v>0</v>
      </c>
      <c r="W500" s="203" t="str">
        <f>CONCATENATE(VLOOKUP(B500,★営業所!$A$2:$B$5,2,FALSE),VLOOKUP(申込書!$C$32,★サイズ表記!$D$4:$E$55,2,FALSE),VLOOKUP(D500,★折込地区!$A$2:$B$11,2,FALSE))</f>
        <v>T1001Kry</v>
      </c>
      <c r="X500" s="203" t="str">
        <f>CONCATENATE(申込書!$B$9," ",VLOOKUP(RIGHT(W500,3),★折込地区!$B$2:$C$10,2,FALSE),"")</f>
        <v xml:space="preserve"> 倉吉</v>
      </c>
      <c r="Z500" s="206">
        <f t="shared" ca="1" si="56"/>
        <v>0</v>
      </c>
      <c r="AB500" s="383">
        <f t="shared" si="57"/>
        <v>2.8</v>
      </c>
      <c r="AC500" s="203" t="str">
        <f t="shared" si="58"/>
        <v>V1001</v>
      </c>
      <c r="AD500" s="203" t="str">
        <f>VLOOKUP(AC500,★原価商品!$E$6:$F$349,2,FALSE)</f>
        <v>日経/B4（折り無し）</v>
      </c>
      <c r="AE500" s="203">
        <f t="shared" ca="1" si="59"/>
        <v>0</v>
      </c>
      <c r="AF500" s="383">
        <f ca="1">IFERROR(IF(VLOOKUP(申込書!$C$32,★サイズ表記!$F$4:$H$55,3,FALSE)="切り捨て",ROUNDDOWN(L500*IF(AK500="◎",I500,J500)/100,2),IF(VLOOKUP(申込書!$C$32,★サイズ表記!$F$4:$H$55,3,FALSE)="切り上げ",ROUNDUP(L500*IF(AK500="◎",I500,J500)/100,2),ROUND(L500*IF(AK500="◎",I500,J500)/100,2))),0)</f>
        <v>2.52</v>
      </c>
      <c r="AG500" s="203">
        <f t="shared" ca="1" si="60"/>
        <v>10303</v>
      </c>
      <c r="AJ500" s="460" t="str">
        <f>IFERROR(VLOOKUP(申込書!$C$30,★業種!$D$2:$E$87,2,FALSE),"")</f>
        <v>1003</v>
      </c>
      <c r="AK500" s="460" t="str">
        <f ca="1">IF(申込書!$C$36="◎",IF(OR(D500="浜坂・温泉",D500="美方・村岡",D500="香住",D500="岡山",D500="大阪"),"",IF(LEFT(F500)="D","◎",IF(AG500=0,"",IFERROR(IF(VLOOKUP(AG500,★仕入先!$A$2:$C$211,3,FALSE)=0,"","◎"),"")))),"")</f>
        <v/>
      </c>
      <c r="AL500" s="460">
        <f>申込書!$H$14</f>
        <v>0</v>
      </c>
      <c r="AM500" s="460" t="str">
        <f>申込書!$C$32</f>
        <v>B4（折り無し）</v>
      </c>
      <c r="AN500" s="460" t="str">
        <f>VLOOKUP(AM500,★サイズ表記!$D$4:$E$55,2,FALSE)</f>
        <v>1001</v>
      </c>
      <c r="AO500" s="460">
        <f>IF(C500&lt;&gt;"⑧兵庫",VLOOKUP(LEFT(F500),★新聞!$A$4:$B$12,2,FALSE),IF(LEFT(F500)&lt;&gt;"S",VLOOKUP(LEFT(F500),★新聞!$A$4:$B$12,2,FALSE),VLOOKUP("X",★新聞!$A$4:$B$12,2,FALSE)))</f>
        <v>7</v>
      </c>
      <c r="AP500" s="460" t="str">
        <f t="shared" ca="1" si="61"/>
        <v>0</v>
      </c>
      <c r="AQ500" s="460" t="str">
        <f>IF(申込書!$C$38="","",申込書!$C$38)</f>
        <v/>
      </c>
    </row>
    <row r="501" spans="1:43">
      <c r="A501" s="463">
        <f t="shared" si="62"/>
        <v>500</v>
      </c>
      <c r="B501" s="463" t="str">
        <f t="shared" si="55"/>
        <v>東部</v>
      </c>
      <c r="C501" s="464" t="s">
        <v>1151</v>
      </c>
      <c r="D501" s="464" t="s">
        <v>1602</v>
      </c>
      <c r="E501" s="464">
        <f>VLOOKUP(D501,★折込地区!$A$2:$D$10,4,FALSE)</f>
        <v>2</v>
      </c>
      <c r="F501" s="464" t="s">
        <v>519</v>
      </c>
      <c r="G501" s="464" t="str">
        <f>INDEX(★新聞!$E$4:$I$12, MATCH(LEFT(F501),★新聞!$A$4:$A$12,0), MATCH(LEFT(W501),★新聞!$E$3:$I$3,0))</f>
        <v>AP</v>
      </c>
      <c r="H501" s="475" t="s">
        <v>1107</v>
      </c>
      <c r="I501" s="464" cm="1">
        <f t="array" ref="I501">IFERROR(INDEX(★原価率!$A$2:$E$50,MATCH($C501&amp;$H501,★原価率!$A$2:$A$50&amp;★原価率!$B$2:$B$50,0),3),0)</f>
        <v>82</v>
      </c>
      <c r="J501" s="464" cm="1">
        <f t="array" ref="J501">IFERROR(INDEX(★原価率!$A$2:$E$50,MATCH($C501&amp;$H501,★原価率!$A$2:$A$50&amp;★原価率!$B$2:$B$50,0),4),0)</f>
        <v>82</v>
      </c>
      <c r="K501" s="464" cm="1">
        <f t="array" ref="K501">IFERROR(INDEX(★原価率!$A$2:$E$50,MATCH($C501&amp;$H501,★原価率!$A$2:$A$50&amp;★原価率!$B$2:$B$50,0),5),0)</f>
        <v>100</v>
      </c>
      <c r="L501" s="528">
        <f>IFERROR(VLOOKUP(W501,★商品!$A$1:$H$1231,8,FALSE),0)</f>
        <v>2.8</v>
      </c>
      <c r="M501" s="203" t="str">
        <f ca="1">CONCATENATE(VLOOKUP(B501,★営業所!$A$2:$B$5,2,FALSE),TEXT(NOW(),"yyyy"))</f>
        <v>T2023</v>
      </c>
      <c r="N501" s="203">
        <v>1</v>
      </c>
      <c r="O501" s="203">
        <v>0</v>
      </c>
      <c r="P501" s="213">
        <f>申込書!$B$6</f>
        <v>0</v>
      </c>
      <c r="Q501" s="203">
        <f>申込書!$C$34</f>
        <v>1000040</v>
      </c>
      <c r="R501" s="203">
        <v>0</v>
      </c>
      <c r="U501" s="203">
        <f>VLOOKUP(B501,★営業所!$A$2:$C$5,3,FALSE)</f>
        <v>8</v>
      </c>
      <c r="V501" s="203">
        <f>申込書!$B$9</f>
        <v>0</v>
      </c>
      <c r="W501" s="203" t="str">
        <f>CONCATENATE(VLOOKUP(B501,★営業所!$A$2:$B$5,2,FALSE),VLOOKUP(申込書!$C$32,★サイズ表記!$D$4:$E$55,2,FALSE),VLOOKUP(D501,★折込地区!$A$2:$B$11,2,FALSE))</f>
        <v>T1001Kry</v>
      </c>
      <c r="X501" s="203" t="str">
        <f>CONCATENATE(申込書!$B$9," ",VLOOKUP(RIGHT(W501,3),★折込地区!$B$2:$C$10,2,FALSE),"")</f>
        <v xml:space="preserve"> 倉吉</v>
      </c>
      <c r="Z501" s="206">
        <f t="shared" ca="1" si="56"/>
        <v>0</v>
      </c>
      <c r="AB501" s="383">
        <f t="shared" si="57"/>
        <v>2.8</v>
      </c>
      <c r="AC501" s="203" t="str">
        <f t="shared" si="58"/>
        <v>V1001</v>
      </c>
      <c r="AD501" s="203" t="str">
        <f>VLOOKUP(AC501,★原価商品!$E$6:$F$349,2,FALSE)</f>
        <v>日経/B4（折り無し）</v>
      </c>
      <c r="AE501" s="203">
        <f t="shared" ca="1" si="59"/>
        <v>0</v>
      </c>
      <c r="AF501" s="383">
        <f ca="1">IFERROR(IF(VLOOKUP(申込書!$C$32,★サイズ表記!$F$4:$H$55,3,FALSE)="切り捨て",ROUNDDOWN(L501*IF(AK501="◎",I501,J501)/100,2),IF(VLOOKUP(申込書!$C$32,★サイズ表記!$F$4:$H$55,3,FALSE)="切り上げ",ROUNDUP(L501*IF(AK501="◎",I501,J501)/100,2),ROUND(L501*IF(AK501="◎",I501,J501)/100,2))),0)</f>
        <v>2.29</v>
      </c>
      <c r="AG501" s="203">
        <f t="shared" ca="1" si="60"/>
        <v>0</v>
      </c>
      <c r="AJ501" s="460" t="str">
        <f>IFERROR(VLOOKUP(申込書!$C$30,★業種!$D$2:$E$87,2,FALSE),"")</f>
        <v>1003</v>
      </c>
      <c r="AK501" s="460" t="str">
        <f ca="1">IF(申込書!$C$36="◎",IF(OR(D501="浜坂・温泉",D501="美方・村岡",D501="香住",D501="岡山",D501="大阪"),"",IF(LEFT(F501)="D","◎",IF(AG501=0,"",IFERROR(IF(VLOOKUP(AG501,★仕入先!$A$2:$C$211,3,FALSE)=0,"","◎"),"")))),"")</f>
        <v/>
      </c>
      <c r="AL501" s="460">
        <f>申込書!$H$14</f>
        <v>0</v>
      </c>
      <c r="AM501" s="460" t="str">
        <f>申込書!$C$32</f>
        <v>B4（折り無し）</v>
      </c>
      <c r="AN501" s="460" t="str">
        <f>VLOOKUP(AM501,★サイズ表記!$D$4:$E$55,2,FALSE)</f>
        <v>1001</v>
      </c>
      <c r="AO501" s="460">
        <f>IF(C501&lt;&gt;"⑧兵庫",VLOOKUP(LEFT(F501),★新聞!$A$4:$B$12,2,FALSE),IF(LEFT(F501)&lt;&gt;"S",VLOOKUP(LEFT(F501),★新聞!$A$4:$B$12,2,FALSE),VLOOKUP("X",★新聞!$A$4:$B$12,2,FALSE)))</f>
        <v>7</v>
      </c>
      <c r="AP501" s="460" t="str">
        <f t="shared" ca="1" si="61"/>
        <v>0</v>
      </c>
      <c r="AQ501" s="460" t="str">
        <f>IF(申込書!$C$38="","",申込書!$C$38)</f>
        <v/>
      </c>
    </row>
    <row r="502" spans="1:43">
      <c r="A502" s="463">
        <f t="shared" si="62"/>
        <v>501</v>
      </c>
      <c r="B502" s="463" t="str">
        <f t="shared" si="55"/>
        <v>東部</v>
      </c>
      <c r="C502" s="464" t="s">
        <v>1151</v>
      </c>
      <c r="D502" s="464" t="s">
        <v>1602</v>
      </c>
      <c r="E502" s="464">
        <f>VLOOKUP(D502,★折込地区!$A$2:$D$10,4,FALSE)</f>
        <v>2</v>
      </c>
      <c r="F502" s="464" t="s">
        <v>523</v>
      </c>
      <c r="G502" s="464" t="str">
        <f>INDEX(★新聞!$E$4:$I$12, MATCH(LEFT(F502),★新聞!$A$4:$A$12,0), MATCH(LEFT(W502),★新聞!$E$3:$I$3,0))</f>
        <v>AP</v>
      </c>
      <c r="H502" s="555" t="s">
        <v>1105</v>
      </c>
      <c r="I502" s="464" cm="1">
        <f t="array" ref="I502">IFERROR(INDEX(★原価率!$A$2:$E$50,MATCH($C502&amp;$H502,★原価率!$A$2:$A$50&amp;★原価率!$B$2:$B$50,0),3),0)</f>
        <v>78</v>
      </c>
      <c r="J502" s="464" cm="1">
        <f t="array" ref="J502">IFERROR(INDEX(★原価率!$A$2:$E$50,MATCH($C502&amp;$H502,★原価率!$A$2:$A$50&amp;★原価率!$B$2:$B$50,0),4),0)</f>
        <v>82</v>
      </c>
      <c r="K502" s="464" cm="1">
        <f t="array" ref="K502">IFERROR(INDEX(★原価率!$A$2:$E$50,MATCH($C502&amp;$H502,★原価率!$A$2:$A$50&amp;★原価率!$B$2:$B$50,0),5),0)</f>
        <v>100</v>
      </c>
      <c r="L502" s="528">
        <f>IFERROR(VLOOKUP(W502,★商品!$A$1:$H$1231,8,FALSE),0)</f>
        <v>2.8</v>
      </c>
      <c r="M502" s="203" t="str">
        <f ca="1">CONCATENATE(VLOOKUP(B502,★営業所!$A$2:$B$5,2,FALSE),TEXT(NOW(),"yyyy"))</f>
        <v>T2023</v>
      </c>
      <c r="N502" s="203">
        <v>1</v>
      </c>
      <c r="O502" s="203">
        <v>0</v>
      </c>
      <c r="P502" s="213">
        <f>申込書!$B$6</f>
        <v>0</v>
      </c>
      <c r="Q502" s="203">
        <f>申込書!$C$34</f>
        <v>1000040</v>
      </c>
      <c r="R502" s="203">
        <v>0</v>
      </c>
      <c r="U502" s="203">
        <f>VLOOKUP(B502,★営業所!$A$2:$C$5,3,FALSE)</f>
        <v>8</v>
      </c>
      <c r="V502" s="203">
        <f>申込書!$B$9</f>
        <v>0</v>
      </c>
      <c r="W502" s="203" t="str">
        <f>CONCATENATE(VLOOKUP(B502,★営業所!$A$2:$B$5,2,FALSE),VLOOKUP(申込書!$C$32,★サイズ表記!$D$4:$E$55,2,FALSE),VLOOKUP(D502,★折込地区!$A$2:$B$11,2,FALSE))</f>
        <v>T1001Kry</v>
      </c>
      <c r="X502" s="203" t="str">
        <f>CONCATENATE(申込書!$B$9," ",VLOOKUP(RIGHT(W502,3),★折込地区!$B$2:$C$10,2,FALSE),"")</f>
        <v xml:space="preserve"> 倉吉</v>
      </c>
      <c r="Z502" s="206">
        <f t="shared" ca="1" si="56"/>
        <v>0</v>
      </c>
      <c r="AB502" s="383">
        <f t="shared" si="57"/>
        <v>2.8</v>
      </c>
      <c r="AC502" s="203" t="str">
        <f t="shared" si="58"/>
        <v>V1001</v>
      </c>
      <c r="AD502" s="203" t="str">
        <f>VLOOKUP(AC502,★原価商品!$E$6:$F$349,2,FALSE)</f>
        <v>日経/B4（折り無し）</v>
      </c>
      <c r="AE502" s="203">
        <f t="shared" ca="1" si="59"/>
        <v>0</v>
      </c>
      <c r="AF502" s="383">
        <f ca="1">IFERROR(IF(VLOOKUP(申込書!$C$32,★サイズ表記!$F$4:$H$55,3,FALSE)="切り捨て",ROUNDDOWN(L502*IF(AK502="◎",I502,J502)/100,2),IF(VLOOKUP(申込書!$C$32,★サイズ表記!$F$4:$H$55,3,FALSE)="切り上げ",ROUNDUP(L502*IF(AK502="◎",I502,J502)/100,2),ROUND(L502*IF(AK502="◎",I502,J502)/100,2))),0)</f>
        <v>2.29</v>
      </c>
      <c r="AG502" s="203">
        <f t="shared" ca="1" si="60"/>
        <v>10303</v>
      </c>
      <c r="AJ502" s="460" t="str">
        <f>IFERROR(VLOOKUP(申込書!$C$30,★業種!$D$2:$E$87,2,FALSE),"")</f>
        <v>1003</v>
      </c>
      <c r="AK502" s="460" t="str">
        <f ca="1">IF(申込書!$C$36="◎",IF(OR(D502="浜坂・温泉",D502="美方・村岡",D502="香住",D502="岡山",D502="大阪"),"",IF(LEFT(F502)="D","◎",IF(AG502=0,"",IFERROR(IF(VLOOKUP(AG502,★仕入先!$A$2:$C$211,3,FALSE)=0,"","◎"),"")))),"")</f>
        <v/>
      </c>
      <c r="AL502" s="460">
        <f>申込書!$H$14</f>
        <v>0</v>
      </c>
      <c r="AM502" s="460" t="str">
        <f>申込書!$C$32</f>
        <v>B4（折り無し）</v>
      </c>
      <c r="AN502" s="460" t="str">
        <f>VLOOKUP(AM502,★サイズ表記!$D$4:$E$55,2,FALSE)</f>
        <v>1001</v>
      </c>
      <c r="AO502" s="460">
        <f>IF(C502&lt;&gt;"⑧兵庫",VLOOKUP(LEFT(F502),★新聞!$A$4:$B$12,2,FALSE),IF(LEFT(F502)&lt;&gt;"S",VLOOKUP(LEFT(F502),★新聞!$A$4:$B$12,2,FALSE),VLOOKUP("X",★新聞!$A$4:$B$12,2,FALSE)))</f>
        <v>7</v>
      </c>
      <c r="AP502" s="460" t="str">
        <f t="shared" ca="1" si="61"/>
        <v>0</v>
      </c>
      <c r="AQ502" s="460" t="str">
        <f>IF(申込書!$C$38="","",申込書!$C$38)</f>
        <v/>
      </c>
    </row>
    <row r="503" spans="1:43">
      <c r="A503" s="463">
        <f t="shared" si="62"/>
        <v>502</v>
      </c>
      <c r="B503" s="463" t="str">
        <f t="shared" si="55"/>
        <v>東部</v>
      </c>
      <c r="C503" s="464" t="s">
        <v>1151</v>
      </c>
      <c r="D503" s="464" t="s">
        <v>1602</v>
      </c>
      <c r="E503" s="464">
        <f>VLOOKUP(D503,★折込地区!$A$2:$D$10,4,FALSE)</f>
        <v>2</v>
      </c>
      <c r="F503" s="464" t="s">
        <v>524</v>
      </c>
      <c r="G503" s="464" t="str">
        <f>INDEX(★新聞!$E$4:$I$12, MATCH(LEFT(F503),★新聞!$A$4:$A$12,0), MATCH(LEFT(W503),★新聞!$E$3:$I$3,0))</f>
        <v>AP</v>
      </c>
      <c r="H503" s="475" t="s">
        <v>1107</v>
      </c>
      <c r="I503" s="464" cm="1">
        <f t="array" ref="I503">IFERROR(INDEX(★原価率!$A$2:$E$50,MATCH($C503&amp;$H503,★原価率!$A$2:$A$50&amp;★原価率!$B$2:$B$50,0),3),0)</f>
        <v>82</v>
      </c>
      <c r="J503" s="464" cm="1">
        <f t="array" ref="J503">IFERROR(INDEX(★原価率!$A$2:$E$50,MATCH($C503&amp;$H503,★原価率!$A$2:$A$50&amp;★原価率!$B$2:$B$50,0),4),0)</f>
        <v>82</v>
      </c>
      <c r="K503" s="464" cm="1">
        <f t="array" ref="K503">IFERROR(INDEX(★原価率!$A$2:$E$50,MATCH($C503&amp;$H503,★原価率!$A$2:$A$50&amp;★原価率!$B$2:$B$50,0),5),0)</f>
        <v>100</v>
      </c>
      <c r="L503" s="528">
        <f>IFERROR(VLOOKUP(W503,★商品!$A$1:$H$1231,8,FALSE),0)</f>
        <v>2.8</v>
      </c>
      <c r="M503" s="203" t="str">
        <f ca="1">CONCATENATE(VLOOKUP(B503,★営業所!$A$2:$B$5,2,FALSE),TEXT(NOW(),"yyyy"))</f>
        <v>T2023</v>
      </c>
      <c r="N503" s="203">
        <v>1</v>
      </c>
      <c r="O503" s="203">
        <v>0</v>
      </c>
      <c r="P503" s="213">
        <f>申込書!$B$6</f>
        <v>0</v>
      </c>
      <c r="Q503" s="203">
        <f>申込書!$C$34</f>
        <v>1000040</v>
      </c>
      <c r="R503" s="203">
        <v>0</v>
      </c>
      <c r="U503" s="203">
        <f>VLOOKUP(B503,★営業所!$A$2:$C$5,3,FALSE)</f>
        <v>8</v>
      </c>
      <c r="V503" s="203">
        <f>申込書!$B$9</f>
        <v>0</v>
      </c>
      <c r="W503" s="203" t="str">
        <f>CONCATENATE(VLOOKUP(B503,★営業所!$A$2:$B$5,2,FALSE),VLOOKUP(申込書!$C$32,★サイズ表記!$D$4:$E$55,2,FALSE),VLOOKUP(D503,★折込地区!$A$2:$B$11,2,FALSE))</f>
        <v>T1001Kry</v>
      </c>
      <c r="X503" s="203" t="str">
        <f>CONCATENATE(申込書!$B$9," ",VLOOKUP(RIGHT(W503,3),★折込地区!$B$2:$C$10,2,FALSE),"")</f>
        <v xml:space="preserve"> 倉吉</v>
      </c>
      <c r="Z503" s="206">
        <f t="shared" ca="1" si="56"/>
        <v>0</v>
      </c>
      <c r="AB503" s="383">
        <f t="shared" si="57"/>
        <v>2.8</v>
      </c>
      <c r="AC503" s="203" t="str">
        <f t="shared" si="58"/>
        <v>V1001</v>
      </c>
      <c r="AD503" s="203" t="str">
        <f>VLOOKUP(AC503,★原価商品!$E$6:$F$349,2,FALSE)</f>
        <v>日経/B4（折り無し）</v>
      </c>
      <c r="AE503" s="203">
        <f t="shared" ca="1" si="59"/>
        <v>0</v>
      </c>
      <c r="AF503" s="383">
        <f ca="1">IFERROR(IF(VLOOKUP(申込書!$C$32,★サイズ表記!$F$4:$H$55,3,FALSE)="切り捨て",ROUNDDOWN(L503*IF(AK503="◎",I503,J503)/100,2),IF(VLOOKUP(申込書!$C$32,★サイズ表記!$F$4:$H$55,3,FALSE)="切り上げ",ROUNDUP(L503*IF(AK503="◎",I503,J503)/100,2),ROUND(L503*IF(AK503="◎",I503,J503)/100,2))),0)</f>
        <v>2.29</v>
      </c>
      <c r="AG503" s="203">
        <f t="shared" ca="1" si="60"/>
        <v>0</v>
      </c>
      <c r="AJ503" s="460" t="str">
        <f>IFERROR(VLOOKUP(申込書!$C$30,★業種!$D$2:$E$87,2,FALSE),"")</f>
        <v>1003</v>
      </c>
      <c r="AK503" s="460" t="str">
        <f ca="1">IF(申込書!$C$36="◎",IF(OR(D503="浜坂・温泉",D503="美方・村岡",D503="香住",D503="岡山",D503="大阪"),"",IF(LEFT(F503)="D","◎",IF(AG503=0,"",IFERROR(IF(VLOOKUP(AG503,★仕入先!$A$2:$C$211,3,FALSE)=0,"","◎"),"")))),"")</f>
        <v/>
      </c>
      <c r="AL503" s="460">
        <f>申込書!$H$14</f>
        <v>0</v>
      </c>
      <c r="AM503" s="460" t="str">
        <f>申込書!$C$32</f>
        <v>B4（折り無し）</v>
      </c>
      <c r="AN503" s="460" t="str">
        <f>VLOOKUP(AM503,★サイズ表記!$D$4:$E$55,2,FALSE)</f>
        <v>1001</v>
      </c>
      <c r="AO503" s="460">
        <f>IF(C503&lt;&gt;"⑧兵庫",VLOOKUP(LEFT(F503),★新聞!$A$4:$B$12,2,FALSE),IF(LEFT(F503)&lt;&gt;"S",VLOOKUP(LEFT(F503),★新聞!$A$4:$B$12,2,FALSE),VLOOKUP("X",★新聞!$A$4:$B$12,2,FALSE)))</f>
        <v>7</v>
      </c>
      <c r="AP503" s="460" t="str">
        <f t="shared" ca="1" si="61"/>
        <v>0</v>
      </c>
      <c r="AQ503" s="460" t="str">
        <f>IF(申込書!$C$38="","",申込書!$C$38)</f>
        <v/>
      </c>
    </row>
    <row r="504" spans="1:43">
      <c r="A504" s="463">
        <f t="shared" si="62"/>
        <v>503</v>
      </c>
      <c r="B504" s="463" t="str">
        <f t="shared" si="55"/>
        <v>東部</v>
      </c>
      <c r="C504" s="464" t="s">
        <v>1151</v>
      </c>
      <c r="D504" s="464" t="s">
        <v>1602</v>
      </c>
      <c r="E504" s="464">
        <f>VLOOKUP(D504,★折込地区!$A$2:$D$10,4,FALSE)</f>
        <v>2</v>
      </c>
      <c r="F504" s="464" t="s">
        <v>525</v>
      </c>
      <c r="G504" s="464" t="str">
        <f>INDEX(★新聞!$E$4:$I$12, MATCH(LEFT(F504),★新聞!$A$4:$A$12,0), MATCH(LEFT(W504),★新聞!$E$3:$I$3,0))</f>
        <v>AP</v>
      </c>
      <c r="H504" s="475" t="s">
        <v>1153</v>
      </c>
      <c r="I504" s="464" cm="1">
        <f t="array" ref="I504">IFERROR(INDEX(★原価率!$A$2:$E$50,MATCH($C504&amp;$H504,★原価率!$A$2:$A$50&amp;★原価率!$B$2:$B$50,0),3),0)</f>
        <v>90</v>
      </c>
      <c r="J504" s="464" cm="1">
        <f t="array" ref="J504">IFERROR(INDEX(★原価率!$A$2:$E$50,MATCH($C504&amp;$H504,★原価率!$A$2:$A$50&amp;★原価率!$B$2:$B$50,0),4),0)</f>
        <v>90</v>
      </c>
      <c r="K504" s="464" cm="1">
        <f t="array" ref="K504">IFERROR(INDEX(★原価率!$A$2:$E$50,MATCH($C504&amp;$H504,★原価率!$A$2:$A$50&amp;★原価率!$B$2:$B$50,0),5),0)</f>
        <v>100</v>
      </c>
      <c r="L504" s="528">
        <f>IFERROR(VLOOKUP(W504,★商品!$A$1:$H$1231,8,FALSE),0)</f>
        <v>2.8</v>
      </c>
      <c r="M504" s="203" t="str">
        <f ca="1">CONCATENATE(VLOOKUP(B504,★営業所!$A$2:$B$5,2,FALSE),TEXT(NOW(),"yyyy"))</f>
        <v>T2023</v>
      </c>
      <c r="N504" s="203">
        <v>1</v>
      </c>
      <c r="O504" s="203">
        <v>0</v>
      </c>
      <c r="P504" s="213">
        <f>申込書!$B$6</f>
        <v>0</v>
      </c>
      <c r="Q504" s="203">
        <f>申込書!$C$34</f>
        <v>1000040</v>
      </c>
      <c r="R504" s="203">
        <v>0</v>
      </c>
      <c r="U504" s="203">
        <f>VLOOKUP(B504,★営業所!$A$2:$C$5,3,FALSE)</f>
        <v>8</v>
      </c>
      <c r="V504" s="203">
        <f>申込書!$B$9</f>
        <v>0</v>
      </c>
      <c r="W504" s="203" t="str">
        <f>CONCATENATE(VLOOKUP(B504,★営業所!$A$2:$B$5,2,FALSE),VLOOKUP(申込書!$C$32,★サイズ表記!$D$4:$E$55,2,FALSE),VLOOKUP(D504,★折込地区!$A$2:$B$11,2,FALSE))</f>
        <v>T1001Kry</v>
      </c>
      <c r="X504" s="203" t="str">
        <f>CONCATENATE(申込書!$B$9," ",VLOOKUP(RIGHT(W504,3),★折込地区!$B$2:$C$10,2,FALSE),"")</f>
        <v xml:space="preserve"> 倉吉</v>
      </c>
      <c r="Z504" s="206">
        <f t="shared" ca="1" si="56"/>
        <v>0</v>
      </c>
      <c r="AB504" s="383">
        <f t="shared" si="57"/>
        <v>2.8</v>
      </c>
      <c r="AC504" s="203" t="str">
        <f t="shared" si="58"/>
        <v>V1001</v>
      </c>
      <c r="AD504" s="203" t="str">
        <f>VLOOKUP(AC504,★原価商品!$E$6:$F$349,2,FALSE)</f>
        <v>日経/B4（折り無し）</v>
      </c>
      <c r="AE504" s="203">
        <f t="shared" ca="1" si="59"/>
        <v>0</v>
      </c>
      <c r="AF504" s="383">
        <f ca="1">IFERROR(IF(VLOOKUP(申込書!$C$32,★サイズ表記!$F$4:$H$55,3,FALSE)="切り捨て",ROUNDDOWN(L504*IF(AK504="◎",I504,J504)/100,2),IF(VLOOKUP(申込書!$C$32,★サイズ表記!$F$4:$H$55,3,FALSE)="切り上げ",ROUNDUP(L504*IF(AK504="◎",I504,J504)/100,2),ROUND(L504*IF(AK504="◎",I504,J504)/100,2))),0)</f>
        <v>2.52</v>
      </c>
      <c r="AG504" s="203">
        <f t="shared" ca="1" si="60"/>
        <v>10303</v>
      </c>
      <c r="AJ504" s="460" t="str">
        <f>IFERROR(VLOOKUP(申込書!$C$30,★業種!$D$2:$E$87,2,FALSE),"")</f>
        <v>1003</v>
      </c>
      <c r="AK504" s="460" t="str">
        <f ca="1">IF(申込書!$C$36="◎",IF(OR(D504="浜坂・温泉",D504="美方・村岡",D504="香住",D504="岡山",D504="大阪"),"",IF(LEFT(F504)="D","◎",IF(AG504=0,"",IFERROR(IF(VLOOKUP(AG504,★仕入先!$A$2:$C$211,3,FALSE)=0,"","◎"),"")))),"")</f>
        <v/>
      </c>
      <c r="AL504" s="460">
        <f>申込書!$H$14</f>
        <v>0</v>
      </c>
      <c r="AM504" s="460" t="str">
        <f>申込書!$C$32</f>
        <v>B4（折り無し）</v>
      </c>
      <c r="AN504" s="460" t="str">
        <f>VLOOKUP(AM504,★サイズ表記!$D$4:$E$55,2,FALSE)</f>
        <v>1001</v>
      </c>
      <c r="AO504" s="460">
        <f>IF(C504&lt;&gt;"⑧兵庫",VLOOKUP(LEFT(F504),★新聞!$A$4:$B$12,2,FALSE),IF(LEFT(F504)&lt;&gt;"S",VLOOKUP(LEFT(F504),★新聞!$A$4:$B$12,2,FALSE),VLOOKUP("X",★新聞!$A$4:$B$12,2,FALSE)))</f>
        <v>7</v>
      </c>
      <c r="AP504" s="460" t="str">
        <f t="shared" ca="1" si="61"/>
        <v>0</v>
      </c>
      <c r="AQ504" s="460" t="str">
        <f>IF(申込書!$C$38="","",申込書!$C$38)</f>
        <v/>
      </c>
    </row>
    <row r="505" spans="1:43">
      <c r="A505" s="463">
        <f t="shared" si="62"/>
        <v>504</v>
      </c>
      <c r="B505" s="463" t="str">
        <f t="shared" si="55"/>
        <v>東部</v>
      </c>
      <c r="C505" s="464" t="s">
        <v>1151</v>
      </c>
      <c r="D505" s="464" t="s">
        <v>1602</v>
      </c>
      <c r="E505" s="464">
        <f>VLOOKUP(D505,★折込地区!$A$2:$D$10,4,FALSE)</f>
        <v>2</v>
      </c>
      <c r="F505" s="464" t="s">
        <v>526</v>
      </c>
      <c r="G505" s="464" t="str">
        <f>INDEX(★新聞!$E$4:$I$12, MATCH(LEFT(F505),★新聞!$A$4:$A$12,0), MATCH(LEFT(W505),★新聞!$E$3:$I$3,0))</f>
        <v>AP</v>
      </c>
      <c r="H505" s="475" t="s">
        <v>1153</v>
      </c>
      <c r="I505" s="464" cm="1">
        <f t="array" ref="I505">IFERROR(INDEX(★原価率!$A$2:$E$50,MATCH($C505&amp;$H505,★原価率!$A$2:$A$50&amp;★原価率!$B$2:$B$50,0),3),0)</f>
        <v>90</v>
      </c>
      <c r="J505" s="464" cm="1">
        <f t="array" ref="J505">IFERROR(INDEX(★原価率!$A$2:$E$50,MATCH($C505&amp;$H505,★原価率!$A$2:$A$50&amp;★原価率!$B$2:$B$50,0),4),0)</f>
        <v>90</v>
      </c>
      <c r="K505" s="464" cm="1">
        <f t="array" ref="K505">IFERROR(INDEX(★原価率!$A$2:$E$50,MATCH($C505&amp;$H505,★原価率!$A$2:$A$50&amp;★原価率!$B$2:$B$50,0),5),0)</f>
        <v>100</v>
      </c>
      <c r="L505" s="528">
        <f>IFERROR(VLOOKUP(W505,★商品!$A$1:$H$1231,8,FALSE),0)</f>
        <v>2.8</v>
      </c>
      <c r="M505" s="203" t="str">
        <f ca="1">CONCATENATE(VLOOKUP(B505,★営業所!$A$2:$B$5,2,FALSE),TEXT(NOW(),"yyyy"))</f>
        <v>T2023</v>
      </c>
      <c r="N505" s="203">
        <v>1</v>
      </c>
      <c r="O505" s="203">
        <v>0</v>
      </c>
      <c r="P505" s="213">
        <f>申込書!$B$6</f>
        <v>0</v>
      </c>
      <c r="Q505" s="203">
        <f>申込書!$C$34</f>
        <v>1000040</v>
      </c>
      <c r="R505" s="203">
        <v>0</v>
      </c>
      <c r="U505" s="203">
        <f>VLOOKUP(B505,★営業所!$A$2:$C$5,3,FALSE)</f>
        <v>8</v>
      </c>
      <c r="V505" s="203">
        <f>申込書!$B$9</f>
        <v>0</v>
      </c>
      <c r="W505" s="203" t="str">
        <f>CONCATENATE(VLOOKUP(B505,★営業所!$A$2:$B$5,2,FALSE),VLOOKUP(申込書!$C$32,★サイズ表記!$D$4:$E$55,2,FALSE),VLOOKUP(D505,★折込地区!$A$2:$B$11,2,FALSE))</f>
        <v>T1001Kry</v>
      </c>
      <c r="X505" s="203" t="str">
        <f>CONCATENATE(申込書!$B$9," ",VLOOKUP(RIGHT(W505,3),★折込地区!$B$2:$C$10,2,FALSE),"")</f>
        <v xml:space="preserve"> 倉吉</v>
      </c>
      <c r="Z505" s="206">
        <f t="shared" ca="1" si="56"/>
        <v>0</v>
      </c>
      <c r="AB505" s="383">
        <f t="shared" si="57"/>
        <v>2.8</v>
      </c>
      <c r="AC505" s="203" t="str">
        <f t="shared" si="58"/>
        <v>V1001</v>
      </c>
      <c r="AD505" s="203" t="str">
        <f>VLOOKUP(AC505,★原価商品!$E$6:$F$349,2,FALSE)</f>
        <v>日経/B4（折り無し）</v>
      </c>
      <c r="AE505" s="203">
        <f t="shared" ca="1" si="59"/>
        <v>0</v>
      </c>
      <c r="AF505" s="383">
        <f ca="1">IFERROR(IF(VLOOKUP(申込書!$C$32,★サイズ表記!$F$4:$H$55,3,FALSE)="切り捨て",ROUNDDOWN(L505*IF(AK505="◎",I505,J505)/100,2),IF(VLOOKUP(申込書!$C$32,★サイズ表記!$F$4:$H$55,3,FALSE)="切り上げ",ROUNDUP(L505*IF(AK505="◎",I505,J505)/100,2),ROUND(L505*IF(AK505="◎",I505,J505)/100,2))),0)</f>
        <v>2.52</v>
      </c>
      <c r="AG505" s="203">
        <f t="shared" ca="1" si="60"/>
        <v>10303</v>
      </c>
      <c r="AJ505" s="460" t="str">
        <f>IFERROR(VLOOKUP(申込書!$C$30,★業種!$D$2:$E$87,2,FALSE),"")</f>
        <v>1003</v>
      </c>
      <c r="AK505" s="460" t="str">
        <f ca="1">IF(申込書!$C$36="◎",IF(OR(D505="浜坂・温泉",D505="美方・村岡",D505="香住",D505="岡山",D505="大阪"),"",IF(LEFT(F505)="D","◎",IF(AG505=0,"",IFERROR(IF(VLOOKUP(AG505,★仕入先!$A$2:$C$211,3,FALSE)=0,"","◎"),"")))),"")</f>
        <v/>
      </c>
      <c r="AL505" s="460">
        <f>申込書!$H$14</f>
        <v>0</v>
      </c>
      <c r="AM505" s="460" t="str">
        <f>申込書!$C$32</f>
        <v>B4（折り無し）</v>
      </c>
      <c r="AN505" s="460" t="str">
        <f>VLOOKUP(AM505,★サイズ表記!$D$4:$E$55,2,FALSE)</f>
        <v>1001</v>
      </c>
      <c r="AO505" s="460">
        <f>IF(C505&lt;&gt;"⑧兵庫",VLOOKUP(LEFT(F505),★新聞!$A$4:$B$12,2,FALSE),IF(LEFT(F505)&lt;&gt;"S",VLOOKUP(LEFT(F505),★新聞!$A$4:$B$12,2,FALSE),VLOOKUP("X",★新聞!$A$4:$B$12,2,FALSE)))</f>
        <v>7</v>
      </c>
      <c r="AP505" s="460" t="str">
        <f t="shared" ca="1" si="61"/>
        <v>0</v>
      </c>
      <c r="AQ505" s="460" t="str">
        <f>IF(申込書!$C$38="","",申込書!$C$38)</f>
        <v/>
      </c>
    </row>
    <row r="506" spans="1:43">
      <c r="A506" s="463">
        <f t="shared" si="62"/>
        <v>505</v>
      </c>
      <c r="B506" s="463" t="str">
        <f t="shared" si="55"/>
        <v>東部</v>
      </c>
      <c r="C506" s="464" t="s">
        <v>1151</v>
      </c>
      <c r="D506" s="464" t="s">
        <v>1602</v>
      </c>
      <c r="E506" s="464">
        <f>VLOOKUP(D506,★折込地区!$A$2:$D$10,4,FALSE)</f>
        <v>2</v>
      </c>
      <c r="F506" s="464" t="s">
        <v>527</v>
      </c>
      <c r="G506" s="464" t="str">
        <f>INDEX(★新聞!$E$4:$I$12, MATCH(LEFT(F506),★新聞!$A$4:$A$12,0), MATCH(LEFT(W506),★新聞!$E$3:$I$3,0))</f>
        <v>AP</v>
      </c>
      <c r="H506" s="475" t="s">
        <v>1153</v>
      </c>
      <c r="I506" s="464" cm="1">
        <f t="array" ref="I506">IFERROR(INDEX(★原価率!$A$2:$E$50,MATCH($C506&amp;$H506,★原価率!$A$2:$A$50&amp;★原価率!$B$2:$B$50,0),3),0)</f>
        <v>90</v>
      </c>
      <c r="J506" s="464" cm="1">
        <f t="array" ref="J506">IFERROR(INDEX(★原価率!$A$2:$E$50,MATCH($C506&amp;$H506,★原価率!$A$2:$A$50&amp;★原価率!$B$2:$B$50,0),4),0)</f>
        <v>90</v>
      </c>
      <c r="K506" s="464" cm="1">
        <f t="array" ref="K506">IFERROR(INDEX(★原価率!$A$2:$E$50,MATCH($C506&amp;$H506,★原価率!$A$2:$A$50&amp;★原価率!$B$2:$B$50,0),5),0)</f>
        <v>100</v>
      </c>
      <c r="L506" s="528">
        <f>IFERROR(VLOOKUP(W506,★商品!$A$1:$H$1231,8,FALSE),0)</f>
        <v>2.8</v>
      </c>
      <c r="M506" s="203" t="str">
        <f ca="1">CONCATENATE(VLOOKUP(B506,★営業所!$A$2:$B$5,2,FALSE),TEXT(NOW(),"yyyy"))</f>
        <v>T2023</v>
      </c>
      <c r="N506" s="203">
        <v>1</v>
      </c>
      <c r="O506" s="203">
        <v>0</v>
      </c>
      <c r="P506" s="213">
        <f>申込書!$B$6</f>
        <v>0</v>
      </c>
      <c r="Q506" s="203">
        <f>申込書!$C$34</f>
        <v>1000040</v>
      </c>
      <c r="R506" s="203">
        <v>0</v>
      </c>
      <c r="U506" s="203">
        <f>VLOOKUP(B506,★営業所!$A$2:$C$5,3,FALSE)</f>
        <v>8</v>
      </c>
      <c r="V506" s="203">
        <f>申込書!$B$9</f>
        <v>0</v>
      </c>
      <c r="W506" s="203" t="str">
        <f>CONCATENATE(VLOOKUP(B506,★営業所!$A$2:$B$5,2,FALSE),VLOOKUP(申込書!$C$32,★サイズ表記!$D$4:$E$55,2,FALSE),VLOOKUP(D506,★折込地区!$A$2:$B$11,2,FALSE))</f>
        <v>T1001Kry</v>
      </c>
      <c r="X506" s="203" t="str">
        <f>CONCATENATE(申込書!$B$9," ",VLOOKUP(RIGHT(W506,3),★折込地区!$B$2:$C$10,2,FALSE),"")</f>
        <v xml:space="preserve"> 倉吉</v>
      </c>
      <c r="Z506" s="206">
        <f t="shared" ca="1" si="56"/>
        <v>0</v>
      </c>
      <c r="AB506" s="383">
        <f t="shared" si="57"/>
        <v>2.8</v>
      </c>
      <c r="AC506" s="203" t="str">
        <f t="shared" si="58"/>
        <v>V1001</v>
      </c>
      <c r="AD506" s="203" t="str">
        <f>VLOOKUP(AC506,★原価商品!$E$6:$F$349,2,FALSE)</f>
        <v>日経/B4（折り無し）</v>
      </c>
      <c r="AE506" s="203">
        <f t="shared" ca="1" si="59"/>
        <v>0</v>
      </c>
      <c r="AF506" s="383">
        <f ca="1">IFERROR(IF(VLOOKUP(申込書!$C$32,★サイズ表記!$F$4:$H$55,3,FALSE)="切り捨て",ROUNDDOWN(L506*IF(AK506="◎",I506,J506)/100,2),IF(VLOOKUP(申込書!$C$32,★サイズ表記!$F$4:$H$55,3,FALSE)="切り上げ",ROUNDUP(L506*IF(AK506="◎",I506,J506)/100,2),ROUND(L506*IF(AK506="◎",I506,J506)/100,2))),0)</f>
        <v>2.52</v>
      </c>
      <c r="AG506" s="203">
        <f t="shared" ca="1" si="60"/>
        <v>10303</v>
      </c>
      <c r="AJ506" s="460" t="str">
        <f>IFERROR(VLOOKUP(申込書!$C$30,★業種!$D$2:$E$87,2,FALSE),"")</f>
        <v>1003</v>
      </c>
      <c r="AK506" s="460" t="str">
        <f ca="1">IF(申込書!$C$36="◎",IF(OR(D506="浜坂・温泉",D506="美方・村岡",D506="香住",D506="岡山",D506="大阪"),"",IF(LEFT(F506)="D","◎",IF(AG506=0,"",IFERROR(IF(VLOOKUP(AG506,★仕入先!$A$2:$C$211,3,FALSE)=0,"","◎"),"")))),"")</f>
        <v/>
      </c>
      <c r="AL506" s="460">
        <f>申込書!$H$14</f>
        <v>0</v>
      </c>
      <c r="AM506" s="460" t="str">
        <f>申込書!$C$32</f>
        <v>B4（折り無し）</v>
      </c>
      <c r="AN506" s="460" t="str">
        <f>VLOOKUP(AM506,★サイズ表記!$D$4:$E$55,2,FALSE)</f>
        <v>1001</v>
      </c>
      <c r="AO506" s="460">
        <f>IF(C506&lt;&gt;"⑧兵庫",VLOOKUP(LEFT(F506),★新聞!$A$4:$B$12,2,FALSE),IF(LEFT(F506)&lt;&gt;"S",VLOOKUP(LEFT(F506),★新聞!$A$4:$B$12,2,FALSE),VLOOKUP("X",★新聞!$A$4:$B$12,2,FALSE)))</f>
        <v>7</v>
      </c>
      <c r="AP506" s="460" t="str">
        <f t="shared" ca="1" si="61"/>
        <v>0</v>
      </c>
      <c r="AQ506" s="460" t="str">
        <f>IF(申込書!$C$38="","",申込書!$C$38)</f>
        <v/>
      </c>
    </row>
    <row r="507" spans="1:43">
      <c r="A507" s="463">
        <f t="shared" si="62"/>
        <v>506</v>
      </c>
      <c r="B507" s="463" t="str">
        <f t="shared" si="55"/>
        <v>東部</v>
      </c>
      <c r="C507" s="464" t="s">
        <v>1151</v>
      </c>
      <c r="D507" s="464" t="s">
        <v>1602</v>
      </c>
      <c r="E507" s="464">
        <f>VLOOKUP(D507,★折込地区!$A$2:$D$10,4,FALSE)</f>
        <v>2</v>
      </c>
      <c r="F507" s="464" t="s">
        <v>528</v>
      </c>
      <c r="G507" s="464" t="str">
        <f>INDEX(★新聞!$E$4:$I$12, MATCH(LEFT(F507),★新聞!$A$4:$A$12,0), MATCH(LEFT(W507),★新聞!$E$3:$I$3,0))</f>
        <v>AP</v>
      </c>
      <c r="H507" s="555" t="s">
        <v>1105</v>
      </c>
      <c r="I507" s="464" cm="1">
        <f t="array" ref="I507">IFERROR(INDEX(★原価率!$A$2:$E$50,MATCH($C507&amp;$H507,★原価率!$A$2:$A$50&amp;★原価率!$B$2:$B$50,0),3),0)</f>
        <v>78</v>
      </c>
      <c r="J507" s="464" cm="1">
        <f t="array" ref="J507">IFERROR(INDEX(★原価率!$A$2:$E$50,MATCH($C507&amp;$H507,★原価率!$A$2:$A$50&amp;★原価率!$B$2:$B$50,0),4),0)</f>
        <v>82</v>
      </c>
      <c r="K507" s="464" cm="1">
        <f t="array" ref="K507">IFERROR(INDEX(★原価率!$A$2:$E$50,MATCH($C507&amp;$H507,★原価率!$A$2:$A$50&amp;★原価率!$B$2:$B$50,0),5),0)</f>
        <v>100</v>
      </c>
      <c r="L507" s="528">
        <f>IFERROR(VLOOKUP(W507,★商品!$A$1:$H$1231,8,FALSE),0)</f>
        <v>2.8</v>
      </c>
      <c r="M507" s="203" t="str">
        <f ca="1">CONCATENATE(VLOOKUP(B507,★営業所!$A$2:$B$5,2,FALSE),TEXT(NOW(),"yyyy"))</f>
        <v>T2023</v>
      </c>
      <c r="N507" s="203">
        <v>1</v>
      </c>
      <c r="O507" s="203">
        <v>0</v>
      </c>
      <c r="P507" s="213">
        <f>申込書!$B$6</f>
        <v>0</v>
      </c>
      <c r="Q507" s="203">
        <f>申込書!$C$34</f>
        <v>1000040</v>
      </c>
      <c r="R507" s="203">
        <v>0</v>
      </c>
      <c r="U507" s="203">
        <f>VLOOKUP(B507,★営業所!$A$2:$C$5,3,FALSE)</f>
        <v>8</v>
      </c>
      <c r="V507" s="203">
        <f>申込書!$B$9</f>
        <v>0</v>
      </c>
      <c r="W507" s="203" t="str">
        <f>CONCATENATE(VLOOKUP(B507,★営業所!$A$2:$B$5,2,FALSE),VLOOKUP(申込書!$C$32,★サイズ表記!$D$4:$E$55,2,FALSE),VLOOKUP(D507,★折込地区!$A$2:$B$11,2,FALSE))</f>
        <v>T1001Kry</v>
      </c>
      <c r="X507" s="203" t="str">
        <f>CONCATENATE(申込書!$B$9," ",VLOOKUP(RIGHT(W507,3),★折込地区!$B$2:$C$10,2,FALSE),"")</f>
        <v xml:space="preserve"> 倉吉</v>
      </c>
      <c r="Z507" s="206">
        <f t="shared" ca="1" si="56"/>
        <v>0</v>
      </c>
      <c r="AB507" s="383">
        <f t="shared" si="57"/>
        <v>2.8</v>
      </c>
      <c r="AC507" s="203" t="str">
        <f t="shared" si="58"/>
        <v>V1001</v>
      </c>
      <c r="AD507" s="203" t="str">
        <f>VLOOKUP(AC507,★原価商品!$E$6:$F$349,2,FALSE)</f>
        <v>日経/B4（折り無し）</v>
      </c>
      <c r="AE507" s="203">
        <f t="shared" ca="1" si="59"/>
        <v>0</v>
      </c>
      <c r="AF507" s="383">
        <f ca="1">IFERROR(IF(VLOOKUP(申込書!$C$32,★サイズ表記!$F$4:$H$55,3,FALSE)="切り捨て",ROUNDDOWN(L507*IF(AK507="◎",I507,J507)/100,2),IF(VLOOKUP(申込書!$C$32,★サイズ表記!$F$4:$H$55,3,FALSE)="切り上げ",ROUNDUP(L507*IF(AK507="◎",I507,J507)/100,2),ROUND(L507*IF(AK507="◎",I507,J507)/100,2))),0)</f>
        <v>2.29</v>
      </c>
      <c r="AG507" s="203">
        <f t="shared" ca="1" si="60"/>
        <v>10303</v>
      </c>
      <c r="AJ507" s="460" t="str">
        <f>IFERROR(VLOOKUP(申込書!$C$30,★業種!$D$2:$E$87,2,FALSE),"")</f>
        <v>1003</v>
      </c>
      <c r="AK507" s="460" t="str">
        <f ca="1">IF(申込書!$C$36="◎",IF(OR(D507="浜坂・温泉",D507="美方・村岡",D507="香住",D507="岡山",D507="大阪"),"",IF(LEFT(F507)="D","◎",IF(AG507=0,"",IFERROR(IF(VLOOKUP(AG507,★仕入先!$A$2:$C$211,3,FALSE)=0,"","◎"),"")))),"")</f>
        <v/>
      </c>
      <c r="AL507" s="460">
        <f>申込書!$H$14</f>
        <v>0</v>
      </c>
      <c r="AM507" s="460" t="str">
        <f>申込書!$C$32</f>
        <v>B4（折り無し）</v>
      </c>
      <c r="AN507" s="460" t="str">
        <f>VLOOKUP(AM507,★サイズ表記!$D$4:$E$55,2,FALSE)</f>
        <v>1001</v>
      </c>
      <c r="AO507" s="460">
        <f>IF(C507&lt;&gt;"⑧兵庫",VLOOKUP(LEFT(F507),★新聞!$A$4:$B$12,2,FALSE),IF(LEFT(F507)&lt;&gt;"S",VLOOKUP(LEFT(F507),★新聞!$A$4:$B$12,2,FALSE),VLOOKUP("X",★新聞!$A$4:$B$12,2,FALSE)))</f>
        <v>7</v>
      </c>
      <c r="AP507" s="460" t="str">
        <f t="shared" ca="1" si="61"/>
        <v>0</v>
      </c>
      <c r="AQ507" s="460" t="str">
        <f>IF(申込書!$C$38="","",申込書!$C$38)</f>
        <v/>
      </c>
    </row>
    <row r="508" spans="1:43">
      <c r="A508" s="463">
        <f t="shared" si="62"/>
        <v>507</v>
      </c>
      <c r="B508" s="463" t="str">
        <f t="shared" si="55"/>
        <v>東部</v>
      </c>
      <c r="C508" s="464" t="s">
        <v>1151</v>
      </c>
      <c r="D508" s="464" t="s">
        <v>1602</v>
      </c>
      <c r="E508" s="464">
        <f>VLOOKUP(D508,★折込地区!$A$2:$D$10,4,FALSE)</f>
        <v>2</v>
      </c>
      <c r="F508" s="464" t="s">
        <v>529</v>
      </c>
      <c r="G508" s="464" t="str">
        <f>INDEX(★新聞!$E$4:$I$12, MATCH(LEFT(F508),★新聞!$A$4:$A$12,0), MATCH(LEFT(W508),★新聞!$E$3:$I$3,0))</f>
        <v>AP</v>
      </c>
      <c r="H508" s="475" t="s">
        <v>1153</v>
      </c>
      <c r="I508" s="464" cm="1">
        <f t="array" ref="I508">IFERROR(INDEX(★原価率!$A$2:$E$50,MATCH($C508&amp;$H508,★原価率!$A$2:$A$50&amp;★原価率!$B$2:$B$50,0),3),0)</f>
        <v>90</v>
      </c>
      <c r="J508" s="464" cm="1">
        <f t="array" ref="J508">IFERROR(INDEX(★原価率!$A$2:$E$50,MATCH($C508&amp;$H508,★原価率!$A$2:$A$50&amp;★原価率!$B$2:$B$50,0),4),0)</f>
        <v>90</v>
      </c>
      <c r="K508" s="464" cm="1">
        <f t="array" ref="K508">IFERROR(INDEX(★原価率!$A$2:$E$50,MATCH($C508&amp;$H508,★原価率!$A$2:$A$50&amp;★原価率!$B$2:$B$50,0),5),0)</f>
        <v>100</v>
      </c>
      <c r="L508" s="528">
        <f>IFERROR(VLOOKUP(W508,★商品!$A$1:$H$1231,8,FALSE),0)</f>
        <v>2.8</v>
      </c>
      <c r="M508" s="203" t="str">
        <f ca="1">CONCATENATE(VLOOKUP(B508,★営業所!$A$2:$B$5,2,FALSE),TEXT(NOW(),"yyyy"))</f>
        <v>T2023</v>
      </c>
      <c r="N508" s="203">
        <v>1</v>
      </c>
      <c r="O508" s="203">
        <v>0</v>
      </c>
      <c r="P508" s="213">
        <f>申込書!$B$6</f>
        <v>0</v>
      </c>
      <c r="Q508" s="203">
        <f>申込書!$C$34</f>
        <v>1000040</v>
      </c>
      <c r="R508" s="203">
        <v>0</v>
      </c>
      <c r="U508" s="203">
        <f>VLOOKUP(B508,★営業所!$A$2:$C$5,3,FALSE)</f>
        <v>8</v>
      </c>
      <c r="V508" s="203">
        <f>申込書!$B$9</f>
        <v>0</v>
      </c>
      <c r="W508" s="203" t="str">
        <f>CONCATENATE(VLOOKUP(B508,★営業所!$A$2:$B$5,2,FALSE),VLOOKUP(申込書!$C$32,★サイズ表記!$D$4:$E$55,2,FALSE),VLOOKUP(D508,★折込地区!$A$2:$B$11,2,FALSE))</f>
        <v>T1001Kry</v>
      </c>
      <c r="X508" s="203" t="str">
        <f>CONCATENATE(申込書!$B$9," ",VLOOKUP(RIGHT(W508,3),★折込地区!$B$2:$C$10,2,FALSE),"")</f>
        <v xml:space="preserve"> 倉吉</v>
      </c>
      <c r="Z508" s="206">
        <f t="shared" ca="1" si="56"/>
        <v>0</v>
      </c>
      <c r="AB508" s="383">
        <f t="shared" si="57"/>
        <v>2.8</v>
      </c>
      <c r="AC508" s="203" t="str">
        <f t="shared" si="58"/>
        <v>V1001</v>
      </c>
      <c r="AD508" s="203" t="str">
        <f>VLOOKUP(AC508,★原価商品!$E$6:$F$349,2,FALSE)</f>
        <v>日経/B4（折り無し）</v>
      </c>
      <c r="AE508" s="203">
        <f t="shared" ca="1" si="59"/>
        <v>0</v>
      </c>
      <c r="AF508" s="383">
        <f ca="1">IFERROR(IF(VLOOKUP(申込書!$C$32,★サイズ表記!$F$4:$H$55,3,FALSE)="切り捨て",ROUNDDOWN(L508*IF(AK508="◎",I508,J508)/100,2),IF(VLOOKUP(申込書!$C$32,★サイズ表記!$F$4:$H$55,3,FALSE)="切り上げ",ROUNDUP(L508*IF(AK508="◎",I508,J508)/100,2),ROUND(L508*IF(AK508="◎",I508,J508)/100,2))),0)</f>
        <v>2.52</v>
      </c>
      <c r="AG508" s="203">
        <f t="shared" ca="1" si="60"/>
        <v>10303</v>
      </c>
      <c r="AJ508" s="460" t="str">
        <f>IFERROR(VLOOKUP(申込書!$C$30,★業種!$D$2:$E$87,2,FALSE),"")</f>
        <v>1003</v>
      </c>
      <c r="AK508" s="460" t="str">
        <f ca="1">IF(申込書!$C$36="◎",IF(OR(D508="浜坂・温泉",D508="美方・村岡",D508="香住",D508="岡山",D508="大阪"),"",IF(LEFT(F508)="D","◎",IF(AG508=0,"",IFERROR(IF(VLOOKUP(AG508,★仕入先!$A$2:$C$211,3,FALSE)=0,"","◎"),"")))),"")</f>
        <v/>
      </c>
      <c r="AL508" s="460">
        <f>申込書!$H$14</f>
        <v>0</v>
      </c>
      <c r="AM508" s="460" t="str">
        <f>申込書!$C$32</f>
        <v>B4（折り無し）</v>
      </c>
      <c r="AN508" s="460" t="str">
        <f>VLOOKUP(AM508,★サイズ表記!$D$4:$E$55,2,FALSE)</f>
        <v>1001</v>
      </c>
      <c r="AO508" s="460">
        <f>IF(C508&lt;&gt;"⑧兵庫",VLOOKUP(LEFT(F508),★新聞!$A$4:$B$12,2,FALSE),IF(LEFT(F508)&lt;&gt;"S",VLOOKUP(LEFT(F508),★新聞!$A$4:$B$12,2,FALSE),VLOOKUP("X",★新聞!$A$4:$B$12,2,FALSE)))</f>
        <v>7</v>
      </c>
      <c r="AP508" s="460" t="str">
        <f t="shared" ca="1" si="61"/>
        <v>0</v>
      </c>
      <c r="AQ508" s="460" t="str">
        <f>IF(申込書!$C$38="","",申込書!$C$38)</f>
        <v/>
      </c>
    </row>
    <row r="509" spans="1:43">
      <c r="A509" s="463">
        <f t="shared" si="62"/>
        <v>508</v>
      </c>
      <c r="B509" s="463" t="str">
        <f t="shared" si="55"/>
        <v>東部</v>
      </c>
      <c r="C509" s="464" t="s">
        <v>1151</v>
      </c>
      <c r="D509" s="464" t="s">
        <v>1602</v>
      </c>
      <c r="E509" s="464">
        <f>VLOOKUP(D509,★折込地区!$A$2:$D$10,4,FALSE)</f>
        <v>2</v>
      </c>
      <c r="F509" s="464" t="s">
        <v>530</v>
      </c>
      <c r="G509" s="464" t="str">
        <f>INDEX(★新聞!$E$4:$I$12, MATCH(LEFT(F509),★新聞!$A$4:$A$12,0), MATCH(LEFT(W509),★新聞!$E$3:$I$3,0))</f>
        <v>AP</v>
      </c>
      <c r="H509" s="555" t="s">
        <v>1105</v>
      </c>
      <c r="I509" s="464" cm="1">
        <f t="array" ref="I509">IFERROR(INDEX(★原価率!$A$2:$E$50,MATCH($C509&amp;$H509,★原価率!$A$2:$A$50&amp;★原価率!$B$2:$B$50,0),3),0)</f>
        <v>78</v>
      </c>
      <c r="J509" s="464" cm="1">
        <f t="array" ref="J509">IFERROR(INDEX(★原価率!$A$2:$E$50,MATCH($C509&amp;$H509,★原価率!$A$2:$A$50&amp;★原価率!$B$2:$B$50,0),4),0)</f>
        <v>82</v>
      </c>
      <c r="K509" s="464" cm="1">
        <f t="array" ref="K509">IFERROR(INDEX(★原価率!$A$2:$E$50,MATCH($C509&amp;$H509,★原価率!$A$2:$A$50&amp;★原価率!$B$2:$B$50,0),5),0)</f>
        <v>100</v>
      </c>
      <c r="L509" s="528">
        <f>IFERROR(VLOOKUP(W509,★商品!$A$1:$H$1231,8,FALSE),0)</f>
        <v>2.8</v>
      </c>
      <c r="M509" s="203" t="str">
        <f ca="1">CONCATENATE(VLOOKUP(B509,★営業所!$A$2:$B$5,2,FALSE),TEXT(NOW(),"yyyy"))</f>
        <v>T2023</v>
      </c>
      <c r="N509" s="203">
        <v>1</v>
      </c>
      <c r="O509" s="203">
        <v>0</v>
      </c>
      <c r="P509" s="213">
        <f>申込書!$B$6</f>
        <v>0</v>
      </c>
      <c r="Q509" s="203">
        <f>申込書!$C$34</f>
        <v>1000040</v>
      </c>
      <c r="R509" s="203">
        <v>0</v>
      </c>
      <c r="U509" s="203">
        <f>VLOOKUP(B509,★営業所!$A$2:$C$5,3,FALSE)</f>
        <v>8</v>
      </c>
      <c r="V509" s="203">
        <f>申込書!$B$9</f>
        <v>0</v>
      </c>
      <c r="W509" s="203" t="str">
        <f>CONCATENATE(VLOOKUP(B509,★営業所!$A$2:$B$5,2,FALSE),VLOOKUP(申込書!$C$32,★サイズ表記!$D$4:$E$55,2,FALSE),VLOOKUP(D509,★折込地区!$A$2:$B$11,2,FALSE))</f>
        <v>T1001Kry</v>
      </c>
      <c r="X509" s="203" t="str">
        <f>CONCATENATE(申込書!$B$9," ",VLOOKUP(RIGHT(W509,3),★折込地区!$B$2:$C$10,2,FALSE),"")</f>
        <v xml:space="preserve"> 倉吉</v>
      </c>
      <c r="Z509" s="206">
        <f t="shared" ca="1" si="56"/>
        <v>0</v>
      </c>
      <c r="AB509" s="383">
        <f t="shared" si="57"/>
        <v>2.8</v>
      </c>
      <c r="AC509" s="203" t="str">
        <f t="shared" si="58"/>
        <v>V1001</v>
      </c>
      <c r="AD509" s="203" t="str">
        <f>VLOOKUP(AC509,★原価商品!$E$6:$F$349,2,FALSE)</f>
        <v>日経/B4（折り無し）</v>
      </c>
      <c r="AE509" s="203">
        <f t="shared" ca="1" si="59"/>
        <v>0</v>
      </c>
      <c r="AF509" s="383">
        <f ca="1">IFERROR(IF(VLOOKUP(申込書!$C$32,★サイズ表記!$F$4:$H$55,3,FALSE)="切り捨て",ROUNDDOWN(L509*IF(AK509="◎",I509,J509)/100,2),IF(VLOOKUP(申込書!$C$32,★サイズ表記!$F$4:$H$55,3,FALSE)="切り上げ",ROUNDUP(L509*IF(AK509="◎",I509,J509)/100,2),ROUND(L509*IF(AK509="◎",I509,J509)/100,2))),0)</f>
        <v>2.29</v>
      </c>
      <c r="AG509" s="203">
        <f t="shared" ca="1" si="60"/>
        <v>10303</v>
      </c>
      <c r="AJ509" s="460" t="str">
        <f>IFERROR(VLOOKUP(申込書!$C$30,★業種!$D$2:$E$87,2,FALSE),"")</f>
        <v>1003</v>
      </c>
      <c r="AK509" s="460" t="str">
        <f ca="1">IF(申込書!$C$36="◎",IF(OR(D509="浜坂・温泉",D509="美方・村岡",D509="香住",D509="岡山",D509="大阪"),"",IF(LEFT(F509)="D","◎",IF(AG509=0,"",IFERROR(IF(VLOOKUP(AG509,★仕入先!$A$2:$C$211,3,FALSE)=0,"","◎"),"")))),"")</f>
        <v/>
      </c>
      <c r="AL509" s="460">
        <f>申込書!$H$14</f>
        <v>0</v>
      </c>
      <c r="AM509" s="460" t="str">
        <f>申込書!$C$32</f>
        <v>B4（折り無し）</v>
      </c>
      <c r="AN509" s="460" t="str">
        <f>VLOOKUP(AM509,★サイズ表記!$D$4:$E$55,2,FALSE)</f>
        <v>1001</v>
      </c>
      <c r="AO509" s="460">
        <f>IF(C509&lt;&gt;"⑧兵庫",VLOOKUP(LEFT(F509),★新聞!$A$4:$B$12,2,FALSE),IF(LEFT(F509)&lt;&gt;"S",VLOOKUP(LEFT(F509),★新聞!$A$4:$B$12,2,FALSE),VLOOKUP("X",★新聞!$A$4:$B$12,2,FALSE)))</f>
        <v>7</v>
      </c>
      <c r="AP509" s="460" t="str">
        <f t="shared" ca="1" si="61"/>
        <v>0</v>
      </c>
      <c r="AQ509" s="460" t="str">
        <f>IF(申込書!$C$38="","",申込書!$C$38)</f>
        <v/>
      </c>
    </row>
    <row r="510" spans="1:43">
      <c r="A510" s="463">
        <f t="shared" si="62"/>
        <v>509</v>
      </c>
      <c r="B510" s="463" t="str">
        <f t="shared" si="55"/>
        <v>東部</v>
      </c>
      <c r="C510" s="464" t="s">
        <v>1151</v>
      </c>
      <c r="D510" s="464" t="s">
        <v>1602</v>
      </c>
      <c r="E510" s="464">
        <f>VLOOKUP(D510,★折込地区!$A$2:$D$10,4,FALSE)</f>
        <v>2</v>
      </c>
      <c r="F510" s="464" t="s">
        <v>531</v>
      </c>
      <c r="G510" s="464" t="str">
        <f>INDEX(★新聞!$E$4:$I$12, MATCH(LEFT(F510),★新聞!$A$4:$A$12,0), MATCH(LEFT(W510),★新聞!$E$3:$I$3,0))</f>
        <v>AP</v>
      </c>
      <c r="H510" s="555" t="s">
        <v>1105</v>
      </c>
      <c r="I510" s="464" cm="1">
        <f t="array" ref="I510">IFERROR(INDEX(★原価率!$A$2:$E$50,MATCH($C510&amp;$H510,★原価率!$A$2:$A$50&amp;★原価率!$B$2:$B$50,0),3),0)</f>
        <v>78</v>
      </c>
      <c r="J510" s="464" cm="1">
        <f t="array" ref="J510">IFERROR(INDEX(★原価率!$A$2:$E$50,MATCH($C510&amp;$H510,★原価率!$A$2:$A$50&amp;★原価率!$B$2:$B$50,0),4),0)</f>
        <v>82</v>
      </c>
      <c r="K510" s="464" cm="1">
        <f t="array" ref="K510">IFERROR(INDEX(★原価率!$A$2:$E$50,MATCH($C510&amp;$H510,★原価率!$A$2:$A$50&amp;★原価率!$B$2:$B$50,0),5),0)</f>
        <v>100</v>
      </c>
      <c r="L510" s="528">
        <f>IFERROR(VLOOKUP(W510,★商品!$A$1:$H$1231,8,FALSE),0)</f>
        <v>2.8</v>
      </c>
      <c r="M510" s="203" t="str">
        <f ca="1">CONCATENATE(VLOOKUP(B510,★営業所!$A$2:$B$5,2,FALSE),TEXT(NOW(),"yyyy"))</f>
        <v>T2023</v>
      </c>
      <c r="N510" s="203">
        <v>1</v>
      </c>
      <c r="O510" s="203">
        <v>0</v>
      </c>
      <c r="P510" s="213">
        <f>申込書!$B$6</f>
        <v>0</v>
      </c>
      <c r="Q510" s="203">
        <f>申込書!$C$34</f>
        <v>1000040</v>
      </c>
      <c r="R510" s="203">
        <v>0</v>
      </c>
      <c r="U510" s="203">
        <f>VLOOKUP(B510,★営業所!$A$2:$C$5,3,FALSE)</f>
        <v>8</v>
      </c>
      <c r="V510" s="203">
        <f>申込書!$B$9</f>
        <v>0</v>
      </c>
      <c r="W510" s="203" t="str">
        <f>CONCATENATE(VLOOKUP(B510,★営業所!$A$2:$B$5,2,FALSE),VLOOKUP(申込書!$C$32,★サイズ表記!$D$4:$E$55,2,FALSE),VLOOKUP(D510,★折込地区!$A$2:$B$11,2,FALSE))</f>
        <v>T1001Kry</v>
      </c>
      <c r="X510" s="203" t="str">
        <f>CONCATENATE(申込書!$B$9," ",VLOOKUP(RIGHT(W510,3),★折込地区!$B$2:$C$10,2,FALSE),"")</f>
        <v xml:space="preserve"> 倉吉</v>
      </c>
      <c r="Z510" s="206">
        <f t="shared" ca="1" si="56"/>
        <v>0</v>
      </c>
      <c r="AB510" s="383">
        <f t="shared" si="57"/>
        <v>2.8</v>
      </c>
      <c r="AC510" s="203" t="str">
        <f t="shared" si="58"/>
        <v>V1001</v>
      </c>
      <c r="AD510" s="203" t="str">
        <f>VLOOKUP(AC510,★原価商品!$E$6:$F$349,2,FALSE)</f>
        <v>日経/B4（折り無し）</v>
      </c>
      <c r="AE510" s="203">
        <f t="shared" ca="1" si="59"/>
        <v>0</v>
      </c>
      <c r="AF510" s="383">
        <f ca="1">IFERROR(IF(VLOOKUP(申込書!$C$32,★サイズ表記!$F$4:$H$55,3,FALSE)="切り捨て",ROUNDDOWN(L510*IF(AK510="◎",I510,J510)/100,2),IF(VLOOKUP(申込書!$C$32,★サイズ表記!$F$4:$H$55,3,FALSE)="切り上げ",ROUNDUP(L510*IF(AK510="◎",I510,J510)/100,2),ROUND(L510*IF(AK510="◎",I510,J510)/100,2))),0)</f>
        <v>2.29</v>
      </c>
      <c r="AG510" s="203">
        <f t="shared" ca="1" si="60"/>
        <v>10303</v>
      </c>
      <c r="AJ510" s="460" t="str">
        <f>IFERROR(VLOOKUP(申込書!$C$30,★業種!$D$2:$E$87,2,FALSE),"")</f>
        <v>1003</v>
      </c>
      <c r="AK510" s="460" t="str">
        <f ca="1">IF(申込書!$C$36="◎",IF(OR(D510="浜坂・温泉",D510="美方・村岡",D510="香住",D510="岡山",D510="大阪"),"",IF(LEFT(F510)="D","◎",IF(AG510=0,"",IFERROR(IF(VLOOKUP(AG510,★仕入先!$A$2:$C$211,3,FALSE)=0,"","◎"),"")))),"")</f>
        <v/>
      </c>
      <c r="AL510" s="460">
        <f>申込書!$H$14</f>
        <v>0</v>
      </c>
      <c r="AM510" s="460" t="str">
        <f>申込書!$C$32</f>
        <v>B4（折り無し）</v>
      </c>
      <c r="AN510" s="460" t="str">
        <f>VLOOKUP(AM510,★サイズ表記!$D$4:$E$55,2,FALSE)</f>
        <v>1001</v>
      </c>
      <c r="AO510" s="460">
        <f>IF(C510&lt;&gt;"⑧兵庫",VLOOKUP(LEFT(F510),★新聞!$A$4:$B$12,2,FALSE),IF(LEFT(F510)&lt;&gt;"S",VLOOKUP(LEFT(F510),★新聞!$A$4:$B$12,2,FALSE),VLOOKUP("X",★新聞!$A$4:$B$12,2,FALSE)))</f>
        <v>7</v>
      </c>
      <c r="AP510" s="460" t="str">
        <f t="shared" ca="1" si="61"/>
        <v>0</v>
      </c>
      <c r="AQ510" s="460" t="str">
        <f>IF(申込書!$C$38="","",申込書!$C$38)</f>
        <v/>
      </c>
    </row>
    <row r="511" spans="1:43">
      <c r="A511" s="463">
        <f t="shared" si="62"/>
        <v>510</v>
      </c>
      <c r="B511" s="463" t="str">
        <f t="shared" si="55"/>
        <v>東部</v>
      </c>
      <c r="C511" s="464" t="s">
        <v>1151</v>
      </c>
      <c r="D511" s="464" t="s">
        <v>1602</v>
      </c>
      <c r="E511" s="464">
        <f>VLOOKUP(D511,★折込地区!$A$2:$D$10,4,FALSE)</f>
        <v>2</v>
      </c>
      <c r="F511" s="464" t="s">
        <v>532</v>
      </c>
      <c r="G511" s="464" t="str">
        <f>INDEX(★新聞!$E$4:$I$12, MATCH(LEFT(F511),★新聞!$A$4:$A$12,0), MATCH(LEFT(W511),★新聞!$E$3:$I$3,0))</f>
        <v>AP</v>
      </c>
      <c r="H511" s="475" t="s">
        <v>1153</v>
      </c>
      <c r="I511" s="464" cm="1">
        <f t="array" ref="I511">IFERROR(INDEX(★原価率!$A$2:$E$50,MATCH($C511&amp;$H511,★原価率!$A$2:$A$50&amp;★原価率!$B$2:$B$50,0),3),0)</f>
        <v>90</v>
      </c>
      <c r="J511" s="464" cm="1">
        <f t="array" ref="J511">IFERROR(INDEX(★原価率!$A$2:$E$50,MATCH($C511&amp;$H511,★原価率!$A$2:$A$50&amp;★原価率!$B$2:$B$50,0),4),0)</f>
        <v>90</v>
      </c>
      <c r="K511" s="464" cm="1">
        <f t="array" ref="K511">IFERROR(INDEX(★原価率!$A$2:$E$50,MATCH($C511&amp;$H511,★原価率!$A$2:$A$50&amp;★原価率!$B$2:$B$50,0),5),0)</f>
        <v>100</v>
      </c>
      <c r="L511" s="528">
        <f>IFERROR(VLOOKUP(W511,★商品!$A$1:$H$1231,8,FALSE),0)</f>
        <v>2.8</v>
      </c>
      <c r="M511" s="203" t="str">
        <f ca="1">CONCATENATE(VLOOKUP(B511,★営業所!$A$2:$B$5,2,FALSE),TEXT(NOW(),"yyyy"))</f>
        <v>T2023</v>
      </c>
      <c r="N511" s="203">
        <v>1</v>
      </c>
      <c r="O511" s="203">
        <v>0</v>
      </c>
      <c r="P511" s="213">
        <f>申込書!$B$6</f>
        <v>0</v>
      </c>
      <c r="Q511" s="203">
        <f>申込書!$C$34</f>
        <v>1000040</v>
      </c>
      <c r="R511" s="203">
        <v>0</v>
      </c>
      <c r="U511" s="203">
        <f>VLOOKUP(B511,★営業所!$A$2:$C$5,3,FALSE)</f>
        <v>8</v>
      </c>
      <c r="V511" s="203">
        <f>申込書!$B$9</f>
        <v>0</v>
      </c>
      <c r="W511" s="203" t="str">
        <f>CONCATENATE(VLOOKUP(B511,★営業所!$A$2:$B$5,2,FALSE),VLOOKUP(申込書!$C$32,★サイズ表記!$D$4:$E$55,2,FALSE),VLOOKUP(D511,★折込地区!$A$2:$B$11,2,FALSE))</f>
        <v>T1001Kry</v>
      </c>
      <c r="X511" s="203" t="str">
        <f>CONCATENATE(申込書!$B$9," ",VLOOKUP(RIGHT(W511,3),★折込地区!$B$2:$C$10,2,FALSE),"")</f>
        <v xml:space="preserve"> 倉吉</v>
      </c>
      <c r="Z511" s="206">
        <f t="shared" ca="1" si="56"/>
        <v>0</v>
      </c>
      <c r="AB511" s="383">
        <f t="shared" si="57"/>
        <v>2.8</v>
      </c>
      <c r="AC511" s="203" t="str">
        <f t="shared" si="58"/>
        <v>V1001</v>
      </c>
      <c r="AD511" s="203" t="str">
        <f>VLOOKUP(AC511,★原価商品!$E$6:$F$349,2,FALSE)</f>
        <v>日経/B4（折り無し）</v>
      </c>
      <c r="AE511" s="203">
        <f t="shared" ca="1" si="59"/>
        <v>0</v>
      </c>
      <c r="AF511" s="383">
        <f ca="1">IFERROR(IF(VLOOKUP(申込書!$C$32,★サイズ表記!$F$4:$H$55,3,FALSE)="切り捨て",ROUNDDOWN(L511*IF(AK511="◎",I511,J511)/100,2),IF(VLOOKUP(申込書!$C$32,★サイズ表記!$F$4:$H$55,3,FALSE)="切り上げ",ROUNDUP(L511*IF(AK511="◎",I511,J511)/100,2),ROUND(L511*IF(AK511="◎",I511,J511)/100,2))),0)</f>
        <v>2.52</v>
      </c>
      <c r="AG511" s="203">
        <f t="shared" ca="1" si="60"/>
        <v>10303</v>
      </c>
      <c r="AJ511" s="460" t="str">
        <f>IFERROR(VLOOKUP(申込書!$C$30,★業種!$D$2:$E$87,2,FALSE),"")</f>
        <v>1003</v>
      </c>
      <c r="AK511" s="460" t="str">
        <f ca="1">IF(申込書!$C$36="◎",IF(OR(D511="浜坂・温泉",D511="美方・村岡",D511="香住",D511="岡山",D511="大阪"),"",IF(LEFT(F511)="D","◎",IF(AG511=0,"",IFERROR(IF(VLOOKUP(AG511,★仕入先!$A$2:$C$211,3,FALSE)=0,"","◎"),"")))),"")</f>
        <v/>
      </c>
      <c r="AL511" s="460">
        <f>申込書!$H$14</f>
        <v>0</v>
      </c>
      <c r="AM511" s="460" t="str">
        <f>申込書!$C$32</f>
        <v>B4（折り無し）</v>
      </c>
      <c r="AN511" s="460" t="str">
        <f>VLOOKUP(AM511,★サイズ表記!$D$4:$E$55,2,FALSE)</f>
        <v>1001</v>
      </c>
      <c r="AO511" s="460">
        <f>IF(C511&lt;&gt;"⑧兵庫",VLOOKUP(LEFT(F511),★新聞!$A$4:$B$12,2,FALSE),IF(LEFT(F511)&lt;&gt;"S",VLOOKUP(LEFT(F511),★新聞!$A$4:$B$12,2,FALSE),VLOOKUP("X",★新聞!$A$4:$B$12,2,FALSE)))</f>
        <v>7</v>
      </c>
      <c r="AP511" s="460" t="str">
        <f t="shared" ca="1" si="61"/>
        <v>0</v>
      </c>
      <c r="AQ511" s="460" t="str">
        <f>IF(申込書!$C$38="","",申込書!$C$38)</f>
        <v/>
      </c>
    </row>
    <row r="512" spans="1:43">
      <c r="A512" s="463">
        <f t="shared" si="62"/>
        <v>511</v>
      </c>
      <c r="B512" s="463" t="str">
        <f t="shared" si="55"/>
        <v>東部</v>
      </c>
      <c r="C512" s="464" t="s">
        <v>1018</v>
      </c>
      <c r="D512" s="464" t="s">
        <v>1603</v>
      </c>
      <c r="E512" s="464">
        <f>VLOOKUP(D512,★折込地区!$A$2:$D$10,4,FALSE)</f>
        <v>3</v>
      </c>
      <c r="F512" s="464" t="s">
        <v>362</v>
      </c>
      <c r="G512" s="464" t="str">
        <f>INDEX(★新聞!$E$4:$I$12, MATCH(LEFT(F512),★新聞!$A$4:$A$12,0), MATCH(LEFT(W512),★新聞!$E$3:$I$3,0))</f>
        <v>X</v>
      </c>
      <c r="H512" s="475" t="s">
        <v>1102</v>
      </c>
      <c r="I512" s="464" cm="1">
        <f t="array" ref="I512">IFERROR(INDEX(★原価率!$A$2:$E$50,MATCH($C512&amp;$H512,★原価率!$A$2:$A$50&amp;★原価率!$B$2:$B$50,0),3),0)</f>
        <v>81</v>
      </c>
      <c r="J512" s="464" cm="1">
        <f t="array" ref="J512">IFERROR(INDEX(★原価率!$A$2:$E$50,MATCH($C512&amp;$H512,★原価率!$A$2:$A$50&amp;★原価率!$B$2:$B$50,0),4),0)</f>
        <v>85</v>
      </c>
      <c r="K512" s="464" cm="1">
        <f t="array" ref="K512">IFERROR(INDEX(★原価率!$A$2:$E$50,MATCH($C512&amp;$H512,★原価率!$A$2:$A$50&amp;★原価率!$B$2:$B$50,0),5),0)</f>
        <v>100</v>
      </c>
      <c r="L512" s="528">
        <f>IFERROR(VLOOKUP(W512,★商品!$A$1:$H$1231,8,FALSE),0)</f>
        <v>2.8</v>
      </c>
      <c r="M512" s="203" t="str">
        <f ca="1">CONCATENATE(VLOOKUP(B512,★営業所!$A$2:$B$5,2,FALSE),TEXT(NOW(),"yyyy"))</f>
        <v>T2023</v>
      </c>
      <c r="N512" s="203">
        <v>1</v>
      </c>
      <c r="O512" s="203">
        <v>0</v>
      </c>
      <c r="P512" s="213">
        <f>申込書!$B$6</f>
        <v>0</v>
      </c>
      <c r="Q512" s="203">
        <f>申込書!$C$34</f>
        <v>1000040</v>
      </c>
      <c r="R512" s="203">
        <v>0</v>
      </c>
      <c r="U512" s="203">
        <f>VLOOKUP(B512,★営業所!$A$2:$C$5,3,FALSE)</f>
        <v>8</v>
      </c>
      <c r="V512" s="203">
        <f>申込書!$B$9</f>
        <v>0</v>
      </c>
      <c r="W512" s="203" t="str">
        <f>CONCATENATE(VLOOKUP(B512,★営業所!$A$2:$B$5,2,FALSE),VLOOKUP(申込書!$C$32,★サイズ表記!$D$4:$E$55,2,FALSE),VLOOKUP(D512,★折込地区!$A$2:$B$11,2,FALSE))</f>
        <v>T1001Yng</v>
      </c>
      <c r="X512" s="203" t="str">
        <f>CONCATENATE(申込書!$B$9," ",VLOOKUP(RIGHT(W512,3),★折込地区!$B$2:$C$10,2,FALSE),"")</f>
        <v xml:space="preserve"> 米子</v>
      </c>
      <c r="Z512" s="206">
        <f t="shared" ca="1" si="56"/>
        <v>0</v>
      </c>
      <c r="AB512" s="383">
        <f t="shared" si="57"/>
        <v>2.8</v>
      </c>
      <c r="AC512" s="203" t="str">
        <f t="shared" si="58"/>
        <v>D1001</v>
      </c>
      <c r="AD512" s="203" t="str">
        <f>VLOOKUP(AC512,★原価商品!$E$6:$F$349,2,FALSE)</f>
        <v>日本海/B4（折り無し）</v>
      </c>
      <c r="AE512" s="203">
        <f t="shared" ca="1" si="59"/>
        <v>0</v>
      </c>
      <c r="AF512" s="383">
        <f>IFERROR(IF(VLOOKUP(申込書!$C$32,★サイズ表記!$F$4:$H$55,3,FALSE)="切り捨て",ROUNDDOWN(L512*IF(AK512="◎",I512,J512)/100,2),IF(VLOOKUP(申込書!$C$32,★サイズ表記!$F$4:$H$55,3,FALSE)="切り上げ",ROUNDUP(L512*IF(AK512="◎",I512,J512)/100,2),ROUND(L512*IF(AK512="◎",I512,J512)/100,2))),0)</f>
        <v>2.2599999999999998</v>
      </c>
      <c r="AG512" s="203">
        <f t="shared" ca="1" si="60"/>
        <v>10561</v>
      </c>
      <c r="AJ512" s="460" t="str">
        <f>IFERROR(VLOOKUP(申込書!$C$30,★業種!$D$2:$E$87,2,FALSE),"")</f>
        <v>1003</v>
      </c>
      <c r="AK512" s="460" t="str">
        <f>IF(申込書!$C$36="◎",IF(OR(D512="浜坂・温泉",D512="美方・村岡",D512="香住",D512="岡山",D512="大阪"),"",IF(LEFT(F512)="D","◎",IF(AG512=0,"",IFERROR(IF(VLOOKUP(AG512,★仕入先!$A$2:$C$211,3,FALSE)=0,"","◎"),"")))),"")</f>
        <v>◎</v>
      </c>
      <c r="AL512" s="460">
        <f>申込書!$H$14</f>
        <v>0</v>
      </c>
      <c r="AM512" s="460" t="str">
        <f>申込書!$C$32</f>
        <v>B4（折り無し）</v>
      </c>
      <c r="AN512" s="460" t="str">
        <f>VLOOKUP(AM512,★サイズ表記!$D$4:$E$55,2,FALSE)</f>
        <v>1001</v>
      </c>
      <c r="AO512" s="460">
        <f>IF(C512&lt;&gt;"⑧兵庫",VLOOKUP(LEFT(F512),★新聞!$A$4:$B$12,2,FALSE),IF(LEFT(F512)&lt;&gt;"S",VLOOKUP(LEFT(F512),★新聞!$A$4:$B$12,2,FALSE),VLOOKUP("X",★新聞!$A$4:$B$12,2,FALSE)))</f>
        <v>1</v>
      </c>
      <c r="AP512" s="460" t="str">
        <f t="shared" ca="1" si="61"/>
        <v>0</v>
      </c>
      <c r="AQ512" s="460" t="str">
        <f>IF(申込書!$C$38="","",申込書!$C$38)</f>
        <v/>
      </c>
    </row>
    <row r="513" spans="1:43">
      <c r="A513" s="463">
        <f t="shared" si="62"/>
        <v>512</v>
      </c>
      <c r="B513" s="463" t="str">
        <f t="shared" si="55"/>
        <v>東部</v>
      </c>
      <c r="C513" s="464" t="s">
        <v>1018</v>
      </c>
      <c r="D513" s="464" t="s">
        <v>1603</v>
      </c>
      <c r="E513" s="464">
        <f>VLOOKUP(D513,★折込地区!$A$2:$D$10,4,FALSE)</f>
        <v>3</v>
      </c>
      <c r="F513" s="464" t="s">
        <v>385</v>
      </c>
      <c r="G513" s="464" t="str">
        <f>INDEX(★新聞!$E$4:$I$12, MATCH(LEFT(F513),★新聞!$A$4:$A$12,0), MATCH(LEFT(W513),★新聞!$E$3:$I$3,0))</f>
        <v>X</v>
      </c>
      <c r="H513" s="475" t="s">
        <v>1102</v>
      </c>
      <c r="I513" s="464" cm="1">
        <f t="array" ref="I513">IFERROR(INDEX(★原価率!$A$2:$E$50,MATCH($C513&amp;$H513,★原価率!$A$2:$A$50&amp;★原価率!$B$2:$B$50,0),3),0)</f>
        <v>81</v>
      </c>
      <c r="J513" s="464" cm="1">
        <f t="array" ref="J513">IFERROR(INDEX(★原価率!$A$2:$E$50,MATCH($C513&amp;$H513,★原価率!$A$2:$A$50&amp;★原価率!$B$2:$B$50,0),4),0)</f>
        <v>85</v>
      </c>
      <c r="K513" s="464" cm="1">
        <f t="array" ref="K513">IFERROR(INDEX(★原価率!$A$2:$E$50,MATCH($C513&amp;$H513,★原価率!$A$2:$A$50&amp;★原価率!$B$2:$B$50,0),5),0)</f>
        <v>100</v>
      </c>
      <c r="L513" s="528">
        <f>IFERROR(VLOOKUP(W513,★商品!$A$1:$H$1231,8,FALSE),0)</f>
        <v>2.8</v>
      </c>
      <c r="M513" s="203" t="str">
        <f ca="1">CONCATENATE(VLOOKUP(B513,★営業所!$A$2:$B$5,2,FALSE),TEXT(NOW(),"yyyy"))</f>
        <v>T2023</v>
      </c>
      <c r="N513" s="203">
        <v>1</v>
      </c>
      <c r="O513" s="203">
        <v>0</v>
      </c>
      <c r="P513" s="213">
        <f>申込書!$B$6</f>
        <v>0</v>
      </c>
      <c r="Q513" s="203">
        <f>申込書!$C$34</f>
        <v>1000040</v>
      </c>
      <c r="R513" s="203">
        <v>0</v>
      </c>
      <c r="U513" s="203">
        <f>VLOOKUP(B513,★営業所!$A$2:$C$5,3,FALSE)</f>
        <v>8</v>
      </c>
      <c r="V513" s="203">
        <f>申込書!$B$9</f>
        <v>0</v>
      </c>
      <c r="W513" s="203" t="str">
        <f>CONCATENATE(VLOOKUP(B513,★営業所!$A$2:$B$5,2,FALSE),VLOOKUP(申込書!$C$32,★サイズ表記!$D$4:$E$55,2,FALSE),VLOOKUP(D513,★折込地区!$A$2:$B$11,2,FALSE))</f>
        <v>T1001Yng</v>
      </c>
      <c r="X513" s="203" t="str">
        <f>CONCATENATE(申込書!$B$9," ",VLOOKUP(RIGHT(W513,3),★折込地区!$B$2:$C$10,2,FALSE),"")</f>
        <v xml:space="preserve"> 米子</v>
      </c>
      <c r="Z513" s="206">
        <f t="shared" ca="1" si="56"/>
        <v>0</v>
      </c>
      <c r="AB513" s="383">
        <f t="shared" si="57"/>
        <v>2.8</v>
      </c>
      <c r="AC513" s="203" t="str">
        <f t="shared" si="58"/>
        <v>D1001</v>
      </c>
      <c r="AD513" s="203" t="str">
        <f>VLOOKUP(AC513,★原価商品!$E$6:$F$349,2,FALSE)</f>
        <v>日本海/B4（折り無し）</v>
      </c>
      <c r="AE513" s="203">
        <f t="shared" ca="1" si="59"/>
        <v>0</v>
      </c>
      <c r="AF513" s="383">
        <f>IFERROR(IF(VLOOKUP(申込書!$C$32,★サイズ表記!$F$4:$H$55,3,FALSE)="切り捨て",ROUNDDOWN(L513*IF(AK513="◎",I513,J513)/100,2),IF(VLOOKUP(申込書!$C$32,★サイズ表記!$F$4:$H$55,3,FALSE)="切り上げ",ROUNDUP(L513*IF(AK513="◎",I513,J513)/100,2),ROUND(L513*IF(AK513="◎",I513,J513)/100,2))),0)</f>
        <v>2.2599999999999998</v>
      </c>
      <c r="AG513" s="203">
        <f t="shared" ca="1" si="60"/>
        <v>10561</v>
      </c>
      <c r="AJ513" s="460" t="str">
        <f>IFERROR(VLOOKUP(申込書!$C$30,★業種!$D$2:$E$87,2,FALSE),"")</f>
        <v>1003</v>
      </c>
      <c r="AK513" s="460" t="str">
        <f>IF(申込書!$C$36="◎",IF(OR(D513="浜坂・温泉",D513="美方・村岡",D513="香住",D513="岡山",D513="大阪"),"",IF(LEFT(F513)="D","◎",IF(AG513=0,"",IFERROR(IF(VLOOKUP(AG513,★仕入先!$A$2:$C$211,3,FALSE)=0,"","◎"),"")))),"")</f>
        <v>◎</v>
      </c>
      <c r="AL513" s="460">
        <f>申込書!$H$14</f>
        <v>0</v>
      </c>
      <c r="AM513" s="460" t="str">
        <f>申込書!$C$32</f>
        <v>B4（折り無し）</v>
      </c>
      <c r="AN513" s="460" t="str">
        <f>VLOOKUP(AM513,★サイズ表記!$D$4:$E$55,2,FALSE)</f>
        <v>1001</v>
      </c>
      <c r="AO513" s="460">
        <f>IF(C513&lt;&gt;"⑧兵庫",VLOOKUP(LEFT(F513),★新聞!$A$4:$B$12,2,FALSE),IF(LEFT(F513)&lt;&gt;"S",VLOOKUP(LEFT(F513),★新聞!$A$4:$B$12,2,FALSE),VLOOKUP("X",★新聞!$A$4:$B$12,2,FALSE)))</f>
        <v>1</v>
      </c>
      <c r="AP513" s="460" t="str">
        <f t="shared" ca="1" si="61"/>
        <v>0</v>
      </c>
      <c r="AQ513" s="460" t="str">
        <f>IF(申込書!$C$38="","",申込書!$C$38)</f>
        <v/>
      </c>
    </row>
    <row r="514" spans="1:43">
      <c r="A514" s="463">
        <f t="shared" si="62"/>
        <v>513</v>
      </c>
      <c r="B514" s="463" t="str">
        <f t="shared" si="55"/>
        <v>東部</v>
      </c>
      <c r="C514" s="464" t="s">
        <v>1018</v>
      </c>
      <c r="D514" s="464" t="s">
        <v>1603</v>
      </c>
      <c r="E514" s="464">
        <f>VLOOKUP(D514,★折込地区!$A$2:$D$10,4,FALSE)</f>
        <v>3</v>
      </c>
      <c r="F514" s="464" t="s">
        <v>386</v>
      </c>
      <c r="G514" s="464" t="str">
        <f>INDEX(★新聞!$E$4:$I$12, MATCH(LEFT(F514),★新聞!$A$4:$A$12,0), MATCH(LEFT(W514),★新聞!$E$3:$I$3,0))</f>
        <v>X</v>
      </c>
      <c r="H514" s="475" t="s">
        <v>1102</v>
      </c>
      <c r="I514" s="464" cm="1">
        <f t="array" ref="I514">IFERROR(INDEX(★原価率!$A$2:$E$50,MATCH($C514&amp;$H514,★原価率!$A$2:$A$50&amp;★原価率!$B$2:$B$50,0),3),0)</f>
        <v>81</v>
      </c>
      <c r="J514" s="464" cm="1">
        <f t="array" ref="J514">IFERROR(INDEX(★原価率!$A$2:$E$50,MATCH($C514&amp;$H514,★原価率!$A$2:$A$50&amp;★原価率!$B$2:$B$50,0),4),0)</f>
        <v>85</v>
      </c>
      <c r="K514" s="464" cm="1">
        <f t="array" ref="K514">IFERROR(INDEX(★原価率!$A$2:$E$50,MATCH($C514&amp;$H514,★原価率!$A$2:$A$50&amp;★原価率!$B$2:$B$50,0),5),0)</f>
        <v>100</v>
      </c>
      <c r="L514" s="528">
        <f>IFERROR(VLOOKUP(W514,★商品!$A$1:$H$1231,8,FALSE),0)</f>
        <v>2.8</v>
      </c>
      <c r="M514" s="203" t="str">
        <f ca="1">CONCATENATE(VLOOKUP(B514,★営業所!$A$2:$B$5,2,FALSE),TEXT(NOW(),"yyyy"))</f>
        <v>T2023</v>
      </c>
      <c r="N514" s="203">
        <v>1</v>
      </c>
      <c r="O514" s="203">
        <v>0</v>
      </c>
      <c r="P514" s="213">
        <f>申込書!$B$6</f>
        <v>0</v>
      </c>
      <c r="Q514" s="203">
        <f>申込書!$C$34</f>
        <v>1000040</v>
      </c>
      <c r="R514" s="203">
        <v>0</v>
      </c>
      <c r="U514" s="203">
        <f>VLOOKUP(B514,★営業所!$A$2:$C$5,3,FALSE)</f>
        <v>8</v>
      </c>
      <c r="V514" s="203">
        <f>申込書!$B$9</f>
        <v>0</v>
      </c>
      <c r="W514" s="203" t="str">
        <f>CONCATENATE(VLOOKUP(B514,★営業所!$A$2:$B$5,2,FALSE),VLOOKUP(申込書!$C$32,★サイズ表記!$D$4:$E$55,2,FALSE),VLOOKUP(D514,★折込地区!$A$2:$B$11,2,FALSE))</f>
        <v>T1001Yng</v>
      </c>
      <c r="X514" s="203" t="str">
        <f>CONCATENATE(申込書!$B$9," ",VLOOKUP(RIGHT(W514,3),★折込地区!$B$2:$C$10,2,FALSE),"")</f>
        <v xml:space="preserve"> 米子</v>
      </c>
      <c r="Z514" s="206">
        <f t="shared" ref="Z514:Z577" ca="1" si="63">SUMIFS($AE$2:$AE$977,$W$2:$W$977,W514,$AG$2:$AG$977,"&lt;&gt;0")</f>
        <v>0</v>
      </c>
      <c r="AB514" s="383">
        <f t="shared" ref="AB514:AB577" si="64">IFERROR(L514*K514/100,0)</f>
        <v>2.8</v>
      </c>
      <c r="AC514" s="203" t="str">
        <f t="shared" ref="AC514:AC577" si="65">CONCATENATE(LEFT(F514),AN514)</f>
        <v>D1001</v>
      </c>
      <c r="AD514" s="203" t="str">
        <f>VLOOKUP(AC514,★原価商品!$E$6:$F$349,2,FALSE)</f>
        <v>日本海/B4（折り無し）</v>
      </c>
      <c r="AE514" s="203">
        <f t="shared" ref="AE514:AE577" ca="1" si="66">INDIRECT(C514 &amp; "!" &amp; F514)</f>
        <v>0</v>
      </c>
      <c r="AF514" s="383">
        <f>IFERROR(IF(VLOOKUP(申込書!$C$32,★サイズ表記!$F$4:$H$55,3,FALSE)="切り捨て",ROUNDDOWN(L514*IF(AK514="◎",I514,J514)/100,2),IF(VLOOKUP(申込書!$C$32,★サイズ表記!$F$4:$H$55,3,FALSE)="切り上げ",ROUNDUP(L514*IF(AK514="◎",I514,J514)/100,2),ROUND(L514*IF(AK514="◎",I514,J514)/100,2))),0)</f>
        <v>2.2599999999999998</v>
      </c>
      <c r="AG514" s="203">
        <f t="shared" ref="AG514:AG577" ca="1" si="67">IFERROR(INDIRECT(C514 &amp; "!" &amp; G514 &amp; MID(F514,2,1000)),0)</f>
        <v>10561</v>
      </c>
      <c r="AJ514" s="460" t="str">
        <f>IFERROR(VLOOKUP(申込書!$C$30,★業種!$D$2:$E$87,2,FALSE),"")</f>
        <v>1003</v>
      </c>
      <c r="AK514" s="460" t="str">
        <f>IF(申込書!$C$36="◎",IF(OR(D514="浜坂・温泉",D514="美方・村岡",D514="香住",D514="岡山",D514="大阪"),"",IF(LEFT(F514)="D","◎",IF(AG514=0,"",IFERROR(IF(VLOOKUP(AG514,★仕入先!$A$2:$C$211,3,FALSE)=0,"","◎"),"")))),"")</f>
        <v>◎</v>
      </c>
      <c r="AL514" s="460">
        <f>申込書!$H$14</f>
        <v>0</v>
      </c>
      <c r="AM514" s="460" t="str">
        <f>申込書!$C$32</f>
        <v>B4（折り無し）</v>
      </c>
      <c r="AN514" s="460" t="str">
        <f>VLOOKUP(AM514,★サイズ表記!$D$4:$E$55,2,FALSE)</f>
        <v>1001</v>
      </c>
      <c r="AO514" s="460">
        <f>IF(C514&lt;&gt;"⑧兵庫",VLOOKUP(LEFT(F514),★新聞!$A$4:$B$12,2,FALSE),IF(LEFT(F514)&lt;&gt;"S",VLOOKUP(LEFT(F514),★新聞!$A$4:$B$12,2,FALSE),VLOOKUP("X",★新聞!$A$4:$B$12,2,FALSE)))</f>
        <v>1</v>
      </c>
      <c r="AP514" s="460" t="str">
        <f t="shared" ref="AP514:AP577" ca="1" si="68">FIXED(SUM($AE$2:$AE$977),0,FALSE)</f>
        <v>0</v>
      </c>
      <c r="AQ514" s="460" t="str">
        <f>IF(申込書!$C$38="","",申込書!$C$38)</f>
        <v/>
      </c>
    </row>
    <row r="515" spans="1:43">
      <c r="A515" s="463">
        <f t="shared" si="62"/>
        <v>514</v>
      </c>
      <c r="B515" s="463" t="str">
        <f t="shared" si="55"/>
        <v>東部</v>
      </c>
      <c r="C515" s="464" t="s">
        <v>1018</v>
      </c>
      <c r="D515" s="464" t="s">
        <v>1603</v>
      </c>
      <c r="E515" s="464">
        <f>VLOOKUP(D515,★折込地区!$A$2:$D$10,4,FALSE)</f>
        <v>3</v>
      </c>
      <c r="F515" s="464" t="s">
        <v>387</v>
      </c>
      <c r="G515" s="464" t="str">
        <f>INDEX(★新聞!$E$4:$I$12, MATCH(LEFT(F515),★新聞!$A$4:$A$12,0), MATCH(LEFT(W515),★新聞!$E$3:$I$3,0))</f>
        <v>X</v>
      </c>
      <c r="H515" s="475" t="s">
        <v>1102</v>
      </c>
      <c r="I515" s="464" cm="1">
        <f t="array" ref="I515">IFERROR(INDEX(★原価率!$A$2:$E$50,MATCH($C515&amp;$H515,★原価率!$A$2:$A$50&amp;★原価率!$B$2:$B$50,0),3),0)</f>
        <v>81</v>
      </c>
      <c r="J515" s="464" cm="1">
        <f t="array" ref="J515">IFERROR(INDEX(★原価率!$A$2:$E$50,MATCH($C515&amp;$H515,★原価率!$A$2:$A$50&amp;★原価率!$B$2:$B$50,0),4),0)</f>
        <v>85</v>
      </c>
      <c r="K515" s="464" cm="1">
        <f t="array" ref="K515">IFERROR(INDEX(★原価率!$A$2:$E$50,MATCH($C515&amp;$H515,★原価率!$A$2:$A$50&amp;★原価率!$B$2:$B$50,0),5),0)</f>
        <v>100</v>
      </c>
      <c r="L515" s="528">
        <f>IFERROR(VLOOKUP(W515,★商品!$A$1:$H$1231,8,FALSE),0)</f>
        <v>2.8</v>
      </c>
      <c r="M515" s="203" t="str">
        <f ca="1">CONCATENATE(VLOOKUP(B515,★営業所!$A$2:$B$5,2,FALSE),TEXT(NOW(),"yyyy"))</f>
        <v>T2023</v>
      </c>
      <c r="N515" s="203">
        <v>1</v>
      </c>
      <c r="O515" s="203">
        <v>0</v>
      </c>
      <c r="P515" s="213">
        <f>申込書!$B$6</f>
        <v>0</v>
      </c>
      <c r="Q515" s="203">
        <f>申込書!$C$34</f>
        <v>1000040</v>
      </c>
      <c r="R515" s="203">
        <v>0</v>
      </c>
      <c r="U515" s="203">
        <f>VLOOKUP(B515,★営業所!$A$2:$C$5,3,FALSE)</f>
        <v>8</v>
      </c>
      <c r="V515" s="203">
        <f>申込書!$B$9</f>
        <v>0</v>
      </c>
      <c r="W515" s="203" t="str">
        <f>CONCATENATE(VLOOKUP(B515,★営業所!$A$2:$B$5,2,FALSE),VLOOKUP(申込書!$C$32,★サイズ表記!$D$4:$E$55,2,FALSE),VLOOKUP(D515,★折込地区!$A$2:$B$11,2,FALSE))</f>
        <v>T1001Yng</v>
      </c>
      <c r="X515" s="203" t="str">
        <f>CONCATENATE(申込書!$B$9," ",VLOOKUP(RIGHT(W515,3),★折込地区!$B$2:$C$10,2,FALSE),"")</f>
        <v xml:space="preserve"> 米子</v>
      </c>
      <c r="Z515" s="206">
        <f t="shared" ca="1" si="63"/>
        <v>0</v>
      </c>
      <c r="AB515" s="383">
        <f t="shared" si="64"/>
        <v>2.8</v>
      </c>
      <c r="AC515" s="203" t="str">
        <f t="shared" si="65"/>
        <v>D1001</v>
      </c>
      <c r="AD515" s="203" t="str">
        <f>VLOOKUP(AC515,★原価商品!$E$6:$F$349,2,FALSE)</f>
        <v>日本海/B4（折り無し）</v>
      </c>
      <c r="AE515" s="203">
        <f t="shared" ca="1" si="66"/>
        <v>0</v>
      </c>
      <c r="AF515" s="383">
        <f>IFERROR(IF(VLOOKUP(申込書!$C$32,★サイズ表記!$F$4:$H$55,3,FALSE)="切り捨て",ROUNDDOWN(L515*IF(AK515="◎",I515,J515)/100,2),IF(VLOOKUP(申込書!$C$32,★サイズ表記!$F$4:$H$55,3,FALSE)="切り上げ",ROUNDUP(L515*IF(AK515="◎",I515,J515)/100,2),ROUND(L515*IF(AK515="◎",I515,J515)/100,2))),0)</f>
        <v>2.2599999999999998</v>
      </c>
      <c r="AG515" s="203">
        <f t="shared" ca="1" si="67"/>
        <v>0</v>
      </c>
      <c r="AJ515" s="460" t="str">
        <f>IFERROR(VLOOKUP(申込書!$C$30,★業種!$D$2:$E$87,2,FALSE),"")</f>
        <v>1003</v>
      </c>
      <c r="AK515" s="460" t="str">
        <f>IF(申込書!$C$36="◎",IF(OR(D515="浜坂・温泉",D515="美方・村岡",D515="香住",D515="岡山",D515="大阪"),"",IF(LEFT(F515)="D","◎",IF(AG515=0,"",IFERROR(IF(VLOOKUP(AG515,★仕入先!$A$2:$C$211,3,FALSE)=0,"","◎"),"")))),"")</f>
        <v>◎</v>
      </c>
      <c r="AL515" s="460">
        <f>申込書!$H$14</f>
        <v>0</v>
      </c>
      <c r="AM515" s="460" t="str">
        <f>申込書!$C$32</f>
        <v>B4（折り無し）</v>
      </c>
      <c r="AN515" s="460" t="str">
        <f>VLOOKUP(AM515,★サイズ表記!$D$4:$E$55,2,FALSE)</f>
        <v>1001</v>
      </c>
      <c r="AO515" s="460">
        <f>IF(C515&lt;&gt;"⑧兵庫",VLOOKUP(LEFT(F515),★新聞!$A$4:$B$12,2,FALSE),IF(LEFT(F515)&lt;&gt;"S",VLOOKUP(LEFT(F515),★新聞!$A$4:$B$12,2,FALSE),VLOOKUP("X",★新聞!$A$4:$B$12,2,FALSE)))</f>
        <v>1</v>
      </c>
      <c r="AP515" s="460" t="str">
        <f t="shared" ca="1" si="68"/>
        <v>0</v>
      </c>
      <c r="AQ515" s="460" t="str">
        <f>IF(申込書!$C$38="","",申込書!$C$38)</f>
        <v/>
      </c>
    </row>
    <row r="516" spans="1:43">
      <c r="A516" s="463">
        <f t="shared" ref="A516:A579" si="69">A515+1</f>
        <v>515</v>
      </c>
      <c r="B516" s="463" t="str">
        <f t="shared" si="55"/>
        <v>東部</v>
      </c>
      <c r="C516" s="464" t="s">
        <v>1018</v>
      </c>
      <c r="D516" s="464" t="s">
        <v>1603</v>
      </c>
      <c r="E516" s="464">
        <f>VLOOKUP(D516,★折込地区!$A$2:$D$10,4,FALSE)</f>
        <v>3</v>
      </c>
      <c r="F516" s="464" t="s">
        <v>388</v>
      </c>
      <c r="G516" s="464" t="str">
        <f>INDEX(★新聞!$E$4:$I$12, MATCH(LEFT(F516),★新聞!$A$4:$A$12,0), MATCH(LEFT(W516),★新聞!$E$3:$I$3,0))</f>
        <v>X</v>
      </c>
      <c r="H516" s="475" t="s">
        <v>1102</v>
      </c>
      <c r="I516" s="464" cm="1">
        <f t="array" ref="I516">IFERROR(INDEX(★原価率!$A$2:$E$50,MATCH($C516&amp;$H516,★原価率!$A$2:$A$50&amp;★原価率!$B$2:$B$50,0),3),0)</f>
        <v>81</v>
      </c>
      <c r="J516" s="464" cm="1">
        <f t="array" ref="J516">IFERROR(INDEX(★原価率!$A$2:$E$50,MATCH($C516&amp;$H516,★原価率!$A$2:$A$50&amp;★原価率!$B$2:$B$50,0),4),0)</f>
        <v>85</v>
      </c>
      <c r="K516" s="464" cm="1">
        <f t="array" ref="K516">IFERROR(INDEX(★原価率!$A$2:$E$50,MATCH($C516&amp;$H516,★原価率!$A$2:$A$50&amp;★原価率!$B$2:$B$50,0),5),0)</f>
        <v>100</v>
      </c>
      <c r="L516" s="528">
        <f>IFERROR(VLOOKUP(W516,★商品!$A$1:$H$1231,8,FALSE),0)</f>
        <v>2.8</v>
      </c>
      <c r="M516" s="203" t="str">
        <f ca="1">CONCATENATE(VLOOKUP(B516,★営業所!$A$2:$B$5,2,FALSE),TEXT(NOW(),"yyyy"))</f>
        <v>T2023</v>
      </c>
      <c r="N516" s="203">
        <v>1</v>
      </c>
      <c r="O516" s="203">
        <v>0</v>
      </c>
      <c r="P516" s="213">
        <f>申込書!$B$6</f>
        <v>0</v>
      </c>
      <c r="Q516" s="203">
        <f>申込書!$C$34</f>
        <v>1000040</v>
      </c>
      <c r="R516" s="203">
        <v>0</v>
      </c>
      <c r="U516" s="203">
        <f>VLOOKUP(B516,★営業所!$A$2:$C$5,3,FALSE)</f>
        <v>8</v>
      </c>
      <c r="V516" s="203">
        <f>申込書!$B$9</f>
        <v>0</v>
      </c>
      <c r="W516" s="203" t="str">
        <f>CONCATENATE(VLOOKUP(B516,★営業所!$A$2:$B$5,2,FALSE),VLOOKUP(申込書!$C$32,★サイズ表記!$D$4:$E$55,2,FALSE),VLOOKUP(D516,★折込地区!$A$2:$B$11,2,FALSE))</f>
        <v>T1001Yng</v>
      </c>
      <c r="X516" s="203" t="str">
        <f>CONCATENATE(申込書!$B$9," ",VLOOKUP(RIGHT(W516,3),★折込地区!$B$2:$C$10,2,FALSE),"")</f>
        <v xml:space="preserve"> 米子</v>
      </c>
      <c r="Z516" s="206">
        <f t="shared" ca="1" si="63"/>
        <v>0</v>
      </c>
      <c r="AB516" s="383">
        <f t="shared" si="64"/>
        <v>2.8</v>
      </c>
      <c r="AC516" s="203" t="str">
        <f t="shared" si="65"/>
        <v>D1001</v>
      </c>
      <c r="AD516" s="203" t="str">
        <f>VLOOKUP(AC516,★原価商品!$E$6:$F$349,2,FALSE)</f>
        <v>日本海/B4（折り無し）</v>
      </c>
      <c r="AE516" s="203">
        <f t="shared" ca="1" si="66"/>
        <v>0</v>
      </c>
      <c r="AF516" s="383">
        <f>IFERROR(IF(VLOOKUP(申込書!$C$32,★サイズ表記!$F$4:$H$55,3,FALSE)="切り捨て",ROUNDDOWN(L516*IF(AK516="◎",I516,J516)/100,2),IF(VLOOKUP(申込書!$C$32,★サイズ表記!$F$4:$H$55,3,FALSE)="切り上げ",ROUNDUP(L516*IF(AK516="◎",I516,J516)/100,2),ROUND(L516*IF(AK516="◎",I516,J516)/100,2))),0)</f>
        <v>2.2599999999999998</v>
      </c>
      <c r="AG516" s="203">
        <f t="shared" ca="1" si="67"/>
        <v>0</v>
      </c>
      <c r="AJ516" s="460" t="str">
        <f>IFERROR(VLOOKUP(申込書!$C$30,★業種!$D$2:$E$87,2,FALSE),"")</f>
        <v>1003</v>
      </c>
      <c r="AK516" s="460" t="str">
        <f>IF(申込書!$C$36="◎",IF(OR(D516="浜坂・温泉",D516="美方・村岡",D516="香住",D516="岡山",D516="大阪"),"",IF(LEFT(F516)="D","◎",IF(AG516=0,"",IFERROR(IF(VLOOKUP(AG516,★仕入先!$A$2:$C$211,3,FALSE)=0,"","◎"),"")))),"")</f>
        <v>◎</v>
      </c>
      <c r="AL516" s="460">
        <f>申込書!$H$14</f>
        <v>0</v>
      </c>
      <c r="AM516" s="460" t="str">
        <f>申込書!$C$32</f>
        <v>B4（折り無し）</v>
      </c>
      <c r="AN516" s="460" t="str">
        <f>VLOOKUP(AM516,★サイズ表記!$D$4:$E$55,2,FALSE)</f>
        <v>1001</v>
      </c>
      <c r="AO516" s="460">
        <f>IF(C516&lt;&gt;"⑧兵庫",VLOOKUP(LEFT(F516),★新聞!$A$4:$B$12,2,FALSE),IF(LEFT(F516)&lt;&gt;"S",VLOOKUP(LEFT(F516),★新聞!$A$4:$B$12,2,FALSE),VLOOKUP("X",★新聞!$A$4:$B$12,2,FALSE)))</f>
        <v>1</v>
      </c>
      <c r="AP516" s="460" t="str">
        <f t="shared" ca="1" si="68"/>
        <v>0</v>
      </c>
      <c r="AQ516" s="460" t="str">
        <f>IF(申込書!$C$38="","",申込書!$C$38)</f>
        <v/>
      </c>
    </row>
    <row r="517" spans="1:43">
      <c r="A517" s="463">
        <f t="shared" si="69"/>
        <v>516</v>
      </c>
      <c r="B517" s="463" t="str">
        <f t="shared" si="55"/>
        <v>東部</v>
      </c>
      <c r="C517" s="464" t="s">
        <v>1018</v>
      </c>
      <c r="D517" s="464" t="s">
        <v>1603</v>
      </c>
      <c r="E517" s="464">
        <f>VLOOKUP(D517,★折込地区!$A$2:$D$10,4,FALSE)</f>
        <v>3</v>
      </c>
      <c r="F517" s="464" t="s">
        <v>389</v>
      </c>
      <c r="G517" s="464" t="str">
        <f>INDEX(★新聞!$E$4:$I$12, MATCH(LEFT(F517),★新聞!$A$4:$A$12,0), MATCH(LEFT(W517),★新聞!$E$3:$I$3,0))</f>
        <v>X</v>
      </c>
      <c r="H517" s="475" t="s">
        <v>1102</v>
      </c>
      <c r="I517" s="464" cm="1">
        <f t="array" ref="I517">IFERROR(INDEX(★原価率!$A$2:$E$50,MATCH($C517&amp;$H517,★原価率!$A$2:$A$50&amp;★原価率!$B$2:$B$50,0),3),0)</f>
        <v>81</v>
      </c>
      <c r="J517" s="464" cm="1">
        <f t="array" ref="J517">IFERROR(INDEX(★原価率!$A$2:$E$50,MATCH($C517&amp;$H517,★原価率!$A$2:$A$50&amp;★原価率!$B$2:$B$50,0),4),0)</f>
        <v>85</v>
      </c>
      <c r="K517" s="464" cm="1">
        <f t="array" ref="K517">IFERROR(INDEX(★原価率!$A$2:$E$50,MATCH($C517&amp;$H517,★原価率!$A$2:$A$50&amp;★原価率!$B$2:$B$50,0),5),0)</f>
        <v>100</v>
      </c>
      <c r="L517" s="528">
        <f>IFERROR(VLOOKUP(W517,★商品!$A$1:$H$1231,8,FALSE),0)</f>
        <v>2.8</v>
      </c>
      <c r="M517" s="203" t="str">
        <f ca="1">CONCATENATE(VLOOKUP(B517,★営業所!$A$2:$B$5,2,FALSE),TEXT(NOW(),"yyyy"))</f>
        <v>T2023</v>
      </c>
      <c r="N517" s="203">
        <v>1</v>
      </c>
      <c r="O517" s="203">
        <v>0</v>
      </c>
      <c r="P517" s="213">
        <f>申込書!$B$6</f>
        <v>0</v>
      </c>
      <c r="Q517" s="203">
        <f>申込書!$C$34</f>
        <v>1000040</v>
      </c>
      <c r="R517" s="203">
        <v>0</v>
      </c>
      <c r="U517" s="203">
        <f>VLOOKUP(B517,★営業所!$A$2:$C$5,3,FALSE)</f>
        <v>8</v>
      </c>
      <c r="V517" s="203">
        <f>申込書!$B$9</f>
        <v>0</v>
      </c>
      <c r="W517" s="203" t="str">
        <f>CONCATENATE(VLOOKUP(B517,★営業所!$A$2:$B$5,2,FALSE),VLOOKUP(申込書!$C$32,★サイズ表記!$D$4:$E$55,2,FALSE),VLOOKUP(D517,★折込地区!$A$2:$B$11,2,FALSE))</f>
        <v>T1001Yng</v>
      </c>
      <c r="X517" s="203" t="str">
        <f>CONCATENATE(申込書!$B$9," ",VLOOKUP(RIGHT(W517,3),★折込地区!$B$2:$C$10,2,FALSE),"")</f>
        <v xml:space="preserve"> 米子</v>
      </c>
      <c r="Z517" s="206">
        <f t="shared" ca="1" si="63"/>
        <v>0</v>
      </c>
      <c r="AB517" s="383">
        <f t="shared" si="64"/>
        <v>2.8</v>
      </c>
      <c r="AC517" s="203" t="str">
        <f t="shared" si="65"/>
        <v>D1001</v>
      </c>
      <c r="AD517" s="203" t="str">
        <f>VLOOKUP(AC517,★原価商品!$E$6:$F$349,2,FALSE)</f>
        <v>日本海/B4（折り無し）</v>
      </c>
      <c r="AE517" s="203">
        <f t="shared" ca="1" si="66"/>
        <v>0</v>
      </c>
      <c r="AF517" s="383">
        <f>IFERROR(IF(VLOOKUP(申込書!$C$32,★サイズ表記!$F$4:$H$55,3,FALSE)="切り捨て",ROUNDDOWN(L517*IF(AK517="◎",I517,J517)/100,2),IF(VLOOKUP(申込書!$C$32,★サイズ表記!$F$4:$H$55,3,FALSE)="切り上げ",ROUNDUP(L517*IF(AK517="◎",I517,J517)/100,2),ROUND(L517*IF(AK517="◎",I517,J517)/100,2))),0)</f>
        <v>2.2599999999999998</v>
      </c>
      <c r="AG517" s="203">
        <f t="shared" ca="1" si="67"/>
        <v>10561</v>
      </c>
      <c r="AJ517" s="460" t="str">
        <f>IFERROR(VLOOKUP(申込書!$C$30,★業種!$D$2:$E$87,2,FALSE),"")</f>
        <v>1003</v>
      </c>
      <c r="AK517" s="460" t="str">
        <f>IF(申込書!$C$36="◎",IF(OR(D517="浜坂・温泉",D517="美方・村岡",D517="香住",D517="岡山",D517="大阪"),"",IF(LEFT(F517)="D","◎",IF(AG517=0,"",IFERROR(IF(VLOOKUP(AG517,★仕入先!$A$2:$C$211,3,FALSE)=0,"","◎"),"")))),"")</f>
        <v>◎</v>
      </c>
      <c r="AL517" s="460">
        <f>申込書!$H$14</f>
        <v>0</v>
      </c>
      <c r="AM517" s="460" t="str">
        <f>申込書!$C$32</f>
        <v>B4（折り無し）</v>
      </c>
      <c r="AN517" s="460" t="str">
        <f>VLOOKUP(AM517,★サイズ表記!$D$4:$E$55,2,FALSE)</f>
        <v>1001</v>
      </c>
      <c r="AO517" s="460">
        <f>IF(C517&lt;&gt;"⑧兵庫",VLOOKUP(LEFT(F517),★新聞!$A$4:$B$12,2,FALSE),IF(LEFT(F517)&lt;&gt;"S",VLOOKUP(LEFT(F517),★新聞!$A$4:$B$12,2,FALSE),VLOOKUP("X",★新聞!$A$4:$B$12,2,FALSE)))</f>
        <v>1</v>
      </c>
      <c r="AP517" s="460" t="str">
        <f t="shared" ca="1" si="68"/>
        <v>0</v>
      </c>
      <c r="AQ517" s="460" t="str">
        <f>IF(申込書!$C$38="","",申込書!$C$38)</f>
        <v/>
      </c>
    </row>
    <row r="518" spans="1:43">
      <c r="A518" s="463">
        <f t="shared" si="69"/>
        <v>517</v>
      </c>
      <c r="B518" s="463" t="str">
        <f t="shared" si="55"/>
        <v>東部</v>
      </c>
      <c r="C518" s="464" t="s">
        <v>1018</v>
      </c>
      <c r="D518" s="464" t="s">
        <v>1603</v>
      </c>
      <c r="E518" s="464">
        <f>VLOOKUP(D518,★折込地区!$A$2:$D$10,4,FALSE)</f>
        <v>3</v>
      </c>
      <c r="F518" s="464" t="s">
        <v>390</v>
      </c>
      <c r="G518" s="464" t="str">
        <f>INDEX(★新聞!$E$4:$I$12, MATCH(LEFT(F518),★新聞!$A$4:$A$12,0), MATCH(LEFT(W518),★新聞!$E$3:$I$3,0))</f>
        <v>X</v>
      </c>
      <c r="H518" s="475" t="s">
        <v>1102</v>
      </c>
      <c r="I518" s="464" cm="1">
        <f t="array" ref="I518">IFERROR(INDEX(★原価率!$A$2:$E$50,MATCH($C518&amp;$H518,★原価率!$A$2:$A$50&amp;★原価率!$B$2:$B$50,0),3),0)</f>
        <v>81</v>
      </c>
      <c r="J518" s="464" cm="1">
        <f t="array" ref="J518">IFERROR(INDEX(★原価率!$A$2:$E$50,MATCH($C518&amp;$H518,★原価率!$A$2:$A$50&amp;★原価率!$B$2:$B$50,0),4),0)</f>
        <v>85</v>
      </c>
      <c r="K518" s="464" cm="1">
        <f t="array" ref="K518">IFERROR(INDEX(★原価率!$A$2:$E$50,MATCH($C518&amp;$H518,★原価率!$A$2:$A$50&amp;★原価率!$B$2:$B$50,0),5),0)</f>
        <v>100</v>
      </c>
      <c r="L518" s="528">
        <f>IFERROR(VLOOKUP(W518,★商品!$A$1:$H$1231,8,FALSE),0)</f>
        <v>2.8</v>
      </c>
      <c r="M518" s="203" t="str">
        <f ca="1">CONCATENATE(VLOOKUP(B518,★営業所!$A$2:$B$5,2,FALSE),TEXT(NOW(),"yyyy"))</f>
        <v>T2023</v>
      </c>
      <c r="N518" s="203">
        <v>1</v>
      </c>
      <c r="O518" s="203">
        <v>0</v>
      </c>
      <c r="P518" s="213">
        <f>申込書!$B$6</f>
        <v>0</v>
      </c>
      <c r="Q518" s="203">
        <f>申込書!$C$34</f>
        <v>1000040</v>
      </c>
      <c r="R518" s="203">
        <v>0</v>
      </c>
      <c r="U518" s="203">
        <f>VLOOKUP(B518,★営業所!$A$2:$C$5,3,FALSE)</f>
        <v>8</v>
      </c>
      <c r="V518" s="203">
        <f>申込書!$B$9</f>
        <v>0</v>
      </c>
      <c r="W518" s="203" t="str">
        <f>CONCATENATE(VLOOKUP(B518,★営業所!$A$2:$B$5,2,FALSE),VLOOKUP(申込書!$C$32,★サイズ表記!$D$4:$E$55,2,FALSE),VLOOKUP(D518,★折込地区!$A$2:$B$11,2,FALSE))</f>
        <v>T1001Yng</v>
      </c>
      <c r="X518" s="203" t="str">
        <f>CONCATENATE(申込書!$B$9," ",VLOOKUP(RIGHT(W518,3),★折込地区!$B$2:$C$10,2,FALSE),"")</f>
        <v xml:space="preserve"> 米子</v>
      </c>
      <c r="Z518" s="206">
        <f t="shared" ca="1" si="63"/>
        <v>0</v>
      </c>
      <c r="AB518" s="383">
        <f t="shared" si="64"/>
        <v>2.8</v>
      </c>
      <c r="AC518" s="203" t="str">
        <f t="shared" si="65"/>
        <v>D1001</v>
      </c>
      <c r="AD518" s="203" t="str">
        <f>VLOOKUP(AC518,★原価商品!$E$6:$F$349,2,FALSE)</f>
        <v>日本海/B4（折り無し）</v>
      </c>
      <c r="AE518" s="203">
        <f t="shared" ca="1" si="66"/>
        <v>0</v>
      </c>
      <c r="AF518" s="383">
        <f>IFERROR(IF(VLOOKUP(申込書!$C$32,★サイズ表記!$F$4:$H$55,3,FALSE)="切り捨て",ROUNDDOWN(L518*IF(AK518="◎",I518,J518)/100,2),IF(VLOOKUP(申込書!$C$32,★サイズ表記!$F$4:$H$55,3,FALSE)="切り上げ",ROUNDUP(L518*IF(AK518="◎",I518,J518)/100,2),ROUND(L518*IF(AK518="◎",I518,J518)/100,2))),0)</f>
        <v>2.2599999999999998</v>
      </c>
      <c r="AG518" s="203">
        <f t="shared" ca="1" si="67"/>
        <v>10561</v>
      </c>
      <c r="AJ518" s="460" t="str">
        <f>IFERROR(VLOOKUP(申込書!$C$30,★業種!$D$2:$E$87,2,FALSE),"")</f>
        <v>1003</v>
      </c>
      <c r="AK518" s="460" t="str">
        <f>IF(申込書!$C$36="◎",IF(OR(D518="浜坂・温泉",D518="美方・村岡",D518="香住",D518="岡山",D518="大阪"),"",IF(LEFT(F518)="D","◎",IF(AG518=0,"",IFERROR(IF(VLOOKUP(AG518,★仕入先!$A$2:$C$211,3,FALSE)=0,"","◎"),"")))),"")</f>
        <v>◎</v>
      </c>
      <c r="AL518" s="460">
        <f>申込書!$H$14</f>
        <v>0</v>
      </c>
      <c r="AM518" s="460" t="str">
        <f>申込書!$C$32</f>
        <v>B4（折り無し）</v>
      </c>
      <c r="AN518" s="460" t="str">
        <f>VLOOKUP(AM518,★サイズ表記!$D$4:$E$55,2,FALSE)</f>
        <v>1001</v>
      </c>
      <c r="AO518" s="460">
        <f>IF(C518&lt;&gt;"⑧兵庫",VLOOKUP(LEFT(F518),★新聞!$A$4:$B$12,2,FALSE),IF(LEFT(F518)&lt;&gt;"S",VLOOKUP(LEFT(F518),★新聞!$A$4:$B$12,2,FALSE),VLOOKUP("X",★新聞!$A$4:$B$12,2,FALSE)))</f>
        <v>1</v>
      </c>
      <c r="AP518" s="460" t="str">
        <f t="shared" ca="1" si="68"/>
        <v>0</v>
      </c>
      <c r="AQ518" s="460" t="str">
        <f>IF(申込書!$C$38="","",申込書!$C$38)</f>
        <v/>
      </c>
    </row>
    <row r="519" spans="1:43">
      <c r="A519" s="463">
        <f t="shared" si="69"/>
        <v>518</v>
      </c>
      <c r="B519" s="463" t="str">
        <f t="shared" si="55"/>
        <v>東部</v>
      </c>
      <c r="C519" s="464" t="s">
        <v>1018</v>
      </c>
      <c r="D519" s="464" t="s">
        <v>1603</v>
      </c>
      <c r="E519" s="464">
        <f>VLOOKUP(D519,★折込地区!$A$2:$D$10,4,FALSE)</f>
        <v>3</v>
      </c>
      <c r="F519" s="464" t="s">
        <v>391</v>
      </c>
      <c r="G519" s="464" t="str">
        <f>INDEX(★新聞!$E$4:$I$12, MATCH(LEFT(F519),★新聞!$A$4:$A$12,0), MATCH(LEFT(W519),★新聞!$E$3:$I$3,0))</f>
        <v>X</v>
      </c>
      <c r="H519" s="475" t="s">
        <v>1102</v>
      </c>
      <c r="I519" s="464" cm="1">
        <f t="array" ref="I519">IFERROR(INDEX(★原価率!$A$2:$E$50,MATCH($C519&amp;$H519,★原価率!$A$2:$A$50&amp;★原価率!$B$2:$B$50,0),3),0)</f>
        <v>81</v>
      </c>
      <c r="J519" s="464" cm="1">
        <f t="array" ref="J519">IFERROR(INDEX(★原価率!$A$2:$E$50,MATCH($C519&amp;$H519,★原価率!$A$2:$A$50&amp;★原価率!$B$2:$B$50,0),4),0)</f>
        <v>85</v>
      </c>
      <c r="K519" s="464" cm="1">
        <f t="array" ref="K519">IFERROR(INDEX(★原価率!$A$2:$E$50,MATCH($C519&amp;$H519,★原価率!$A$2:$A$50&amp;★原価率!$B$2:$B$50,0),5),0)</f>
        <v>100</v>
      </c>
      <c r="L519" s="528">
        <f>IFERROR(VLOOKUP(W519,★商品!$A$1:$H$1231,8,FALSE),0)</f>
        <v>2.8</v>
      </c>
      <c r="M519" s="203" t="str">
        <f ca="1">CONCATENATE(VLOOKUP(B519,★営業所!$A$2:$B$5,2,FALSE),TEXT(NOW(),"yyyy"))</f>
        <v>T2023</v>
      </c>
      <c r="N519" s="203">
        <v>1</v>
      </c>
      <c r="O519" s="203">
        <v>0</v>
      </c>
      <c r="P519" s="213">
        <f>申込書!$B$6</f>
        <v>0</v>
      </c>
      <c r="Q519" s="203">
        <f>申込書!$C$34</f>
        <v>1000040</v>
      </c>
      <c r="R519" s="203">
        <v>0</v>
      </c>
      <c r="U519" s="203">
        <f>VLOOKUP(B519,★営業所!$A$2:$C$5,3,FALSE)</f>
        <v>8</v>
      </c>
      <c r="V519" s="203">
        <f>申込書!$B$9</f>
        <v>0</v>
      </c>
      <c r="W519" s="203" t="str">
        <f>CONCATENATE(VLOOKUP(B519,★営業所!$A$2:$B$5,2,FALSE),VLOOKUP(申込書!$C$32,★サイズ表記!$D$4:$E$55,2,FALSE),VLOOKUP(D519,★折込地区!$A$2:$B$11,2,FALSE))</f>
        <v>T1001Yng</v>
      </c>
      <c r="X519" s="203" t="str">
        <f>CONCATENATE(申込書!$B$9," ",VLOOKUP(RIGHT(W519,3),★折込地区!$B$2:$C$10,2,FALSE),"")</f>
        <v xml:space="preserve"> 米子</v>
      </c>
      <c r="Z519" s="206">
        <f t="shared" ca="1" si="63"/>
        <v>0</v>
      </c>
      <c r="AB519" s="383">
        <f t="shared" si="64"/>
        <v>2.8</v>
      </c>
      <c r="AC519" s="203" t="str">
        <f t="shared" si="65"/>
        <v>D1001</v>
      </c>
      <c r="AD519" s="203" t="str">
        <f>VLOOKUP(AC519,★原価商品!$E$6:$F$349,2,FALSE)</f>
        <v>日本海/B4（折り無し）</v>
      </c>
      <c r="AE519" s="203">
        <f t="shared" ca="1" si="66"/>
        <v>0</v>
      </c>
      <c r="AF519" s="383">
        <f>IFERROR(IF(VLOOKUP(申込書!$C$32,★サイズ表記!$F$4:$H$55,3,FALSE)="切り捨て",ROUNDDOWN(L519*IF(AK519="◎",I519,J519)/100,2),IF(VLOOKUP(申込書!$C$32,★サイズ表記!$F$4:$H$55,3,FALSE)="切り上げ",ROUNDUP(L519*IF(AK519="◎",I519,J519)/100,2),ROUND(L519*IF(AK519="◎",I519,J519)/100,2))),0)</f>
        <v>2.2599999999999998</v>
      </c>
      <c r="AG519" s="203">
        <f t="shared" ca="1" si="67"/>
        <v>10561</v>
      </c>
      <c r="AJ519" s="460" t="str">
        <f>IFERROR(VLOOKUP(申込書!$C$30,★業種!$D$2:$E$87,2,FALSE),"")</f>
        <v>1003</v>
      </c>
      <c r="AK519" s="460" t="str">
        <f>IF(申込書!$C$36="◎",IF(OR(D519="浜坂・温泉",D519="美方・村岡",D519="香住",D519="岡山",D519="大阪"),"",IF(LEFT(F519)="D","◎",IF(AG519=0,"",IFERROR(IF(VLOOKUP(AG519,★仕入先!$A$2:$C$211,3,FALSE)=0,"","◎"),"")))),"")</f>
        <v>◎</v>
      </c>
      <c r="AL519" s="460">
        <f>申込書!$H$14</f>
        <v>0</v>
      </c>
      <c r="AM519" s="460" t="str">
        <f>申込書!$C$32</f>
        <v>B4（折り無し）</v>
      </c>
      <c r="AN519" s="460" t="str">
        <f>VLOOKUP(AM519,★サイズ表記!$D$4:$E$55,2,FALSE)</f>
        <v>1001</v>
      </c>
      <c r="AO519" s="460">
        <f>IF(C519&lt;&gt;"⑧兵庫",VLOOKUP(LEFT(F519),★新聞!$A$4:$B$12,2,FALSE),IF(LEFT(F519)&lt;&gt;"S",VLOOKUP(LEFT(F519),★新聞!$A$4:$B$12,2,FALSE),VLOOKUP("X",★新聞!$A$4:$B$12,2,FALSE)))</f>
        <v>1</v>
      </c>
      <c r="AP519" s="460" t="str">
        <f t="shared" ca="1" si="68"/>
        <v>0</v>
      </c>
      <c r="AQ519" s="460" t="str">
        <f>IF(申込書!$C$38="","",申込書!$C$38)</f>
        <v/>
      </c>
    </row>
    <row r="520" spans="1:43">
      <c r="A520" s="463">
        <f t="shared" si="69"/>
        <v>519</v>
      </c>
      <c r="B520" s="463" t="str">
        <f t="shared" si="55"/>
        <v>東部</v>
      </c>
      <c r="C520" s="464" t="s">
        <v>1018</v>
      </c>
      <c r="D520" s="464" t="s">
        <v>1603</v>
      </c>
      <c r="E520" s="464">
        <f>VLOOKUP(D520,★折込地区!$A$2:$D$10,4,FALSE)</f>
        <v>3</v>
      </c>
      <c r="F520" s="464" t="s">
        <v>392</v>
      </c>
      <c r="G520" s="464" t="str">
        <f>INDEX(★新聞!$E$4:$I$12, MATCH(LEFT(F520),★新聞!$A$4:$A$12,0), MATCH(LEFT(W520),★新聞!$E$3:$I$3,0))</f>
        <v>X</v>
      </c>
      <c r="H520" s="475" t="s">
        <v>1102</v>
      </c>
      <c r="I520" s="464" cm="1">
        <f t="array" ref="I520">IFERROR(INDEX(★原価率!$A$2:$E$50,MATCH($C520&amp;$H520,★原価率!$A$2:$A$50&amp;★原価率!$B$2:$B$50,0),3),0)</f>
        <v>81</v>
      </c>
      <c r="J520" s="464" cm="1">
        <f t="array" ref="J520">IFERROR(INDEX(★原価率!$A$2:$E$50,MATCH($C520&amp;$H520,★原価率!$A$2:$A$50&amp;★原価率!$B$2:$B$50,0),4),0)</f>
        <v>85</v>
      </c>
      <c r="K520" s="464" cm="1">
        <f t="array" ref="K520">IFERROR(INDEX(★原価率!$A$2:$E$50,MATCH($C520&amp;$H520,★原価率!$A$2:$A$50&amp;★原価率!$B$2:$B$50,0),5),0)</f>
        <v>100</v>
      </c>
      <c r="L520" s="528">
        <f>IFERROR(VLOOKUP(W520,★商品!$A$1:$H$1231,8,FALSE),0)</f>
        <v>2.8</v>
      </c>
      <c r="M520" s="203" t="str">
        <f ca="1">CONCATENATE(VLOOKUP(B520,★営業所!$A$2:$B$5,2,FALSE),TEXT(NOW(),"yyyy"))</f>
        <v>T2023</v>
      </c>
      <c r="N520" s="203">
        <v>1</v>
      </c>
      <c r="O520" s="203">
        <v>0</v>
      </c>
      <c r="P520" s="213">
        <f>申込書!$B$6</f>
        <v>0</v>
      </c>
      <c r="Q520" s="203">
        <f>申込書!$C$34</f>
        <v>1000040</v>
      </c>
      <c r="R520" s="203">
        <v>0</v>
      </c>
      <c r="U520" s="203">
        <f>VLOOKUP(B520,★営業所!$A$2:$C$5,3,FALSE)</f>
        <v>8</v>
      </c>
      <c r="V520" s="203">
        <f>申込書!$B$9</f>
        <v>0</v>
      </c>
      <c r="W520" s="203" t="str">
        <f>CONCATENATE(VLOOKUP(B520,★営業所!$A$2:$B$5,2,FALSE),VLOOKUP(申込書!$C$32,★サイズ表記!$D$4:$E$55,2,FALSE),VLOOKUP(D520,★折込地区!$A$2:$B$11,2,FALSE))</f>
        <v>T1001Yng</v>
      </c>
      <c r="X520" s="203" t="str">
        <f>CONCATENATE(申込書!$B$9," ",VLOOKUP(RIGHT(W520,3),★折込地区!$B$2:$C$10,2,FALSE),"")</f>
        <v xml:space="preserve"> 米子</v>
      </c>
      <c r="Z520" s="206">
        <f t="shared" ca="1" si="63"/>
        <v>0</v>
      </c>
      <c r="AB520" s="383">
        <f t="shared" si="64"/>
        <v>2.8</v>
      </c>
      <c r="AC520" s="203" t="str">
        <f t="shared" si="65"/>
        <v>D1001</v>
      </c>
      <c r="AD520" s="203" t="str">
        <f>VLOOKUP(AC520,★原価商品!$E$6:$F$349,2,FALSE)</f>
        <v>日本海/B4（折り無し）</v>
      </c>
      <c r="AE520" s="203">
        <f t="shared" ca="1" si="66"/>
        <v>0</v>
      </c>
      <c r="AF520" s="383">
        <f>IFERROR(IF(VLOOKUP(申込書!$C$32,★サイズ表記!$F$4:$H$55,3,FALSE)="切り捨て",ROUNDDOWN(L520*IF(AK520="◎",I520,J520)/100,2),IF(VLOOKUP(申込書!$C$32,★サイズ表記!$F$4:$H$55,3,FALSE)="切り上げ",ROUNDUP(L520*IF(AK520="◎",I520,J520)/100,2),ROUND(L520*IF(AK520="◎",I520,J520)/100,2))),0)</f>
        <v>2.2599999999999998</v>
      </c>
      <c r="AG520" s="203">
        <f t="shared" ca="1" si="67"/>
        <v>10561</v>
      </c>
      <c r="AJ520" s="460" t="str">
        <f>IFERROR(VLOOKUP(申込書!$C$30,★業種!$D$2:$E$87,2,FALSE),"")</f>
        <v>1003</v>
      </c>
      <c r="AK520" s="460" t="str">
        <f>IF(申込書!$C$36="◎",IF(OR(D520="浜坂・温泉",D520="美方・村岡",D520="香住",D520="岡山",D520="大阪"),"",IF(LEFT(F520)="D","◎",IF(AG520=0,"",IFERROR(IF(VLOOKUP(AG520,★仕入先!$A$2:$C$211,3,FALSE)=0,"","◎"),"")))),"")</f>
        <v>◎</v>
      </c>
      <c r="AL520" s="460">
        <f>申込書!$H$14</f>
        <v>0</v>
      </c>
      <c r="AM520" s="460" t="str">
        <f>申込書!$C$32</f>
        <v>B4（折り無し）</v>
      </c>
      <c r="AN520" s="460" t="str">
        <f>VLOOKUP(AM520,★サイズ表記!$D$4:$E$55,2,FALSE)</f>
        <v>1001</v>
      </c>
      <c r="AO520" s="460">
        <f>IF(C520&lt;&gt;"⑧兵庫",VLOOKUP(LEFT(F520),★新聞!$A$4:$B$12,2,FALSE),IF(LEFT(F520)&lt;&gt;"S",VLOOKUP(LEFT(F520),★新聞!$A$4:$B$12,2,FALSE),VLOOKUP("X",★新聞!$A$4:$B$12,2,FALSE)))</f>
        <v>1</v>
      </c>
      <c r="AP520" s="460" t="str">
        <f t="shared" ca="1" si="68"/>
        <v>0</v>
      </c>
      <c r="AQ520" s="460" t="str">
        <f>IF(申込書!$C$38="","",申込書!$C$38)</f>
        <v/>
      </c>
    </row>
    <row r="521" spans="1:43">
      <c r="A521" s="463">
        <f t="shared" si="69"/>
        <v>520</v>
      </c>
      <c r="B521" s="463" t="str">
        <f t="shared" si="55"/>
        <v>東部</v>
      </c>
      <c r="C521" s="464" t="s">
        <v>1018</v>
      </c>
      <c r="D521" s="464" t="s">
        <v>1603</v>
      </c>
      <c r="E521" s="464">
        <f>VLOOKUP(D521,★折込地区!$A$2:$D$10,4,FALSE)</f>
        <v>3</v>
      </c>
      <c r="F521" s="464" t="s">
        <v>393</v>
      </c>
      <c r="G521" s="464" t="str">
        <f>INDEX(★新聞!$E$4:$I$12, MATCH(LEFT(F521),★新聞!$A$4:$A$12,0), MATCH(LEFT(W521),★新聞!$E$3:$I$3,0))</f>
        <v>X</v>
      </c>
      <c r="H521" s="475" t="s">
        <v>1102</v>
      </c>
      <c r="I521" s="464" cm="1">
        <f t="array" ref="I521">IFERROR(INDEX(★原価率!$A$2:$E$50,MATCH($C521&amp;$H521,★原価率!$A$2:$A$50&amp;★原価率!$B$2:$B$50,0),3),0)</f>
        <v>81</v>
      </c>
      <c r="J521" s="464" cm="1">
        <f t="array" ref="J521">IFERROR(INDEX(★原価率!$A$2:$E$50,MATCH($C521&amp;$H521,★原価率!$A$2:$A$50&amp;★原価率!$B$2:$B$50,0),4),0)</f>
        <v>85</v>
      </c>
      <c r="K521" s="464" cm="1">
        <f t="array" ref="K521">IFERROR(INDEX(★原価率!$A$2:$E$50,MATCH($C521&amp;$H521,★原価率!$A$2:$A$50&amp;★原価率!$B$2:$B$50,0),5),0)</f>
        <v>100</v>
      </c>
      <c r="L521" s="528">
        <f>IFERROR(VLOOKUP(W521,★商品!$A$1:$H$1231,8,FALSE),0)</f>
        <v>2.8</v>
      </c>
      <c r="M521" s="203" t="str">
        <f ca="1">CONCATENATE(VLOOKUP(B521,★営業所!$A$2:$B$5,2,FALSE),TEXT(NOW(),"yyyy"))</f>
        <v>T2023</v>
      </c>
      <c r="N521" s="203">
        <v>1</v>
      </c>
      <c r="O521" s="203">
        <v>0</v>
      </c>
      <c r="P521" s="213">
        <f>申込書!$B$6</f>
        <v>0</v>
      </c>
      <c r="Q521" s="203">
        <f>申込書!$C$34</f>
        <v>1000040</v>
      </c>
      <c r="R521" s="203">
        <v>0</v>
      </c>
      <c r="U521" s="203">
        <f>VLOOKUP(B521,★営業所!$A$2:$C$5,3,FALSE)</f>
        <v>8</v>
      </c>
      <c r="V521" s="203">
        <f>申込書!$B$9</f>
        <v>0</v>
      </c>
      <c r="W521" s="203" t="str">
        <f>CONCATENATE(VLOOKUP(B521,★営業所!$A$2:$B$5,2,FALSE),VLOOKUP(申込書!$C$32,★サイズ表記!$D$4:$E$55,2,FALSE),VLOOKUP(D521,★折込地区!$A$2:$B$11,2,FALSE))</f>
        <v>T1001Yng</v>
      </c>
      <c r="X521" s="203" t="str">
        <f>CONCATENATE(申込書!$B$9," ",VLOOKUP(RIGHT(W521,3),★折込地区!$B$2:$C$10,2,FALSE),"")</f>
        <v xml:space="preserve"> 米子</v>
      </c>
      <c r="Z521" s="206">
        <f t="shared" ca="1" si="63"/>
        <v>0</v>
      </c>
      <c r="AB521" s="383">
        <f t="shared" si="64"/>
        <v>2.8</v>
      </c>
      <c r="AC521" s="203" t="str">
        <f t="shared" si="65"/>
        <v>D1001</v>
      </c>
      <c r="AD521" s="203" t="str">
        <f>VLOOKUP(AC521,★原価商品!$E$6:$F$349,2,FALSE)</f>
        <v>日本海/B4（折り無し）</v>
      </c>
      <c r="AE521" s="203">
        <f t="shared" ca="1" si="66"/>
        <v>0</v>
      </c>
      <c r="AF521" s="383">
        <f>IFERROR(IF(VLOOKUP(申込書!$C$32,★サイズ表記!$F$4:$H$55,3,FALSE)="切り捨て",ROUNDDOWN(L521*IF(AK521="◎",I521,J521)/100,2),IF(VLOOKUP(申込書!$C$32,★サイズ表記!$F$4:$H$55,3,FALSE)="切り上げ",ROUNDUP(L521*IF(AK521="◎",I521,J521)/100,2),ROUND(L521*IF(AK521="◎",I521,J521)/100,2))),0)</f>
        <v>2.2599999999999998</v>
      </c>
      <c r="AG521" s="203">
        <f t="shared" ca="1" si="67"/>
        <v>10561</v>
      </c>
      <c r="AJ521" s="460" t="str">
        <f>IFERROR(VLOOKUP(申込書!$C$30,★業種!$D$2:$E$87,2,FALSE),"")</f>
        <v>1003</v>
      </c>
      <c r="AK521" s="460" t="str">
        <f>IF(申込書!$C$36="◎",IF(OR(D521="浜坂・温泉",D521="美方・村岡",D521="香住",D521="岡山",D521="大阪"),"",IF(LEFT(F521)="D","◎",IF(AG521=0,"",IFERROR(IF(VLOOKUP(AG521,★仕入先!$A$2:$C$211,3,FALSE)=0,"","◎"),"")))),"")</f>
        <v>◎</v>
      </c>
      <c r="AL521" s="460">
        <f>申込書!$H$14</f>
        <v>0</v>
      </c>
      <c r="AM521" s="460" t="str">
        <f>申込書!$C$32</f>
        <v>B4（折り無し）</v>
      </c>
      <c r="AN521" s="460" t="str">
        <f>VLOOKUP(AM521,★サイズ表記!$D$4:$E$55,2,FALSE)</f>
        <v>1001</v>
      </c>
      <c r="AO521" s="460">
        <f>IF(C521&lt;&gt;"⑧兵庫",VLOOKUP(LEFT(F521),★新聞!$A$4:$B$12,2,FALSE),IF(LEFT(F521)&lt;&gt;"S",VLOOKUP(LEFT(F521),★新聞!$A$4:$B$12,2,FALSE),VLOOKUP("X",★新聞!$A$4:$B$12,2,FALSE)))</f>
        <v>1</v>
      </c>
      <c r="AP521" s="460" t="str">
        <f t="shared" ca="1" si="68"/>
        <v>0</v>
      </c>
      <c r="AQ521" s="460" t="str">
        <f>IF(申込書!$C$38="","",申込書!$C$38)</f>
        <v/>
      </c>
    </row>
    <row r="522" spans="1:43">
      <c r="A522" s="463">
        <f t="shared" si="69"/>
        <v>521</v>
      </c>
      <c r="B522" s="463" t="str">
        <f t="shared" si="55"/>
        <v>東部</v>
      </c>
      <c r="C522" s="464" t="s">
        <v>1018</v>
      </c>
      <c r="D522" s="464" t="s">
        <v>1603</v>
      </c>
      <c r="E522" s="464">
        <f>VLOOKUP(D522,★折込地区!$A$2:$D$10,4,FALSE)</f>
        <v>3</v>
      </c>
      <c r="F522" s="464" t="s">
        <v>394</v>
      </c>
      <c r="G522" s="464" t="str">
        <f>INDEX(★新聞!$E$4:$I$12, MATCH(LEFT(F522),★新聞!$A$4:$A$12,0), MATCH(LEFT(W522),★新聞!$E$3:$I$3,0))</f>
        <v>X</v>
      </c>
      <c r="H522" s="475" t="s">
        <v>1102</v>
      </c>
      <c r="I522" s="464" cm="1">
        <f t="array" ref="I522">IFERROR(INDEX(★原価率!$A$2:$E$50,MATCH($C522&amp;$H522,★原価率!$A$2:$A$50&amp;★原価率!$B$2:$B$50,0),3),0)</f>
        <v>81</v>
      </c>
      <c r="J522" s="464" cm="1">
        <f t="array" ref="J522">IFERROR(INDEX(★原価率!$A$2:$E$50,MATCH($C522&amp;$H522,★原価率!$A$2:$A$50&amp;★原価率!$B$2:$B$50,0),4),0)</f>
        <v>85</v>
      </c>
      <c r="K522" s="464" cm="1">
        <f t="array" ref="K522">IFERROR(INDEX(★原価率!$A$2:$E$50,MATCH($C522&amp;$H522,★原価率!$A$2:$A$50&amp;★原価率!$B$2:$B$50,0),5),0)</f>
        <v>100</v>
      </c>
      <c r="L522" s="528">
        <f>IFERROR(VLOOKUP(W522,★商品!$A$1:$H$1231,8,FALSE),0)</f>
        <v>2.8</v>
      </c>
      <c r="M522" s="203" t="str">
        <f ca="1">CONCATENATE(VLOOKUP(B522,★営業所!$A$2:$B$5,2,FALSE),TEXT(NOW(),"yyyy"))</f>
        <v>T2023</v>
      </c>
      <c r="N522" s="203">
        <v>1</v>
      </c>
      <c r="O522" s="203">
        <v>0</v>
      </c>
      <c r="P522" s="213">
        <f>申込書!$B$6</f>
        <v>0</v>
      </c>
      <c r="Q522" s="203">
        <f>申込書!$C$34</f>
        <v>1000040</v>
      </c>
      <c r="R522" s="203">
        <v>0</v>
      </c>
      <c r="U522" s="203">
        <f>VLOOKUP(B522,★営業所!$A$2:$C$5,3,FALSE)</f>
        <v>8</v>
      </c>
      <c r="V522" s="203">
        <f>申込書!$B$9</f>
        <v>0</v>
      </c>
      <c r="W522" s="203" t="str">
        <f>CONCATENATE(VLOOKUP(B522,★営業所!$A$2:$B$5,2,FALSE),VLOOKUP(申込書!$C$32,★サイズ表記!$D$4:$E$55,2,FALSE),VLOOKUP(D522,★折込地区!$A$2:$B$11,2,FALSE))</f>
        <v>T1001Yng</v>
      </c>
      <c r="X522" s="203" t="str">
        <f>CONCATENATE(申込書!$B$9," ",VLOOKUP(RIGHT(W522,3),★折込地区!$B$2:$C$10,2,FALSE),"")</f>
        <v xml:space="preserve"> 米子</v>
      </c>
      <c r="Z522" s="206">
        <f t="shared" ca="1" si="63"/>
        <v>0</v>
      </c>
      <c r="AB522" s="383">
        <f t="shared" si="64"/>
        <v>2.8</v>
      </c>
      <c r="AC522" s="203" t="str">
        <f t="shared" si="65"/>
        <v>D1001</v>
      </c>
      <c r="AD522" s="203" t="str">
        <f>VLOOKUP(AC522,★原価商品!$E$6:$F$349,2,FALSE)</f>
        <v>日本海/B4（折り無し）</v>
      </c>
      <c r="AE522" s="203">
        <f t="shared" ca="1" si="66"/>
        <v>0</v>
      </c>
      <c r="AF522" s="383">
        <f>IFERROR(IF(VLOOKUP(申込書!$C$32,★サイズ表記!$F$4:$H$55,3,FALSE)="切り捨て",ROUNDDOWN(L522*IF(AK522="◎",I522,J522)/100,2),IF(VLOOKUP(申込書!$C$32,★サイズ表記!$F$4:$H$55,3,FALSE)="切り上げ",ROUNDUP(L522*IF(AK522="◎",I522,J522)/100,2),ROUND(L522*IF(AK522="◎",I522,J522)/100,2))),0)</f>
        <v>2.2599999999999998</v>
      </c>
      <c r="AG522" s="203">
        <f t="shared" ca="1" si="67"/>
        <v>10561</v>
      </c>
      <c r="AJ522" s="460" t="str">
        <f>IFERROR(VLOOKUP(申込書!$C$30,★業種!$D$2:$E$87,2,FALSE),"")</f>
        <v>1003</v>
      </c>
      <c r="AK522" s="460" t="str">
        <f>IF(申込書!$C$36="◎",IF(OR(D522="浜坂・温泉",D522="美方・村岡",D522="香住",D522="岡山",D522="大阪"),"",IF(LEFT(F522)="D","◎",IF(AG522=0,"",IFERROR(IF(VLOOKUP(AG522,★仕入先!$A$2:$C$211,3,FALSE)=0,"","◎"),"")))),"")</f>
        <v>◎</v>
      </c>
      <c r="AL522" s="460">
        <f>申込書!$H$14</f>
        <v>0</v>
      </c>
      <c r="AM522" s="460" t="str">
        <f>申込書!$C$32</f>
        <v>B4（折り無し）</v>
      </c>
      <c r="AN522" s="460" t="str">
        <f>VLOOKUP(AM522,★サイズ表記!$D$4:$E$55,2,FALSE)</f>
        <v>1001</v>
      </c>
      <c r="AO522" s="460">
        <f>IF(C522&lt;&gt;"⑧兵庫",VLOOKUP(LEFT(F522),★新聞!$A$4:$B$12,2,FALSE),IF(LEFT(F522)&lt;&gt;"S",VLOOKUP(LEFT(F522),★新聞!$A$4:$B$12,2,FALSE),VLOOKUP("X",★新聞!$A$4:$B$12,2,FALSE)))</f>
        <v>1</v>
      </c>
      <c r="AP522" s="460" t="str">
        <f t="shared" ca="1" si="68"/>
        <v>0</v>
      </c>
      <c r="AQ522" s="460" t="str">
        <f>IF(申込書!$C$38="","",申込書!$C$38)</f>
        <v/>
      </c>
    </row>
    <row r="523" spans="1:43">
      <c r="A523" s="463">
        <f t="shared" si="69"/>
        <v>522</v>
      </c>
      <c r="B523" s="463" t="str">
        <f t="shared" si="55"/>
        <v>東部</v>
      </c>
      <c r="C523" s="464" t="s">
        <v>1018</v>
      </c>
      <c r="D523" s="464" t="s">
        <v>1603</v>
      </c>
      <c r="E523" s="464">
        <f>VLOOKUP(D523,★折込地区!$A$2:$D$10,4,FALSE)</f>
        <v>3</v>
      </c>
      <c r="F523" s="464" t="s">
        <v>395</v>
      </c>
      <c r="G523" s="464" t="str">
        <f>INDEX(★新聞!$E$4:$I$12, MATCH(LEFT(F523),★新聞!$A$4:$A$12,0), MATCH(LEFT(W523),★新聞!$E$3:$I$3,0))</f>
        <v>X</v>
      </c>
      <c r="H523" s="475" t="s">
        <v>1102</v>
      </c>
      <c r="I523" s="464" cm="1">
        <f t="array" ref="I523">IFERROR(INDEX(★原価率!$A$2:$E$50,MATCH($C523&amp;$H523,★原価率!$A$2:$A$50&amp;★原価率!$B$2:$B$50,0),3),0)</f>
        <v>81</v>
      </c>
      <c r="J523" s="464" cm="1">
        <f t="array" ref="J523">IFERROR(INDEX(★原価率!$A$2:$E$50,MATCH($C523&amp;$H523,★原価率!$A$2:$A$50&amp;★原価率!$B$2:$B$50,0),4),0)</f>
        <v>85</v>
      </c>
      <c r="K523" s="464" cm="1">
        <f t="array" ref="K523">IFERROR(INDEX(★原価率!$A$2:$E$50,MATCH($C523&amp;$H523,★原価率!$A$2:$A$50&amp;★原価率!$B$2:$B$50,0),5),0)</f>
        <v>100</v>
      </c>
      <c r="L523" s="528">
        <f>IFERROR(VLOOKUP(W523,★商品!$A$1:$H$1231,8,FALSE),0)</f>
        <v>2.8</v>
      </c>
      <c r="M523" s="203" t="str">
        <f ca="1">CONCATENATE(VLOOKUP(B523,★営業所!$A$2:$B$5,2,FALSE),TEXT(NOW(),"yyyy"))</f>
        <v>T2023</v>
      </c>
      <c r="N523" s="203">
        <v>1</v>
      </c>
      <c r="O523" s="203">
        <v>0</v>
      </c>
      <c r="P523" s="213">
        <f>申込書!$B$6</f>
        <v>0</v>
      </c>
      <c r="Q523" s="203">
        <f>申込書!$C$34</f>
        <v>1000040</v>
      </c>
      <c r="R523" s="203">
        <v>0</v>
      </c>
      <c r="U523" s="203">
        <f>VLOOKUP(B523,★営業所!$A$2:$C$5,3,FALSE)</f>
        <v>8</v>
      </c>
      <c r="V523" s="203">
        <f>申込書!$B$9</f>
        <v>0</v>
      </c>
      <c r="W523" s="203" t="str">
        <f>CONCATENATE(VLOOKUP(B523,★営業所!$A$2:$B$5,2,FALSE),VLOOKUP(申込書!$C$32,★サイズ表記!$D$4:$E$55,2,FALSE),VLOOKUP(D523,★折込地区!$A$2:$B$11,2,FALSE))</f>
        <v>T1001Yng</v>
      </c>
      <c r="X523" s="203" t="str">
        <f>CONCATENATE(申込書!$B$9," ",VLOOKUP(RIGHT(W523,3),★折込地区!$B$2:$C$10,2,FALSE),"")</f>
        <v xml:space="preserve"> 米子</v>
      </c>
      <c r="Z523" s="206">
        <f t="shared" ca="1" si="63"/>
        <v>0</v>
      </c>
      <c r="AB523" s="383">
        <f t="shared" si="64"/>
        <v>2.8</v>
      </c>
      <c r="AC523" s="203" t="str">
        <f t="shared" si="65"/>
        <v>D1001</v>
      </c>
      <c r="AD523" s="203" t="str">
        <f>VLOOKUP(AC523,★原価商品!$E$6:$F$349,2,FALSE)</f>
        <v>日本海/B4（折り無し）</v>
      </c>
      <c r="AE523" s="203">
        <f t="shared" ca="1" si="66"/>
        <v>0</v>
      </c>
      <c r="AF523" s="383">
        <f>IFERROR(IF(VLOOKUP(申込書!$C$32,★サイズ表記!$F$4:$H$55,3,FALSE)="切り捨て",ROUNDDOWN(L523*IF(AK523="◎",I523,J523)/100,2),IF(VLOOKUP(申込書!$C$32,★サイズ表記!$F$4:$H$55,3,FALSE)="切り上げ",ROUNDUP(L523*IF(AK523="◎",I523,J523)/100,2),ROUND(L523*IF(AK523="◎",I523,J523)/100,2))),0)</f>
        <v>2.2599999999999998</v>
      </c>
      <c r="AG523" s="203">
        <f t="shared" ca="1" si="67"/>
        <v>10561</v>
      </c>
      <c r="AJ523" s="460" t="str">
        <f>IFERROR(VLOOKUP(申込書!$C$30,★業種!$D$2:$E$87,2,FALSE),"")</f>
        <v>1003</v>
      </c>
      <c r="AK523" s="460" t="str">
        <f>IF(申込書!$C$36="◎",IF(OR(D523="浜坂・温泉",D523="美方・村岡",D523="香住",D523="岡山",D523="大阪"),"",IF(LEFT(F523)="D","◎",IF(AG523=0,"",IFERROR(IF(VLOOKUP(AG523,★仕入先!$A$2:$C$211,3,FALSE)=0,"","◎"),"")))),"")</f>
        <v>◎</v>
      </c>
      <c r="AL523" s="460">
        <f>申込書!$H$14</f>
        <v>0</v>
      </c>
      <c r="AM523" s="460" t="str">
        <f>申込書!$C$32</f>
        <v>B4（折り無し）</v>
      </c>
      <c r="AN523" s="460" t="str">
        <f>VLOOKUP(AM523,★サイズ表記!$D$4:$E$55,2,FALSE)</f>
        <v>1001</v>
      </c>
      <c r="AO523" s="460">
        <f>IF(C523&lt;&gt;"⑧兵庫",VLOOKUP(LEFT(F523),★新聞!$A$4:$B$12,2,FALSE),IF(LEFT(F523)&lt;&gt;"S",VLOOKUP(LEFT(F523),★新聞!$A$4:$B$12,2,FALSE),VLOOKUP("X",★新聞!$A$4:$B$12,2,FALSE)))</f>
        <v>1</v>
      </c>
      <c r="AP523" s="460" t="str">
        <f t="shared" ca="1" si="68"/>
        <v>0</v>
      </c>
      <c r="AQ523" s="460" t="str">
        <f>IF(申込書!$C$38="","",申込書!$C$38)</f>
        <v/>
      </c>
    </row>
    <row r="524" spans="1:43">
      <c r="A524" s="463">
        <f t="shared" si="69"/>
        <v>523</v>
      </c>
      <c r="B524" s="463" t="str">
        <f t="shared" si="55"/>
        <v>東部</v>
      </c>
      <c r="C524" s="464" t="s">
        <v>1018</v>
      </c>
      <c r="D524" s="464" t="s">
        <v>1603</v>
      </c>
      <c r="E524" s="464">
        <f>VLOOKUP(D524,★折込地区!$A$2:$D$10,4,FALSE)</f>
        <v>3</v>
      </c>
      <c r="F524" s="464" t="s">
        <v>396</v>
      </c>
      <c r="G524" s="464" t="str">
        <f>INDEX(★新聞!$E$4:$I$12, MATCH(LEFT(F524),★新聞!$A$4:$A$12,0), MATCH(LEFT(W524),★新聞!$E$3:$I$3,0))</f>
        <v>X</v>
      </c>
      <c r="H524" s="475" t="s">
        <v>1102</v>
      </c>
      <c r="I524" s="464" cm="1">
        <f t="array" ref="I524">IFERROR(INDEX(★原価率!$A$2:$E$50,MATCH($C524&amp;$H524,★原価率!$A$2:$A$50&amp;★原価率!$B$2:$B$50,0),3),0)</f>
        <v>81</v>
      </c>
      <c r="J524" s="464" cm="1">
        <f t="array" ref="J524">IFERROR(INDEX(★原価率!$A$2:$E$50,MATCH($C524&amp;$H524,★原価率!$A$2:$A$50&amp;★原価率!$B$2:$B$50,0),4),0)</f>
        <v>85</v>
      </c>
      <c r="K524" s="464" cm="1">
        <f t="array" ref="K524">IFERROR(INDEX(★原価率!$A$2:$E$50,MATCH($C524&amp;$H524,★原価率!$A$2:$A$50&amp;★原価率!$B$2:$B$50,0),5),0)</f>
        <v>100</v>
      </c>
      <c r="L524" s="528">
        <f>IFERROR(VLOOKUP(W524,★商品!$A$1:$H$1231,8,FALSE),0)</f>
        <v>2.8</v>
      </c>
      <c r="M524" s="203" t="str">
        <f ca="1">CONCATENATE(VLOOKUP(B524,★営業所!$A$2:$B$5,2,FALSE),TEXT(NOW(),"yyyy"))</f>
        <v>T2023</v>
      </c>
      <c r="N524" s="203">
        <v>1</v>
      </c>
      <c r="O524" s="203">
        <v>0</v>
      </c>
      <c r="P524" s="213">
        <f>申込書!$B$6</f>
        <v>0</v>
      </c>
      <c r="Q524" s="203">
        <f>申込書!$C$34</f>
        <v>1000040</v>
      </c>
      <c r="R524" s="203">
        <v>0</v>
      </c>
      <c r="U524" s="203">
        <f>VLOOKUP(B524,★営業所!$A$2:$C$5,3,FALSE)</f>
        <v>8</v>
      </c>
      <c r="V524" s="203">
        <f>申込書!$B$9</f>
        <v>0</v>
      </c>
      <c r="W524" s="203" t="str">
        <f>CONCATENATE(VLOOKUP(B524,★営業所!$A$2:$B$5,2,FALSE),VLOOKUP(申込書!$C$32,★サイズ表記!$D$4:$E$55,2,FALSE),VLOOKUP(D524,★折込地区!$A$2:$B$11,2,FALSE))</f>
        <v>T1001Yng</v>
      </c>
      <c r="X524" s="203" t="str">
        <f>CONCATENATE(申込書!$B$9," ",VLOOKUP(RIGHT(W524,3),★折込地区!$B$2:$C$10,2,FALSE),"")</f>
        <v xml:space="preserve"> 米子</v>
      </c>
      <c r="Z524" s="206">
        <f t="shared" ca="1" si="63"/>
        <v>0</v>
      </c>
      <c r="AB524" s="383">
        <f t="shared" si="64"/>
        <v>2.8</v>
      </c>
      <c r="AC524" s="203" t="str">
        <f t="shared" si="65"/>
        <v>D1001</v>
      </c>
      <c r="AD524" s="203" t="str">
        <f>VLOOKUP(AC524,★原価商品!$E$6:$F$349,2,FALSE)</f>
        <v>日本海/B4（折り無し）</v>
      </c>
      <c r="AE524" s="203">
        <f t="shared" ca="1" si="66"/>
        <v>0</v>
      </c>
      <c r="AF524" s="383">
        <f>IFERROR(IF(VLOOKUP(申込書!$C$32,★サイズ表記!$F$4:$H$55,3,FALSE)="切り捨て",ROUNDDOWN(L524*IF(AK524="◎",I524,J524)/100,2),IF(VLOOKUP(申込書!$C$32,★サイズ表記!$F$4:$H$55,3,FALSE)="切り上げ",ROUNDUP(L524*IF(AK524="◎",I524,J524)/100,2),ROUND(L524*IF(AK524="◎",I524,J524)/100,2))),0)</f>
        <v>2.2599999999999998</v>
      </c>
      <c r="AG524" s="203">
        <f t="shared" ca="1" si="67"/>
        <v>10561</v>
      </c>
      <c r="AJ524" s="460" t="str">
        <f>IFERROR(VLOOKUP(申込書!$C$30,★業種!$D$2:$E$87,2,FALSE),"")</f>
        <v>1003</v>
      </c>
      <c r="AK524" s="460" t="str">
        <f>IF(申込書!$C$36="◎",IF(OR(D524="浜坂・温泉",D524="美方・村岡",D524="香住",D524="岡山",D524="大阪"),"",IF(LEFT(F524)="D","◎",IF(AG524=0,"",IFERROR(IF(VLOOKUP(AG524,★仕入先!$A$2:$C$211,3,FALSE)=0,"","◎"),"")))),"")</f>
        <v>◎</v>
      </c>
      <c r="AL524" s="460">
        <f>申込書!$H$14</f>
        <v>0</v>
      </c>
      <c r="AM524" s="460" t="str">
        <f>申込書!$C$32</f>
        <v>B4（折り無し）</v>
      </c>
      <c r="AN524" s="460" t="str">
        <f>VLOOKUP(AM524,★サイズ表記!$D$4:$E$55,2,FALSE)</f>
        <v>1001</v>
      </c>
      <c r="AO524" s="460">
        <f>IF(C524&lt;&gt;"⑧兵庫",VLOOKUP(LEFT(F524),★新聞!$A$4:$B$12,2,FALSE),IF(LEFT(F524)&lt;&gt;"S",VLOOKUP(LEFT(F524),★新聞!$A$4:$B$12,2,FALSE),VLOOKUP("X",★新聞!$A$4:$B$12,2,FALSE)))</f>
        <v>1</v>
      </c>
      <c r="AP524" s="460" t="str">
        <f t="shared" ca="1" si="68"/>
        <v>0</v>
      </c>
      <c r="AQ524" s="460" t="str">
        <f>IF(申込書!$C$38="","",申込書!$C$38)</f>
        <v/>
      </c>
    </row>
    <row r="525" spans="1:43">
      <c r="A525" s="463">
        <f t="shared" si="69"/>
        <v>524</v>
      </c>
      <c r="B525" s="463" t="str">
        <f t="shared" si="55"/>
        <v>東部</v>
      </c>
      <c r="C525" s="464" t="s">
        <v>1018</v>
      </c>
      <c r="D525" s="464" t="s">
        <v>1603</v>
      </c>
      <c r="E525" s="464">
        <f>VLOOKUP(D525,★折込地区!$A$2:$D$10,4,FALSE)</f>
        <v>3</v>
      </c>
      <c r="F525" s="464" t="s">
        <v>398</v>
      </c>
      <c r="G525" s="464" t="str">
        <f>INDEX(★新聞!$E$4:$I$12, MATCH(LEFT(F525),★新聞!$A$4:$A$12,0), MATCH(LEFT(W525),★新聞!$E$3:$I$3,0))</f>
        <v>X</v>
      </c>
      <c r="H525" s="475" t="s">
        <v>1102</v>
      </c>
      <c r="I525" s="464" cm="1">
        <f t="array" ref="I525">IFERROR(INDEX(★原価率!$A$2:$E$50,MATCH($C525&amp;$H525,★原価率!$A$2:$A$50&amp;★原価率!$B$2:$B$50,0),3),0)</f>
        <v>81</v>
      </c>
      <c r="J525" s="464" cm="1">
        <f t="array" ref="J525">IFERROR(INDEX(★原価率!$A$2:$E$50,MATCH($C525&amp;$H525,★原価率!$A$2:$A$50&amp;★原価率!$B$2:$B$50,0),4),0)</f>
        <v>85</v>
      </c>
      <c r="K525" s="464" cm="1">
        <f t="array" ref="K525">IFERROR(INDEX(★原価率!$A$2:$E$50,MATCH($C525&amp;$H525,★原価率!$A$2:$A$50&amp;★原価率!$B$2:$B$50,0),5),0)</f>
        <v>100</v>
      </c>
      <c r="L525" s="528">
        <f>IFERROR(VLOOKUP(W525,★商品!$A$1:$H$1231,8,FALSE),0)</f>
        <v>2.8</v>
      </c>
      <c r="M525" s="203" t="str">
        <f ca="1">CONCATENATE(VLOOKUP(B525,★営業所!$A$2:$B$5,2,FALSE),TEXT(NOW(),"yyyy"))</f>
        <v>T2023</v>
      </c>
      <c r="N525" s="203">
        <v>1</v>
      </c>
      <c r="O525" s="203">
        <v>0</v>
      </c>
      <c r="P525" s="213">
        <f>申込書!$B$6</f>
        <v>0</v>
      </c>
      <c r="Q525" s="203">
        <f>申込書!$C$34</f>
        <v>1000040</v>
      </c>
      <c r="R525" s="203">
        <v>0</v>
      </c>
      <c r="U525" s="203">
        <f>VLOOKUP(B525,★営業所!$A$2:$C$5,3,FALSE)</f>
        <v>8</v>
      </c>
      <c r="V525" s="203">
        <f>申込書!$B$9</f>
        <v>0</v>
      </c>
      <c r="W525" s="203" t="str">
        <f>CONCATENATE(VLOOKUP(B525,★営業所!$A$2:$B$5,2,FALSE),VLOOKUP(申込書!$C$32,★サイズ表記!$D$4:$E$55,2,FALSE),VLOOKUP(D525,★折込地区!$A$2:$B$11,2,FALSE))</f>
        <v>T1001Yng</v>
      </c>
      <c r="X525" s="203" t="str">
        <f>CONCATENATE(申込書!$B$9," ",VLOOKUP(RIGHT(W525,3),★折込地区!$B$2:$C$10,2,FALSE),"")</f>
        <v xml:space="preserve"> 米子</v>
      </c>
      <c r="Z525" s="206">
        <f t="shared" ca="1" si="63"/>
        <v>0</v>
      </c>
      <c r="AB525" s="383">
        <f t="shared" si="64"/>
        <v>2.8</v>
      </c>
      <c r="AC525" s="203" t="str">
        <f t="shared" si="65"/>
        <v>D1001</v>
      </c>
      <c r="AD525" s="203" t="str">
        <f>VLOOKUP(AC525,★原価商品!$E$6:$F$349,2,FALSE)</f>
        <v>日本海/B4（折り無し）</v>
      </c>
      <c r="AE525" s="203">
        <f t="shared" ca="1" si="66"/>
        <v>0</v>
      </c>
      <c r="AF525" s="383">
        <f>IFERROR(IF(VLOOKUP(申込書!$C$32,★サイズ表記!$F$4:$H$55,3,FALSE)="切り捨て",ROUNDDOWN(L525*IF(AK525="◎",I525,J525)/100,2),IF(VLOOKUP(申込書!$C$32,★サイズ表記!$F$4:$H$55,3,FALSE)="切り上げ",ROUNDUP(L525*IF(AK525="◎",I525,J525)/100,2),ROUND(L525*IF(AK525="◎",I525,J525)/100,2))),0)</f>
        <v>2.2599999999999998</v>
      </c>
      <c r="AG525" s="203">
        <f t="shared" ca="1" si="67"/>
        <v>10561</v>
      </c>
      <c r="AJ525" s="460" t="str">
        <f>IFERROR(VLOOKUP(申込書!$C$30,★業種!$D$2:$E$87,2,FALSE),"")</f>
        <v>1003</v>
      </c>
      <c r="AK525" s="460" t="str">
        <f>IF(申込書!$C$36="◎",IF(OR(D525="浜坂・温泉",D525="美方・村岡",D525="香住",D525="岡山",D525="大阪"),"",IF(LEFT(F525)="D","◎",IF(AG525=0,"",IFERROR(IF(VLOOKUP(AG525,★仕入先!$A$2:$C$211,3,FALSE)=0,"","◎"),"")))),"")</f>
        <v>◎</v>
      </c>
      <c r="AL525" s="460">
        <f>申込書!$H$14</f>
        <v>0</v>
      </c>
      <c r="AM525" s="460" t="str">
        <f>申込書!$C$32</f>
        <v>B4（折り無し）</v>
      </c>
      <c r="AN525" s="460" t="str">
        <f>VLOOKUP(AM525,★サイズ表記!$D$4:$E$55,2,FALSE)</f>
        <v>1001</v>
      </c>
      <c r="AO525" s="460">
        <f>IF(C525&lt;&gt;"⑧兵庫",VLOOKUP(LEFT(F525),★新聞!$A$4:$B$12,2,FALSE),IF(LEFT(F525)&lt;&gt;"S",VLOOKUP(LEFT(F525),★新聞!$A$4:$B$12,2,FALSE),VLOOKUP("X",★新聞!$A$4:$B$12,2,FALSE)))</f>
        <v>1</v>
      </c>
      <c r="AP525" s="460" t="str">
        <f t="shared" ca="1" si="68"/>
        <v>0</v>
      </c>
      <c r="AQ525" s="460" t="str">
        <f>IF(申込書!$C$38="","",申込書!$C$38)</f>
        <v/>
      </c>
    </row>
    <row r="526" spans="1:43">
      <c r="A526" s="463">
        <f t="shared" si="69"/>
        <v>525</v>
      </c>
      <c r="B526" s="463" t="str">
        <f t="shared" si="55"/>
        <v>東部</v>
      </c>
      <c r="C526" s="464" t="s">
        <v>1018</v>
      </c>
      <c r="D526" s="464" t="s">
        <v>1603</v>
      </c>
      <c r="E526" s="464">
        <f>VLOOKUP(D526,★折込地区!$A$2:$D$10,4,FALSE)</f>
        <v>3</v>
      </c>
      <c r="F526" s="464" t="s">
        <v>399</v>
      </c>
      <c r="G526" s="464" t="str">
        <f>INDEX(★新聞!$E$4:$I$12, MATCH(LEFT(F526),★新聞!$A$4:$A$12,0), MATCH(LEFT(W526),★新聞!$E$3:$I$3,0))</f>
        <v>X</v>
      </c>
      <c r="H526" s="475" t="s">
        <v>1102</v>
      </c>
      <c r="I526" s="464" cm="1">
        <f t="array" ref="I526">IFERROR(INDEX(★原価率!$A$2:$E$50,MATCH($C526&amp;$H526,★原価率!$A$2:$A$50&amp;★原価率!$B$2:$B$50,0),3),0)</f>
        <v>81</v>
      </c>
      <c r="J526" s="464" cm="1">
        <f t="array" ref="J526">IFERROR(INDEX(★原価率!$A$2:$E$50,MATCH($C526&amp;$H526,★原価率!$A$2:$A$50&amp;★原価率!$B$2:$B$50,0),4),0)</f>
        <v>85</v>
      </c>
      <c r="K526" s="464" cm="1">
        <f t="array" ref="K526">IFERROR(INDEX(★原価率!$A$2:$E$50,MATCH($C526&amp;$H526,★原価率!$A$2:$A$50&amp;★原価率!$B$2:$B$50,0),5),0)</f>
        <v>100</v>
      </c>
      <c r="L526" s="528">
        <f>IFERROR(VLOOKUP(W526,★商品!$A$1:$H$1231,8,FALSE),0)</f>
        <v>2.8</v>
      </c>
      <c r="M526" s="203" t="str">
        <f ca="1">CONCATENATE(VLOOKUP(B526,★営業所!$A$2:$B$5,2,FALSE),TEXT(NOW(),"yyyy"))</f>
        <v>T2023</v>
      </c>
      <c r="N526" s="203">
        <v>1</v>
      </c>
      <c r="O526" s="203">
        <v>0</v>
      </c>
      <c r="P526" s="213">
        <f>申込書!$B$6</f>
        <v>0</v>
      </c>
      <c r="Q526" s="203">
        <f>申込書!$C$34</f>
        <v>1000040</v>
      </c>
      <c r="R526" s="203">
        <v>0</v>
      </c>
      <c r="U526" s="203">
        <f>VLOOKUP(B526,★営業所!$A$2:$C$5,3,FALSE)</f>
        <v>8</v>
      </c>
      <c r="V526" s="203">
        <f>申込書!$B$9</f>
        <v>0</v>
      </c>
      <c r="W526" s="203" t="str">
        <f>CONCATENATE(VLOOKUP(B526,★営業所!$A$2:$B$5,2,FALSE),VLOOKUP(申込書!$C$32,★サイズ表記!$D$4:$E$55,2,FALSE),VLOOKUP(D526,★折込地区!$A$2:$B$11,2,FALSE))</f>
        <v>T1001Yng</v>
      </c>
      <c r="X526" s="203" t="str">
        <f>CONCATENATE(申込書!$B$9," ",VLOOKUP(RIGHT(W526,3),★折込地区!$B$2:$C$10,2,FALSE),"")</f>
        <v xml:space="preserve"> 米子</v>
      </c>
      <c r="Z526" s="206">
        <f t="shared" ca="1" si="63"/>
        <v>0</v>
      </c>
      <c r="AB526" s="383">
        <f t="shared" si="64"/>
        <v>2.8</v>
      </c>
      <c r="AC526" s="203" t="str">
        <f t="shared" si="65"/>
        <v>D1001</v>
      </c>
      <c r="AD526" s="203" t="str">
        <f>VLOOKUP(AC526,★原価商品!$E$6:$F$349,2,FALSE)</f>
        <v>日本海/B4（折り無し）</v>
      </c>
      <c r="AE526" s="203">
        <f t="shared" ca="1" si="66"/>
        <v>0</v>
      </c>
      <c r="AF526" s="383">
        <f>IFERROR(IF(VLOOKUP(申込書!$C$32,★サイズ表記!$F$4:$H$55,3,FALSE)="切り捨て",ROUNDDOWN(L526*IF(AK526="◎",I526,J526)/100,2),IF(VLOOKUP(申込書!$C$32,★サイズ表記!$F$4:$H$55,3,FALSE)="切り上げ",ROUNDUP(L526*IF(AK526="◎",I526,J526)/100,2),ROUND(L526*IF(AK526="◎",I526,J526)/100,2))),0)</f>
        <v>2.2599999999999998</v>
      </c>
      <c r="AG526" s="203">
        <f t="shared" ca="1" si="67"/>
        <v>10561</v>
      </c>
      <c r="AJ526" s="460" t="str">
        <f>IFERROR(VLOOKUP(申込書!$C$30,★業種!$D$2:$E$87,2,FALSE),"")</f>
        <v>1003</v>
      </c>
      <c r="AK526" s="460" t="str">
        <f>IF(申込書!$C$36="◎",IF(OR(D526="浜坂・温泉",D526="美方・村岡",D526="香住",D526="岡山",D526="大阪"),"",IF(LEFT(F526)="D","◎",IF(AG526=0,"",IFERROR(IF(VLOOKUP(AG526,★仕入先!$A$2:$C$211,3,FALSE)=0,"","◎"),"")))),"")</f>
        <v>◎</v>
      </c>
      <c r="AL526" s="460">
        <f>申込書!$H$14</f>
        <v>0</v>
      </c>
      <c r="AM526" s="460" t="str">
        <f>申込書!$C$32</f>
        <v>B4（折り無し）</v>
      </c>
      <c r="AN526" s="460" t="str">
        <f>VLOOKUP(AM526,★サイズ表記!$D$4:$E$55,2,FALSE)</f>
        <v>1001</v>
      </c>
      <c r="AO526" s="460">
        <f>IF(C526&lt;&gt;"⑧兵庫",VLOOKUP(LEFT(F526),★新聞!$A$4:$B$12,2,FALSE),IF(LEFT(F526)&lt;&gt;"S",VLOOKUP(LEFT(F526),★新聞!$A$4:$B$12,2,FALSE),VLOOKUP("X",★新聞!$A$4:$B$12,2,FALSE)))</f>
        <v>1</v>
      </c>
      <c r="AP526" s="460" t="str">
        <f t="shared" ca="1" si="68"/>
        <v>0</v>
      </c>
      <c r="AQ526" s="460" t="str">
        <f>IF(申込書!$C$38="","",申込書!$C$38)</f>
        <v/>
      </c>
    </row>
    <row r="527" spans="1:43">
      <c r="A527" s="463">
        <f t="shared" si="69"/>
        <v>526</v>
      </c>
      <c r="B527" s="463" t="str">
        <f t="shared" si="55"/>
        <v>東部</v>
      </c>
      <c r="C527" s="464" t="s">
        <v>1018</v>
      </c>
      <c r="D527" s="464" t="s">
        <v>1603</v>
      </c>
      <c r="E527" s="464">
        <f>VLOOKUP(D527,★折込地区!$A$2:$D$10,4,FALSE)</f>
        <v>3</v>
      </c>
      <c r="F527" s="464" t="s">
        <v>400</v>
      </c>
      <c r="G527" s="464" t="str">
        <f>INDEX(★新聞!$E$4:$I$12, MATCH(LEFT(F527),★新聞!$A$4:$A$12,0), MATCH(LEFT(W527),★新聞!$E$3:$I$3,0))</f>
        <v>X</v>
      </c>
      <c r="H527" s="475" t="s">
        <v>1102</v>
      </c>
      <c r="I527" s="464" cm="1">
        <f t="array" ref="I527">IFERROR(INDEX(★原価率!$A$2:$E$50,MATCH($C527&amp;$H527,★原価率!$A$2:$A$50&amp;★原価率!$B$2:$B$50,0),3),0)</f>
        <v>81</v>
      </c>
      <c r="J527" s="464" cm="1">
        <f t="array" ref="J527">IFERROR(INDEX(★原価率!$A$2:$E$50,MATCH($C527&amp;$H527,★原価率!$A$2:$A$50&amp;★原価率!$B$2:$B$50,0),4),0)</f>
        <v>85</v>
      </c>
      <c r="K527" s="464" cm="1">
        <f t="array" ref="K527">IFERROR(INDEX(★原価率!$A$2:$E$50,MATCH($C527&amp;$H527,★原価率!$A$2:$A$50&amp;★原価率!$B$2:$B$50,0),5),0)</f>
        <v>100</v>
      </c>
      <c r="L527" s="528">
        <f>IFERROR(VLOOKUP(W527,★商品!$A$1:$H$1231,8,FALSE),0)</f>
        <v>2.8</v>
      </c>
      <c r="M527" s="203" t="str">
        <f ca="1">CONCATENATE(VLOOKUP(B527,★営業所!$A$2:$B$5,2,FALSE),TEXT(NOW(),"yyyy"))</f>
        <v>T2023</v>
      </c>
      <c r="N527" s="203">
        <v>1</v>
      </c>
      <c r="O527" s="203">
        <v>0</v>
      </c>
      <c r="P527" s="213">
        <f>申込書!$B$6</f>
        <v>0</v>
      </c>
      <c r="Q527" s="203">
        <f>申込書!$C$34</f>
        <v>1000040</v>
      </c>
      <c r="R527" s="203">
        <v>0</v>
      </c>
      <c r="U527" s="203">
        <f>VLOOKUP(B527,★営業所!$A$2:$C$5,3,FALSE)</f>
        <v>8</v>
      </c>
      <c r="V527" s="203">
        <f>申込書!$B$9</f>
        <v>0</v>
      </c>
      <c r="W527" s="203" t="str">
        <f>CONCATENATE(VLOOKUP(B527,★営業所!$A$2:$B$5,2,FALSE),VLOOKUP(申込書!$C$32,★サイズ表記!$D$4:$E$55,2,FALSE),VLOOKUP(D527,★折込地区!$A$2:$B$11,2,FALSE))</f>
        <v>T1001Yng</v>
      </c>
      <c r="X527" s="203" t="str">
        <f>CONCATENATE(申込書!$B$9," ",VLOOKUP(RIGHT(W527,3),★折込地区!$B$2:$C$10,2,FALSE),"")</f>
        <v xml:space="preserve"> 米子</v>
      </c>
      <c r="Z527" s="206">
        <f t="shared" ca="1" si="63"/>
        <v>0</v>
      </c>
      <c r="AB527" s="383">
        <f t="shared" si="64"/>
        <v>2.8</v>
      </c>
      <c r="AC527" s="203" t="str">
        <f t="shared" si="65"/>
        <v>D1001</v>
      </c>
      <c r="AD527" s="203" t="str">
        <f>VLOOKUP(AC527,★原価商品!$E$6:$F$349,2,FALSE)</f>
        <v>日本海/B4（折り無し）</v>
      </c>
      <c r="AE527" s="203">
        <f t="shared" ca="1" si="66"/>
        <v>0</v>
      </c>
      <c r="AF527" s="383">
        <f>IFERROR(IF(VLOOKUP(申込書!$C$32,★サイズ表記!$F$4:$H$55,3,FALSE)="切り捨て",ROUNDDOWN(L527*IF(AK527="◎",I527,J527)/100,2),IF(VLOOKUP(申込書!$C$32,★サイズ表記!$F$4:$H$55,3,FALSE)="切り上げ",ROUNDUP(L527*IF(AK527="◎",I527,J527)/100,2),ROUND(L527*IF(AK527="◎",I527,J527)/100,2))),0)</f>
        <v>2.2599999999999998</v>
      </c>
      <c r="AG527" s="203">
        <f t="shared" ca="1" si="67"/>
        <v>10561</v>
      </c>
      <c r="AJ527" s="460" t="str">
        <f>IFERROR(VLOOKUP(申込書!$C$30,★業種!$D$2:$E$87,2,FALSE),"")</f>
        <v>1003</v>
      </c>
      <c r="AK527" s="460" t="str">
        <f>IF(申込書!$C$36="◎",IF(OR(D527="浜坂・温泉",D527="美方・村岡",D527="香住",D527="岡山",D527="大阪"),"",IF(LEFT(F527)="D","◎",IF(AG527=0,"",IFERROR(IF(VLOOKUP(AG527,★仕入先!$A$2:$C$211,3,FALSE)=0,"","◎"),"")))),"")</f>
        <v>◎</v>
      </c>
      <c r="AL527" s="460">
        <f>申込書!$H$14</f>
        <v>0</v>
      </c>
      <c r="AM527" s="460" t="str">
        <f>申込書!$C$32</f>
        <v>B4（折り無し）</v>
      </c>
      <c r="AN527" s="460" t="str">
        <f>VLOOKUP(AM527,★サイズ表記!$D$4:$E$55,2,FALSE)</f>
        <v>1001</v>
      </c>
      <c r="AO527" s="460">
        <f>IF(C527&lt;&gt;"⑧兵庫",VLOOKUP(LEFT(F527),★新聞!$A$4:$B$12,2,FALSE),IF(LEFT(F527)&lt;&gt;"S",VLOOKUP(LEFT(F527),★新聞!$A$4:$B$12,2,FALSE),VLOOKUP("X",★新聞!$A$4:$B$12,2,FALSE)))</f>
        <v>1</v>
      </c>
      <c r="AP527" s="460" t="str">
        <f t="shared" ca="1" si="68"/>
        <v>0</v>
      </c>
      <c r="AQ527" s="460" t="str">
        <f>IF(申込書!$C$38="","",申込書!$C$38)</f>
        <v/>
      </c>
    </row>
    <row r="528" spans="1:43">
      <c r="A528" s="463">
        <f t="shared" si="69"/>
        <v>527</v>
      </c>
      <c r="B528" s="463" t="str">
        <f t="shared" si="55"/>
        <v>東部</v>
      </c>
      <c r="C528" s="464" t="s">
        <v>1018</v>
      </c>
      <c r="D528" s="464" t="s">
        <v>1603</v>
      </c>
      <c r="E528" s="464">
        <f>VLOOKUP(D528,★折込地区!$A$2:$D$10,4,FALSE)</f>
        <v>3</v>
      </c>
      <c r="F528" s="464" t="s">
        <v>401</v>
      </c>
      <c r="G528" s="464" t="str">
        <f>INDEX(★新聞!$E$4:$I$12, MATCH(LEFT(F528),★新聞!$A$4:$A$12,0), MATCH(LEFT(W528),★新聞!$E$3:$I$3,0))</f>
        <v>X</v>
      </c>
      <c r="H528" s="475" t="s">
        <v>1102</v>
      </c>
      <c r="I528" s="464" cm="1">
        <f t="array" ref="I528">IFERROR(INDEX(★原価率!$A$2:$E$50,MATCH($C528&amp;$H528,★原価率!$A$2:$A$50&amp;★原価率!$B$2:$B$50,0),3),0)</f>
        <v>81</v>
      </c>
      <c r="J528" s="464" cm="1">
        <f t="array" ref="J528">IFERROR(INDEX(★原価率!$A$2:$E$50,MATCH($C528&amp;$H528,★原価率!$A$2:$A$50&amp;★原価率!$B$2:$B$50,0),4),0)</f>
        <v>85</v>
      </c>
      <c r="K528" s="464" cm="1">
        <f t="array" ref="K528">IFERROR(INDEX(★原価率!$A$2:$E$50,MATCH($C528&amp;$H528,★原価率!$A$2:$A$50&amp;★原価率!$B$2:$B$50,0),5),0)</f>
        <v>100</v>
      </c>
      <c r="L528" s="528">
        <f>IFERROR(VLOOKUP(W528,★商品!$A$1:$H$1231,8,FALSE),0)</f>
        <v>2.8</v>
      </c>
      <c r="M528" s="203" t="str">
        <f ca="1">CONCATENATE(VLOOKUP(B528,★営業所!$A$2:$B$5,2,FALSE),TEXT(NOW(),"yyyy"))</f>
        <v>T2023</v>
      </c>
      <c r="N528" s="203">
        <v>1</v>
      </c>
      <c r="O528" s="203">
        <v>0</v>
      </c>
      <c r="P528" s="213">
        <f>申込書!$B$6</f>
        <v>0</v>
      </c>
      <c r="Q528" s="203">
        <f>申込書!$C$34</f>
        <v>1000040</v>
      </c>
      <c r="R528" s="203">
        <v>0</v>
      </c>
      <c r="U528" s="203">
        <f>VLOOKUP(B528,★営業所!$A$2:$C$5,3,FALSE)</f>
        <v>8</v>
      </c>
      <c r="V528" s="203">
        <f>申込書!$B$9</f>
        <v>0</v>
      </c>
      <c r="W528" s="203" t="str">
        <f>CONCATENATE(VLOOKUP(B528,★営業所!$A$2:$B$5,2,FALSE),VLOOKUP(申込書!$C$32,★サイズ表記!$D$4:$E$55,2,FALSE),VLOOKUP(D528,★折込地区!$A$2:$B$11,2,FALSE))</f>
        <v>T1001Yng</v>
      </c>
      <c r="X528" s="203" t="str">
        <f>CONCATENATE(申込書!$B$9," ",VLOOKUP(RIGHT(W528,3),★折込地区!$B$2:$C$10,2,FALSE),"")</f>
        <v xml:space="preserve"> 米子</v>
      </c>
      <c r="Z528" s="206">
        <f t="shared" ca="1" si="63"/>
        <v>0</v>
      </c>
      <c r="AB528" s="383">
        <f t="shared" si="64"/>
        <v>2.8</v>
      </c>
      <c r="AC528" s="203" t="str">
        <f t="shared" si="65"/>
        <v>D1001</v>
      </c>
      <c r="AD528" s="203" t="str">
        <f>VLOOKUP(AC528,★原価商品!$E$6:$F$349,2,FALSE)</f>
        <v>日本海/B4（折り無し）</v>
      </c>
      <c r="AE528" s="203">
        <f t="shared" ca="1" si="66"/>
        <v>0</v>
      </c>
      <c r="AF528" s="383">
        <f>IFERROR(IF(VLOOKUP(申込書!$C$32,★サイズ表記!$F$4:$H$55,3,FALSE)="切り捨て",ROUNDDOWN(L528*IF(AK528="◎",I528,J528)/100,2),IF(VLOOKUP(申込書!$C$32,★サイズ表記!$F$4:$H$55,3,FALSE)="切り上げ",ROUNDUP(L528*IF(AK528="◎",I528,J528)/100,2),ROUND(L528*IF(AK528="◎",I528,J528)/100,2))),0)</f>
        <v>2.2599999999999998</v>
      </c>
      <c r="AG528" s="203">
        <f t="shared" ca="1" si="67"/>
        <v>10561</v>
      </c>
      <c r="AJ528" s="460" t="str">
        <f>IFERROR(VLOOKUP(申込書!$C$30,★業種!$D$2:$E$87,2,FALSE),"")</f>
        <v>1003</v>
      </c>
      <c r="AK528" s="460" t="str">
        <f>IF(申込書!$C$36="◎",IF(OR(D528="浜坂・温泉",D528="美方・村岡",D528="香住",D528="岡山",D528="大阪"),"",IF(LEFT(F528)="D","◎",IF(AG528=0,"",IFERROR(IF(VLOOKUP(AG528,★仕入先!$A$2:$C$211,3,FALSE)=0,"","◎"),"")))),"")</f>
        <v>◎</v>
      </c>
      <c r="AL528" s="460">
        <f>申込書!$H$14</f>
        <v>0</v>
      </c>
      <c r="AM528" s="460" t="str">
        <f>申込書!$C$32</f>
        <v>B4（折り無し）</v>
      </c>
      <c r="AN528" s="460" t="str">
        <f>VLOOKUP(AM528,★サイズ表記!$D$4:$E$55,2,FALSE)</f>
        <v>1001</v>
      </c>
      <c r="AO528" s="460">
        <f>IF(C528&lt;&gt;"⑧兵庫",VLOOKUP(LEFT(F528),★新聞!$A$4:$B$12,2,FALSE),IF(LEFT(F528)&lt;&gt;"S",VLOOKUP(LEFT(F528),★新聞!$A$4:$B$12,2,FALSE),VLOOKUP("X",★新聞!$A$4:$B$12,2,FALSE)))</f>
        <v>1</v>
      </c>
      <c r="AP528" s="460" t="str">
        <f t="shared" ca="1" si="68"/>
        <v>0</v>
      </c>
      <c r="AQ528" s="460" t="str">
        <f>IF(申込書!$C$38="","",申込書!$C$38)</f>
        <v/>
      </c>
    </row>
    <row r="529" spans="1:43">
      <c r="A529" s="463">
        <f t="shared" si="69"/>
        <v>528</v>
      </c>
      <c r="B529" s="463" t="str">
        <f t="shared" si="55"/>
        <v>東部</v>
      </c>
      <c r="C529" s="464" t="s">
        <v>1018</v>
      </c>
      <c r="D529" s="464" t="s">
        <v>1603</v>
      </c>
      <c r="E529" s="464">
        <f>VLOOKUP(D529,★折込地区!$A$2:$D$10,4,FALSE)</f>
        <v>3</v>
      </c>
      <c r="F529" s="464" t="s">
        <v>402</v>
      </c>
      <c r="G529" s="464" t="str">
        <f>INDEX(★新聞!$E$4:$I$12, MATCH(LEFT(F529),★新聞!$A$4:$A$12,0), MATCH(LEFT(W529),★新聞!$E$3:$I$3,0))</f>
        <v>X</v>
      </c>
      <c r="H529" s="475" t="s">
        <v>1102</v>
      </c>
      <c r="I529" s="464" cm="1">
        <f t="array" ref="I529">IFERROR(INDEX(★原価率!$A$2:$E$50,MATCH($C529&amp;$H529,★原価率!$A$2:$A$50&amp;★原価率!$B$2:$B$50,0),3),0)</f>
        <v>81</v>
      </c>
      <c r="J529" s="464" cm="1">
        <f t="array" ref="J529">IFERROR(INDEX(★原価率!$A$2:$E$50,MATCH($C529&amp;$H529,★原価率!$A$2:$A$50&amp;★原価率!$B$2:$B$50,0),4),0)</f>
        <v>85</v>
      </c>
      <c r="K529" s="464" cm="1">
        <f t="array" ref="K529">IFERROR(INDEX(★原価率!$A$2:$E$50,MATCH($C529&amp;$H529,★原価率!$A$2:$A$50&amp;★原価率!$B$2:$B$50,0),5),0)</f>
        <v>100</v>
      </c>
      <c r="L529" s="528">
        <f>IFERROR(VLOOKUP(W529,★商品!$A$1:$H$1231,8,FALSE),0)</f>
        <v>2.8</v>
      </c>
      <c r="M529" s="203" t="str">
        <f ca="1">CONCATENATE(VLOOKUP(B529,★営業所!$A$2:$B$5,2,FALSE),TEXT(NOW(),"yyyy"))</f>
        <v>T2023</v>
      </c>
      <c r="N529" s="203">
        <v>1</v>
      </c>
      <c r="O529" s="203">
        <v>0</v>
      </c>
      <c r="P529" s="213">
        <f>申込書!$B$6</f>
        <v>0</v>
      </c>
      <c r="Q529" s="203">
        <f>申込書!$C$34</f>
        <v>1000040</v>
      </c>
      <c r="R529" s="203">
        <v>0</v>
      </c>
      <c r="U529" s="203">
        <f>VLOOKUP(B529,★営業所!$A$2:$C$5,3,FALSE)</f>
        <v>8</v>
      </c>
      <c r="V529" s="203">
        <f>申込書!$B$9</f>
        <v>0</v>
      </c>
      <c r="W529" s="203" t="str">
        <f>CONCATENATE(VLOOKUP(B529,★営業所!$A$2:$B$5,2,FALSE),VLOOKUP(申込書!$C$32,★サイズ表記!$D$4:$E$55,2,FALSE),VLOOKUP(D529,★折込地区!$A$2:$B$11,2,FALSE))</f>
        <v>T1001Yng</v>
      </c>
      <c r="X529" s="203" t="str">
        <f>CONCATENATE(申込書!$B$9," ",VLOOKUP(RIGHT(W529,3),★折込地区!$B$2:$C$10,2,FALSE),"")</f>
        <v xml:space="preserve"> 米子</v>
      </c>
      <c r="Z529" s="206">
        <f t="shared" ca="1" si="63"/>
        <v>0</v>
      </c>
      <c r="AB529" s="383">
        <f t="shared" si="64"/>
        <v>2.8</v>
      </c>
      <c r="AC529" s="203" t="str">
        <f t="shared" si="65"/>
        <v>D1001</v>
      </c>
      <c r="AD529" s="203" t="str">
        <f>VLOOKUP(AC529,★原価商品!$E$6:$F$349,2,FALSE)</f>
        <v>日本海/B4（折り無し）</v>
      </c>
      <c r="AE529" s="203">
        <f t="shared" ca="1" si="66"/>
        <v>0</v>
      </c>
      <c r="AF529" s="383">
        <f>IFERROR(IF(VLOOKUP(申込書!$C$32,★サイズ表記!$F$4:$H$55,3,FALSE)="切り捨て",ROUNDDOWN(L529*IF(AK529="◎",I529,J529)/100,2),IF(VLOOKUP(申込書!$C$32,★サイズ表記!$F$4:$H$55,3,FALSE)="切り上げ",ROUNDUP(L529*IF(AK529="◎",I529,J529)/100,2),ROUND(L529*IF(AK529="◎",I529,J529)/100,2))),0)</f>
        <v>2.2599999999999998</v>
      </c>
      <c r="AG529" s="203">
        <f t="shared" ca="1" si="67"/>
        <v>10561</v>
      </c>
      <c r="AJ529" s="460" t="str">
        <f>IFERROR(VLOOKUP(申込書!$C$30,★業種!$D$2:$E$87,2,FALSE),"")</f>
        <v>1003</v>
      </c>
      <c r="AK529" s="460" t="str">
        <f>IF(申込書!$C$36="◎",IF(OR(D529="浜坂・温泉",D529="美方・村岡",D529="香住",D529="岡山",D529="大阪"),"",IF(LEFT(F529)="D","◎",IF(AG529=0,"",IFERROR(IF(VLOOKUP(AG529,★仕入先!$A$2:$C$211,3,FALSE)=0,"","◎"),"")))),"")</f>
        <v>◎</v>
      </c>
      <c r="AL529" s="460">
        <f>申込書!$H$14</f>
        <v>0</v>
      </c>
      <c r="AM529" s="460" t="str">
        <f>申込書!$C$32</f>
        <v>B4（折り無し）</v>
      </c>
      <c r="AN529" s="460" t="str">
        <f>VLOOKUP(AM529,★サイズ表記!$D$4:$E$55,2,FALSE)</f>
        <v>1001</v>
      </c>
      <c r="AO529" s="460">
        <f>IF(C529&lt;&gt;"⑧兵庫",VLOOKUP(LEFT(F529),★新聞!$A$4:$B$12,2,FALSE),IF(LEFT(F529)&lt;&gt;"S",VLOOKUP(LEFT(F529),★新聞!$A$4:$B$12,2,FALSE),VLOOKUP("X",★新聞!$A$4:$B$12,2,FALSE)))</f>
        <v>1</v>
      </c>
      <c r="AP529" s="460" t="str">
        <f t="shared" ca="1" si="68"/>
        <v>0</v>
      </c>
      <c r="AQ529" s="460" t="str">
        <f>IF(申込書!$C$38="","",申込書!$C$38)</f>
        <v/>
      </c>
    </row>
    <row r="530" spans="1:43">
      <c r="A530" s="463">
        <f t="shared" si="69"/>
        <v>529</v>
      </c>
      <c r="B530" s="463" t="str">
        <f t="shared" si="55"/>
        <v>東部</v>
      </c>
      <c r="C530" s="464" t="s">
        <v>1018</v>
      </c>
      <c r="D530" s="464" t="s">
        <v>1603</v>
      </c>
      <c r="E530" s="464">
        <f>VLOOKUP(D530,★折込地区!$A$2:$D$10,4,FALSE)</f>
        <v>3</v>
      </c>
      <c r="F530" s="464" t="s">
        <v>403</v>
      </c>
      <c r="G530" s="464" t="str">
        <f>INDEX(★新聞!$E$4:$I$12, MATCH(LEFT(F530),★新聞!$A$4:$A$12,0), MATCH(LEFT(W530),★新聞!$E$3:$I$3,0))</f>
        <v>X</v>
      </c>
      <c r="H530" s="475" t="s">
        <v>1102</v>
      </c>
      <c r="I530" s="464" cm="1">
        <f t="array" ref="I530">IFERROR(INDEX(★原価率!$A$2:$E$50,MATCH($C530&amp;$H530,★原価率!$A$2:$A$50&amp;★原価率!$B$2:$B$50,0),3),0)</f>
        <v>81</v>
      </c>
      <c r="J530" s="464" cm="1">
        <f t="array" ref="J530">IFERROR(INDEX(★原価率!$A$2:$E$50,MATCH($C530&amp;$H530,★原価率!$A$2:$A$50&amp;★原価率!$B$2:$B$50,0),4),0)</f>
        <v>85</v>
      </c>
      <c r="K530" s="464" cm="1">
        <f t="array" ref="K530">IFERROR(INDEX(★原価率!$A$2:$E$50,MATCH($C530&amp;$H530,★原価率!$A$2:$A$50&amp;★原価率!$B$2:$B$50,0),5),0)</f>
        <v>100</v>
      </c>
      <c r="L530" s="528">
        <f>IFERROR(VLOOKUP(W530,★商品!$A$1:$H$1231,8,FALSE),0)</f>
        <v>2.8</v>
      </c>
      <c r="M530" s="203" t="str">
        <f ca="1">CONCATENATE(VLOOKUP(B530,★営業所!$A$2:$B$5,2,FALSE),TEXT(NOW(),"yyyy"))</f>
        <v>T2023</v>
      </c>
      <c r="N530" s="203">
        <v>1</v>
      </c>
      <c r="O530" s="203">
        <v>0</v>
      </c>
      <c r="P530" s="213">
        <f>申込書!$B$6</f>
        <v>0</v>
      </c>
      <c r="Q530" s="203">
        <f>申込書!$C$34</f>
        <v>1000040</v>
      </c>
      <c r="R530" s="203">
        <v>0</v>
      </c>
      <c r="U530" s="203">
        <f>VLOOKUP(B530,★営業所!$A$2:$C$5,3,FALSE)</f>
        <v>8</v>
      </c>
      <c r="V530" s="203">
        <f>申込書!$B$9</f>
        <v>0</v>
      </c>
      <c r="W530" s="203" t="str">
        <f>CONCATENATE(VLOOKUP(B530,★営業所!$A$2:$B$5,2,FALSE),VLOOKUP(申込書!$C$32,★サイズ表記!$D$4:$E$55,2,FALSE),VLOOKUP(D530,★折込地区!$A$2:$B$11,2,FALSE))</f>
        <v>T1001Yng</v>
      </c>
      <c r="X530" s="203" t="str">
        <f>CONCATENATE(申込書!$B$9," ",VLOOKUP(RIGHT(W530,3),★折込地区!$B$2:$C$10,2,FALSE),"")</f>
        <v xml:space="preserve"> 米子</v>
      </c>
      <c r="Z530" s="206">
        <f t="shared" ca="1" si="63"/>
        <v>0</v>
      </c>
      <c r="AB530" s="383">
        <f t="shared" si="64"/>
        <v>2.8</v>
      </c>
      <c r="AC530" s="203" t="str">
        <f t="shared" si="65"/>
        <v>D1001</v>
      </c>
      <c r="AD530" s="203" t="str">
        <f>VLOOKUP(AC530,★原価商品!$E$6:$F$349,2,FALSE)</f>
        <v>日本海/B4（折り無し）</v>
      </c>
      <c r="AE530" s="203">
        <f t="shared" ca="1" si="66"/>
        <v>0</v>
      </c>
      <c r="AF530" s="383">
        <f>IFERROR(IF(VLOOKUP(申込書!$C$32,★サイズ表記!$F$4:$H$55,3,FALSE)="切り捨て",ROUNDDOWN(L530*IF(AK530="◎",I530,J530)/100,2),IF(VLOOKUP(申込書!$C$32,★サイズ表記!$F$4:$H$55,3,FALSE)="切り上げ",ROUNDUP(L530*IF(AK530="◎",I530,J530)/100,2),ROUND(L530*IF(AK530="◎",I530,J530)/100,2))),0)</f>
        <v>2.2599999999999998</v>
      </c>
      <c r="AG530" s="203">
        <f t="shared" ca="1" si="67"/>
        <v>10561</v>
      </c>
      <c r="AJ530" s="460" t="str">
        <f>IFERROR(VLOOKUP(申込書!$C$30,★業種!$D$2:$E$87,2,FALSE),"")</f>
        <v>1003</v>
      </c>
      <c r="AK530" s="460" t="str">
        <f>IF(申込書!$C$36="◎",IF(OR(D530="浜坂・温泉",D530="美方・村岡",D530="香住",D530="岡山",D530="大阪"),"",IF(LEFT(F530)="D","◎",IF(AG530=0,"",IFERROR(IF(VLOOKUP(AG530,★仕入先!$A$2:$C$211,3,FALSE)=0,"","◎"),"")))),"")</f>
        <v>◎</v>
      </c>
      <c r="AL530" s="460">
        <f>申込書!$H$14</f>
        <v>0</v>
      </c>
      <c r="AM530" s="460" t="str">
        <f>申込書!$C$32</f>
        <v>B4（折り無し）</v>
      </c>
      <c r="AN530" s="460" t="str">
        <f>VLOOKUP(AM530,★サイズ表記!$D$4:$E$55,2,FALSE)</f>
        <v>1001</v>
      </c>
      <c r="AO530" s="460">
        <f>IF(C530&lt;&gt;"⑧兵庫",VLOOKUP(LEFT(F530),★新聞!$A$4:$B$12,2,FALSE),IF(LEFT(F530)&lt;&gt;"S",VLOOKUP(LEFT(F530),★新聞!$A$4:$B$12,2,FALSE),VLOOKUP("X",★新聞!$A$4:$B$12,2,FALSE)))</f>
        <v>1</v>
      </c>
      <c r="AP530" s="460" t="str">
        <f t="shared" ca="1" si="68"/>
        <v>0</v>
      </c>
      <c r="AQ530" s="460" t="str">
        <f>IF(申込書!$C$38="","",申込書!$C$38)</f>
        <v/>
      </c>
    </row>
    <row r="531" spans="1:43">
      <c r="A531" s="463">
        <f t="shared" si="69"/>
        <v>530</v>
      </c>
      <c r="B531" s="463" t="str">
        <f t="shared" si="55"/>
        <v>東部</v>
      </c>
      <c r="C531" s="464" t="s">
        <v>1018</v>
      </c>
      <c r="D531" s="464" t="s">
        <v>1603</v>
      </c>
      <c r="E531" s="464">
        <f>VLOOKUP(D531,★折込地区!$A$2:$D$10,4,FALSE)</f>
        <v>3</v>
      </c>
      <c r="F531" s="464" t="s">
        <v>404</v>
      </c>
      <c r="G531" s="464" t="str">
        <f>INDEX(★新聞!$E$4:$I$12, MATCH(LEFT(F531),★新聞!$A$4:$A$12,0), MATCH(LEFT(W531),★新聞!$E$3:$I$3,0))</f>
        <v>X</v>
      </c>
      <c r="H531" s="475" t="s">
        <v>1102</v>
      </c>
      <c r="I531" s="464" cm="1">
        <f t="array" ref="I531">IFERROR(INDEX(★原価率!$A$2:$E$50,MATCH($C531&amp;$H531,★原価率!$A$2:$A$50&amp;★原価率!$B$2:$B$50,0),3),0)</f>
        <v>81</v>
      </c>
      <c r="J531" s="464" cm="1">
        <f t="array" ref="J531">IFERROR(INDEX(★原価率!$A$2:$E$50,MATCH($C531&amp;$H531,★原価率!$A$2:$A$50&amp;★原価率!$B$2:$B$50,0),4),0)</f>
        <v>85</v>
      </c>
      <c r="K531" s="464" cm="1">
        <f t="array" ref="K531">IFERROR(INDEX(★原価率!$A$2:$E$50,MATCH($C531&amp;$H531,★原価率!$A$2:$A$50&amp;★原価率!$B$2:$B$50,0),5),0)</f>
        <v>100</v>
      </c>
      <c r="L531" s="528">
        <f>IFERROR(VLOOKUP(W531,★商品!$A$1:$H$1231,8,FALSE),0)</f>
        <v>2.8</v>
      </c>
      <c r="M531" s="203" t="str">
        <f ca="1">CONCATENATE(VLOOKUP(B531,★営業所!$A$2:$B$5,2,FALSE),TEXT(NOW(),"yyyy"))</f>
        <v>T2023</v>
      </c>
      <c r="N531" s="203">
        <v>1</v>
      </c>
      <c r="O531" s="203">
        <v>0</v>
      </c>
      <c r="P531" s="213">
        <f>申込書!$B$6</f>
        <v>0</v>
      </c>
      <c r="Q531" s="203">
        <f>申込書!$C$34</f>
        <v>1000040</v>
      </c>
      <c r="R531" s="203">
        <v>0</v>
      </c>
      <c r="U531" s="203">
        <f>VLOOKUP(B531,★営業所!$A$2:$C$5,3,FALSE)</f>
        <v>8</v>
      </c>
      <c r="V531" s="203">
        <f>申込書!$B$9</f>
        <v>0</v>
      </c>
      <c r="W531" s="203" t="str">
        <f>CONCATENATE(VLOOKUP(B531,★営業所!$A$2:$B$5,2,FALSE),VLOOKUP(申込書!$C$32,★サイズ表記!$D$4:$E$55,2,FALSE),VLOOKUP(D531,★折込地区!$A$2:$B$11,2,FALSE))</f>
        <v>T1001Yng</v>
      </c>
      <c r="X531" s="203" t="str">
        <f>CONCATENATE(申込書!$B$9," ",VLOOKUP(RIGHT(W531,3),★折込地区!$B$2:$C$10,2,FALSE),"")</f>
        <v xml:space="preserve"> 米子</v>
      </c>
      <c r="Z531" s="206">
        <f t="shared" ca="1" si="63"/>
        <v>0</v>
      </c>
      <c r="AB531" s="383">
        <f t="shared" si="64"/>
        <v>2.8</v>
      </c>
      <c r="AC531" s="203" t="str">
        <f t="shared" si="65"/>
        <v>D1001</v>
      </c>
      <c r="AD531" s="203" t="str">
        <f>VLOOKUP(AC531,★原価商品!$E$6:$F$349,2,FALSE)</f>
        <v>日本海/B4（折り無し）</v>
      </c>
      <c r="AE531" s="203">
        <f t="shared" ca="1" si="66"/>
        <v>0</v>
      </c>
      <c r="AF531" s="383">
        <f>IFERROR(IF(VLOOKUP(申込書!$C$32,★サイズ表記!$F$4:$H$55,3,FALSE)="切り捨て",ROUNDDOWN(L531*IF(AK531="◎",I531,J531)/100,2),IF(VLOOKUP(申込書!$C$32,★サイズ表記!$F$4:$H$55,3,FALSE)="切り上げ",ROUNDUP(L531*IF(AK531="◎",I531,J531)/100,2),ROUND(L531*IF(AK531="◎",I531,J531)/100,2))),0)</f>
        <v>2.2599999999999998</v>
      </c>
      <c r="AG531" s="203">
        <f t="shared" ca="1" si="67"/>
        <v>10561</v>
      </c>
      <c r="AJ531" s="460" t="str">
        <f>IFERROR(VLOOKUP(申込書!$C$30,★業種!$D$2:$E$87,2,FALSE),"")</f>
        <v>1003</v>
      </c>
      <c r="AK531" s="460" t="str">
        <f>IF(申込書!$C$36="◎",IF(OR(D531="浜坂・温泉",D531="美方・村岡",D531="香住",D531="岡山",D531="大阪"),"",IF(LEFT(F531)="D","◎",IF(AG531=0,"",IFERROR(IF(VLOOKUP(AG531,★仕入先!$A$2:$C$211,3,FALSE)=0,"","◎"),"")))),"")</f>
        <v>◎</v>
      </c>
      <c r="AL531" s="460">
        <f>申込書!$H$14</f>
        <v>0</v>
      </c>
      <c r="AM531" s="460" t="str">
        <f>申込書!$C$32</f>
        <v>B4（折り無し）</v>
      </c>
      <c r="AN531" s="460" t="str">
        <f>VLOOKUP(AM531,★サイズ表記!$D$4:$E$55,2,FALSE)</f>
        <v>1001</v>
      </c>
      <c r="AO531" s="460">
        <f>IF(C531&lt;&gt;"⑧兵庫",VLOOKUP(LEFT(F531),★新聞!$A$4:$B$12,2,FALSE),IF(LEFT(F531)&lt;&gt;"S",VLOOKUP(LEFT(F531),★新聞!$A$4:$B$12,2,FALSE),VLOOKUP("X",★新聞!$A$4:$B$12,2,FALSE)))</f>
        <v>1</v>
      </c>
      <c r="AP531" s="460" t="str">
        <f t="shared" ca="1" si="68"/>
        <v>0</v>
      </c>
      <c r="AQ531" s="460" t="str">
        <f>IF(申込書!$C$38="","",申込書!$C$38)</f>
        <v/>
      </c>
    </row>
    <row r="532" spans="1:43">
      <c r="A532" s="463">
        <f t="shared" si="69"/>
        <v>531</v>
      </c>
      <c r="B532" s="463" t="str">
        <f t="shared" si="55"/>
        <v>東部</v>
      </c>
      <c r="C532" s="464" t="s">
        <v>1018</v>
      </c>
      <c r="D532" s="464" t="s">
        <v>1603</v>
      </c>
      <c r="E532" s="464">
        <f>VLOOKUP(D532,★折込地区!$A$2:$D$10,4,FALSE)</f>
        <v>3</v>
      </c>
      <c r="F532" s="464" t="s">
        <v>405</v>
      </c>
      <c r="G532" s="464" t="str">
        <f>INDEX(★新聞!$E$4:$I$12, MATCH(LEFT(F532),★新聞!$A$4:$A$12,0), MATCH(LEFT(W532),★新聞!$E$3:$I$3,0))</f>
        <v>X</v>
      </c>
      <c r="H532" s="475" t="s">
        <v>1102</v>
      </c>
      <c r="I532" s="464" cm="1">
        <f t="array" ref="I532">IFERROR(INDEX(★原価率!$A$2:$E$50,MATCH($C532&amp;$H532,★原価率!$A$2:$A$50&amp;★原価率!$B$2:$B$50,0),3),0)</f>
        <v>81</v>
      </c>
      <c r="J532" s="464" cm="1">
        <f t="array" ref="J532">IFERROR(INDEX(★原価率!$A$2:$E$50,MATCH($C532&amp;$H532,★原価率!$A$2:$A$50&amp;★原価率!$B$2:$B$50,0),4),0)</f>
        <v>85</v>
      </c>
      <c r="K532" s="464" cm="1">
        <f t="array" ref="K532">IFERROR(INDEX(★原価率!$A$2:$E$50,MATCH($C532&amp;$H532,★原価率!$A$2:$A$50&amp;★原価率!$B$2:$B$50,0),5),0)</f>
        <v>100</v>
      </c>
      <c r="L532" s="528">
        <f>IFERROR(VLOOKUP(W532,★商品!$A$1:$H$1231,8,FALSE),0)</f>
        <v>2.8</v>
      </c>
      <c r="M532" s="203" t="str">
        <f ca="1">CONCATENATE(VLOOKUP(B532,★営業所!$A$2:$B$5,2,FALSE),TEXT(NOW(),"yyyy"))</f>
        <v>T2023</v>
      </c>
      <c r="N532" s="203">
        <v>1</v>
      </c>
      <c r="O532" s="203">
        <v>0</v>
      </c>
      <c r="P532" s="213">
        <f>申込書!$B$6</f>
        <v>0</v>
      </c>
      <c r="Q532" s="203">
        <f>申込書!$C$34</f>
        <v>1000040</v>
      </c>
      <c r="R532" s="203">
        <v>0</v>
      </c>
      <c r="U532" s="203">
        <f>VLOOKUP(B532,★営業所!$A$2:$C$5,3,FALSE)</f>
        <v>8</v>
      </c>
      <c r="V532" s="203">
        <f>申込書!$B$9</f>
        <v>0</v>
      </c>
      <c r="W532" s="203" t="str">
        <f>CONCATENATE(VLOOKUP(B532,★営業所!$A$2:$B$5,2,FALSE),VLOOKUP(申込書!$C$32,★サイズ表記!$D$4:$E$55,2,FALSE),VLOOKUP(D532,★折込地区!$A$2:$B$11,2,FALSE))</f>
        <v>T1001Yng</v>
      </c>
      <c r="X532" s="203" t="str">
        <f>CONCATENATE(申込書!$B$9," ",VLOOKUP(RIGHT(W532,3),★折込地区!$B$2:$C$10,2,FALSE),"")</f>
        <v xml:space="preserve"> 米子</v>
      </c>
      <c r="Z532" s="206">
        <f t="shared" ca="1" si="63"/>
        <v>0</v>
      </c>
      <c r="AB532" s="383">
        <f t="shared" si="64"/>
        <v>2.8</v>
      </c>
      <c r="AC532" s="203" t="str">
        <f t="shared" si="65"/>
        <v>D1001</v>
      </c>
      <c r="AD532" s="203" t="str">
        <f>VLOOKUP(AC532,★原価商品!$E$6:$F$349,2,FALSE)</f>
        <v>日本海/B4（折り無し）</v>
      </c>
      <c r="AE532" s="203">
        <f t="shared" ca="1" si="66"/>
        <v>0</v>
      </c>
      <c r="AF532" s="383">
        <f>IFERROR(IF(VLOOKUP(申込書!$C$32,★サイズ表記!$F$4:$H$55,3,FALSE)="切り捨て",ROUNDDOWN(L532*IF(AK532="◎",I532,J532)/100,2),IF(VLOOKUP(申込書!$C$32,★サイズ表記!$F$4:$H$55,3,FALSE)="切り上げ",ROUNDUP(L532*IF(AK532="◎",I532,J532)/100,2),ROUND(L532*IF(AK532="◎",I532,J532)/100,2))),0)</f>
        <v>2.2599999999999998</v>
      </c>
      <c r="AG532" s="203">
        <f t="shared" ca="1" si="67"/>
        <v>10561</v>
      </c>
      <c r="AJ532" s="460" t="str">
        <f>IFERROR(VLOOKUP(申込書!$C$30,★業種!$D$2:$E$87,2,FALSE),"")</f>
        <v>1003</v>
      </c>
      <c r="AK532" s="460" t="str">
        <f>IF(申込書!$C$36="◎",IF(OR(D532="浜坂・温泉",D532="美方・村岡",D532="香住",D532="岡山",D532="大阪"),"",IF(LEFT(F532)="D","◎",IF(AG532=0,"",IFERROR(IF(VLOOKUP(AG532,★仕入先!$A$2:$C$211,3,FALSE)=0,"","◎"),"")))),"")</f>
        <v>◎</v>
      </c>
      <c r="AL532" s="460">
        <f>申込書!$H$14</f>
        <v>0</v>
      </c>
      <c r="AM532" s="460" t="str">
        <f>申込書!$C$32</f>
        <v>B4（折り無し）</v>
      </c>
      <c r="AN532" s="460" t="str">
        <f>VLOOKUP(AM532,★サイズ表記!$D$4:$E$55,2,FALSE)</f>
        <v>1001</v>
      </c>
      <c r="AO532" s="460">
        <f>IF(C532&lt;&gt;"⑧兵庫",VLOOKUP(LEFT(F532),★新聞!$A$4:$B$12,2,FALSE),IF(LEFT(F532)&lt;&gt;"S",VLOOKUP(LEFT(F532),★新聞!$A$4:$B$12,2,FALSE),VLOOKUP("X",★新聞!$A$4:$B$12,2,FALSE)))</f>
        <v>1</v>
      </c>
      <c r="AP532" s="460" t="str">
        <f t="shared" ca="1" si="68"/>
        <v>0</v>
      </c>
      <c r="AQ532" s="460" t="str">
        <f>IF(申込書!$C$38="","",申込書!$C$38)</f>
        <v/>
      </c>
    </row>
    <row r="533" spans="1:43">
      <c r="A533" s="463">
        <f t="shared" si="69"/>
        <v>532</v>
      </c>
      <c r="B533" s="463" t="str">
        <f t="shared" si="55"/>
        <v>東部</v>
      </c>
      <c r="C533" s="464" t="s">
        <v>1018</v>
      </c>
      <c r="D533" s="464" t="s">
        <v>1603</v>
      </c>
      <c r="E533" s="464">
        <f>VLOOKUP(D533,★折込地区!$A$2:$D$10,4,FALSE)</f>
        <v>3</v>
      </c>
      <c r="F533" s="464" t="s">
        <v>364</v>
      </c>
      <c r="G533" s="464" t="str">
        <f>INDEX(★新聞!$E$4:$I$12, MATCH(LEFT(F533),★新聞!$A$4:$A$12,0), MATCH(LEFT(W533),★新聞!$E$3:$I$3,0))</f>
        <v>AA</v>
      </c>
      <c r="H533" s="475" t="s">
        <v>1119</v>
      </c>
      <c r="I533" s="464" cm="1">
        <f t="array" ref="I533">IFERROR(INDEX(★原価率!$A$2:$E$50,MATCH($C533&amp;$H533,★原価率!$A$2:$A$50&amp;★原価率!$B$2:$B$50,0),3),0)</f>
        <v>94</v>
      </c>
      <c r="J533" s="464" cm="1">
        <f t="array" ref="J533">IFERROR(INDEX(★原価率!$A$2:$E$50,MATCH($C533&amp;$H533,★原価率!$A$2:$A$50&amp;★原価率!$B$2:$B$50,0),4),0)</f>
        <v>94</v>
      </c>
      <c r="K533" s="464" cm="1">
        <f t="array" ref="K533">IFERROR(INDEX(★原価率!$A$2:$E$50,MATCH($C533&amp;$H533,★原価率!$A$2:$A$50&amp;★原価率!$B$2:$B$50,0),5),0)</f>
        <v>100</v>
      </c>
      <c r="L533" s="528">
        <f>IFERROR(VLOOKUP(W533,★商品!$A$1:$H$1231,8,FALSE),0)</f>
        <v>2.8</v>
      </c>
      <c r="M533" s="203" t="str">
        <f ca="1">CONCATENATE(VLOOKUP(B533,★営業所!$A$2:$B$5,2,FALSE),TEXT(NOW(),"yyyy"))</f>
        <v>T2023</v>
      </c>
      <c r="N533" s="203">
        <v>1</v>
      </c>
      <c r="O533" s="203">
        <v>0</v>
      </c>
      <c r="P533" s="213">
        <f>申込書!$B$6</f>
        <v>0</v>
      </c>
      <c r="Q533" s="203">
        <f>申込書!$C$34</f>
        <v>1000040</v>
      </c>
      <c r="R533" s="203">
        <v>0</v>
      </c>
      <c r="U533" s="203">
        <f>VLOOKUP(B533,★営業所!$A$2:$C$5,3,FALSE)</f>
        <v>8</v>
      </c>
      <c r="V533" s="203">
        <f>申込書!$B$9</f>
        <v>0</v>
      </c>
      <c r="W533" s="203" t="str">
        <f>CONCATENATE(VLOOKUP(B533,★営業所!$A$2:$B$5,2,FALSE),VLOOKUP(申込書!$C$32,★サイズ表記!$D$4:$E$55,2,FALSE),VLOOKUP(D533,★折込地区!$A$2:$B$11,2,FALSE))</f>
        <v>T1001Yng</v>
      </c>
      <c r="X533" s="203" t="str">
        <f>CONCATENATE(申込書!$B$9," ",VLOOKUP(RIGHT(W533,3),★折込地区!$B$2:$C$10,2,FALSE),"")</f>
        <v xml:space="preserve"> 米子</v>
      </c>
      <c r="Z533" s="206">
        <f t="shared" ca="1" si="63"/>
        <v>0</v>
      </c>
      <c r="AB533" s="383">
        <f t="shared" si="64"/>
        <v>2.8</v>
      </c>
      <c r="AC533" s="203" t="str">
        <f t="shared" si="65"/>
        <v>G1001</v>
      </c>
      <c r="AD533" s="203" t="str">
        <f>VLOOKUP(AC533,★原価商品!$E$6:$F$349,2,FALSE)</f>
        <v>朝日/B4（折り無し）</v>
      </c>
      <c r="AE533" s="203">
        <f t="shared" ca="1" si="66"/>
        <v>0</v>
      </c>
      <c r="AF533" s="383">
        <f ca="1">IFERROR(IF(VLOOKUP(申込書!$C$32,★サイズ表記!$F$4:$H$55,3,FALSE)="切り捨て",ROUNDDOWN(L533*IF(AK533="◎",I533,J533)/100,2),IF(VLOOKUP(申込書!$C$32,★サイズ表記!$F$4:$H$55,3,FALSE)="切り上げ",ROUNDUP(L533*IF(AK533="◎",I533,J533)/100,2),ROUND(L533*IF(AK533="◎",I533,J533)/100,2))),0)</f>
        <v>2.63</v>
      </c>
      <c r="AG533" s="203">
        <f t="shared" ca="1" si="67"/>
        <v>10561</v>
      </c>
      <c r="AJ533" s="460" t="str">
        <f>IFERROR(VLOOKUP(申込書!$C$30,★業種!$D$2:$E$87,2,FALSE),"")</f>
        <v>1003</v>
      </c>
      <c r="AK533" s="460" t="str">
        <f ca="1">IF(申込書!$C$36="◎",IF(OR(D533="浜坂・温泉",D533="美方・村岡",D533="香住",D533="岡山",D533="大阪"),"",IF(LEFT(F533)="D","◎",IF(AG533=0,"",IFERROR(IF(VLOOKUP(AG533,★仕入先!$A$2:$C$211,3,FALSE)=0,"","◎"),"")))),"")</f>
        <v/>
      </c>
      <c r="AL533" s="460">
        <f>申込書!$H$14</f>
        <v>0</v>
      </c>
      <c r="AM533" s="460" t="str">
        <f>申込書!$C$32</f>
        <v>B4（折り無し）</v>
      </c>
      <c r="AN533" s="460" t="str">
        <f>VLOOKUP(AM533,★サイズ表記!$D$4:$E$55,2,FALSE)</f>
        <v>1001</v>
      </c>
      <c r="AO533" s="460">
        <f>IF(C533&lt;&gt;"⑧兵庫",VLOOKUP(LEFT(F533),★新聞!$A$4:$B$12,2,FALSE),IF(LEFT(F533)&lt;&gt;"S",VLOOKUP(LEFT(F533),★新聞!$A$4:$B$12,2,FALSE),VLOOKUP("X",★新聞!$A$4:$B$12,2,FALSE)))</f>
        <v>2</v>
      </c>
      <c r="AP533" s="460" t="str">
        <f t="shared" ca="1" si="68"/>
        <v>0</v>
      </c>
      <c r="AQ533" s="460" t="str">
        <f>IF(申込書!$C$38="","",申込書!$C$38)</f>
        <v/>
      </c>
    </row>
    <row r="534" spans="1:43">
      <c r="A534" s="463">
        <f t="shared" si="69"/>
        <v>533</v>
      </c>
      <c r="B534" s="463" t="str">
        <f t="shared" si="55"/>
        <v>東部</v>
      </c>
      <c r="C534" s="464" t="s">
        <v>1018</v>
      </c>
      <c r="D534" s="464" t="s">
        <v>1603</v>
      </c>
      <c r="E534" s="464">
        <f>VLOOKUP(D534,★折込地区!$A$2:$D$10,4,FALSE)</f>
        <v>3</v>
      </c>
      <c r="F534" s="464" t="s">
        <v>406</v>
      </c>
      <c r="G534" s="464" t="str">
        <f>INDEX(★新聞!$E$4:$I$12, MATCH(LEFT(F534),★新聞!$A$4:$A$12,0), MATCH(LEFT(W534),★新聞!$E$3:$I$3,0))</f>
        <v>AA</v>
      </c>
      <c r="H534" s="475" t="s">
        <v>1119</v>
      </c>
      <c r="I534" s="464" cm="1">
        <f t="array" ref="I534">IFERROR(INDEX(★原価率!$A$2:$E$50,MATCH($C534&amp;$H534,★原価率!$A$2:$A$50&amp;★原価率!$B$2:$B$50,0),3),0)</f>
        <v>94</v>
      </c>
      <c r="J534" s="464" cm="1">
        <f t="array" ref="J534">IFERROR(INDEX(★原価率!$A$2:$E$50,MATCH($C534&amp;$H534,★原価率!$A$2:$A$50&amp;★原価率!$B$2:$B$50,0),4),0)</f>
        <v>94</v>
      </c>
      <c r="K534" s="464" cm="1">
        <f t="array" ref="K534">IFERROR(INDEX(★原価率!$A$2:$E$50,MATCH($C534&amp;$H534,★原価率!$A$2:$A$50&amp;★原価率!$B$2:$B$50,0),5),0)</f>
        <v>100</v>
      </c>
      <c r="L534" s="528">
        <f>IFERROR(VLOOKUP(W534,★商品!$A$1:$H$1231,8,FALSE),0)</f>
        <v>2.8</v>
      </c>
      <c r="M534" s="203" t="str">
        <f ca="1">CONCATENATE(VLOOKUP(B534,★営業所!$A$2:$B$5,2,FALSE),TEXT(NOW(),"yyyy"))</f>
        <v>T2023</v>
      </c>
      <c r="N534" s="203">
        <v>1</v>
      </c>
      <c r="O534" s="203">
        <v>0</v>
      </c>
      <c r="P534" s="213">
        <f>申込書!$B$6</f>
        <v>0</v>
      </c>
      <c r="Q534" s="203">
        <f>申込書!$C$34</f>
        <v>1000040</v>
      </c>
      <c r="R534" s="203">
        <v>0</v>
      </c>
      <c r="U534" s="203">
        <f>VLOOKUP(B534,★営業所!$A$2:$C$5,3,FALSE)</f>
        <v>8</v>
      </c>
      <c r="V534" s="203">
        <f>申込書!$B$9</f>
        <v>0</v>
      </c>
      <c r="W534" s="203" t="str">
        <f>CONCATENATE(VLOOKUP(B534,★営業所!$A$2:$B$5,2,FALSE),VLOOKUP(申込書!$C$32,★サイズ表記!$D$4:$E$55,2,FALSE),VLOOKUP(D534,★折込地区!$A$2:$B$11,2,FALSE))</f>
        <v>T1001Yng</v>
      </c>
      <c r="X534" s="203" t="str">
        <f>CONCATENATE(申込書!$B$9," ",VLOOKUP(RIGHT(W534,3),★折込地区!$B$2:$C$10,2,FALSE),"")</f>
        <v xml:space="preserve"> 米子</v>
      </c>
      <c r="Z534" s="206">
        <f t="shared" ca="1" si="63"/>
        <v>0</v>
      </c>
      <c r="AB534" s="383">
        <f t="shared" si="64"/>
        <v>2.8</v>
      </c>
      <c r="AC534" s="203" t="str">
        <f t="shared" si="65"/>
        <v>G1001</v>
      </c>
      <c r="AD534" s="203" t="str">
        <f>VLOOKUP(AC534,★原価商品!$E$6:$F$349,2,FALSE)</f>
        <v>朝日/B4（折り無し）</v>
      </c>
      <c r="AE534" s="203">
        <f t="shared" ca="1" si="66"/>
        <v>0</v>
      </c>
      <c r="AF534" s="383">
        <f ca="1">IFERROR(IF(VLOOKUP(申込書!$C$32,★サイズ表記!$F$4:$H$55,3,FALSE)="切り捨て",ROUNDDOWN(L534*IF(AK534="◎",I534,J534)/100,2),IF(VLOOKUP(申込書!$C$32,★サイズ表記!$F$4:$H$55,3,FALSE)="切り上げ",ROUNDUP(L534*IF(AK534="◎",I534,J534)/100,2),ROUND(L534*IF(AK534="◎",I534,J534)/100,2))),0)</f>
        <v>2.63</v>
      </c>
      <c r="AG534" s="203">
        <f t="shared" ca="1" si="67"/>
        <v>10561</v>
      </c>
      <c r="AJ534" s="460" t="str">
        <f>IFERROR(VLOOKUP(申込書!$C$30,★業種!$D$2:$E$87,2,FALSE),"")</f>
        <v>1003</v>
      </c>
      <c r="AK534" s="460" t="str">
        <f ca="1">IF(申込書!$C$36="◎",IF(OR(D534="浜坂・温泉",D534="美方・村岡",D534="香住",D534="岡山",D534="大阪"),"",IF(LEFT(F534)="D","◎",IF(AG534=0,"",IFERROR(IF(VLOOKUP(AG534,★仕入先!$A$2:$C$211,3,FALSE)=0,"","◎"),"")))),"")</f>
        <v/>
      </c>
      <c r="AL534" s="460">
        <f>申込書!$H$14</f>
        <v>0</v>
      </c>
      <c r="AM534" s="460" t="str">
        <f>申込書!$C$32</f>
        <v>B4（折り無し）</v>
      </c>
      <c r="AN534" s="460" t="str">
        <f>VLOOKUP(AM534,★サイズ表記!$D$4:$E$55,2,FALSE)</f>
        <v>1001</v>
      </c>
      <c r="AO534" s="460">
        <f>IF(C534&lt;&gt;"⑧兵庫",VLOOKUP(LEFT(F534),★新聞!$A$4:$B$12,2,FALSE),IF(LEFT(F534)&lt;&gt;"S",VLOOKUP(LEFT(F534),★新聞!$A$4:$B$12,2,FALSE),VLOOKUP("X",★新聞!$A$4:$B$12,2,FALSE)))</f>
        <v>2</v>
      </c>
      <c r="AP534" s="460" t="str">
        <f t="shared" ca="1" si="68"/>
        <v>0</v>
      </c>
      <c r="AQ534" s="460" t="str">
        <f>IF(申込書!$C$38="","",申込書!$C$38)</f>
        <v/>
      </c>
    </row>
    <row r="535" spans="1:43">
      <c r="A535" s="463">
        <f t="shared" si="69"/>
        <v>534</v>
      </c>
      <c r="B535" s="463" t="str">
        <f t="shared" si="55"/>
        <v>東部</v>
      </c>
      <c r="C535" s="464" t="s">
        <v>1018</v>
      </c>
      <c r="D535" s="464" t="s">
        <v>1603</v>
      </c>
      <c r="E535" s="464">
        <f>VLOOKUP(D535,★折込地区!$A$2:$D$10,4,FALSE)</f>
        <v>3</v>
      </c>
      <c r="F535" s="464" t="s">
        <v>407</v>
      </c>
      <c r="G535" s="464" t="str">
        <f>INDEX(★新聞!$E$4:$I$12, MATCH(LEFT(F535),★新聞!$A$4:$A$12,0), MATCH(LEFT(W535),★新聞!$E$3:$I$3,0))</f>
        <v>AA</v>
      </c>
      <c r="H535" s="475" t="s">
        <v>1119</v>
      </c>
      <c r="I535" s="464" cm="1">
        <f t="array" ref="I535">IFERROR(INDEX(★原価率!$A$2:$E$50,MATCH($C535&amp;$H535,★原価率!$A$2:$A$50&amp;★原価率!$B$2:$B$50,0),3),0)</f>
        <v>94</v>
      </c>
      <c r="J535" s="464" cm="1">
        <f t="array" ref="J535">IFERROR(INDEX(★原価率!$A$2:$E$50,MATCH($C535&amp;$H535,★原価率!$A$2:$A$50&amp;★原価率!$B$2:$B$50,0),4),0)</f>
        <v>94</v>
      </c>
      <c r="K535" s="464" cm="1">
        <f t="array" ref="K535">IFERROR(INDEX(★原価率!$A$2:$E$50,MATCH($C535&amp;$H535,★原価率!$A$2:$A$50&amp;★原価率!$B$2:$B$50,0),5),0)</f>
        <v>100</v>
      </c>
      <c r="L535" s="528">
        <f>IFERROR(VLOOKUP(W535,★商品!$A$1:$H$1231,8,FALSE),0)</f>
        <v>2.8</v>
      </c>
      <c r="M535" s="203" t="str">
        <f ca="1">CONCATENATE(VLOOKUP(B535,★営業所!$A$2:$B$5,2,FALSE),TEXT(NOW(),"yyyy"))</f>
        <v>T2023</v>
      </c>
      <c r="N535" s="203">
        <v>1</v>
      </c>
      <c r="O535" s="203">
        <v>0</v>
      </c>
      <c r="P535" s="213">
        <f>申込書!$B$6</f>
        <v>0</v>
      </c>
      <c r="Q535" s="203">
        <f>申込書!$C$34</f>
        <v>1000040</v>
      </c>
      <c r="R535" s="203">
        <v>0</v>
      </c>
      <c r="U535" s="203">
        <f>VLOOKUP(B535,★営業所!$A$2:$C$5,3,FALSE)</f>
        <v>8</v>
      </c>
      <c r="V535" s="203">
        <f>申込書!$B$9</f>
        <v>0</v>
      </c>
      <c r="W535" s="203" t="str">
        <f>CONCATENATE(VLOOKUP(B535,★営業所!$A$2:$B$5,2,FALSE),VLOOKUP(申込書!$C$32,★サイズ表記!$D$4:$E$55,2,FALSE),VLOOKUP(D535,★折込地区!$A$2:$B$11,2,FALSE))</f>
        <v>T1001Yng</v>
      </c>
      <c r="X535" s="203" t="str">
        <f>CONCATENATE(申込書!$B$9," ",VLOOKUP(RIGHT(W535,3),★折込地区!$B$2:$C$10,2,FALSE),"")</f>
        <v xml:space="preserve"> 米子</v>
      </c>
      <c r="Z535" s="206">
        <f t="shared" ca="1" si="63"/>
        <v>0</v>
      </c>
      <c r="AB535" s="383">
        <f t="shared" si="64"/>
        <v>2.8</v>
      </c>
      <c r="AC535" s="203" t="str">
        <f t="shared" si="65"/>
        <v>G1001</v>
      </c>
      <c r="AD535" s="203" t="str">
        <f>VLOOKUP(AC535,★原価商品!$E$6:$F$349,2,FALSE)</f>
        <v>朝日/B4（折り無し）</v>
      </c>
      <c r="AE535" s="203">
        <f t="shared" ca="1" si="66"/>
        <v>0</v>
      </c>
      <c r="AF535" s="383">
        <f ca="1">IFERROR(IF(VLOOKUP(申込書!$C$32,★サイズ表記!$F$4:$H$55,3,FALSE)="切り捨て",ROUNDDOWN(L535*IF(AK535="◎",I535,J535)/100,2),IF(VLOOKUP(申込書!$C$32,★サイズ表記!$F$4:$H$55,3,FALSE)="切り上げ",ROUNDUP(L535*IF(AK535="◎",I535,J535)/100,2),ROUND(L535*IF(AK535="◎",I535,J535)/100,2))),0)</f>
        <v>2.63</v>
      </c>
      <c r="AG535" s="203">
        <f t="shared" ca="1" si="67"/>
        <v>10561</v>
      </c>
      <c r="AJ535" s="460" t="str">
        <f>IFERROR(VLOOKUP(申込書!$C$30,★業種!$D$2:$E$87,2,FALSE),"")</f>
        <v>1003</v>
      </c>
      <c r="AK535" s="460" t="str">
        <f ca="1">IF(申込書!$C$36="◎",IF(OR(D535="浜坂・温泉",D535="美方・村岡",D535="香住",D535="岡山",D535="大阪"),"",IF(LEFT(F535)="D","◎",IF(AG535=0,"",IFERROR(IF(VLOOKUP(AG535,★仕入先!$A$2:$C$211,3,FALSE)=0,"","◎"),"")))),"")</f>
        <v/>
      </c>
      <c r="AL535" s="460">
        <f>申込書!$H$14</f>
        <v>0</v>
      </c>
      <c r="AM535" s="460" t="str">
        <f>申込書!$C$32</f>
        <v>B4（折り無し）</v>
      </c>
      <c r="AN535" s="460" t="str">
        <f>VLOOKUP(AM535,★サイズ表記!$D$4:$E$55,2,FALSE)</f>
        <v>1001</v>
      </c>
      <c r="AO535" s="460">
        <f>IF(C535&lt;&gt;"⑧兵庫",VLOOKUP(LEFT(F535),★新聞!$A$4:$B$12,2,FALSE),IF(LEFT(F535)&lt;&gt;"S",VLOOKUP(LEFT(F535),★新聞!$A$4:$B$12,2,FALSE),VLOOKUP("X",★新聞!$A$4:$B$12,2,FALSE)))</f>
        <v>2</v>
      </c>
      <c r="AP535" s="460" t="str">
        <f t="shared" ca="1" si="68"/>
        <v>0</v>
      </c>
      <c r="AQ535" s="460" t="str">
        <f>IF(申込書!$C$38="","",申込書!$C$38)</f>
        <v/>
      </c>
    </row>
    <row r="536" spans="1:43">
      <c r="A536" s="463">
        <f t="shared" si="69"/>
        <v>535</v>
      </c>
      <c r="B536" s="463" t="str">
        <f t="shared" si="55"/>
        <v>東部</v>
      </c>
      <c r="C536" s="464" t="s">
        <v>1018</v>
      </c>
      <c r="D536" s="464" t="s">
        <v>1603</v>
      </c>
      <c r="E536" s="464">
        <f>VLOOKUP(D536,★折込地区!$A$2:$D$10,4,FALSE)</f>
        <v>3</v>
      </c>
      <c r="F536" s="464" t="s">
        <v>408</v>
      </c>
      <c r="G536" s="464" t="str">
        <f>INDEX(★新聞!$E$4:$I$12, MATCH(LEFT(F536),★新聞!$A$4:$A$12,0), MATCH(LEFT(W536),★新聞!$E$3:$I$3,0))</f>
        <v>AA</v>
      </c>
      <c r="H536" s="475" t="s">
        <v>1119</v>
      </c>
      <c r="I536" s="464" cm="1">
        <f t="array" ref="I536">IFERROR(INDEX(★原価率!$A$2:$E$50,MATCH($C536&amp;$H536,★原価率!$A$2:$A$50&amp;★原価率!$B$2:$B$50,0),3),0)</f>
        <v>94</v>
      </c>
      <c r="J536" s="464" cm="1">
        <f t="array" ref="J536">IFERROR(INDEX(★原価率!$A$2:$E$50,MATCH($C536&amp;$H536,★原価率!$A$2:$A$50&amp;★原価率!$B$2:$B$50,0),4),0)</f>
        <v>94</v>
      </c>
      <c r="K536" s="464" cm="1">
        <f t="array" ref="K536">IFERROR(INDEX(★原価率!$A$2:$E$50,MATCH($C536&amp;$H536,★原価率!$A$2:$A$50&amp;★原価率!$B$2:$B$50,0),5),0)</f>
        <v>100</v>
      </c>
      <c r="L536" s="528">
        <f>IFERROR(VLOOKUP(W536,★商品!$A$1:$H$1231,8,FALSE),0)</f>
        <v>2.8</v>
      </c>
      <c r="M536" s="203" t="str">
        <f ca="1">CONCATENATE(VLOOKUP(B536,★営業所!$A$2:$B$5,2,FALSE),TEXT(NOW(),"yyyy"))</f>
        <v>T2023</v>
      </c>
      <c r="N536" s="203">
        <v>1</v>
      </c>
      <c r="O536" s="203">
        <v>0</v>
      </c>
      <c r="P536" s="213">
        <f>申込書!$B$6</f>
        <v>0</v>
      </c>
      <c r="Q536" s="203">
        <f>申込書!$C$34</f>
        <v>1000040</v>
      </c>
      <c r="R536" s="203">
        <v>0</v>
      </c>
      <c r="U536" s="203">
        <f>VLOOKUP(B536,★営業所!$A$2:$C$5,3,FALSE)</f>
        <v>8</v>
      </c>
      <c r="V536" s="203">
        <f>申込書!$B$9</f>
        <v>0</v>
      </c>
      <c r="W536" s="203" t="str">
        <f>CONCATENATE(VLOOKUP(B536,★営業所!$A$2:$B$5,2,FALSE),VLOOKUP(申込書!$C$32,★サイズ表記!$D$4:$E$55,2,FALSE),VLOOKUP(D536,★折込地区!$A$2:$B$11,2,FALSE))</f>
        <v>T1001Yng</v>
      </c>
      <c r="X536" s="203" t="str">
        <f>CONCATENATE(申込書!$B$9," ",VLOOKUP(RIGHT(W536,3),★折込地区!$B$2:$C$10,2,FALSE),"")</f>
        <v xml:space="preserve"> 米子</v>
      </c>
      <c r="Z536" s="206">
        <f t="shared" ca="1" si="63"/>
        <v>0</v>
      </c>
      <c r="AB536" s="383">
        <f t="shared" si="64"/>
        <v>2.8</v>
      </c>
      <c r="AC536" s="203" t="str">
        <f t="shared" si="65"/>
        <v>G1001</v>
      </c>
      <c r="AD536" s="203" t="str">
        <f>VLOOKUP(AC536,★原価商品!$E$6:$F$349,2,FALSE)</f>
        <v>朝日/B4（折り無し）</v>
      </c>
      <c r="AE536" s="203">
        <f t="shared" ca="1" si="66"/>
        <v>0</v>
      </c>
      <c r="AF536" s="383">
        <f ca="1">IFERROR(IF(VLOOKUP(申込書!$C$32,★サイズ表記!$F$4:$H$55,3,FALSE)="切り捨て",ROUNDDOWN(L536*IF(AK536="◎",I536,J536)/100,2),IF(VLOOKUP(申込書!$C$32,★サイズ表記!$F$4:$H$55,3,FALSE)="切り上げ",ROUNDUP(L536*IF(AK536="◎",I536,J536)/100,2),ROUND(L536*IF(AK536="◎",I536,J536)/100,2))),0)</f>
        <v>2.63</v>
      </c>
      <c r="AG536" s="203">
        <f t="shared" ca="1" si="67"/>
        <v>10561</v>
      </c>
      <c r="AJ536" s="460" t="str">
        <f>IFERROR(VLOOKUP(申込書!$C$30,★業種!$D$2:$E$87,2,FALSE),"")</f>
        <v>1003</v>
      </c>
      <c r="AK536" s="460" t="str">
        <f ca="1">IF(申込書!$C$36="◎",IF(OR(D536="浜坂・温泉",D536="美方・村岡",D536="香住",D536="岡山",D536="大阪"),"",IF(LEFT(F536)="D","◎",IF(AG536=0,"",IFERROR(IF(VLOOKUP(AG536,★仕入先!$A$2:$C$211,3,FALSE)=0,"","◎"),"")))),"")</f>
        <v/>
      </c>
      <c r="AL536" s="460">
        <f>申込書!$H$14</f>
        <v>0</v>
      </c>
      <c r="AM536" s="460" t="str">
        <f>申込書!$C$32</f>
        <v>B4（折り無し）</v>
      </c>
      <c r="AN536" s="460" t="str">
        <f>VLOOKUP(AM536,★サイズ表記!$D$4:$E$55,2,FALSE)</f>
        <v>1001</v>
      </c>
      <c r="AO536" s="460">
        <f>IF(C536&lt;&gt;"⑧兵庫",VLOOKUP(LEFT(F536),★新聞!$A$4:$B$12,2,FALSE),IF(LEFT(F536)&lt;&gt;"S",VLOOKUP(LEFT(F536),★新聞!$A$4:$B$12,2,FALSE),VLOOKUP("X",★新聞!$A$4:$B$12,2,FALSE)))</f>
        <v>2</v>
      </c>
      <c r="AP536" s="460" t="str">
        <f t="shared" ca="1" si="68"/>
        <v>0</v>
      </c>
      <c r="AQ536" s="460" t="str">
        <f>IF(申込書!$C$38="","",申込書!$C$38)</f>
        <v/>
      </c>
    </row>
    <row r="537" spans="1:43">
      <c r="A537" s="463">
        <f t="shared" si="69"/>
        <v>536</v>
      </c>
      <c r="B537" s="463" t="str">
        <f t="shared" si="55"/>
        <v>東部</v>
      </c>
      <c r="C537" s="464" t="s">
        <v>1018</v>
      </c>
      <c r="D537" s="464" t="s">
        <v>1603</v>
      </c>
      <c r="E537" s="464">
        <f>VLOOKUP(D537,★折込地区!$A$2:$D$10,4,FALSE)</f>
        <v>3</v>
      </c>
      <c r="F537" s="464" t="s">
        <v>409</v>
      </c>
      <c r="G537" s="464" t="str">
        <f>INDEX(★新聞!$E$4:$I$12, MATCH(LEFT(F537),★新聞!$A$4:$A$12,0), MATCH(LEFT(W537),★新聞!$E$3:$I$3,0))</f>
        <v>AA</v>
      </c>
      <c r="H537" s="475" t="s">
        <v>1119</v>
      </c>
      <c r="I537" s="464" cm="1">
        <f t="array" ref="I537">IFERROR(INDEX(★原価率!$A$2:$E$50,MATCH($C537&amp;$H537,★原価率!$A$2:$A$50&amp;★原価率!$B$2:$B$50,0),3),0)</f>
        <v>94</v>
      </c>
      <c r="J537" s="464" cm="1">
        <f t="array" ref="J537">IFERROR(INDEX(★原価率!$A$2:$E$50,MATCH($C537&amp;$H537,★原価率!$A$2:$A$50&amp;★原価率!$B$2:$B$50,0),4),0)</f>
        <v>94</v>
      </c>
      <c r="K537" s="464" cm="1">
        <f t="array" ref="K537">IFERROR(INDEX(★原価率!$A$2:$E$50,MATCH($C537&amp;$H537,★原価率!$A$2:$A$50&amp;★原価率!$B$2:$B$50,0),5),0)</f>
        <v>100</v>
      </c>
      <c r="L537" s="528">
        <f>IFERROR(VLOOKUP(W537,★商品!$A$1:$H$1231,8,FALSE),0)</f>
        <v>2.8</v>
      </c>
      <c r="M537" s="203" t="str">
        <f ca="1">CONCATENATE(VLOOKUP(B537,★営業所!$A$2:$B$5,2,FALSE),TEXT(NOW(),"yyyy"))</f>
        <v>T2023</v>
      </c>
      <c r="N537" s="203">
        <v>1</v>
      </c>
      <c r="O537" s="203">
        <v>0</v>
      </c>
      <c r="P537" s="213">
        <f>申込書!$B$6</f>
        <v>0</v>
      </c>
      <c r="Q537" s="203">
        <f>申込書!$C$34</f>
        <v>1000040</v>
      </c>
      <c r="R537" s="203">
        <v>0</v>
      </c>
      <c r="U537" s="203">
        <f>VLOOKUP(B537,★営業所!$A$2:$C$5,3,FALSE)</f>
        <v>8</v>
      </c>
      <c r="V537" s="203">
        <f>申込書!$B$9</f>
        <v>0</v>
      </c>
      <c r="W537" s="203" t="str">
        <f>CONCATENATE(VLOOKUP(B537,★営業所!$A$2:$B$5,2,FALSE),VLOOKUP(申込書!$C$32,★サイズ表記!$D$4:$E$55,2,FALSE),VLOOKUP(D537,★折込地区!$A$2:$B$11,2,FALSE))</f>
        <v>T1001Yng</v>
      </c>
      <c r="X537" s="203" t="str">
        <f>CONCATENATE(申込書!$B$9," ",VLOOKUP(RIGHT(W537,3),★折込地区!$B$2:$C$10,2,FALSE),"")</f>
        <v xml:space="preserve"> 米子</v>
      </c>
      <c r="Z537" s="206">
        <f t="shared" ca="1" si="63"/>
        <v>0</v>
      </c>
      <c r="AB537" s="383">
        <f t="shared" si="64"/>
        <v>2.8</v>
      </c>
      <c r="AC537" s="203" t="str">
        <f t="shared" si="65"/>
        <v>G1001</v>
      </c>
      <c r="AD537" s="203" t="str">
        <f>VLOOKUP(AC537,★原価商品!$E$6:$F$349,2,FALSE)</f>
        <v>朝日/B4（折り無し）</v>
      </c>
      <c r="AE537" s="203">
        <f t="shared" ca="1" si="66"/>
        <v>0</v>
      </c>
      <c r="AF537" s="383">
        <f ca="1">IFERROR(IF(VLOOKUP(申込書!$C$32,★サイズ表記!$F$4:$H$55,3,FALSE)="切り捨て",ROUNDDOWN(L537*IF(AK537="◎",I537,J537)/100,2),IF(VLOOKUP(申込書!$C$32,★サイズ表記!$F$4:$H$55,3,FALSE)="切り上げ",ROUNDUP(L537*IF(AK537="◎",I537,J537)/100,2),ROUND(L537*IF(AK537="◎",I537,J537)/100,2))),0)</f>
        <v>2.63</v>
      </c>
      <c r="AG537" s="203">
        <f t="shared" ca="1" si="67"/>
        <v>10561</v>
      </c>
      <c r="AJ537" s="460" t="str">
        <f>IFERROR(VLOOKUP(申込書!$C$30,★業種!$D$2:$E$87,2,FALSE),"")</f>
        <v>1003</v>
      </c>
      <c r="AK537" s="460" t="str">
        <f ca="1">IF(申込書!$C$36="◎",IF(OR(D537="浜坂・温泉",D537="美方・村岡",D537="香住",D537="岡山",D537="大阪"),"",IF(LEFT(F537)="D","◎",IF(AG537=0,"",IFERROR(IF(VLOOKUP(AG537,★仕入先!$A$2:$C$211,3,FALSE)=0,"","◎"),"")))),"")</f>
        <v/>
      </c>
      <c r="AL537" s="460">
        <f>申込書!$H$14</f>
        <v>0</v>
      </c>
      <c r="AM537" s="460" t="str">
        <f>申込書!$C$32</f>
        <v>B4（折り無し）</v>
      </c>
      <c r="AN537" s="460" t="str">
        <f>VLOOKUP(AM537,★サイズ表記!$D$4:$E$55,2,FALSE)</f>
        <v>1001</v>
      </c>
      <c r="AO537" s="460">
        <f>IF(C537&lt;&gt;"⑧兵庫",VLOOKUP(LEFT(F537),★新聞!$A$4:$B$12,2,FALSE),IF(LEFT(F537)&lt;&gt;"S",VLOOKUP(LEFT(F537),★新聞!$A$4:$B$12,2,FALSE),VLOOKUP("X",★新聞!$A$4:$B$12,2,FALSE)))</f>
        <v>2</v>
      </c>
      <c r="AP537" s="460" t="str">
        <f t="shared" ca="1" si="68"/>
        <v>0</v>
      </c>
      <c r="AQ537" s="460" t="str">
        <f>IF(申込書!$C$38="","",申込書!$C$38)</f>
        <v/>
      </c>
    </row>
    <row r="538" spans="1:43">
      <c r="A538" s="463">
        <f t="shared" si="69"/>
        <v>537</v>
      </c>
      <c r="B538" s="463" t="str">
        <f t="shared" si="55"/>
        <v>東部</v>
      </c>
      <c r="C538" s="464" t="s">
        <v>1018</v>
      </c>
      <c r="D538" s="464" t="s">
        <v>1603</v>
      </c>
      <c r="E538" s="464">
        <f>VLOOKUP(D538,★折込地区!$A$2:$D$10,4,FALSE)</f>
        <v>3</v>
      </c>
      <c r="F538" s="464" t="s">
        <v>410</v>
      </c>
      <c r="G538" s="464" t="str">
        <f>INDEX(★新聞!$E$4:$I$12, MATCH(LEFT(F538),★新聞!$A$4:$A$12,0), MATCH(LEFT(W538),★新聞!$E$3:$I$3,0))</f>
        <v>AA</v>
      </c>
      <c r="H538" s="475" t="s">
        <v>1119</v>
      </c>
      <c r="I538" s="464" cm="1">
        <f t="array" ref="I538">IFERROR(INDEX(★原価率!$A$2:$E$50,MATCH($C538&amp;$H538,★原価率!$A$2:$A$50&amp;★原価率!$B$2:$B$50,0),3),0)</f>
        <v>94</v>
      </c>
      <c r="J538" s="464" cm="1">
        <f t="array" ref="J538">IFERROR(INDEX(★原価率!$A$2:$E$50,MATCH($C538&amp;$H538,★原価率!$A$2:$A$50&amp;★原価率!$B$2:$B$50,0),4),0)</f>
        <v>94</v>
      </c>
      <c r="K538" s="464" cm="1">
        <f t="array" ref="K538">IFERROR(INDEX(★原価率!$A$2:$E$50,MATCH($C538&amp;$H538,★原価率!$A$2:$A$50&amp;★原価率!$B$2:$B$50,0),5),0)</f>
        <v>100</v>
      </c>
      <c r="L538" s="528">
        <f>IFERROR(VLOOKUP(W538,★商品!$A$1:$H$1231,8,FALSE),0)</f>
        <v>2.8</v>
      </c>
      <c r="M538" s="203" t="str">
        <f ca="1">CONCATENATE(VLOOKUP(B538,★営業所!$A$2:$B$5,2,FALSE),TEXT(NOW(),"yyyy"))</f>
        <v>T2023</v>
      </c>
      <c r="N538" s="203">
        <v>1</v>
      </c>
      <c r="O538" s="203">
        <v>0</v>
      </c>
      <c r="P538" s="213">
        <f>申込書!$B$6</f>
        <v>0</v>
      </c>
      <c r="Q538" s="203">
        <f>申込書!$C$34</f>
        <v>1000040</v>
      </c>
      <c r="R538" s="203">
        <v>0</v>
      </c>
      <c r="U538" s="203">
        <f>VLOOKUP(B538,★営業所!$A$2:$C$5,3,FALSE)</f>
        <v>8</v>
      </c>
      <c r="V538" s="203">
        <f>申込書!$B$9</f>
        <v>0</v>
      </c>
      <c r="W538" s="203" t="str">
        <f>CONCATENATE(VLOOKUP(B538,★営業所!$A$2:$B$5,2,FALSE),VLOOKUP(申込書!$C$32,★サイズ表記!$D$4:$E$55,2,FALSE),VLOOKUP(D538,★折込地区!$A$2:$B$11,2,FALSE))</f>
        <v>T1001Yng</v>
      </c>
      <c r="X538" s="203" t="str">
        <f>CONCATENATE(申込書!$B$9," ",VLOOKUP(RIGHT(W538,3),★折込地区!$B$2:$C$10,2,FALSE),"")</f>
        <v xml:space="preserve"> 米子</v>
      </c>
      <c r="Z538" s="206">
        <f t="shared" ca="1" si="63"/>
        <v>0</v>
      </c>
      <c r="AB538" s="383">
        <f t="shared" si="64"/>
        <v>2.8</v>
      </c>
      <c r="AC538" s="203" t="str">
        <f t="shared" si="65"/>
        <v>G1001</v>
      </c>
      <c r="AD538" s="203" t="str">
        <f>VLOOKUP(AC538,★原価商品!$E$6:$F$349,2,FALSE)</f>
        <v>朝日/B4（折り無し）</v>
      </c>
      <c r="AE538" s="203">
        <f t="shared" ca="1" si="66"/>
        <v>0</v>
      </c>
      <c r="AF538" s="383">
        <f ca="1">IFERROR(IF(VLOOKUP(申込書!$C$32,★サイズ表記!$F$4:$H$55,3,FALSE)="切り捨て",ROUNDDOWN(L538*IF(AK538="◎",I538,J538)/100,2),IF(VLOOKUP(申込書!$C$32,★サイズ表記!$F$4:$H$55,3,FALSE)="切り上げ",ROUNDUP(L538*IF(AK538="◎",I538,J538)/100,2),ROUND(L538*IF(AK538="◎",I538,J538)/100,2))),0)</f>
        <v>2.63</v>
      </c>
      <c r="AG538" s="203">
        <f t="shared" ca="1" si="67"/>
        <v>0</v>
      </c>
      <c r="AJ538" s="460" t="str">
        <f>IFERROR(VLOOKUP(申込書!$C$30,★業種!$D$2:$E$87,2,FALSE),"")</f>
        <v>1003</v>
      </c>
      <c r="AK538" s="460" t="str">
        <f ca="1">IF(申込書!$C$36="◎",IF(OR(D538="浜坂・温泉",D538="美方・村岡",D538="香住",D538="岡山",D538="大阪"),"",IF(LEFT(F538)="D","◎",IF(AG538=0,"",IFERROR(IF(VLOOKUP(AG538,★仕入先!$A$2:$C$211,3,FALSE)=0,"","◎"),"")))),"")</f>
        <v/>
      </c>
      <c r="AL538" s="460">
        <f>申込書!$H$14</f>
        <v>0</v>
      </c>
      <c r="AM538" s="460" t="str">
        <f>申込書!$C$32</f>
        <v>B4（折り無し）</v>
      </c>
      <c r="AN538" s="460" t="str">
        <f>VLOOKUP(AM538,★サイズ表記!$D$4:$E$55,2,FALSE)</f>
        <v>1001</v>
      </c>
      <c r="AO538" s="460">
        <f>IF(C538&lt;&gt;"⑧兵庫",VLOOKUP(LEFT(F538),★新聞!$A$4:$B$12,2,FALSE),IF(LEFT(F538)&lt;&gt;"S",VLOOKUP(LEFT(F538),★新聞!$A$4:$B$12,2,FALSE),VLOOKUP("X",★新聞!$A$4:$B$12,2,FALSE)))</f>
        <v>2</v>
      </c>
      <c r="AP538" s="460" t="str">
        <f t="shared" ca="1" si="68"/>
        <v>0</v>
      </c>
      <c r="AQ538" s="460" t="str">
        <f>IF(申込書!$C$38="","",申込書!$C$38)</f>
        <v/>
      </c>
    </row>
    <row r="539" spans="1:43">
      <c r="A539" s="463">
        <f t="shared" si="69"/>
        <v>538</v>
      </c>
      <c r="B539" s="463" t="str">
        <f t="shared" si="55"/>
        <v>東部</v>
      </c>
      <c r="C539" s="464" t="s">
        <v>1018</v>
      </c>
      <c r="D539" s="464" t="s">
        <v>1603</v>
      </c>
      <c r="E539" s="464">
        <f>VLOOKUP(D539,★折込地区!$A$2:$D$10,4,FALSE)</f>
        <v>3</v>
      </c>
      <c r="F539" s="464" t="s">
        <v>411</v>
      </c>
      <c r="G539" s="464" t="str">
        <f>INDEX(★新聞!$E$4:$I$12, MATCH(LEFT(F539),★新聞!$A$4:$A$12,0), MATCH(LEFT(W539),★新聞!$E$3:$I$3,0))</f>
        <v>AA</v>
      </c>
      <c r="H539" s="475" t="s">
        <v>1119</v>
      </c>
      <c r="I539" s="464" cm="1">
        <f t="array" ref="I539">IFERROR(INDEX(★原価率!$A$2:$E$50,MATCH($C539&amp;$H539,★原価率!$A$2:$A$50&amp;★原価率!$B$2:$B$50,0),3),0)</f>
        <v>94</v>
      </c>
      <c r="J539" s="464" cm="1">
        <f t="array" ref="J539">IFERROR(INDEX(★原価率!$A$2:$E$50,MATCH($C539&amp;$H539,★原価率!$A$2:$A$50&amp;★原価率!$B$2:$B$50,0),4),0)</f>
        <v>94</v>
      </c>
      <c r="K539" s="464" cm="1">
        <f t="array" ref="K539">IFERROR(INDEX(★原価率!$A$2:$E$50,MATCH($C539&amp;$H539,★原価率!$A$2:$A$50&amp;★原価率!$B$2:$B$50,0),5),0)</f>
        <v>100</v>
      </c>
      <c r="L539" s="528">
        <f>IFERROR(VLOOKUP(W539,★商品!$A$1:$H$1231,8,FALSE),0)</f>
        <v>2.8</v>
      </c>
      <c r="M539" s="203" t="str">
        <f ca="1">CONCATENATE(VLOOKUP(B539,★営業所!$A$2:$B$5,2,FALSE),TEXT(NOW(),"yyyy"))</f>
        <v>T2023</v>
      </c>
      <c r="N539" s="203">
        <v>1</v>
      </c>
      <c r="O539" s="203">
        <v>0</v>
      </c>
      <c r="P539" s="213">
        <f>申込書!$B$6</f>
        <v>0</v>
      </c>
      <c r="Q539" s="203">
        <f>申込書!$C$34</f>
        <v>1000040</v>
      </c>
      <c r="R539" s="203">
        <v>0</v>
      </c>
      <c r="U539" s="203">
        <f>VLOOKUP(B539,★営業所!$A$2:$C$5,3,FALSE)</f>
        <v>8</v>
      </c>
      <c r="V539" s="203">
        <f>申込書!$B$9</f>
        <v>0</v>
      </c>
      <c r="W539" s="203" t="str">
        <f>CONCATENATE(VLOOKUP(B539,★営業所!$A$2:$B$5,2,FALSE),VLOOKUP(申込書!$C$32,★サイズ表記!$D$4:$E$55,2,FALSE),VLOOKUP(D539,★折込地区!$A$2:$B$11,2,FALSE))</f>
        <v>T1001Yng</v>
      </c>
      <c r="X539" s="203" t="str">
        <f>CONCATENATE(申込書!$B$9," ",VLOOKUP(RIGHT(W539,3),★折込地区!$B$2:$C$10,2,FALSE),"")</f>
        <v xml:space="preserve"> 米子</v>
      </c>
      <c r="Z539" s="206">
        <f t="shared" ca="1" si="63"/>
        <v>0</v>
      </c>
      <c r="AB539" s="383">
        <f t="shared" si="64"/>
        <v>2.8</v>
      </c>
      <c r="AC539" s="203" t="str">
        <f t="shared" si="65"/>
        <v>G1001</v>
      </c>
      <c r="AD539" s="203" t="str">
        <f>VLOOKUP(AC539,★原価商品!$E$6:$F$349,2,FALSE)</f>
        <v>朝日/B4（折り無し）</v>
      </c>
      <c r="AE539" s="203">
        <f t="shared" ca="1" si="66"/>
        <v>0</v>
      </c>
      <c r="AF539" s="383">
        <f ca="1">IFERROR(IF(VLOOKUP(申込書!$C$32,★サイズ表記!$F$4:$H$55,3,FALSE)="切り捨て",ROUNDDOWN(L539*IF(AK539="◎",I539,J539)/100,2),IF(VLOOKUP(申込書!$C$32,★サイズ表記!$F$4:$H$55,3,FALSE)="切り上げ",ROUNDUP(L539*IF(AK539="◎",I539,J539)/100,2),ROUND(L539*IF(AK539="◎",I539,J539)/100,2))),0)</f>
        <v>2.63</v>
      </c>
      <c r="AG539" s="203">
        <f t="shared" ca="1" si="67"/>
        <v>0</v>
      </c>
      <c r="AJ539" s="460" t="str">
        <f>IFERROR(VLOOKUP(申込書!$C$30,★業種!$D$2:$E$87,2,FALSE),"")</f>
        <v>1003</v>
      </c>
      <c r="AK539" s="460" t="str">
        <f ca="1">IF(申込書!$C$36="◎",IF(OR(D539="浜坂・温泉",D539="美方・村岡",D539="香住",D539="岡山",D539="大阪"),"",IF(LEFT(F539)="D","◎",IF(AG539=0,"",IFERROR(IF(VLOOKUP(AG539,★仕入先!$A$2:$C$211,3,FALSE)=0,"","◎"),"")))),"")</f>
        <v/>
      </c>
      <c r="AL539" s="460">
        <f>申込書!$H$14</f>
        <v>0</v>
      </c>
      <c r="AM539" s="460" t="str">
        <f>申込書!$C$32</f>
        <v>B4（折り無し）</v>
      </c>
      <c r="AN539" s="460" t="str">
        <f>VLOOKUP(AM539,★サイズ表記!$D$4:$E$55,2,FALSE)</f>
        <v>1001</v>
      </c>
      <c r="AO539" s="460">
        <f>IF(C539&lt;&gt;"⑧兵庫",VLOOKUP(LEFT(F539),★新聞!$A$4:$B$12,2,FALSE),IF(LEFT(F539)&lt;&gt;"S",VLOOKUP(LEFT(F539),★新聞!$A$4:$B$12,2,FALSE),VLOOKUP("X",★新聞!$A$4:$B$12,2,FALSE)))</f>
        <v>2</v>
      </c>
      <c r="AP539" s="460" t="str">
        <f t="shared" ca="1" si="68"/>
        <v>0</v>
      </c>
      <c r="AQ539" s="460" t="str">
        <f>IF(申込書!$C$38="","",申込書!$C$38)</f>
        <v/>
      </c>
    </row>
    <row r="540" spans="1:43">
      <c r="A540" s="463">
        <f t="shared" si="69"/>
        <v>539</v>
      </c>
      <c r="B540" s="463" t="str">
        <f t="shared" si="55"/>
        <v>東部</v>
      </c>
      <c r="C540" s="464" t="s">
        <v>1018</v>
      </c>
      <c r="D540" s="464" t="s">
        <v>1603</v>
      </c>
      <c r="E540" s="464">
        <f>VLOOKUP(D540,★折込地区!$A$2:$D$10,4,FALSE)</f>
        <v>3</v>
      </c>
      <c r="F540" s="464" t="s">
        <v>412</v>
      </c>
      <c r="G540" s="464" t="str">
        <f>INDEX(★新聞!$E$4:$I$12, MATCH(LEFT(F540),★新聞!$A$4:$A$12,0), MATCH(LEFT(W540),★新聞!$E$3:$I$3,0))</f>
        <v>AA</v>
      </c>
      <c r="H540" s="475" t="s">
        <v>1119</v>
      </c>
      <c r="I540" s="464" cm="1">
        <f t="array" ref="I540">IFERROR(INDEX(★原価率!$A$2:$E$50,MATCH($C540&amp;$H540,★原価率!$A$2:$A$50&amp;★原価率!$B$2:$B$50,0),3),0)</f>
        <v>94</v>
      </c>
      <c r="J540" s="464" cm="1">
        <f t="array" ref="J540">IFERROR(INDEX(★原価率!$A$2:$E$50,MATCH($C540&amp;$H540,★原価率!$A$2:$A$50&amp;★原価率!$B$2:$B$50,0),4),0)</f>
        <v>94</v>
      </c>
      <c r="K540" s="464" cm="1">
        <f t="array" ref="K540">IFERROR(INDEX(★原価率!$A$2:$E$50,MATCH($C540&amp;$H540,★原価率!$A$2:$A$50&amp;★原価率!$B$2:$B$50,0),5),0)</f>
        <v>100</v>
      </c>
      <c r="L540" s="528">
        <f>IFERROR(VLOOKUP(W540,★商品!$A$1:$H$1231,8,FALSE),0)</f>
        <v>2.8</v>
      </c>
      <c r="M540" s="203" t="str">
        <f ca="1">CONCATENATE(VLOOKUP(B540,★営業所!$A$2:$B$5,2,FALSE),TEXT(NOW(),"yyyy"))</f>
        <v>T2023</v>
      </c>
      <c r="N540" s="203">
        <v>1</v>
      </c>
      <c r="O540" s="203">
        <v>0</v>
      </c>
      <c r="P540" s="213">
        <f>申込書!$B$6</f>
        <v>0</v>
      </c>
      <c r="Q540" s="203">
        <f>申込書!$C$34</f>
        <v>1000040</v>
      </c>
      <c r="R540" s="203">
        <v>0</v>
      </c>
      <c r="U540" s="203">
        <f>VLOOKUP(B540,★営業所!$A$2:$C$5,3,FALSE)</f>
        <v>8</v>
      </c>
      <c r="V540" s="203">
        <f>申込書!$B$9</f>
        <v>0</v>
      </c>
      <c r="W540" s="203" t="str">
        <f>CONCATENATE(VLOOKUP(B540,★営業所!$A$2:$B$5,2,FALSE),VLOOKUP(申込書!$C$32,★サイズ表記!$D$4:$E$55,2,FALSE),VLOOKUP(D540,★折込地区!$A$2:$B$11,2,FALSE))</f>
        <v>T1001Yng</v>
      </c>
      <c r="X540" s="203" t="str">
        <f>CONCATENATE(申込書!$B$9," ",VLOOKUP(RIGHT(W540,3),★折込地区!$B$2:$C$10,2,FALSE),"")</f>
        <v xml:space="preserve"> 米子</v>
      </c>
      <c r="Z540" s="206">
        <f t="shared" ca="1" si="63"/>
        <v>0</v>
      </c>
      <c r="AB540" s="383">
        <f t="shared" si="64"/>
        <v>2.8</v>
      </c>
      <c r="AC540" s="203" t="str">
        <f t="shared" si="65"/>
        <v>G1001</v>
      </c>
      <c r="AD540" s="203" t="str">
        <f>VLOOKUP(AC540,★原価商品!$E$6:$F$349,2,FALSE)</f>
        <v>朝日/B4（折り無し）</v>
      </c>
      <c r="AE540" s="203">
        <f t="shared" ca="1" si="66"/>
        <v>0</v>
      </c>
      <c r="AF540" s="383">
        <f ca="1">IFERROR(IF(VLOOKUP(申込書!$C$32,★サイズ表記!$F$4:$H$55,3,FALSE)="切り捨て",ROUNDDOWN(L540*IF(AK540="◎",I540,J540)/100,2),IF(VLOOKUP(申込書!$C$32,★サイズ表記!$F$4:$H$55,3,FALSE)="切り上げ",ROUNDUP(L540*IF(AK540="◎",I540,J540)/100,2),ROUND(L540*IF(AK540="◎",I540,J540)/100,2))),0)</f>
        <v>2.63</v>
      </c>
      <c r="AG540" s="203">
        <f t="shared" ca="1" si="67"/>
        <v>0</v>
      </c>
      <c r="AJ540" s="460" t="str">
        <f>IFERROR(VLOOKUP(申込書!$C$30,★業種!$D$2:$E$87,2,FALSE),"")</f>
        <v>1003</v>
      </c>
      <c r="AK540" s="460" t="str">
        <f ca="1">IF(申込書!$C$36="◎",IF(OR(D540="浜坂・温泉",D540="美方・村岡",D540="香住",D540="岡山",D540="大阪"),"",IF(LEFT(F540)="D","◎",IF(AG540=0,"",IFERROR(IF(VLOOKUP(AG540,★仕入先!$A$2:$C$211,3,FALSE)=0,"","◎"),"")))),"")</f>
        <v/>
      </c>
      <c r="AL540" s="460">
        <f>申込書!$H$14</f>
        <v>0</v>
      </c>
      <c r="AM540" s="460" t="str">
        <f>申込書!$C$32</f>
        <v>B4（折り無し）</v>
      </c>
      <c r="AN540" s="460" t="str">
        <f>VLOOKUP(AM540,★サイズ表記!$D$4:$E$55,2,FALSE)</f>
        <v>1001</v>
      </c>
      <c r="AO540" s="460">
        <f>IF(C540&lt;&gt;"⑧兵庫",VLOOKUP(LEFT(F540),★新聞!$A$4:$B$12,2,FALSE),IF(LEFT(F540)&lt;&gt;"S",VLOOKUP(LEFT(F540),★新聞!$A$4:$B$12,2,FALSE),VLOOKUP("X",★新聞!$A$4:$B$12,2,FALSE)))</f>
        <v>2</v>
      </c>
      <c r="AP540" s="460" t="str">
        <f t="shared" ca="1" si="68"/>
        <v>0</v>
      </c>
      <c r="AQ540" s="460" t="str">
        <f>IF(申込書!$C$38="","",申込書!$C$38)</f>
        <v/>
      </c>
    </row>
    <row r="541" spans="1:43">
      <c r="A541" s="463">
        <f t="shared" si="69"/>
        <v>540</v>
      </c>
      <c r="B541" s="463" t="str">
        <f t="shared" si="55"/>
        <v>東部</v>
      </c>
      <c r="C541" s="464" t="s">
        <v>1018</v>
      </c>
      <c r="D541" s="464" t="s">
        <v>1603</v>
      </c>
      <c r="E541" s="464">
        <f>VLOOKUP(D541,★折込地区!$A$2:$D$10,4,FALSE)</f>
        <v>3</v>
      </c>
      <c r="F541" s="464" t="s">
        <v>413</v>
      </c>
      <c r="G541" s="464" t="str">
        <f>INDEX(★新聞!$E$4:$I$12, MATCH(LEFT(F541),★新聞!$A$4:$A$12,0), MATCH(LEFT(W541),★新聞!$E$3:$I$3,0))</f>
        <v>AA</v>
      </c>
      <c r="H541" s="475" t="s">
        <v>1119</v>
      </c>
      <c r="I541" s="464" cm="1">
        <f t="array" ref="I541">IFERROR(INDEX(★原価率!$A$2:$E$50,MATCH($C541&amp;$H541,★原価率!$A$2:$A$50&amp;★原価率!$B$2:$B$50,0),3),0)</f>
        <v>94</v>
      </c>
      <c r="J541" s="464" cm="1">
        <f t="array" ref="J541">IFERROR(INDEX(★原価率!$A$2:$E$50,MATCH($C541&amp;$H541,★原価率!$A$2:$A$50&amp;★原価率!$B$2:$B$50,0),4),0)</f>
        <v>94</v>
      </c>
      <c r="K541" s="464" cm="1">
        <f t="array" ref="K541">IFERROR(INDEX(★原価率!$A$2:$E$50,MATCH($C541&amp;$H541,★原価率!$A$2:$A$50&amp;★原価率!$B$2:$B$50,0),5),0)</f>
        <v>100</v>
      </c>
      <c r="L541" s="528">
        <f>IFERROR(VLOOKUP(W541,★商品!$A$1:$H$1231,8,FALSE),0)</f>
        <v>2.8</v>
      </c>
      <c r="M541" s="203" t="str">
        <f ca="1">CONCATENATE(VLOOKUP(B541,★営業所!$A$2:$B$5,2,FALSE),TEXT(NOW(),"yyyy"))</f>
        <v>T2023</v>
      </c>
      <c r="N541" s="203">
        <v>1</v>
      </c>
      <c r="O541" s="203">
        <v>0</v>
      </c>
      <c r="P541" s="213">
        <f>申込書!$B$6</f>
        <v>0</v>
      </c>
      <c r="Q541" s="203">
        <f>申込書!$C$34</f>
        <v>1000040</v>
      </c>
      <c r="R541" s="203">
        <v>0</v>
      </c>
      <c r="U541" s="203">
        <f>VLOOKUP(B541,★営業所!$A$2:$C$5,3,FALSE)</f>
        <v>8</v>
      </c>
      <c r="V541" s="203">
        <f>申込書!$B$9</f>
        <v>0</v>
      </c>
      <c r="W541" s="203" t="str">
        <f>CONCATENATE(VLOOKUP(B541,★営業所!$A$2:$B$5,2,FALSE),VLOOKUP(申込書!$C$32,★サイズ表記!$D$4:$E$55,2,FALSE),VLOOKUP(D541,★折込地区!$A$2:$B$11,2,FALSE))</f>
        <v>T1001Yng</v>
      </c>
      <c r="X541" s="203" t="str">
        <f>CONCATENATE(申込書!$B$9," ",VLOOKUP(RIGHT(W541,3),★折込地区!$B$2:$C$10,2,FALSE),"")</f>
        <v xml:space="preserve"> 米子</v>
      </c>
      <c r="Z541" s="206">
        <f t="shared" ca="1" si="63"/>
        <v>0</v>
      </c>
      <c r="AB541" s="383">
        <f t="shared" si="64"/>
        <v>2.8</v>
      </c>
      <c r="AC541" s="203" t="str">
        <f t="shared" si="65"/>
        <v>G1001</v>
      </c>
      <c r="AD541" s="203" t="str">
        <f>VLOOKUP(AC541,★原価商品!$E$6:$F$349,2,FALSE)</f>
        <v>朝日/B4（折り無し）</v>
      </c>
      <c r="AE541" s="203">
        <f t="shared" ca="1" si="66"/>
        <v>0</v>
      </c>
      <c r="AF541" s="383">
        <f ca="1">IFERROR(IF(VLOOKUP(申込書!$C$32,★サイズ表記!$F$4:$H$55,3,FALSE)="切り捨て",ROUNDDOWN(L541*IF(AK541="◎",I541,J541)/100,2),IF(VLOOKUP(申込書!$C$32,★サイズ表記!$F$4:$H$55,3,FALSE)="切り上げ",ROUNDUP(L541*IF(AK541="◎",I541,J541)/100,2),ROUND(L541*IF(AK541="◎",I541,J541)/100,2))),0)</f>
        <v>2.63</v>
      </c>
      <c r="AG541" s="203">
        <f t="shared" ca="1" si="67"/>
        <v>0</v>
      </c>
      <c r="AJ541" s="460" t="str">
        <f>IFERROR(VLOOKUP(申込書!$C$30,★業種!$D$2:$E$87,2,FALSE),"")</f>
        <v>1003</v>
      </c>
      <c r="AK541" s="460" t="str">
        <f ca="1">IF(申込書!$C$36="◎",IF(OR(D541="浜坂・温泉",D541="美方・村岡",D541="香住",D541="岡山",D541="大阪"),"",IF(LEFT(F541)="D","◎",IF(AG541=0,"",IFERROR(IF(VLOOKUP(AG541,★仕入先!$A$2:$C$211,3,FALSE)=0,"","◎"),"")))),"")</f>
        <v/>
      </c>
      <c r="AL541" s="460">
        <f>申込書!$H$14</f>
        <v>0</v>
      </c>
      <c r="AM541" s="460" t="str">
        <f>申込書!$C$32</f>
        <v>B4（折り無し）</v>
      </c>
      <c r="AN541" s="460" t="str">
        <f>VLOOKUP(AM541,★サイズ表記!$D$4:$E$55,2,FALSE)</f>
        <v>1001</v>
      </c>
      <c r="AO541" s="460">
        <f>IF(C541&lt;&gt;"⑧兵庫",VLOOKUP(LEFT(F541),★新聞!$A$4:$B$12,2,FALSE),IF(LEFT(F541)&lt;&gt;"S",VLOOKUP(LEFT(F541),★新聞!$A$4:$B$12,2,FALSE),VLOOKUP("X",★新聞!$A$4:$B$12,2,FALSE)))</f>
        <v>2</v>
      </c>
      <c r="AP541" s="460" t="str">
        <f t="shared" ca="1" si="68"/>
        <v>0</v>
      </c>
      <c r="AQ541" s="460" t="str">
        <f>IF(申込書!$C$38="","",申込書!$C$38)</f>
        <v/>
      </c>
    </row>
    <row r="542" spans="1:43">
      <c r="A542" s="463">
        <f t="shared" si="69"/>
        <v>541</v>
      </c>
      <c r="B542" s="463" t="str">
        <f t="shared" si="55"/>
        <v>東部</v>
      </c>
      <c r="C542" s="464" t="s">
        <v>1018</v>
      </c>
      <c r="D542" s="464" t="s">
        <v>1603</v>
      </c>
      <c r="E542" s="464">
        <f>VLOOKUP(D542,★折込地区!$A$2:$D$10,4,FALSE)</f>
        <v>3</v>
      </c>
      <c r="F542" s="464" t="s">
        <v>414</v>
      </c>
      <c r="G542" s="464" t="str">
        <f>INDEX(★新聞!$E$4:$I$12, MATCH(LEFT(F542),★新聞!$A$4:$A$12,0), MATCH(LEFT(W542),★新聞!$E$3:$I$3,0))</f>
        <v>AA</v>
      </c>
      <c r="H542" s="475" t="s">
        <v>1119</v>
      </c>
      <c r="I542" s="464" cm="1">
        <f t="array" ref="I542">IFERROR(INDEX(★原価率!$A$2:$E$50,MATCH($C542&amp;$H542,★原価率!$A$2:$A$50&amp;★原価率!$B$2:$B$50,0),3),0)</f>
        <v>94</v>
      </c>
      <c r="J542" s="464" cm="1">
        <f t="array" ref="J542">IFERROR(INDEX(★原価率!$A$2:$E$50,MATCH($C542&amp;$H542,★原価率!$A$2:$A$50&amp;★原価率!$B$2:$B$50,0),4),0)</f>
        <v>94</v>
      </c>
      <c r="K542" s="464" cm="1">
        <f t="array" ref="K542">IFERROR(INDEX(★原価率!$A$2:$E$50,MATCH($C542&amp;$H542,★原価率!$A$2:$A$50&amp;★原価率!$B$2:$B$50,0),5),0)</f>
        <v>100</v>
      </c>
      <c r="L542" s="528">
        <f>IFERROR(VLOOKUP(W542,★商品!$A$1:$H$1231,8,FALSE),0)</f>
        <v>2.8</v>
      </c>
      <c r="M542" s="203" t="str">
        <f ca="1">CONCATENATE(VLOOKUP(B542,★営業所!$A$2:$B$5,2,FALSE),TEXT(NOW(),"yyyy"))</f>
        <v>T2023</v>
      </c>
      <c r="N542" s="203">
        <v>1</v>
      </c>
      <c r="O542" s="203">
        <v>0</v>
      </c>
      <c r="P542" s="213">
        <f>申込書!$B$6</f>
        <v>0</v>
      </c>
      <c r="Q542" s="203">
        <f>申込書!$C$34</f>
        <v>1000040</v>
      </c>
      <c r="R542" s="203">
        <v>0</v>
      </c>
      <c r="U542" s="203">
        <f>VLOOKUP(B542,★営業所!$A$2:$C$5,3,FALSE)</f>
        <v>8</v>
      </c>
      <c r="V542" s="203">
        <f>申込書!$B$9</f>
        <v>0</v>
      </c>
      <c r="W542" s="203" t="str">
        <f>CONCATENATE(VLOOKUP(B542,★営業所!$A$2:$B$5,2,FALSE),VLOOKUP(申込書!$C$32,★サイズ表記!$D$4:$E$55,2,FALSE),VLOOKUP(D542,★折込地区!$A$2:$B$11,2,FALSE))</f>
        <v>T1001Yng</v>
      </c>
      <c r="X542" s="203" t="str">
        <f>CONCATENATE(申込書!$B$9," ",VLOOKUP(RIGHT(W542,3),★折込地区!$B$2:$C$10,2,FALSE),"")</f>
        <v xml:space="preserve"> 米子</v>
      </c>
      <c r="Z542" s="206">
        <f t="shared" ca="1" si="63"/>
        <v>0</v>
      </c>
      <c r="AB542" s="383">
        <f t="shared" si="64"/>
        <v>2.8</v>
      </c>
      <c r="AC542" s="203" t="str">
        <f t="shared" si="65"/>
        <v>G1001</v>
      </c>
      <c r="AD542" s="203" t="str">
        <f>VLOOKUP(AC542,★原価商品!$E$6:$F$349,2,FALSE)</f>
        <v>朝日/B4（折り無し）</v>
      </c>
      <c r="AE542" s="203">
        <f t="shared" ca="1" si="66"/>
        <v>0</v>
      </c>
      <c r="AF542" s="383">
        <f ca="1">IFERROR(IF(VLOOKUP(申込書!$C$32,★サイズ表記!$F$4:$H$55,3,FALSE)="切り捨て",ROUNDDOWN(L542*IF(AK542="◎",I542,J542)/100,2),IF(VLOOKUP(申込書!$C$32,★サイズ表記!$F$4:$H$55,3,FALSE)="切り上げ",ROUNDUP(L542*IF(AK542="◎",I542,J542)/100,2),ROUND(L542*IF(AK542="◎",I542,J542)/100,2))),0)</f>
        <v>2.63</v>
      </c>
      <c r="AG542" s="203">
        <f t="shared" ca="1" si="67"/>
        <v>0</v>
      </c>
      <c r="AJ542" s="460" t="str">
        <f>IFERROR(VLOOKUP(申込書!$C$30,★業種!$D$2:$E$87,2,FALSE),"")</f>
        <v>1003</v>
      </c>
      <c r="AK542" s="460" t="str">
        <f ca="1">IF(申込書!$C$36="◎",IF(OR(D542="浜坂・温泉",D542="美方・村岡",D542="香住",D542="岡山",D542="大阪"),"",IF(LEFT(F542)="D","◎",IF(AG542=0,"",IFERROR(IF(VLOOKUP(AG542,★仕入先!$A$2:$C$211,3,FALSE)=0,"","◎"),"")))),"")</f>
        <v/>
      </c>
      <c r="AL542" s="460">
        <f>申込書!$H$14</f>
        <v>0</v>
      </c>
      <c r="AM542" s="460" t="str">
        <f>申込書!$C$32</f>
        <v>B4（折り無し）</v>
      </c>
      <c r="AN542" s="460" t="str">
        <f>VLOOKUP(AM542,★サイズ表記!$D$4:$E$55,2,FALSE)</f>
        <v>1001</v>
      </c>
      <c r="AO542" s="460">
        <f>IF(C542&lt;&gt;"⑧兵庫",VLOOKUP(LEFT(F542),★新聞!$A$4:$B$12,2,FALSE),IF(LEFT(F542)&lt;&gt;"S",VLOOKUP(LEFT(F542),★新聞!$A$4:$B$12,2,FALSE),VLOOKUP("X",★新聞!$A$4:$B$12,2,FALSE)))</f>
        <v>2</v>
      </c>
      <c r="AP542" s="460" t="str">
        <f t="shared" ca="1" si="68"/>
        <v>0</v>
      </c>
      <c r="AQ542" s="460" t="str">
        <f>IF(申込書!$C$38="","",申込書!$C$38)</f>
        <v/>
      </c>
    </row>
    <row r="543" spans="1:43">
      <c r="A543" s="463">
        <f t="shared" si="69"/>
        <v>542</v>
      </c>
      <c r="B543" s="463" t="str">
        <f t="shared" si="55"/>
        <v>東部</v>
      </c>
      <c r="C543" s="464" t="s">
        <v>1018</v>
      </c>
      <c r="D543" s="464" t="s">
        <v>1603</v>
      </c>
      <c r="E543" s="464">
        <f>VLOOKUP(D543,★折込地区!$A$2:$D$10,4,FALSE)</f>
        <v>3</v>
      </c>
      <c r="F543" s="464" t="s">
        <v>415</v>
      </c>
      <c r="G543" s="464" t="str">
        <f>INDEX(★新聞!$E$4:$I$12, MATCH(LEFT(F543),★新聞!$A$4:$A$12,0), MATCH(LEFT(W543),★新聞!$E$3:$I$3,0))</f>
        <v>AA</v>
      </c>
      <c r="H543" s="475" t="s">
        <v>1119</v>
      </c>
      <c r="I543" s="464" cm="1">
        <f t="array" ref="I543">IFERROR(INDEX(★原価率!$A$2:$E$50,MATCH($C543&amp;$H543,★原価率!$A$2:$A$50&amp;★原価率!$B$2:$B$50,0),3),0)</f>
        <v>94</v>
      </c>
      <c r="J543" s="464" cm="1">
        <f t="array" ref="J543">IFERROR(INDEX(★原価率!$A$2:$E$50,MATCH($C543&amp;$H543,★原価率!$A$2:$A$50&amp;★原価率!$B$2:$B$50,0),4),0)</f>
        <v>94</v>
      </c>
      <c r="K543" s="464" cm="1">
        <f t="array" ref="K543">IFERROR(INDEX(★原価率!$A$2:$E$50,MATCH($C543&amp;$H543,★原価率!$A$2:$A$50&amp;★原価率!$B$2:$B$50,0),5),0)</f>
        <v>100</v>
      </c>
      <c r="L543" s="528">
        <f>IFERROR(VLOOKUP(W543,★商品!$A$1:$H$1231,8,FALSE),0)</f>
        <v>2.8</v>
      </c>
      <c r="M543" s="203" t="str">
        <f ca="1">CONCATENATE(VLOOKUP(B543,★営業所!$A$2:$B$5,2,FALSE),TEXT(NOW(),"yyyy"))</f>
        <v>T2023</v>
      </c>
      <c r="N543" s="203">
        <v>1</v>
      </c>
      <c r="O543" s="203">
        <v>0</v>
      </c>
      <c r="P543" s="213">
        <f>申込書!$B$6</f>
        <v>0</v>
      </c>
      <c r="Q543" s="203">
        <f>申込書!$C$34</f>
        <v>1000040</v>
      </c>
      <c r="R543" s="203">
        <v>0</v>
      </c>
      <c r="U543" s="203">
        <f>VLOOKUP(B543,★営業所!$A$2:$C$5,3,FALSE)</f>
        <v>8</v>
      </c>
      <c r="V543" s="203">
        <f>申込書!$B$9</f>
        <v>0</v>
      </c>
      <c r="W543" s="203" t="str">
        <f>CONCATENATE(VLOOKUP(B543,★営業所!$A$2:$B$5,2,FALSE),VLOOKUP(申込書!$C$32,★サイズ表記!$D$4:$E$55,2,FALSE),VLOOKUP(D543,★折込地区!$A$2:$B$11,2,FALSE))</f>
        <v>T1001Yng</v>
      </c>
      <c r="X543" s="203" t="str">
        <f>CONCATENATE(申込書!$B$9," ",VLOOKUP(RIGHT(W543,3),★折込地区!$B$2:$C$10,2,FALSE),"")</f>
        <v xml:space="preserve"> 米子</v>
      </c>
      <c r="Z543" s="206">
        <f t="shared" ca="1" si="63"/>
        <v>0</v>
      </c>
      <c r="AB543" s="383">
        <f t="shared" si="64"/>
        <v>2.8</v>
      </c>
      <c r="AC543" s="203" t="str">
        <f t="shared" si="65"/>
        <v>G1001</v>
      </c>
      <c r="AD543" s="203" t="str">
        <f>VLOOKUP(AC543,★原価商品!$E$6:$F$349,2,FALSE)</f>
        <v>朝日/B4（折り無し）</v>
      </c>
      <c r="AE543" s="203">
        <f t="shared" ca="1" si="66"/>
        <v>0</v>
      </c>
      <c r="AF543" s="383">
        <f ca="1">IFERROR(IF(VLOOKUP(申込書!$C$32,★サイズ表記!$F$4:$H$55,3,FALSE)="切り捨て",ROUNDDOWN(L543*IF(AK543="◎",I543,J543)/100,2),IF(VLOOKUP(申込書!$C$32,★サイズ表記!$F$4:$H$55,3,FALSE)="切り上げ",ROUNDUP(L543*IF(AK543="◎",I543,J543)/100,2),ROUND(L543*IF(AK543="◎",I543,J543)/100,2))),0)</f>
        <v>2.63</v>
      </c>
      <c r="AG543" s="203">
        <f t="shared" ca="1" si="67"/>
        <v>0</v>
      </c>
      <c r="AJ543" s="460" t="str">
        <f>IFERROR(VLOOKUP(申込書!$C$30,★業種!$D$2:$E$87,2,FALSE),"")</f>
        <v>1003</v>
      </c>
      <c r="AK543" s="460" t="str">
        <f ca="1">IF(申込書!$C$36="◎",IF(OR(D543="浜坂・温泉",D543="美方・村岡",D543="香住",D543="岡山",D543="大阪"),"",IF(LEFT(F543)="D","◎",IF(AG543=0,"",IFERROR(IF(VLOOKUP(AG543,★仕入先!$A$2:$C$211,3,FALSE)=0,"","◎"),"")))),"")</f>
        <v/>
      </c>
      <c r="AL543" s="460">
        <f>申込書!$H$14</f>
        <v>0</v>
      </c>
      <c r="AM543" s="460" t="str">
        <f>申込書!$C$32</f>
        <v>B4（折り無し）</v>
      </c>
      <c r="AN543" s="460" t="str">
        <f>VLOOKUP(AM543,★サイズ表記!$D$4:$E$55,2,FALSE)</f>
        <v>1001</v>
      </c>
      <c r="AO543" s="460">
        <f>IF(C543&lt;&gt;"⑧兵庫",VLOOKUP(LEFT(F543),★新聞!$A$4:$B$12,2,FALSE),IF(LEFT(F543)&lt;&gt;"S",VLOOKUP(LEFT(F543),★新聞!$A$4:$B$12,2,FALSE),VLOOKUP("X",★新聞!$A$4:$B$12,2,FALSE)))</f>
        <v>2</v>
      </c>
      <c r="AP543" s="460" t="str">
        <f t="shared" ca="1" si="68"/>
        <v>0</v>
      </c>
      <c r="AQ543" s="460" t="str">
        <f>IF(申込書!$C$38="","",申込書!$C$38)</f>
        <v/>
      </c>
    </row>
    <row r="544" spans="1:43">
      <c r="A544" s="463">
        <f t="shared" si="69"/>
        <v>543</v>
      </c>
      <c r="B544" s="463" t="str">
        <f t="shared" si="55"/>
        <v>東部</v>
      </c>
      <c r="C544" s="464" t="s">
        <v>1018</v>
      </c>
      <c r="D544" s="464" t="s">
        <v>1603</v>
      </c>
      <c r="E544" s="464">
        <f>VLOOKUP(D544,★折込地区!$A$2:$D$10,4,FALSE)</f>
        <v>3</v>
      </c>
      <c r="F544" s="464" t="s">
        <v>416</v>
      </c>
      <c r="G544" s="464" t="str">
        <f>INDEX(★新聞!$E$4:$I$12, MATCH(LEFT(F544),★新聞!$A$4:$A$12,0), MATCH(LEFT(W544),★新聞!$E$3:$I$3,0))</f>
        <v>AA</v>
      </c>
      <c r="H544" s="475" t="s">
        <v>1119</v>
      </c>
      <c r="I544" s="464" cm="1">
        <f t="array" ref="I544">IFERROR(INDEX(★原価率!$A$2:$E$50,MATCH($C544&amp;$H544,★原価率!$A$2:$A$50&amp;★原価率!$B$2:$B$50,0),3),0)</f>
        <v>94</v>
      </c>
      <c r="J544" s="464" cm="1">
        <f t="array" ref="J544">IFERROR(INDEX(★原価率!$A$2:$E$50,MATCH($C544&amp;$H544,★原価率!$A$2:$A$50&amp;★原価率!$B$2:$B$50,0),4),0)</f>
        <v>94</v>
      </c>
      <c r="K544" s="464" cm="1">
        <f t="array" ref="K544">IFERROR(INDEX(★原価率!$A$2:$E$50,MATCH($C544&amp;$H544,★原価率!$A$2:$A$50&amp;★原価率!$B$2:$B$50,0),5),0)</f>
        <v>100</v>
      </c>
      <c r="L544" s="528">
        <f>IFERROR(VLOOKUP(W544,★商品!$A$1:$H$1231,8,FALSE),0)</f>
        <v>2.8</v>
      </c>
      <c r="M544" s="203" t="str">
        <f ca="1">CONCATENATE(VLOOKUP(B544,★営業所!$A$2:$B$5,2,FALSE),TEXT(NOW(),"yyyy"))</f>
        <v>T2023</v>
      </c>
      <c r="N544" s="203">
        <v>1</v>
      </c>
      <c r="O544" s="203">
        <v>0</v>
      </c>
      <c r="P544" s="213">
        <f>申込書!$B$6</f>
        <v>0</v>
      </c>
      <c r="Q544" s="203">
        <f>申込書!$C$34</f>
        <v>1000040</v>
      </c>
      <c r="R544" s="203">
        <v>0</v>
      </c>
      <c r="U544" s="203">
        <f>VLOOKUP(B544,★営業所!$A$2:$C$5,3,FALSE)</f>
        <v>8</v>
      </c>
      <c r="V544" s="203">
        <f>申込書!$B$9</f>
        <v>0</v>
      </c>
      <c r="W544" s="203" t="str">
        <f>CONCATENATE(VLOOKUP(B544,★営業所!$A$2:$B$5,2,FALSE),VLOOKUP(申込書!$C$32,★サイズ表記!$D$4:$E$55,2,FALSE),VLOOKUP(D544,★折込地区!$A$2:$B$11,2,FALSE))</f>
        <v>T1001Yng</v>
      </c>
      <c r="X544" s="203" t="str">
        <f>CONCATENATE(申込書!$B$9," ",VLOOKUP(RIGHT(W544,3),★折込地区!$B$2:$C$10,2,FALSE),"")</f>
        <v xml:space="preserve"> 米子</v>
      </c>
      <c r="Z544" s="206">
        <f t="shared" ca="1" si="63"/>
        <v>0</v>
      </c>
      <c r="AB544" s="383">
        <f t="shared" si="64"/>
        <v>2.8</v>
      </c>
      <c r="AC544" s="203" t="str">
        <f t="shared" si="65"/>
        <v>G1001</v>
      </c>
      <c r="AD544" s="203" t="str">
        <f>VLOOKUP(AC544,★原価商品!$E$6:$F$349,2,FALSE)</f>
        <v>朝日/B4（折り無し）</v>
      </c>
      <c r="AE544" s="203">
        <f t="shared" ca="1" si="66"/>
        <v>0</v>
      </c>
      <c r="AF544" s="383">
        <f ca="1">IFERROR(IF(VLOOKUP(申込書!$C$32,★サイズ表記!$F$4:$H$55,3,FALSE)="切り捨て",ROUNDDOWN(L544*IF(AK544="◎",I544,J544)/100,2),IF(VLOOKUP(申込書!$C$32,★サイズ表記!$F$4:$H$55,3,FALSE)="切り上げ",ROUNDUP(L544*IF(AK544="◎",I544,J544)/100,2),ROUND(L544*IF(AK544="◎",I544,J544)/100,2))),0)</f>
        <v>2.63</v>
      </c>
      <c r="AG544" s="203">
        <f t="shared" ca="1" si="67"/>
        <v>0</v>
      </c>
      <c r="AJ544" s="460" t="str">
        <f>IFERROR(VLOOKUP(申込書!$C$30,★業種!$D$2:$E$87,2,FALSE),"")</f>
        <v>1003</v>
      </c>
      <c r="AK544" s="460" t="str">
        <f ca="1">IF(申込書!$C$36="◎",IF(OR(D544="浜坂・温泉",D544="美方・村岡",D544="香住",D544="岡山",D544="大阪"),"",IF(LEFT(F544)="D","◎",IF(AG544=0,"",IFERROR(IF(VLOOKUP(AG544,★仕入先!$A$2:$C$211,3,FALSE)=0,"","◎"),"")))),"")</f>
        <v/>
      </c>
      <c r="AL544" s="460">
        <f>申込書!$H$14</f>
        <v>0</v>
      </c>
      <c r="AM544" s="460" t="str">
        <f>申込書!$C$32</f>
        <v>B4（折り無し）</v>
      </c>
      <c r="AN544" s="460" t="str">
        <f>VLOOKUP(AM544,★サイズ表記!$D$4:$E$55,2,FALSE)</f>
        <v>1001</v>
      </c>
      <c r="AO544" s="460">
        <f>IF(C544&lt;&gt;"⑧兵庫",VLOOKUP(LEFT(F544),★新聞!$A$4:$B$12,2,FALSE),IF(LEFT(F544)&lt;&gt;"S",VLOOKUP(LEFT(F544),★新聞!$A$4:$B$12,2,FALSE),VLOOKUP("X",★新聞!$A$4:$B$12,2,FALSE)))</f>
        <v>2</v>
      </c>
      <c r="AP544" s="460" t="str">
        <f t="shared" ca="1" si="68"/>
        <v>0</v>
      </c>
      <c r="AQ544" s="460" t="str">
        <f>IF(申込書!$C$38="","",申込書!$C$38)</f>
        <v/>
      </c>
    </row>
    <row r="545" spans="1:43">
      <c r="A545" s="463">
        <f t="shared" si="69"/>
        <v>544</v>
      </c>
      <c r="B545" s="463" t="str">
        <f t="shared" si="55"/>
        <v>東部</v>
      </c>
      <c r="C545" s="464" t="s">
        <v>1018</v>
      </c>
      <c r="D545" s="464" t="s">
        <v>1603</v>
      </c>
      <c r="E545" s="464">
        <f>VLOOKUP(D545,★折込地区!$A$2:$D$10,4,FALSE)</f>
        <v>3</v>
      </c>
      <c r="F545" s="464" t="s">
        <v>417</v>
      </c>
      <c r="G545" s="464" t="str">
        <f>INDEX(★新聞!$E$4:$I$12, MATCH(LEFT(F545),★新聞!$A$4:$A$12,0), MATCH(LEFT(W545),★新聞!$E$3:$I$3,0))</f>
        <v>AA</v>
      </c>
      <c r="H545" s="475" t="s">
        <v>1119</v>
      </c>
      <c r="I545" s="464" cm="1">
        <f t="array" ref="I545">IFERROR(INDEX(★原価率!$A$2:$E$50,MATCH($C545&amp;$H545,★原価率!$A$2:$A$50&amp;★原価率!$B$2:$B$50,0),3),0)</f>
        <v>94</v>
      </c>
      <c r="J545" s="464" cm="1">
        <f t="array" ref="J545">IFERROR(INDEX(★原価率!$A$2:$E$50,MATCH($C545&amp;$H545,★原価率!$A$2:$A$50&amp;★原価率!$B$2:$B$50,0),4),0)</f>
        <v>94</v>
      </c>
      <c r="K545" s="464" cm="1">
        <f t="array" ref="K545">IFERROR(INDEX(★原価率!$A$2:$E$50,MATCH($C545&amp;$H545,★原価率!$A$2:$A$50&amp;★原価率!$B$2:$B$50,0),5),0)</f>
        <v>100</v>
      </c>
      <c r="L545" s="528">
        <f>IFERROR(VLOOKUP(W545,★商品!$A$1:$H$1231,8,FALSE),0)</f>
        <v>2.8</v>
      </c>
      <c r="M545" s="203" t="str">
        <f ca="1">CONCATENATE(VLOOKUP(B545,★営業所!$A$2:$B$5,2,FALSE),TEXT(NOW(),"yyyy"))</f>
        <v>T2023</v>
      </c>
      <c r="N545" s="203">
        <v>1</v>
      </c>
      <c r="O545" s="203">
        <v>0</v>
      </c>
      <c r="P545" s="213">
        <f>申込書!$B$6</f>
        <v>0</v>
      </c>
      <c r="Q545" s="203">
        <f>申込書!$C$34</f>
        <v>1000040</v>
      </c>
      <c r="R545" s="203">
        <v>0</v>
      </c>
      <c r="U545" s="203">
        <f>VLOOKUP(B545,★営業所!$A$2:$C$5,3,FALSE)</f>
        <v>8</v>
      </c>
      <c r="V545" s="203">
        <f>申込書!$B$9</f>
        <v>0</v>
      </c>
      <c r="W545" s="203" t="str">
        <f>CONCATENATE(VLOOKUP(B545,★営業所!$A$2:$B$5,2,FALSE),VLOOKUP(申込書!$C$32,★サイズ表記!$D$4:$E$55,2,FALSE),VLOOKUP(D545,★折込地区!$A$2:$B$11,2,FALSE))</f>
        <v>T1001Yng</v>
      </c>
      <c r="X545" s="203" t="str">
        <f>CONCATENATE(申込書!$B$9," ",VLOOKUP(RIGHT(W545,3),★折込地区!$B$2:$C$10,2,FALSE),"")</f>
        <v xml:space="preserve"> 米子</v>
      </c>
      <c r="Z545" s="206">
        <f t="shared" ca="1" si="63"/>
        <v>0</v>
      </c>
      <c r="AB545" s="383">
        <f t="shared" si="64"/>
        <v>2.8</v>
      </c>
      <c r="AC545" s="203" t="str">
        <f t="shared" si="65"/>
        <v>G1001</v>
      </c>
      <c r="AD545" s="203" t="str">
        <f>VLOOKUP(AC545,★原価商品!$E$6:$F$349,2,FALSE)</f>
        <v>朝日/B4（折り無し）</v>
      </c>
      <c r="AE545" s="203">
        <f t="shared" ca="1" si="66"/>
        <v>0</v>
      </c>
      <c r="AF545" s="383">
        <f ca="1">IFERROR(IF(VLOOKUP(申込書!$C$32,★サイズ表記!$F$4:$H$55,3,FALSE)="切り捨て",ROUNDDOWN(L545*IF(AK545="◎",I545,J545)/100,2),IF(VLOOKUP(申込書!$C$32,★サイズ表記!$F$4:$H$55,3,FALSE)="切り上げ",ROUNDUP(L545*IF(AK545="◎",I545,J545)/100,2),ROUND(L545*IF(AK545="◎",I545,J545)/100,2))),0)</f>
        <v>2.63</v>
      </c>
      <c r="AG545" s="203">
        <f t="shared" ca="1" si="67"/>
        <v>0</v>
      </c>
      <c r="AJ545" s="460" t="str">
        <f>IFERROR(VLOOKUP(申込書!$C$30,★業種!$D$2:$E$87,2,FALSE),"")</f>
        <v>1003</v>
      </c>
      <c r="AK545" s="460" t="str">
        <f ca="1">IF(申込書!$C$36="◎",IF(OR(D545="浜坂・温泉",D545="美方・村岡",D545="香住",D545="岡山",D545="大阪"),"",IF(LEFT(F545)="D","◎",IF(AG545=0,"",IFERROR(IF(VLOOKUP(AG545,★仕入先!$A$2:$C$211,3,FALSE)=0,"","◎"),"")))),"")</f>
        <v/>
      </c>
      <c r="AL545" s="460">
        <f>申込書!$H$14</f>
        <v>0</v>
      </c>
      <c r="AM545" s="460" t="str">
        <f>申込書!$C$32</f>
        <v>B4（折り無し）</v>
      </c>
      <c r="AN545" s="460" t="str">
        <f>VLOOKUP(AM545,★サイズ表記!$D$4:$E$55,2,FALSE)</f>
        <v>1001</v>
      </c>
      <c r="AO545" s="460">
        <f>IF(C545&lt;&gt;"⑧兵庫",VLOOKUP(LEFT(F545),★新聞!$A$4:$B$12,2,FALSE),IF(LEFT(F545)&lt;&gt;"S",VLOOKUP(LEFT(F545),★新聞!$A$4:$B$12,2,FALSE),VLOOKUP("X",★新聞!$A$4:$B$12,2,FALSE)))</f>
        <v>2</v>
      </c>
      <c r="AP545" s="460" t="str">
        <f t="shared" ca="1" si="68"/>
        <v>0</v>
      </c>
      <c r="AQ545" s="460" t="str">
        <f>IF(申込書!$C$38="","",申込書!$C$38)</f>
        <v/>
      </c>
    </row>
    <row r="546" spans="1:43">
      <c r="A546" s="463">
        <f t="shared" si="69"/>
        <v>545</v>
      </c>
      <c r="B546" s="463" t="str">
        <f t="shared" si="55"/>
        <v>東部</v>
      </c>
      <c r="C546" s="464" t="s">
        <v>1018</v>
      </c>
      <c r="D546" s="464" t="s">
        <v>1603</v>
      </c>
      <c r="E546" s="464">
        <f>VLOOKUP(D546,★折込地区!$A$2:$D$10,4,FALSE)</f>
        <v>3</v>
      </c>
      <c r="F546" s="464" t="s">
        <v>419</v>
      </c>
      <c r="G546" s="464" t="str">
        <f>INDEX(★新聞!$E$4:$I$12, MATCH(LEFT(F546),★新聞!$A$4:$A$12,0), MATCH(LEFT(W546),★新聞!$E$3:$I$3,0))</f>
        <v>AA</v>
      </c>
      <c r="H546" s="475" t="s">
        <v>1119</v>
      </c>
      <c r="I546" s="464" cm="1">
        <f t="array" ref="I546">IFERROR(INDEX(★原価率!$A$2:$E$50,MATCH($C546&amp;$H546,★原価率!$A$2:$A$50&amp;★原価率!$B$2:$B$50,0),3),0)</f>
        <v>94</v>
      </c>
      <c r="J546" s="464" cm="1">
        <f t="array" ref="J546">IFERROR(INDEX(★原価率!$A$2:$E$50,MATCH($C546&amp;$H546,★原価率!$A$2:$A$50&amp;★原価率!$B$2:$B$50,0),4),0)</f>
        <v>94</v>
      </c>
      <c r="K546" s="464" cm="1">
        <f t="array" ref="K546">IFERROR(INDEX(★原価率!$A$2:$E$50,MATCH($C546&amp;$H546,★原価率!$A$2:$A$50&amp;★原価率!$B$2:$B$50,0),5),0)</f>
        <v>100</v>
      </c>
      <c r="L546" s="528">
        <f>IFERROR(VLOOKUP(W546,★商品!$A$1:$H$1231,8,FALSE),0)</f>
        <v>2.8</v>
      </c>
      <c r="M546" s="203" t="str">
        <f ca="1">CONCATENATE(VLOOKUP(B546,★営業所!$A$2:$B$5,2,FALSE),TEXT(NOW(),"yyyy"))</f>
        <v>T2023</v>
      </c>
      <c r="N546" s="203">
        <v>1</v>
      </c>
      <c r="O546" s="203">
        <v>0</v>
      </c>
      <c r="P546" s="213">
        <f>申込書!$B$6</f>
        <v>0</v>
      </c>
      <c r="Q546" s="203">
        <f>申込書!$C$34</f>
        <v>1000040</v>
      </c>
      <c r="R546" s="203">
        <v>0</v>
      </c>
      <c r="U546" s="203">
        <f>VLOOKUP(B546,★営業所!$A$2:$C$5,3,FALSE)</f>
        <v>8</v>
      </c>
      <c r="V546" s="203">
        <f>申込書!$B$9</f>
        <v>0</v>
      </c>
      <c r="W546" s="203" t="str">
        <f>CONCATENATE(VLOOKUP(B546,★営業所!$A$2:$B$5,2,FALSE),VLOOKUP(申込書!$C$32,★サイズ表記!$D$4:$E$55,2,FALSE),VLOOKUP(D546,★折込地区!$A$2:$B$11,2,FALSE))</f>
        <v>T1001Yng</v>
      </c>
      <c r="X546" s="203" t="str">
        <f>CONCATENATE(申込書!$B$9," ",VLOOKUP(RIGHT(W546,3),★折込地区!$B$2:$C$10,2,FALSE),"")</f>
        <v xml:space="preserve"> 米子</v>
      </c>
      <c r="Z546" s="206">
        <f t="shared" ca="1" si="63"/>
        <v>0</v>
      </c>
      <c r="AB546" s="383">
        <f t="shared" si="64"/>
        <v>2.8</v>
      </c>
      <c r="AC546" s="203" t="str">
        <f t="shared" si="65"/>
        <v>G1001</v>
      </c>
      <c r="AD546" s="203" t="str">
        <f>VLOOKUP(AC546,★原価商品!$E$6:$F$349,2,FALSE)</f>
        <v>朝日/B4（折り無し）</v>
      </c>
      <c r="AE546" s="203">
        <f t="shared" ca="1" si="66"/>
        <v>0</v>
      </c>
      <c r="AF546" s="383">
        <f ca="1">IFERROR(IF(VLOOKUP(申込書!$C$32,★サイズ表記!$F$4:$H$55,3,FALSE)="切り捨て",ROUNDDOWN(L546*IF(AK546="◎",I546,J546)/100,2),IF(VLOOKUP(申込書!$C$32,★サイズ表記!$F$4:$H$55,3,FALSE)="切り上げ",ROUNDUP(L546*IF(AK546="◎",I546,J546)/100,2),ROUND(L546*IF(AK546="◎",I546,J546)/100,2))),0)</f>
        <v>2.63</v>
      </c>
      <c r="AG546" s="203">
        <f t="shared" ca="1" si="67"/>
        <v>10561</v>
      </c>
      <c r="AJ546" s="460" t="str">
        <f>IFERROR(VLOOKUP(申込書!$C$30,★業種!$D$2:$E$87,2,FALSE),"")</f>
        <v>1003</v>
      </c>
      <c r="AK546" s="460" t="str">
        <f ca="1">IF(申込書!$C$36="◎",IF(OR(D546="浜坂・温泉",D546="美方・村岡",D546="香住",D546="岡山",D546="大阪"),"",IF(LEFT(F546)="D","◎",IF(AG546=0,"",IFERROR(IF(VLOOKUP(AG546,★仕入先!$A$2:$C$211,3,FALSE)=0,"","◎"),"")))),"")</f>
        <v/>
      </c>
      <c r="AL546" s="460">
        <f>申込書!$H$14</f>
        <v>0</v>
      </c>
      <c r="AM546" s="460" t="str">
        <f>申込書!$C$32</f>
        <v>B4（折り無し）</v>
      </c>
      <c r="AN546" s="460" t="str">
        <f>VLOOKUP(AM546,★サイズ表記!$D$4:$E$55,2,FALSE)</f>
        <v>1001</v>
      </c>
      <c r="AO546" s="460">
        <f>IF(C546&lt;&gt;"⑧兵庫",VLOOKUP(LEFT(F546),★新聞!$A$4:$B$12,2,FALSE),IF(LEFT(F546)&lt;&gt;"S",VLOOKUP(LEFT(F546),★新聞!$A$4:$B$12,2,FALSE),VLOOKUP("X",★新聞!$A$4:$B$12,2,FALSE)))</f>
        <v>2</v>
      </c>
      <c r="AP546" s="460" t="str">
        <f t="shared" ca="1" si="68"/>
        <v>0</v>
      </c>
      <c r="AQ546" s="460" t="str">
        <f>IF(申込書!$C$38="","",申込書!$C$38)</f>
        <v/>
      </c>
    </row>
    <row r="547" spans="1:43">
      <c r="A547" s="463">
        <f t="shared" si="69"/>
        <v>546</v>
      </c>
      <c r="B547" s="463" t="str">
        <f t="shared" si="55"/>
        <v>東部</v>
      </c>
      <c r="C547" s="464" t="s">
        <v>1018</v>
      </c>
      <c r="D547" s="464" t="s">
        <v>1603</v>
      </c>
      <c r="E547" s="464">
        <f>VLOOKUP(D547,★折込地区!$A$2:$D$10,4,FALSE)</f>
        <v>3</v>
      </c>
      <c r="F547" s="464" t="s">
        <v>420</v>
      </c>
      <c r="G547" s="464" t="str">
        <f>INDEX(★新聞!$E$4:$I$12, MATCH(LEFT(F547),★新聞!$A$4:$A$12,0), MATCH(LEFT(W547),★新聞!$E$3:$I$3,0))</f>
        <v>AA</v>
      </c>
      <c r="H547" s="475" t="s">
        <v>1119</v>
      </c>
      <c r="I547" s="464" cm="1">
        <f t="array" ref="I547">IFERROR(INDEX(★原価率!$A$2:$E$50,MATCH($C547&amp;$H547,★原価率!$A$2:$A$50&amp;★原価率!$B$2:$B$50,0),3),0)</f>
        <v>94</v>
      </c>
      <c r="J547" s="464" cm="1">
        <f t="array" ref="J547">IFERROR(INDEX(★原価率!$A$2:$E$50,MATCH($C547&amp;$H547,★原価率!$A$2:$A$50&amp;★原価率!$B$2:$B$50,0),4),0)</f>
        <v>94</v>
      </c>
      <c r="K547" s="464" cm="1">
        <f t="array" ref="K547">IFERROR(INDEX(★原価率!$A$2:$E$50,MATCH($C547&amp;$H547,★原価率!$A$2:$A$50&amp;★原価率!$B$2:$B$50,0),5),0)</f>
        <v>100</v>
      </c>
      <c r="L547" s="528">
        <f>IFERROR(VLOOKUP(W547,★商品!$A$1:$H$1231,8,FALSE),0)</f>
        <v>2.8</v>
      </c>
      <c r="M547" s="203" t="str">
        <f ca="1">CONCATENATE(VLOOKUP(B547,★営業所!$A$2:$B$5,2,FALSE),TEXT(NOW(),"yyyy"))</f>
        <v>T2023</v>
      </c>
      <c r="N547" s="203">
        <v>1</v>
      </c>
      <c r="O547" s="203">
        <v>0</v>
      </c>
      <c r="P547" s="213">
        <f>申込書!$B$6</f>
        <v>0</v>
      </c>
      <c r="Q547" s="203">
        <f>申込書!$C$34</f>
        <v>1000040</v>
      </c>
      <c r="R547" s="203">
        <v>0</v>
      </c>
      <c r="U547" s="203">
        <f>VLOOKUP(B547,★営業所!$A$2:$C$5,3,FALSE)</f>
        <v>8</v>
      </c>
      <c r="V547" s="203">
        <f>申込書!$B$9</f>
        <v>0</v>
      </c>
      <c r="W547" s="203" t="str">
        <f>CONCATENATE(VLOOKUP(B547,★営業所!$A$2:$B$5,2,FALSE),VLOOKUP(申込書!$C$32,★サイズ表記!$D$4:$E$55,2,FALSE),VLOOKUP(D547,★折込地区!$A$2:$B$11,2,FALSE))</f>
        <v>T1001Yng</v>
      </c>
      <c r="X547" s="203" t="str">
        <f>CONCATENATE(申込書!$B$9," ",VLOOKUP(RIGHT(W547,3),★折込地区!$B$2:$C$10,2,FALSE),"")</f>
        <v xml:space="preserve"> 米子</v>
      </c>
      <c r="Z547" s="206">
        <f t="shared" ca="1" si="63"/>
        <v>0</v>
      </c>
      <c r="AB547" s="383">
        <f t="shared" si="64"/>
        <v>2.8</v>
      </c>
      <c r="AC547" s="203" t="str">
        <f t="shared" si="65"/>
        <v>G1001</v>
      </c>
      <c r="AD547" s="203" t="str">
        <f>VLOOKUP(AC547,★原価商品!$E$6:$F$349,2,FALSE)</f>
        <v>朝日/B4（折り無し）</v>
      </c>
      <c r="AE547" s="203">
        <f t="shared" ca="1" si="66"/>
        <v>0</v>
      </c>
      <c r="AF547" s="383">
        <f ca="1">IFERROR(IF(VLOOKUP(申込書!$C$32,★サイズ表記!$F$4:$H$55,3,FALSE)="切り捨て",ROUNDDOWN(L547*IF(AK547="◎",I547,J547)/100,2),IF(VLOOKUP(申込書!$C$32,★サイズ表記!$F$4:$H$55,3,FALSE)="切り上げ",ROUNDUP(L547*IF(AK547="◎",I547,J547)/100,2),ROUND(L547*IF(AK547="◎",I547,J547)/100,2))),0)</f>
        <v>2.63</v>
      </c>
      <c r="AG547" s="203">
        <f t="shared" ca="1" si="67"/>
        <v>10561</v>
      </c>
      <c r="AJ547" s="460" t="str">
        <f>IFERROR(VLOOKUP(申込書!$C$30,★業種!$D$2:$E$87,2,FALSE),"")</f>
        <v>1003</v>
      </c>
      <c r="AK547" s="460" t="str">
        <f ca="1">IF(申込書!$C$36="◎",IF(OR(D547="浜坂・温泉",D547="美方・村岡",D547="香住",D547="岡山",D547="大阪"),"",IF(LEFT(F547)="D","◎",IF(AG547=0,"",IFERROR(IF(VLOOKUP(AG547,★仕入先!$A$2:$C$211,3,FALSE)=0,"","◎"),"")))),"")</f>
        <v/>
      </c>
      <c r="AL547" s="460">
        <f>申込書!$H$14</f>
        <v>0</v>
      </c>
      <c r="AM547" s="460" t="str">
        <f>申込書!$C$32</f>
        <v>B4（折り無し）</v>
      </c>
      <c r="AN547" s="460" t="str">
        <f>VLOOKUP(AM547,★サイズ表記!$D$4:$E$55,2,FALSE)</f>
        <v>1001</v>
      </c>
      <c r="AO547" s="460">
        <f>IF(C547&lt;&gt;"⑧兵庫",VLOOKUP(LEFT(F547),★新聞!$A$4:$B$12,2,FALSE),IF(LEFT(F547)&lt;&gt;"S",VLOOKUP(LEFT(F547),★新聞!$A$4:$B$12,2,FALSE),VLOOKUP("X",★新聞!$A$4:$B$12,2,FALSE)))</f>
        <v>2</v>
      </c>
      <c r="AP547" s="460" t="str">
        <f t="shared" ca="1" si="68"/>
        <v>0</v>
      </c>
      <c r="AQ547" s="460" t="str">
        <f>IF(申込書!$C$38="","",申込書!$C$38)</f>
        <v/>
      </c>
    </row>
    <row r="548" spans="1:43">
      <c r="A548" s="463">
        <f t="shared" si="69"/>
        <v>547</v>
      </c>
      <c r="B548" s="463" t="str">
        <f t="shared" si="55"/>
        <v>東部</v>
      </c>
      <c r="C548" s="464" t="s">
        <v>1018</v>
      </c>
      <c r="D548" s="464" t="s">
        <v>1603</v>
      </c>
      <c r="E548" s="464">
        <f>VLOOKUP(D548,★折込地区!$A$2:$D$10,4,FALSE)</f>
        <v>3</v>
      </c>
      <c r="F548" s="464" t="s">
        <v>421</v>
      </c>
      <c r="G548" s="464" t="str">
        <f>INDEX(★新聞!$E$4:$I$12, MATCH(LEFT(F548),★新聞!$A$4:$A$12,0), MATCH(LEFT(W548),★新聞!$E$3:$I$3,0))</f>
        <v>AA</v>
      </c>
      <c r="H548" s="475" t="s">
        <v>1119</v>
      </c>
      <c r="I548" s="464" cm="1">
        <f t="array" ref="I548">IFERROR(INDEX(★原価率!$A$2:$E$50,MATCH($C548&amp;$H548,★原価率!$A$2:$A$50&amp;★原価率!$B$2:$B$50,0),3),0)</f>
        <v>94</v>
      </c>
      <c r="J548" s="464" cm="1">
        <f t="array" ref="J548">IFERROR(INDEX(★原価率!$A$2:$E$50,MATCH($C548&amp;$H548,★原価率!$A$2:$A$50&amp;★原価率!$B$2:$B$50,0),4),0)</f>
        <v>94</v>
      </c>
      <c r="K548" s="464" cm="1">
        <f t="array" ref="K548">IFERROR(INDEX(★原価率!$A$2:$E$50,MATCH($C548&amp;$H548,★原価率!$A$2:$A$50&amp;★原価率!$B$2:$B$50,0),5),0)</f>
        <v>100</v>
      </c>
      <c r="L548" s="528">
        <f>IFERROR(VLOOKUP(W548,★商品!$A$1:$H$1231,8,FALSE),0)</f>
        <v>2.8</v>
      </c>
      <c r="M548" s="203" t="str">
        <f ca="1">CONCATENATE(VLOOKUP(B548,★営業所!$A$2:$B$5,2,FALSE),TEXT(NOW(),"yyyy"))</f>
        <v>T2023</v>
      </c>
      <c r="N548" s="203">
        <v>1</v>
      </c>
      <c r="O548" s="203">
        <v>0</v>
      </c>
      <c r="P548" s="213">
        <f>申込書!$B$6</f>
        <v>0</v>
      </c>
      <c r="Q548" s="203">
        <f>申込書!$C$34</f>
        <v>1000040</v>
      </c>
      <c r="R548" s="203">
        <v>0</v>
      </c>
      <c r="U548" s="203">
        <f>VLOOKUP(B548,★営業所!$A$2:$C$5,3,FALSE)</f>
        <v>8</v>
      </c>
      <c r="V548" s="203">
        <f>申込書!$B$9</f>
        <v>0</v>
      </c>
      <c r="W548" s="203" t="str">
        <f>CONCATENATE(VLOOKUP(B548,★営業所!$A$2:$B$5,2,FALSE),VLOOKUP(申込書!$C$32,★サイズ表記!$D$4:$E$55,2,FALSE),VLOOKUP(D548,★折込地区!$A$2:$B$11,2,FALSE))</f>
        <v>T1001Yng</v>
      </c>
      <c r="X548" s="203" t="str">
        <f>CONCATENATE(申込書!$B$9," ",VLOOKUP(RIGHT(W548,3),★折込地区!$B$2:$C$10,2,FALSE),"")</f>
        <v xml:space="preserve"> 米子</v>
      </c>
      <c r="Z548" s="206">
        <f t="shared" ca="1" si="63"/>
        <v>0</v>
      </c>
      <c r="AB548" s="383">
        <f t="shared" si="64"/>
        <v>2.8</v>
      </c>
      <c r="AC548" s="203" t="str">
        <f t="shared" si="65"/>
        <v>G1001</v>
      </c>
      <c r="AD548" s="203" t="str">
        <f>VLOOKUP(AC548,★原価商品!$E$6:$F$349,2,FALSE)</f>
        <v>朝日/B4（折り無し）</v>
      </c>
      <c r="AE548" s="203">
        <f t="shared" ca="1" si="66"/>
        <v>0</v>
      </c>
      <c r="AF548" s="383">
        <f ca="1">IFERROR(IF(VLOOKUP(申込書!$C$32,★サイズ表記!$F$4:$H$55,3,FALSE)="切り捨て",ROUNDDOWN(L548*IF(AK548="◎",I548,J548)/100,2),IF(VLOOKUP(申込書!$C$32,★サイズ表記!$F$4:$H$55,3,FALSE)="切り上げ",ROUNDUP(L548*IF(AK548="◎",I548,J548)/100,2),ROUND(L548*IF(AK548="◎",I548,J548)/100,2))),0)</f>
        <v>2.63</v>
      </c>
      <c r="AG548" s="203">
        <f t="shared" ca="1" si="67"/>
        <v>10561</v>
      </c>
      <c r="AJ548" s="460" t="str">
        <f>IFERROR(VLOOKUP(申込書!$C$30,★業種!$D$2:$E$87,2,FALSE),"")</f>
        <v>1003</v>
      </c>
      <c r="AK548" s="460" t="str">
        <f ca="1">IF(申込書!$C$36="◎",IF(OR(D548="浜坂・温泉",D548="美方・村岡",D548="香住",D548="岡山",D548="大阪"),"",IF(LEFT(F548)="D","◎",IF(AG548=0,"",IFERROR(IF(VLOOKUP(AG548,★仕入先!$A$2:$C$211,3,FALSE)=0,"","◎"),"")))),"")</f>
        <v/>
      </c>
      <c r="AL548" s="460">
        <f>申込書!$H$14</f>
        <v>0</v>
      </c>
      <c r="AM548" s="460" t="str">
        <f>申込書!$C$32</f>
        <v>B4（折り無し）</v>
      </c>
      <c r="AN548" s="460" t="str">
        <f>VLOOKUP(AM548,★サイズ表記!$D$4:$E$55,2,FALSE)</f>
        <v>1001</v>
      </c>
      <c r="AO548" s="460">
        <f>IF(C548&lt;&gt;"⑧兵庫",VLOOKUP(LEFT(F548),★新聞!$A$4:$B$12,2,FALSE),IF(LEFT(F548)&lt;&gt;"S",VLOOKUP(LEFT(F548),★新聞!$A$4:$B$12,2,FALSE),VLOOKUP("X",★新聞!$A$4:$B$12,2,FALSE)))</f>
        <v>2</v>
      </c>
      <c r="AP548" s="460" t="str">
        <f t="shared" ca="1" si="68"/>
        <v>0</v>
      </c>
      <c r="AQ548" s="460" t="str">
        <f>IF(申込書!$C$38="","",申込書!$C$38)</f>
        <v/>
      </c>
    </row>
    <row r="549" spans="1:43">
      <c r="A549" s="463">
        <f t="shared" si="69"/>
        <v>548</v>
      </c>
      <c r="B549" s="463" t="str">
        <f t="shared" si="55"/>
        <v>東部</v>
      </c>
      <c r="C549" s="464" t="s">
        <v>1018</v>
      </c>
      <c r="D549" s="464" t="s">
        <v>1603</v>
      </c>
      <c r="E549" s="464">
        <f>VLOOKUP(D549,★折込地区!$A$2:$D$10,4,FALSE)</f>
        <v>3</v>
      </c>
      <c r="F549" s="464" t="s">
        <v>422</v>
      </c>
      <c r="G549" s="464" t="str">
        <f>INDEX(★新聞!$E$4:$I$12, MATCH(LEFT(F549),★新聞!$A$4:$A$12,0), MATCH(LEFT(W549),★新聞!$E$3:$I$3,0))</f>
        <v>AA</v>
      </c>
      <c r="H549" s="475" t="s">
        <v>1119</v>
      </c>
      <c r="I549" s="464" cm="1">
        <f t="array" ref="I549">IFERROR(INDEX(★原価率!$A$2:$E$50,MATCH($C549&amp;$H549,★原価率!$A$2:$A$50&amp;★原価率!$B$2:$B$50,0),3),0)</f>
        <v>94</v>
      </c>
      <c r="J549" s="464" cm="1">
        <f t="array" ref="J549">IFERROR(INDEX(★原価率!$A$2:$E$50,MATCH($C549&amp;$H549,★原価率!$A$2:$A$50&amp;★原価率!$B$2:$B$50,0),4),0)</f>
        <v>94</v>
      </c>
      <c r="K549" s="464" cm="1">
        <f t="array" ref="K549">IFERROR(INDEX(★原価率!$A$2:$E$50,MATCH($C549&amp;$H549,★原価率!$A$2:$A$50&amp;★原価率!$B$2:$B$50,0),5),0)</f>
        <v>100</v>
      </c>
      <c r="L549" s="528">
        <f>IFERROR(VLOOKUP(W549,★商品!$A$1:$H$1231,8,FALSE),0)</f>
        <v>2.8</v>
      </c>
      <c r="M549" s="203" t="str">
        <f ca="1">CONCATENATE(VLOOKUP(B549,★営業所!$A$2:$B$5,2,FALSE),TEXT(NOW(),"yyyy"))</f>
        <v>T2023</v>
      </c>
      <c r="N549" s="203">
        <v>1</v>
      </c>
      <c r="O549" s="203">
        <v>0</v>
      </c>
      <c r="P549" s="213">
        <f>申込書!$B$6</f>
        <v>0</v>
      </c>
      <c r="Q549" s="203">
        <f>申込書!$C$34</f>
        <v>1000040</v>
      </c>
      <c r="R549" s="203">
        <v>0</v>
      </c>
      <c r="U549" s="203">
        <f>VLOOKUP(B549,★営業所!$A$2:$C$5,3,FALSE)</f>
        <v>8</v>
      </c>
      <c r="V549" s="203">
        <f>申込書!$B$9</f>
        <v>0</v>
      </c>
      <c r="W549" s="203" t="str">
        <f>CONCATENATE(VLOOKUP(B549,★営業所!$A$2:$B$5,2,FALSE),VLOOKUP(申込書!$C$32,★サイズ表記!$D$4:$E$55,2,FALSE),VLOOKUP(D549,★折込地区!$A$2:$B$11,2,FALSE))</f>
        <v>T1001Yng</v>
      </c>
      <c r="X549" s="203" t="str">
        <f>CONCATENATE(申込書!$B$9," ",VLOOKUP(RIGHT(W549,3),★折込地区!$B$2:$C$10,2,FALSE),"")</f>
        <v xml:space="preserve"> 米子</v>
      </c>
      <c r="Z549" s="206">
        <f t="shared" ca="1" si="63"/>
        <v>0</v>
      </c>
      <c r="AB549" s="383">
        <f t="shared" si="64"/>
        <v>2.8</v>
      </c>
      <c r="AC549" s="203" t="str">
        <f t="shared" si="65"/>
        <v>G1001</v>
      </c>
      <c r="AD549" s="203" t="str">
        <f>VLOOKUP(AC549,★原価商品!$E$6:$F$349,2,FALSE)</f>
        <v>朝日/B4（折り無し）</v>
      </c>
      <c r="AE549" s="203">
        <f t="shared" ca="1" si="66"/>
        <v>0</v>
      </c>
      <c r="AF549" s="383">
        <f ca="1">IFERROR(IF(VLOOKUP(申込書!$C$32,★サイズ表記!$F$4:$H$55,3,FALSE)="切り捨て",ROUNDDOWN(L549*IF(AK549="◎",I549,J549)/100,2),IF(VLOOKUP(申込書!$C$32,★サイズ表記!$F$4:$H$55,3,FALSE)="切り上げ",ROUNDUP(L549*IF(AK549="◎",I549,J549)/100,2),ROUND(L549*IF(AK549="◎",I549,J549)/100,2))),0)</f>
        <v>2.63</v>
      </c>
      <c r="AG549" s="203">
        <f t="shared" ca="1" si="67"/>
        <v>10561</v>
      </c>
      <c r="AJ549" s="460" t="str">
        <f>IFERROR(VLOOKUP(申込書!$C$30,★業種!$D$2:$E$87,2,FALSE),"")</f>
        <v>1003</v>
      </c>
      <c r="AK549" s="460" t="str">
        <f ca="1">IF(申込書!$C$36="◎",IF(OR(D549="浜坂・温泉",D549="美方・村岡",D549="香住",D549="岡山",D549="大阪"),"",IF(LEFT(F549)="D","◎",IF(AG549=0,"",IFERROR(IF(VLOOKUP(AG549,★仕入先!$A$2:$C$211,3,FALSE)=0,"","◎"),"")))),"")</f>
        <v/>
      </c>
      <c r="AL549" s="460">
        <f>申込書!$H$14</f>
        <v>0</v>
      </c>
      <c r="AM549" s="460" t="str">
        <f>申込書!$C$32</f>
        <v>B4（折り無し）</v>
      </c>
      <c r="AN549" s="460" t="str">
        <f>VLOOKUP(AM549,★サイズ表記!$D$4:$E$55,2,FALSE)</f>
        <v>1001</v>
      </c>
      <c r="AO549" s="460">
        <f>IF(C549&lt;&gt;"⑧兵庫",VLOOKUP(LEFT(F549),★新聞!$A$4:$B$12,2,FALSE),IF(LEFT(F549)&lt;&gt;"S",VLOOKUP(LEFT(F549),★新聞!$A$4:$B$12,2,FALSE),VLOOKUP("X",★新聞!$A$4:$B$12,2,FALSE)))</f>
        <v>2</v>
      </c>
      <c r="AP549" s="460" t="str">
        <f t="shared" ca="1" si="68"/>
        <v>0</v>
      </c>
      <c r="AQ549" s="460" t="str">
        <f>IF(申込書!$C$38="","",申込書!$C$38)</f>
        <v/>
      </c>
    </row>
    <row r="550" spans="1:43">
      <c r="A550" s="463">
        <f t="shared" si="69"/>
        <v>549</v>
      </c>
      <c r="B550" s="463" t="str">
        <f t="shared" si="55"/>
        <v>東部</v>
      </c>
      <c r="C550" s="464" t="s">
        <v>1018</v>
      </c>
      <c r="D550" s="464" t="s">
        <v>1603</v>
      </c>
      <c r="E550" s="464">
        <f>VLOOKUP(D550,★折込地区!$A$2:$D$10,4,FALSE)</f>
        <v>3</v>
      </c>
      <c r="F550" s="464" t="s">
        <v>423</v>
      </c>
      <c r="G550" s="464" t="str">
        <f>INDEX(★新聞!$E$4:$I$12, MATCH(LEFT(F550),★新聞!$A$4:$A$12,0), MATCH(LEFT(W550),★新聞!$E$3:$I$3,0))</f>
        <v>AA</v>
      </c>
      <c r="H550" s="475" t="s">
        <v>1119</v>
      </c>
      <c r="I550" s="464" cm="1">
        <f t="array" ref="I550">IFERROR(INDEX(★原価率!$A$2:$E$50,MATCH($C550&amp;$H550,★原価率!$A$2:$A$50&amp;★原価率!$B$2:$B$50,0),3),0)</f>
        <v>94</v>
      </c>
      <c r="J550" s="464" cm="1">
        <f t="array" ref="J550">IFERROR(INDEX(★原価率!$A$2:$E$50,MATCH($C550&amp;$H550,★原価率!$A$2:$A$50&amp;★原価率!$B$2:$B$50,0),4),0)</f>
        <v>94</v>
      </c>
      <c r="K550" s="464" cm="1">
        <f t="array" ref="K550">IFERROR(INDEX(★原価率!$A$2:$E$50,MATCH($C550&amp;$H550,★原価率!$A$2:$A$50&amp;★原価率!$B$2:$B$50,0),5),0)</f>
        <v>100</v>
      </c>
      <c r="L550" s="528">
        <f>IFERROR(VLOOKUP(W550,★商品!$A$1:$H$1231,8,FALSE),0)</f>
        <v>2.8</v>
      </c>
      <c r="M550" s="203" t="str">
        <f ca="1">CONCATENATE(VLOOKUP(B550,★営業所!$A$2:$B$5,2,FALSE),TEXT(NOW(),"yyyy"))</f>
        <v>T2023</v>
      </c>
      <c r="N550" s="203">
        <v>1</v>
      </c>
      <c r="O550" s="203">
        <v>0</v>
      </c>
      <c r="P550" s="213">
        <f>申込書!$B$6</f>
        <v>0</v>
      </c>
      <c r="Q550" s="203">
        <f>申込書!$C$34</f>
        <v>1000040</v>
      </c>
      <c r="R550" s="203">
        <v>0</v>
      </c>
      <c r="U550" s="203">
        <f>VLOOKUP(B550,★営業所!$A$2:$C$5,3,FALSE)</f>
        <v>8</v>
      </c>
      <c r="V550" s="203">
        <f>申込書!$B$9</f>
        <v>0</v>
      </c>
      <c r="W550" s="203" t="str">
        <f>CONCATENATE(VLOOKUP(B550,★営業所!$A$2:$B$5,2,FALSE),VLOOKUP(申込書!$C$32,★サイズ表記!$D$4:$E$55,2,FALSE),VLOOKUP(D550,★折込地区!$A$2:$B$11,2,FALSE))</f>
        <v>T1001Yng</v>
      </c>
      <c r="X550" s="203" t="str">
        <f>CONCATENATE(申込書!$B$9," ",VLOOKUP(RIGHT(W550,3),★折込地区!$B$2:$C$10,2,FALSE),"")</f>
        <v xml:space="preserve"> 米子</v>
      </c>
      <c r="Z550" s="206">
        <f t="shared" ca="1" si="63"/>
        <v>0</v>
      </c>
      <c r="AB550" s="383">
        <f t="shared" si="64"/>
        <v>2.8</v>
      </c>
      <c r="AC550" s="203" t="str">
        <f t="shared" si="65"/>
        <v>G1001</v>
      </c>
      <c r="AD550" s="203" t="str">
        <f>VLOOKUP(AC550,★原価商品!$E$6:$F$349,2,FALSE)</f>
        <v>朝日/B4（折り無し）</v>
      </c>
      <c r="AE550" s="203">
        <f t="shared" ca="1" si="66"/>
        <v>0</v>
      </c>
      <c r="AF550" s="383">
        <f ca="1">IFERROR(IF(VLOOKUP(申込書!$C$32,★サイズ表記!$F$4:$H$55,3,FALSE)="切り捨て",ROUNDDOWN(L550*IF(AK550="◎",I550,J550)/100,2),IF(VLOOKUP(申込書!$C$32,★サイズ表記!$F$4:$H$55,3,FALSE)="切り上げ",ROUNDUP(L550*IF(AK550="◎",I550,J550)/100,2),ROUND(L550*IF(AK550="◎",I550,J550)/100,2))),0)</f>
        <v>2.63</v>
      </c>
      <c r="AG550" s="203">
        <f t="shared" ca="1" si="67"/>
        <v>10561</v>
      </c>
      <c r="AJ550" s="460" t="str">
        <f>IFERROR(VLOOKUP(申込書!$C$30,★業種!$D$2:$E$87,2,FALSE),"")</f>
        <v>1003</v>
      </c>
      <c r="AK550" s="460" t="str">
        <f ca="1">IF(申込書!$C$36="◎",IF(OR(D550="浜坂・温泉",D550="美方・村岡",D550="香住",D550="岡山",D550="大阪"),"",IF(LEFT(F550)="D","◎",IF(AG550=0,"",IFERROR(IF(VLOOKUP(AG550,★仕入先!$A$2:$C$211,3,FALSE)=0,"","◎"),"")))),"")</f>
        <v/>
      </c>
      <c r="AL550" s="460">
        <f>申込書!$H$14</f>
        <v>0</v>
      </c>
      <c r="AM550" s="460" t="str">
        <f>申込書!$C$32</f>
        <v>B4（折り無し）</v>
      </c>
      <c r="AN550" s="460" t="str">
        <f>VLOOKUP(AM550,★サイズ表記!$D$4:$E$55,2,FALSE)</f>
        <v>1001</v>
      </c>
      <c r="AO550" s="460">
        <f>IF(C550&lt;&gt;"⑧兵庫",VLOOKUP(LEFT(F550),★新聞!$A$4:$B$12,2,FALSE),IF(LEFT(F550)&lt;&gt;"S",VLOOKUP(LEFT(F550),★新聞!$A$4:$B$12,2,FALSE),VLOOKUP("X",★新聞!$A$4:$B$12,2,FALSE)))</f>
        <v>2</v>
      </c>
      <c r="AP550" s="460" t="str">
        <f t="shared" ca="1" si="68"/>
        <v>0</v>
      </c>
      <c r="AQ550" s="460" t="str">
        <f>IF(申込書!$C$38="","",申込書!$C$38)</f>
        <v/>
      </c>
    </row>
    <row r="551" spans="1:43">
      <c r="A551" s="463">
        <f t="shared" si="69"/>
        <v>550</v>
      </c>
      <c r="B551" s="463" t="str">
        <f t="shared" si="55"/>
        <v>東部</v>
      </c>
      <c r="C551" s="464" t="s">
        <v>1018</v>
      </c>
      <c r="D551" s="464" t="s">
        <v>1603</v>
      </c>
      <c r="E551" s="464">
        <f>VLOOKUP(D551,★折込地区!$A$2:$D$10,4,FALSE)</f>
        <v>3</v>
      </c>
      <c r="F551" s="464" t="s">
        <v>424</v>
      </c>
      <c r="G551" s="464" t="str">
        <f>INDEX(★新聞!$E$4:$I$12, MATCH(LEFT(F551),★新聞!$A$4:$A$12,0), MATCH(LEFT(W551),★新聞!$E$3:$I$3,0))</f>
        <v>AA</v>
      </c>
      <c r="H551" s="555" t="s">
        <v>1102</v>
      </c>
      <c r="I551" s="464" cm="1">
        <f t="array" ref="I551">IFERROR(INDEX(★原価率!$A$2:$E$50,MATCH($C551&amp;$H551,★原価率!$A$2:$A$50&amp;★原価率!$B$2:$B$50,0),3),0)</f>
        <v>81</v>
      </c>
      <c r="J551" s="464" cm="1">
        <f t="array" ref="J551">IFERROR(INDEX(★原価率!$A$2:$E$50,MATCH($C551&amp;$H551,★原価率!$A$2:$A$50&amp;★原価率!$B$2:$B$50,0),4),0)</f>
        <v>85</v>
      </c>
      <c r="K551" s="464" cm="1">
        <f t="array" ref="K551">IFERROR(INDEX(★原価率!$A$2:$E$50,MATCH($C551&amp;$H551,★原価率!$A$2:$A$50&amp;★原価率!$B$2:$B$50,0),5),0)</f>
        <v>100</v>
      </c>
      <c r="L551" s="528">
        <f>IFERROR(VLOOKUP(W551,★商品!$A$1:$H$1231,8,FALSE),0)</f>
        <v>2.8</v>
      </c>
      <c r="M551" s="203" t="str">
        <f ca="1">CONCATENATE(VLOOKUP(B551,★営業所!$A$2:$B$5,2,FALSE),TEXT(NOW(),"yyyy"))</f>
        <v>T2023</v>
      </c>
      <c r="N551" s="203">
        <v>1</v>
      </c>
      <c r="O551" s="203">
        <v>0</v>
      </c>
      <c r="P551" s="213">
        <f>申込書!$B$6</f>
        <v>0</v>
      </c>
      <c r="Q551" s="203">
        <f>申込書!$C$34</f>
        <v>1000040</v>
      </c>
      <c r="R551" s="203">
        <v>0</v>
      </c>
      <c r="U551" s="203">
        <f>VLOOKUP(B551,★営業所!$A$2:$C$5,3,FALSE)</f>
        <v>8</v>
      </c>
      <c r="V551" s="203">
        <f>申込書!$B$9</f>
        <v>0</v>
      </c>
      <c r="W551" s="203" t="str">
        <f>CONCATENATE(VLOOKUP(B551,★営業所!$A$2:$B$5,2,FALSE),VLOOKUP(申込書!$C$32,★サイズ表記!$D$4:$E$55,2,FALSE),VLOOKUP(D551,★折込地区!$A$2:$B$11,2,FALSE))</f>
        <v>T1001Yng</v>
      </c>
      <c r="X551" s="203" t="str">
        <f>CONCATENATE(申込書!$B$9," ",VLOOKUP(RIGHT(W551,3),★折込地区!$B$2:$C$10,2,FALSE),"")</f>
        <v xml:space="preserve"> 米子</v>
      </c>
      <c r="Z551" s="206">
        <f t="shared" ca="1" si="63"/>
        <v>0</v>
      </c>
      <c r="AB551" s="383">
        <f t="shared" si="64"/>
        <v>2.8</v>
      </c>
      <c r="AC551" s="203" t="str">
        <f t="shared" si="65"/>
        <v>G1001</v>
      </c>
      <c r="AD551" s="203" t="str">
        <f>VLOOKUP(AC551,★原価商品!$E$6:$F$349,2,FALSE)</f>
        <v>朝日/B4（折り無し）</v>
      </c>
      <c r="AE551" s="203">
        <f t="shared" ca="1" si="66"/>
        <v>0</v>
      </c>
      <c r="AF551" s="383">
        <f ca="1">IFERROR(IF(VLOOKUP(申込書!$C$32,★サイズ表記!$F$4:$H$55,3,FALSE)="切り捨て",ROUNDDOWN(L551*IF(AK551="◎",I551,J551)/100,2),IF(VLOOKUP(申込書!$C$32,★サイズ表記!$F$4:$H$55,3,FALSE)="切り上げ",ROUNDUP(L551*IF(AK551="◎",I551,J551)/100,2),ROUND(L551*IF(AK551="◎",I551,J551)/100,2))),0)</f>
        <v>2.38</v>
      </c>
      <c r="AG551" s="203">
        <f t="shared" ca="1" si="67"/>
        <v>10561</v>
      </c>
      <c r="AJ551" s="460" t="str">
        <f>IFERROR(VLOOKUP(申込書!$C$30,★業種!$D$2:$E$87,2,FALSE),"")</f>
        <v>1003</v>
      </c>
      <c r="AK551" s="460" t="str">
        <f ca="1">IF(申込書!$C$36="◎",IF(OR(D551="浜坂・温泉",D551="美方・村岡",D551="香住",D551="岡山",D551="大阪"),"",IF(LEFT(F551)="D","◎",IF(AG551=0,"",IFERROR(IF(VLOOKUP(AG551,★仕入先!$A$2:$C$211,3,FALSE)=0,"","◎"),"")))),"")</f>
        <v/>
      </c>
      <c r="AL551" s="460">
        <f>申込書!$H$14</f>
        <v>0</v>
      </c>
      <c r="AM551" s="460" t="str">
        <f>申込書!$C$32</f>
        <v>B4（折り無し）</v>
      </c>
      <c r="AN551" s="460" t="str">
        <f>VLOOKUP(AM551,★サイズ表記!$D$4:$E$55,2,FALSE)</f>
        <v>1001</v>
      </c>
      <c r="AO551" s="460">
        <f>IF(C551&lt;&gt;"⑧兵庫",VLOOKUP(LEFT(F551),★新聞!$A$4:$B$12,2,FALSE),IF(LEFT(F551)&lt;&gt;"S",VLOOKUP(LEFT(F551),★新聞!$A$4:$B$12,2,FALSE),VLOOKUP("X",★新聞!$A$4:$B$12,2,FALSE)))</f>
        <v>2</v>
      </c>
      <c r="AP551" s="460" t="str">
        <f t="shared" ca="1" si="68"/>
        <v>0</v>
      </c>
      <c r="AQ551" s="460" t="str">
        <f>IF(申込書!$C$38="","",申込書!$C$38)</f>
        <v/>
      </c>
    </row>
    <row r="552" spans="1:43">
      <c r="A552" s="463">
        <f t="shared" si="69"/>
        <v>551</v>
      </c>
      <c r="B552" s="463" t="str">
        <f t="shared" si="55"/>
        <v>東部</v>
      </c>
      <c r="C552" s="464" t="s">
        <v>1018</v>
      </c>
      <c r="D552" s="464" t="s">
        <v>1603</v>
      </c>
      <c r="E552" s="464">
        <f>VLOOKUP(D552,★折込地区!$A$2:$D$10,4,FALSE)</f>
        <v>3</v>
      </c>
      <c r="F552" s="464" t="s">
        <v>425</v>
      </c>
      <c r="G552" s="464" t="str">
        <f>INDEX(★新聞!$E$4:$I$12, MATCH(LEFT(F552),★新聞!$A$4:$A$12,0), MATCH(LEFT(W552),★新聞!$E$3:$I$3,0))</f>
        <v>AA</v>
      </c>
      <c r="H552" s="555" t="s">
        <v>1102</v>
      </c>
      <c r="I552" s="464" cm="1">
        <f t="array" ref="I552">IFERROR(INDEX(★原価率!$A$2:$E$50,MATCH($C552&amp;$H552,★原価率!$A$2:$A$50&amp;★原価率!$B$2:$B$50,0),3),0)</f>
        <v>81</v>
      </c>
      <c r="J552" s="464" cm="1">
        <f t="array" ref="J552">IFERROR(INDEX(★原価率!$A$2:$E$50,MATCH($C552&amp;$H552,★原価率!$A$2:$A$50&amp;★原価率!$B$2:$B$50,0),4),0)</f>
        <v>85</v>
      </c>
      <c r="K552" s="464" cm="1">
        <f t="array" ref="K552">IFERROR(INDEX(★原価率!$A$2:$E$50,MATCH($C552&amp;$H552,★原価率!$A$2:$A$50&amp;★原価率!$B$2:$B$50,0),5),0)</f>
        <v>100</v>
      </c>
      <c r="L552" s="528">
        <f>IFERROR(VLOOKUP(W552,★商品!$A$1:$H$1231,8,FALSE),0)</f>
        <v>2.8</v>
      </c>
      <c r="M552" s="203" t="str">
        <f ca="1">CONCATENATE(VLOOKUP(B552,★営業所!$A$2:$B$5,2,FALSE),TEXT(NOW(),"yyyy"))</f>
        <v>T2023</v>
      </c>
      <c r="N552" s="203">
        <v>1</v>
      </c>
      <c r="O552" s="203">
        <v>0</v>
      </c>
      <c r="P552" s="213">
        <f>申込書!$B$6</f>
        <v>0</v>
      </c>
      <c r="Q552" s="203">
        <f>申込書!$C$34</f>
        <v>1000040</v>
      </c>
      <c r="R552" s="203">
        <v>0</v>
      </c>
      <c r="U552" s="203">
        <f>VLOOKUP(B552,★営業所!$A$2:$C$5,3,FALSE)</f>
        <v>8</v>
      </c>
      <c r="V552" s="203">
        <f>申込書!$B$9</f>
        <v>0</v>
      </c>
      <c r="W552" s="203" t="str">
        <f>CONCATENATE(VLOOKUP(B552,★営業所!$A$2:$B$5,2,FALSE),VLOOKUP(申込書!$C$32,★サイズ表記!$D$4:$E$55,2,FALSE),VLOOKUP(D552,★折込地区!$A$2:$B$11,2,FALSE))</f>
        <v>T1001Yng</v>
      </c>
      <c r="X552" s="203" t="str">
        <f>CONCATENATE(申込書!$B$9," ",VLOOKUP(RIGHT(W552,3),★折込地区!$B$2:$C$10,2,FALSE),"")</f>
        <v xml:space="preserve"> 米子</v>
      </c>
      <c r="Z552" s="206">
        <f t="shared" ca="1" si="63"/>
        <v>0</v>
      </c>
      <c r="AB552" s="383">
        <f t="shared" si="64"/>
        <v>2.8</v>
      </c>
      <c r="AC552" s="203" t="str">
        <f t="shared" si="65"/>
        <v>G1001</v>
      </c>
      <c r="AD552" s="203" t="str">
        <f>VLOOKUP(AC552,★原価商品!$E$6:$F$349,2,FALSE)</f>
        <v>朝日/B4（折り無し）</v>
      </c>
      <c r="AE552" s="203">
        <f t="shared" ca="1" si="66"/>
        <v>0</v>
      </c>
      <c r="AF552" s="383">
        <f ca="1">IFERROR(IF(VLOOKUP(申込書!$C$32,★サイズ表記!$F$4:$H$55,3,FALSE)="切り捨て",ROUNDDOWN(L552*IF(AK552="◎",I552,J552)/100,2),IF(VLOOKUP(申込書!$C$32,★サイズ表記!$F$4:$H$55,3,FALSE)="切り上げ",ROUNDUP(L552*IF(AK552="◎",I552,J552)/100,2),ROUND(L552*IF(AK552="◎",I552,J552)/100,2))),0)</f>
        <v>2.38</v>
      </c>
      <c r="AG552" s="203">
        <f t="shared" ca="1" si="67"/>
        <v>10561</v>
      </c>
      <c r="AJ552" s="460" t="str">
        <f>IFERROR(VLOOKUP(申込書!$C$30,★業種!$D$2:$E$87,2,FALSE),"")</f>
        <v>1003</v>
      </c>
      <c r="AK552" s="460" t="str">
        <f ca="1">IF(申込書!$C$36="◎",IF(OR(D552="浜坂・温泉",D552="美方・村岡",D552="香住",D552="岡山",D552="大阪"),"",IF(LEFT(F552)="D","◎",IF(AG552=0,"",IFERROR(IF(VLOOKUP(AG552,★仕入先!$A$2:$C$211,3,FALSE)=0,"","◎"),"")))),"")</f>
        <v/>
      </c>
      <c r="AL552" s="460">
        <f>申込書!$H$14</f>
        <v>0</v>
      </c>
      <c r="AM552" s="460" t="str">
        <f>申込書!$C$32</f>
        <v>B4（折り無し）</v>
      </c>
      <c r="AN552" s="460" t="str">
        <f>VLOOKUP(AM552,★サイズ表記!$D$4:$E$55,2,FALSE)</f>
        <v>1001</v>
      </c>
      <c r="AO552" s="460">
        <f>IF(C552&lt;&gt;"⑧兵庫",VLOOKUP(LEFT(F552),★新聞!$A$4:$B$12,2,FALSE),IF(LEFT(F552)&lt;&gt;"S",VLOOKUP(LEFT(F552),★新聞!$A$4:$B$12,2,FALSE),VLOOKUP("X",★新聞!$A$4:$B$12,2,FALSE)))</f>
        <v>2</v>
      </c>
      <c r="AP552" s="460" t="str">
        <f t="shared" ca="1" si="68"/>
        <v>0</v>
      </c>
      <c r="AQ552" s="460" t="str">
        <f>IF(申込書!$C$38="","",申込書!$C$38)</f>
        <v/>
      </c>
    </row>
    <row r="553" spans="1:43">
      <c r="A553" s="463">
        <f t="shared" si="69"/>
        <v>552</v>
      </c>
      <c r="B553" s="463" t="str">
        <f t="shared" si="55"/>
        <v>東部</v>
      </c>
      <c r="C553" s="464" t="s">
        <v>1018</v>
      </c>
      <c r="D553" s="464" t="s">
        <v>1603</v>
      </c>
      <c r="E553" s="464">
        <f>VLOOKUP(D553,★折込地区!$A$2:$D$10,4,FALSE)</f>
        <v>3</v>
      </c>
      <c r="F553" s="464" t="s">
        <v>426</v>
      </c>
      <c r="G553" s="464" t="str">
        <f>INDEX(★新聞!$E$4:$I$12, MATCH(LEFT(F553),★新聞!$A$4:$A$12,0), MATCH(LEFT(W553),★新聞!$E$3:$I$3,0))</f>
        <v>AA</v>
      </c>
      <c r="H553" s="555" t="s">
        <v>1102</v>
      </c>
      <c r="I553" s="464" cm="1">
        <f t="array" ref="I553">IFERROR(INDEX(★原価率!$A$2:$E$50,MATCH($C553&amp;$H553,★原価率!$A$2:$A$50&amp;★原価率!$B$2:$B$50,0),3),0)</f>
        <v>81</v>
      </c>
      <c r="J553" s="464" cm="1">
        <f t="array" ref="J553">IFERROR(INDEX(★原価率!$A$2:$E$50,MATCH($C553&amp;$H553,★原価率!$A$2:$A$50&amp;★原価率!$B$2:$B$50,0),4),0)</f>
        <v>85</v>
      </c>
      <c r="K553" s="464" cm="1">
        <f t="array" ref="K553">IFERROR(INDEX(★原価率!$A$2:$E$50,MATCH($C553&amp;$H553,★原価率!$A$2:$A$50&amp;★原価率!$B$2:$B$50,0),5),0)</f>
        <v>100</v>
      </c>
      <c r="L553" s="528">
        <f>IFERROR(VLOOKUP(W553,★商品!$A$1:$H$1231,8,FALSE),0)</f>
        <v>2.8</v>
      </c>
      <c r="M553" s="203" t="str">
        <f ca="1">CONCATENATE(VLOOKUP(B553,★営業所!$A$2:$B$5,2,FALSE),TEXT(NOW(),"yyyy"))</f>
        <v>T2023</v>
      </c>
      <c r="N553" s="203">
        <v>1</v>
      </c>
      <c r="O553" s="203">
        <v>0</v>
      </c>
      <c r="P553" s="213">
        <f>申込書!$B$6</f>
        <v>0</v>
      </c>
      <c r="Q553" s="203">
        <f>申込書!$C$34</f>
        <v>1000040</v>
      </c>
      <c r="R553" s="203">
        <v>0</v>
      </c>
      <c r="U553" s="203">
        <f>VLOOKUP(B553,★営業所!$A$2:$C$5,3,FALSE)</f>
        <v>8</v>
      </c>
      <c r="V553" s="203">
        <f>申込書!$B$9</f>
        <v>0</v>
      </c>
      <c r="W553" s="203" t="str">
        <f>CONCATENATE(VLOOKUP(B553,★営業所!$A$2:$B$5,2,FALSE),VLOOKUP(申込書!$C$32,★サイズ表記!$D$4:$E$55,2,FALSE),VLOOKUP(D553,★折込地区!$A$2:$B$11,2,FALSE))</f>
        <v>T1001Yng</v>
      </c>
      <c r="X553" s="203" t="str">
        <f>CONCATENATE(申込書!$B$9," ",VLOOKUP(RIGHT(W553,3),★折込地区!$B$2:$C$10,2,FALSE),"")</f>
        <v xml:space="preserve"> 米子</v>
      </c>
      <c r="Z553" s="206">
        <f t="shared" ca="1" si="63"/>
        <v>0</v>
      </c>
      <c r="AB553" s="383">
        <f t="shared" si="64"/>
        <v>2.8</v>
      </c>
      <c r="AC553" s="203" t="str">
        <f t="shared" si="65"/>
        <v>G1001</v>
      </c>
      <c r="AD553" s="203" t="str">
        <f>VLOOKUP(AC553,★原価商品!$E$6:$F$349,2,FALSE)</f>
        <v>朝日/B4（折り無し）</v>
      </c>
      <c r="AE553" s="203">
        <f t="shared" ca="1" si="66"/>
        <v>0</v>
      </c>
      <c r="AF553" s="383">
        <f ca="1">IFERROR(IF(VLOOKUP(申込書!$C$32,★サイズ表記!$F$4:$H$55,3,FALSE)="切り捨て",ROUNDDOWN(L553*IF(AK553="◎",I553,J553)/100,2),IF(VLOOKUP(申込書!$C$32,★サイズ表記!$F$4:$H$55,3,FALSE)="切り上げ",ROUNDUP(L553*IF(AK553="◎",I553,J553)/100,2),ROUND(L553*IF(AK553="◎",I553,J553)/100,2))),0)</f>
        <v>2.38</v>
      </c>
      <c r="AG553" s="203">
        <f t="shared" ca="1" si="67"/>
        <v>10561</v>
      </c>
      <c r="AJ553" s="460" t="str">
        <f>IFERROR(VLOOKUP(申込書!$C$30,★業種!$D$2:$E$87,2,FALSE),"")</f>
        <v>1003</v>
      </c>
      <c r="AK553" s="460" t="str">
        <f ca="1">IF(申込書!$C$36="◎",IF(OR(D553="浜坂・温泉",D553="美方・村岡",D553="香住",D553="岡山",D553="大阪"),"",IF(LEFT(F553)="D","◎",IF(AG553=0,"",IFERROR(IF(VLOOKUP(AG553,★仕入先!$A$2:$C$211,3,FALSE)=0,"","◎"),"")))),"")</f>
        <v/>
      </c>
      <c r="AL553" s="460">
        <f>申込書!$H$14</f>
        <v>0</v>
      </c>
      <c r="AM553" s="460" t="str">
        <f>申込書!$C$32</f>
        <v>B4（折り無し）</v>
      </c>
      <c r="AN553" s="460" t="str">
        <f>VLOOKUP(AM553,★サイズ表記!$D$4:$E$55,2,FALSE)</f>
        <v>1001</v>
      </c>
      <c r="AO553" s="460">
        <f>IF(C553&lt;&gt;"⑧兵庫",VLOOKUP(LEFT(F553),★新聞!$A$4:$B$12,2,FALSE),IF(LEFT(F553)&lt;&gt;"S",VLOOKUP(LEFT(F553),★新聞!$A$4:$B$12,2,FALSE),VLOOKUP("X",★新聞!$A$4:$B$12,2,FALSE)))</f>
        <v>2</v>
      </c>
      <c r="AP553" s="460" t="str">
        <f t="shared" ca="1" si="68"/>
        <v>0</v>
      </c>
      <c r="AQ553" s="460" t="str">
        <f>IF(申込書!$C$38="","",申込書!$C$38)</f>
        <v/>
      </c>
    </row>
    <row r="554" spans="1:43">
      <c r="A554" s="463">
        <f t="shared" si="69"/>
        <v>553</v>
      </c>
      <c r="B554" s="463" t="str">
        <f t="shared" si="55"/>
        <v>東部</v>
      </c>
      <c r="C554" s="464" t="s">
        <v>1018</v>
      </c>
      <c r="D554" s="464" t="s">
        <v>1603</v>
      </c>
      <c r="E554" s="464">
        <f>VLOOKUP(D554,★折込地区!$A$2:$D$10,4,FALSE)</f>
        <v>3</v>
      </c>
      <c r="F554" s="464" t="s">
        <v>384</v>
      </c>
      <c r="G554" s="464" t="str">
        <f>INDEX(★新聞!$E$4:$I$12, MATCH(LEFT(F554),★新聞!$A$4:$A$12,0), MATCH(LEFT(W554),★新聞!$E$3:$I$3,0))</f>
        <v>AD</v>
      </c>
      <c r="H554" s="475" t="s">
        <v>1104</v>
      </c>
      <c r="I554" s="464" cm="1">
        <f t="array" ref="I554">IFERROR(INDEX(★原価率!$A$2:$E$50,MATCH($C554&amp;$H554,★原価率!$A$2:$A$50&amp;★原価率!$B$2:$B$50,0),3),0)</f>
        <v>85</v>
      </c>
      <c r="J554" s="464" cm="1">
        <f t="array" ref="J554">IFERROR(INDEX(★原価率!$A$2:$E$50,MATCH($C554&amp;$H554,★原価率!$A$2:$A$50&amp;★原価率!$B$2:$B$50,0),4),0)</f>
        <v>85</v>
      </c>
      <c r="K554" s="464" cm="1">
        <f t="array" ref="K554">IFERROR(INDEX(★原価率!$A$2:$E$50,MATCH($C554&amp;$H554,★原価率!$A$2:$A$50&amp;★原価率!$B$2:$B$50,0),5),0)</f>
        <v>100</v>
      </c>
      <c r="L554" s="528">
        <f>IFERROR(VLOOKUP(W554,★商品!$A$1:$H$1231,8,FALSE),0)</f>
        <v>2.8</v>
      </c>
      <c r="M554" s="203" t="str">
        <f ca="1">CONCATENATE(VLOOKUP(B554,★営業所!$A$2:$B$5,2,FALSE),TEXT(NOW(),"yyyy"))</f>
        <v>T2023</v>
      </c>
      <c r="N554" s="203">
        <v>1</v>
      </c>
      <c r="O554" s="203">
        <v>0</v>
      </c>
      <c r="P554" s="213">
        <f>申込書!$B$6</f>
        <v>0</v>
      </c>
      <c r="Q554" s="203">
        <f>申込書!$C$34</f>
        <v>1000040</v>
      </c>
      <c r="R554" s="203">
        <v>0</v>
      </c>
      <c r="U554" s="203">
        <f>VLOOKUP(B554,★営業所!$A$2:$C$5,3,FALSE)</f>
        <v>8</v>
      </c>
      <c r="V554" s="203">
        <f>申込書!$B$9</f>
        <v>0</v>
      </c>
      <c r="W554" s="203" t="str">
        <f>CONCATENATE(VLOOKUP(B554,★営業所!$A$2:$B$5,2,FALSE),VLOOKUP(申込書!$C$32,★サイズ表記!$D$4:$E$55,2,FALSE),VLOOKUP(D554,★折込地区!$A$2:$B$11,2,FALSE))</f>
        <v>T1001Yng</v>
      </c>
      <c r="X554" s="203" t="str">
        <f>CONCATENATE(申込書!$B$9," ",VLOOKUP(RIGHT(W554,3),★折込地区!$B$2:$C$10,2,FALSE),"")</f>
        <v xml:space="preserve"> 米子</v>
      </c>
      <c r="Z554" s="206">
        <f t="shared" ca="1" si="63"/>
        <v>0</v>
      </c>
      <c r="AB554" s="383">
        <f t="shared" si="64"/>
        <v>2.8</v>
      </c>
      <c r="AC554" s="203" t="str">
        <f t="shared" si="65"/>
        <v>J1001</v>
      </c>
      <c r="AD554" s="203" t="str">
        <f>VLOOKUP(AC554,★原価商品!$E$6:$F$349,2,FALSE)</f>
        <v>読売/B4（折り無し）</v>
      </c>
      <c r="AE554" s="203">
        <f t="shared" ca="1" si="66"/>
        <v>0</v>
      </c>
      <c r="AF554" s="383">
        <f ca="1">IFERROR(IF(VLOOKUP(申込書!$C$32,★サイズ表記!$F$4:$H$55,3,FALSE)="切り捨て",ROUNDDOWN(L554*IF(AK554="◎",I554,J554)/100,2),IF(VLOOKUP(申込書!$C$32,★サイズ表記!$F$4:$H$55,3,FALSE)="切り上げ",ROUNDUP(L554*IF(AK554="◎",I554,J554)/100,2),ROUND(L554*IF(AK554="◎",I554,J554)/100,2))),0)</f>
        <v>2.38</v>
      </c>
      <c r="AG554" s="203">
        <f t="shared" ca="1" si="67"/>
        <v>10561</v>
      </c>
      <c r="AJ554" s="460" t="str">
        <f>IFERROR(VLOOKUP(申込書!$C$30,★業種!$D$2:$E$87,2,FALSE),"")</f>
        <v>1003</v>
      </c>
      <c r="AK554" s="460" t="str">
        <f ca="1">IF(申込書!$C$36="◎",IF(OR(D554="浜坂・温泉",D554="美方・村岡",D554="香住",D554="岡山",D554="大阪"),"",IF(LEFT(F554)="D","◎",IF(AG554=0,"",IFERROR(IF(VLOOKUP(AG554,★仕入先!$A$2:$C$211,3,FALSE)=0,"","◎"),"")))),"")</f>
        <v/>
      </c>
      <c r="AL554" s="460">
        <f>申込書!$H$14</f>
        <v>0</v>
      </c>
      <c r="AM554" s="460" t="str">
        <f>申込書!$C$32</f>
        <v>B4（折り無し）</v>
      </c>
      <c r="AN554" s="460" t="str">
        <f>VLOOKUP(AM554,★サイズ表記!$D$4:$E$55,2,FALSE)</f>
        <v>1001</v>
      </c>
      <c r="AO554" s="460">
        <f>IF(C554&lt;&gt;"⑧兵庫",VLOOKUP(LEFT(F554),★新聞!$A$4:$B$12,2,FALSE),IF(LEFT(F554)&lt;&gt;"S",VLOOKUP(LEFT(F554),★新聞!$A$4:$B$12,2,FALSE),VLOOKUP("X",★新聞!$A$4:$B$12,2,FALSE)))</f>
        <v>3</v>
      </c>
      <c r="AP554" s="460" t="str">
        <f t="shared" ca="1" si="68"/>
        <v>0</v>
      </c>
      <c r="AQ554" s="460" t="str">
        <f>IF(申込書!$C$38="","",申込書!$C$38)</f>
        <v/>
      </c>
    </row>
    <row r="555" spans="1:43">
      <c r="A555" s="463">
        <f t="shared" si="69"/>
        <v>554</v>
      </c>
      <c r="B555" s="463" t="str">
        <f t="shared" si="55"/>
        <v>東部</v>
      </c>
      <c r="C555" s="464" t="s">
        <v>1018</v>
      </c>
      <c r="D555" s="464" t="s">
        <v>1603</v>
      </c>
      <c r="E555" s="464">
        <f>VLOOKUP(D555,★折込地区!$A$2:$D$10,4,FALSE)</f>
        <v>3</v>
      </c>
      <c r="F555" s="464" t="s">
        <v>427</v>
      </c>
      <c r="G555" s="464" t="str">
        <f>INDEX(★新聞!$E$4:$I$12, MATCH(LEFT(F555),★新聞!$A$4:$A$12,0), MATCH(LEFT(W555),★新聞!$E$3:$I$3,0))</f>
        <v>AD</v>
      </c>
      <c r="H555" s="475" t="s">
        <v>1104</v>
      </c>
      <c r="I555" s="464" cm="1">
        <f t="array" ref="I555">IFERROR(INDEX(★原価率!$A$2:$E$50,MATCH($C555&amp;$H555,★原価率!$A$2:$A$50&amp;★原価率!$B$2:$B$50,0),3),0)</f>
        <v>85</v>
      </c>
      <c r="J555" s="464" cm="1">
        <f t="array" ref="J555">IFERROR(INDEX(★原価率!$A$2:$E$50,MATCH($C555&amp;$H555,★原価率!$A$2:$A$50&amp;★原価率!$B$2:$B$50,0),4),0)</f>
        <v>85</v>
      </c>
      <c r="K555" s="464" cm="1">
        <f t="array" ref="K555">IFERROR(INDEX(★原価率!$A$2:$E$50,MATCH($C555&amp;$H555,★原価率!$A$2:$A$50&amp;★原価率!$B$2:$B$50,0),5),0)</f>
        <v>100</v>
      </c>
      <c r="L555" s="528">
        <f>IFERROR(VLOOKUP(W555,★商品!$A$1:$H$1231,8,FALSE),0)</f>
        <v>2.8</v>
      </c>
      <c r="M555" s="203" t="str">
        <f ca="1">CONCATENATE(VLOOKUP(B555,★営業所!$A$2:$B$5,2,FALSE),TEXT(NOW(),"yyyy"))</f>
        <v>T2023</v>
      </c>
      <c r="N555" s="203">
        <v>1</v>
      </c>
      <c r="O555" s="203">
        <v>0</v>
      </c>
      <c r="P555" s="213">
        <f>申込書!$B$6</f>
        <v>0</v>
      </c>
      <c r="Q555" s="203">
        <f>申込書!$C$34</f>
        <v>1000040</v>
      </c>
      <c r="R555" s="203">
        <v>0</v>
      </c>
      <c r="U555" s="203">
        <f>VLOOKUP(B555,★営業所!$A$2:$C$5,3,FALSE)</f>
        <v>8</v>
      </c>
      <c r="V555" s="203">
        <f>申込書!$B$9</f>
        <v>0</v>
      </c>
      <c r="W555" s="203" t="str">
        <f>CONCATENATE(VLOOKUP(B555,★営業所!$A$2:$B$5,2,FALSE),VLOOKUP(申込書!$C$32,★サイズ表記!$D$4:$E$55,2,FALSE),VLOOKUP(D555,★折込地区!$A$2:$B$11,2,FALSE))</f>
        <v>T1001Yng</v>
      </c>
      <c r="X555" s="203" t="str">
        <f>CONCATENATE(申込書!$B$9," ",VLOOKUP(RIGHT(W555,3),★折込地区!$B$2:$C$10,2,FALSE),"")</f>
        <v xml:space="preserve"> 米子</v>
      </c>
      <c r="Z555" s="206">
        <f t="shared" ca="1" si="63"/>
        <v>0</v>
      </c>
      <c r="AB555" s="383">
        <f t="shared" si="64"/>
        <v>2.8</v>
      </c>
      <c r="AC555" s="203" t="str">
        <f t="shared" si="65"/>
        <v>J1001</v>
      </c>
      <c r="AD555" s="203" t="str">
        <f>VLOOKUP(AC555,★原価商品!$E$6:$F$349,2,FALSE)</f>
        <v>読売/B4（折り無し）</v>
      </c>
      <c r="AE555" s="203">
        <f t="shared" ca="1" si="66"/>
        <v>0</v>
      </c>
      <c r="AF555" s="383">
        <f ca="1">IFERROR(IF(VLOOKUP(申込書!$C$32,★サイズ表記!$F$4:$H$55,3,FALSE)="切り捨て",ROUNDDOWN(L555*IF(AK555="◎",I555,J555)/100,2),IF(VLOOKUP(申込書!$C$32,★サイズ表記!$F$4:$H$55,3,FALSE)="切り上げ",ROUNDUP(L555*IF(AK555="◎",I555,J555)/100,2),ROUND(L555*IF(AK555="◎",I555,J555)/100,2))),0)</f>
        <v>2.38</v>
      </c>
      <c r="AG555" s="203">
        <f t="shared" ca="1" si="67"/>
        <v>10561</v>
      </c>
      <c r="AJ555" s="460" t="str">
        <f>IFERROR(VLOOKUP(申込書!$C$30,★業種!$D$2:$E$87,2,FALSE),"")</f>
        <v>1003</v>
      </c>
      <c r="AK555" s="460" t="str">
        <f ca="1">IF(申込書!$C$36="◎",IF(OR(D555="浜坂・温泉",D555="美方・村岡",D555="香住",D555="岡山",D555="大阪"),"",IF(LEFT(F555)="D","◎",IF(AG555=0,"",IFERROR(IF(VLOOKUP(AG555,★仕入先!$A$2:$C$211,3,FALSE)=0,"","◎"),"")))),"")</f>
        <v/>
      </c>
      <c r="AL555" s="460">
        <f>申込書!$H$14</f>
        <v>0</v>
      </c>
      <c r="AM555" s="460" t="str">
        <f>申込書!$C$32</f>
        <v>B4（折り無し）</v>
      </c>
      <c r="AN555" s="460" t="str">
        <f>VLOOKUP(AM555,★サイズ表記!$D$4:$E$55,2,FALSE)</f>
        <v>1001</v>
      </c>
      <c r="AO555" s="460">
        <f>IF(C555&lt;&gt;"⑧兵庫",VLOOKUP(LEFT(F555),★新聞!$A$4:$B$12,2,FALSE),IF(LEFT(F555)&lt;&gt;"S",VLOOKUP(LEFT(F555),★新聞!$A$4:$B$12,2,FALSE),VLOOKUP("X",★新聞!$A$4:$B$12,2,FALSE)))</f>
        <v>3</v>
      </c>
      <c r="AP555" s="460" t="str">
        <f t="shared" ca="1" si="68"/>
        <v>0</v>
      </c>
      <c r="AQ555" s="460" t="str">
        <f>IF(申込書!$C$38="","",申込書!$C$38)</f>
        <v/>
      </c>
    </row>
    <row r="556" spans="1:43">
      <c r="A556" s="463">
        <f t="shared" si="69"/>
        <v>555</v>
      </c>
      <c r="B556" s="463" t="str">
        <f t="shared" si="55"/>
        <v>東部</v>
      </c>
      <c r="C556" s="464" t="s">
        <v>1018</v>
      </c>
      <c r="D556" s="464" t="s">
        <v>1603</v>
      </c>
      <c r="E556" s="464">
        <f>VLOOKUP(D556,★折込地区!$A$2:$D$10,4,FALSE)</f>
        <v>3</v>
      </c>
      <c r="F556" s="464" t="s">
        <v>428</v>
      </c>
      <c r="G556" s="464" t="str">
        <f>INDEX(★新聞!$E$4:$I$12, MATCH(LEFT(F556),★新聞!$A$4:$A$12,0), MATCH(LEFT(W556),★新聞!$E$3:$I$3,0))</f>
        <v>AD</v>
      </c>
      <c r="H556" s="475" t="s">
        <v>1104</v>
      </c>
      <c r="I556" s="464" cm="1">
        <f t="array" ref="I556">IFERROR(INDEX(★原価率!$A$2:$E$50,MATCH($C556&amp;$H556,★原価率!$A$2:$A$50&amp;★原価率!$B$2:$B$50,0),3),0)</f>
        <v>85</v>
      </c>
      <c r="J556" s="464" cm="1">
        <f t="array" ref="J556">IFERROR(INDEX(★原価率!$A$2:$E$50,MATCH($C556&amp;$H556,★原価率!$A$2:$A$50&amp;★原価率!$B$2:$B$50,0),4),0)</f>
        <v>85</v>
      </c>
      <c r="K556" s="464" cm="1">
        <f t="array" ref="K556">IFERROR(INDEX(★原価率!$A$2:$E$50,MATCH($C556&amp;$H556,★原価率!$A$2:$A$50&amp;★原価率!$B$2:$B$50,0),5),0)</f>
        <v>100</v>
      </c>
      <c r="L556" s="528">
        <f>IFERROR(VLOOKUP(W556,★商品!$A$1:$H$1231,8,FALSE),0)</f>
        <v>2.8</v>
      </c>
      <c r="M556" s="203" t="str">
        <f ca="1">CONCATENATE(VLOOKUP(B556,★営業所!$A$2:$B$5,2,FALSE),TEXT(NOW(),"yyyy"))</f>
        <v>T2023</v>
      </c>
      <c r="N556" s="203">
        <v>1</v>
      </c>
      <c r="O556" s="203">
        <v>0</v>
      </c>
      <c r="P556" s="213">
        <f>申込書!$B$6</f>
        <v>0</v>
      </c>
      <c r="Q556" s="203">
        <f>申込書!$C$34</f>
        <v>1000040</v>
      </c>
      <c r="R556" s="203">
        <v>0</v>
      </c>
      <c r="U556" s="203">
        <f>VLOOKUP(B556,★営業所!$A$2:$C$5,3,FALSE)</f>
        <v>8</v>
      </c>
      <c r="V556" s="203">
        <f>申込書!$B$9</f>
        <v>0</v>
      </c>
      <c r="W556" s="203" t="str">
        <f>CONCATENATE(VLOOKUP(B556,★営業所!$A$2:$B$5,2,FALSE),VLOOKUP(申込書!$C$32,★サイズ表記!$D$4:$E$55,2,FALSE),VLOOKUP(D556,★折込地区!$A$2:$B$11,2,FALSE))</f>
        <v>T1001Yng</v>
      </c>
      <c r="X556" s="203" t="str">
        <f>CONCATENATE(申込書!$B$9," ",VLOOKUP(RIGHT(W556,3),★折込地区!$B$2:$C$10,2,FALSE),"")</f>
        <v xml:space="preserve"> 米子</v>
      </c>
      <c r="Z556" s="206">
        <f t="shared" ca="1" si="63"/>
        <v>0</v>
      </c>
      <c r="AB556" s="383">
        <f t="shared" si="64"/>
        <v>2.8</v>
      </c>
      <c r="AC556" s="203" t="str">
        <f t="shared" si="65"/>
        <v>J1001</v>
      </c>
      <c r="AD556" s="203" t="str">
        <f>VLOOKUP(AC556,★原価商品!$E$6:$F$349,2,FALSE)</f>
        <v>読売/B4（折り無し）</v>
      </c>
      <c r="AE556" s="203">
        <f t="shared" ca="1" si="66"/>
        <v>0</v>
      </c>
      <c r="AF556" s="383">
        <f ca="1">IFERROR(IF(VLOOKUP(申込書!$C$32,★サイズ表記!$F$4:$H$55,3,FALSE)="切り捨て",ROUNDDOWN(L556*IF(AK556="◎",I556,J556)/100,2),IF(VLOOKUP(申込書!$C$32,★サイズ表記!$F$4:$H$55,3,FALSE)="切り上げ",ROUNDUP(L556*IF(AK556="◎",I556,J556)/100,2),ROUND(L556*IF(AK556="◎",I556,J556)/100,2))),0)</f>
        <v>2.38</v>
      </c>
      <c r="AG556" s="203">
        <f t="shared" ca="1" si="67"/>
        <v>10561</v>
      </c>
      <c r="AJ556" s="460" t="str">
        <f>IFERROR(VLOOKUP(申込書!$C$30,★業種!$D$2:$E$87,2,FALSE),"")</f>
        <v>1003</v>
      </c>
      <c r="AK556" s="460" t="str">
        <f ca="1">IF(申込書!$C$36="◎",IF(OR(D556="浜坂・温泉",D556="美方・村岡",D556="香住",D556="岡山",D556="大阪"),"",IF(LEFT(F556)="D","◎",IF(AG556=0,"",IFERROR(IF(VLOOKUP(AG556,★仕入先!$A$2:$C$211,3,FALSE)=0,"","◎"),"")))),"")</f>
        <v/>
      </c>
      <c r="AL556" s="460">
        <f>申込書!$H$14</f>
        <v>0</v>
      </c>
      <c r="AM556" s="460" t="str">
        <f>申込書!$C$32</f>
        <v>B4（折り無し）</v>
      </c>
      <c r="AN556" s="460" t="str">
        <f>VLOOKUP(AM556,★サイズ表記!$D$4:$E$55,2,FALSE)</f>
        <v>1001</v>
      </c>
      <c r="AO556" s="460">
        <f>IF(C556&lt;&gt;"⑧兵庫",VLOOKUP(LEFT(F556),★新聞!$A$4:$B$12,2,FALSE),IF(LEFT(F556)&lt;&gt;"S",VLOOKUP(LEFT(F556),★新聞!$A$4:$B$12,2,FALSE),VLOOKUP("X",★新聞!$A$4:$B$12,2,FALSE)))</f>
        <v>3</v>
      </c>
      <c r="AP556" s="460" t="str">
        <f t="shared" ca="1" si="68"/>
        <v>0</v>
      </c>
      <c r="AQ556" s="460" t="str">
        <f>IF(申込書!$C$38="","",申込書!$C$38)</f>
        <v/>
      </c>
    </row>
    <row r="557" spans="1:43">
      <c r="A557" s="463">
        <f t="shared" si="69"/>
        <v>556</v>
      </c>
      <c r="B557" s="463" t="str">
        <f t="shared" si="55"/>
        <v>東部</v>
      </c>
      <c r="C557" s="464" t="s">
        <v>1018</v>
      </c>
      <c r="D557" s="464" t="s">
        <v>1603</v>
      </c>
      <c r="E557" s="464">
        <f>VLOOKUP(D557,★折込地区!$A$2:$D$10,4,FALSE)</f>
        <v>3</v>
      </c>
      <c r="F557" s="464" t="s">
        <v>429</v>
      </c>
      <c r="G557" s="464" t="str">
        <f>INDEX(★新聞!$E$4:$I$12, MATCH(LEFT(F557),★新聞!$A$4:$A$12,0), MATCH(LEFT(W557),★新聞!$E$3:$I$3,0))</f>
        <v>AD</v>
      </c>
      <c r="H557" s="475" t="s">
        <v>1104</v>
      </c>
      <c r="I557" s="464" cm="1">
        <f t="array" ref="I557">IFERROR(INDEX(★原価率!$A$2:$E$50,MATCH($C557&amp;$H557,★原価率!$A$2:$A$50&amp;★原価率!$B$2:$B$50,0),3),0)</f>
        <v>85</v>
      </c>
      <c r="J557" s="464" cm="1">
        <f t="array" ref="J557">IFERROR(INDEX(★原価率!$A$2:$E$50,MATCH($C557&amp;$H557,★原価率!$A$2:$A$50&amp;★原価率!$B$2:$B$50,0),4),0)</f>
        <v>85</v>
      </c>
      <c r="K557" s="464" cm="1">
        <f t="array" ref="K557">IFERROR(INDEX(★原価率!$A$2:$E$50,MATCH($C557&amp;$H557,★原価率!$A$2:$A$50&amp;★原価率!$B$2:$B$50,0),5),0)</f>
        <v>100</v>
      </c>
      <c r="L557" s="528">
        <f>IFERROR(VLOOKUP(W557,★商品!$A$1:$H$1231,8,FALSE),0)</f>
        <v>2.8</v>
      </c>
      <c r="M557" s="203" t="str">
        <f ca="1">CONCATENATE(VLOOKUP(B557,★営業所!$A$2:$B$5,2,FALSE),TEXT(NOW(),"yyyy"))</f>
        <v>T2023</v>
      </c>
      <c r="N557" s="203">
        <v>1</v>
      </c>
      <c r="O557" s="203">
        <v>0</v>
      </c>
      <c r="P557" s="213">
        <f>申込書!$B$6</f>
        <v>0</v>
      </c>
      <c r="Q557" s="203">
        <f>申込書!$C$34</f>
        <v>1000040</v>
      </c>
      <c r="R557" s="203">
        <v>0</v>
      </c>
      <c r="U557" s="203">
        <f>VLOOKUP(B557,★営業所!$A$2:$C$5,3,FALSE)</f>
        <v>8</v>
      </c>
      <c r="V557" s="203">
        <f>申込書!$B$9</f>
        <v>0</v>
      </c>
      <c r="W557" s="203" t="str">
        <f>CONCATENATE(VLOOKUP(B557,★営業所!$A$2:$B$5,2,FALSE),VLOOKUP(申込書!$C$32,★サイズ表記!$D$4:$E$55,2,FALSE),VLOOKUP(D557,★折込地区!$A$2:$B$11,2,FALSE))</f>
        <v>T1001Yng</v>
      </c>
      <c r="X557" s="203" t="str">
        <f>CONCATENATE(申込書!$B$9," ",VLOOKUP(RIGHT(W557,3),★折込地区!$B$2:$C$10,2,FALSE),"")</f>
        <v xml:space="preserve"> 米子</v>
      </c>
      <c r="Z557" s="206">
        <f t="shared" ca="1" si="63"/>
        <v>0</v>
      </c>
      <c r="AB557" s="383">
        <f t="shared" si="64"/>
        <v>2.8</v>
      </c>
      <c r="AC557" s="203" t="str">
        <f t="shared" si="65"/>
        <v>J1001</v>
      </c>
      <c r="AD557" s="203" t="str">
        <f>VLOOKUP(AC557,★原価商品!$E$6:$F$349,2,FALSE)</f>
        <v>読売/B4（折り無し）</v>
      </c>
      <c r="AE557" s="203">
        <f t="shared" ca="1" si="66"/>
        <v>0</v>
      </c>
      <c r="AF557" s="383">
        <f ca="1">IFERROR(IF(VLOOKUP(申込書!$C$32,★サイズ表記!$F$4:$H$55,3,FALSE)="切り捨て",ROUNDDOWN(L557*IF(AK557="◎",I557,J557)/100,2),IF(VLOOKUP(申込書!$C$32,★サイズ表記!$F$4:$H$55,3,FALSE)="切り上げ",ROUNDUP(L557*IF(AK557="◎",I557,J557)/100,2),ROUND(L557*IF(AK557="◎",I557,J557)/100,2))),0)</f>
        <v>2.38</v>
      </c>
      <c r="AG557" s="203">
        <f t="shared" ca="1" si="67"/>
        <v>10561</v>
      </c>
      <c r="AJ557" s="460" t="str">
        <f>IFERROR(VLOOKUP(申込書!$C$30,★業種!$D$2:$E$87,2,FALSE),"")</f>
        <v>1003</v>
      </c>
      <c r="AK557" s="460" t="str">
        <f ca="1">IF(申込書!$C$36="◎",IF(OR(D557="浜坂・温泉",D557="美方・村岡",D557="香住",D557="岡山",D557="大阪"),"",IF(LEFT(F557)="D","◎",IF(AG557=0,"",IFERROR(IF(VLOOKUP(AG557,★仕入先!$A$2:$C$211,3,FALSE)=0,"","◎"),"")))),"")</f>
        <v/>
      </c>
      <c r="AL557" s="460">
        <f>申込書!$H$14</f>
        <v>0</v>
      </c>
      <c r="AM557" s="460" t="str">
        <f>申込書!$C$32</f>
        <v>B4（折り無し）</v>
      </c>
      <c r="AN557" s="460" t="str">
        <f>VLOOKUP(AM557,★サイズ表記!$D$4:$E$55,2,FALSE)</f>
        <v>1001</v>
      </c>
      <c r="AO557" s="460">
        <f>IF(C557&lt;&gt;"⑧兵庫",VLOOKUP(LEFT(F557),★新聞!$A$4:$B$12,2,FALSE),IF(LEFT(F557)&lt;&gt;"S",VLOOKUP(LEFT(F557),★新聞!$A$4:$B$12,2,FALSE),VLOOKUP("X",★新聞!$A$4:$B$12,2,FALSE)))</f>
        <v>3</v>
      </c>
      <c r="AP557" s="460" t="str">
        <f t="shared" ca="1" si="68"/>
        <v>0</v>
      </c>
      <c r="AQ557" s="460" t="str">
        <f>IF(申込書!$C$38="","",申込書!$C$38)</f>
        <v/>
      </c>
    </row>
    <row r="558" spans="1:43">
      <c r="A558" s="463">
        <f t="shared" si="69"/>
        <v>557</v>
      </c>
      <c r="B558" s="463" t="str">
        <f t="shared" si="55"/>
        <v>東部</v>
      </c>
      <c r="C558" s="464" t="s">
        <v>1018</v>
      </c>
      <c r="D558" s="464" t="s">
        <v>1603</v>
      </c>
      <c r="E558" s="464">
        <f>VLOOKUP(D558,★折込地区!$A$2:$D$10,4,FALSE)</f>
        <v>3</v>
      </c>
      <c r="F558" s="464" t="s">
        <v>430</v>
      </c>
      <c r="G558" s="464" t="str">
        <f>INDEX(★新聞!$E$4:$I$12, MATCH(LEFT(F558),★新聞!$A$4:$A$12,0), MATCH(LEFT(W558),★新聞!$E$3:$I$3,0))</f>
        <v>AD</v>
      </c>
      <c r="H558" s="475" t="s">
        <v>1104</v>
      </c>
      <c r="I558" s="464" cm="1">
        <f t="array" ref="I558">IFERROR(INDEX(★原価率!$A$2:$E$50,MATCH($C558&amp;$H558,★原価率!$A$2:$A$50&amp;★原価率!$B$2:$B$50,0),3),0)</f>
        <v>85</v>
      </c>
      <c r="J558" s="464" cm="1">
        <f t="array" ref="J558">IFERROR(INDEX(★原価率!$A$2:$E$50,MATCH($C558&amp;$H558,★原価率!$A$2:$A$50&amp;★原価率!$B$2:$B$50,0),4),0)</f>
        <v>85</v>
      </c>
      <c r="K558" s="464" cm="1">
        <f t="array" ref="K558">IFERROR(INDEX(★原価率!$A$2:$E$50,MATCH($C558&amp;$H558,★原価率!$A$2:$A$50&amp;★原価率!$B$2:$B$50,0),5),0)</f>
        <v>100</v>
      </c>
      <c r="L558" s="528">
        <f>IFERROR(VLOOKUP(W558,★商品!$A$1:$H$1231,8,FALSE),0)</f>
        <v>2.8</v>
      </c>
      <c r="M558" s="203" t="str">
        <f ca="1">CONCATENATE(VLOOKUP(B558,★営業所!$A$2:$B$5,2,FALSE),TEXT(NOW(),"yyyy"))</f>
        <v>T2023</v>
      </c>
      <c r="N558" s="203">
        <v>1</v>
      </c>
      <c r="O558" s="203">
        <v>0</v>
      </c>
      <c r="P558" s="213">
        <f>申込書!$B$6</f>
        <v>0</v>
      </c>
      <c r="Q558" s="203">
        <f>申込書!$C$34</f>
        <v>1000040</v>
      </c>
      <c r="R558" s="203">
        <v>0</v>
      </c>
      <c r="U558" s="203">
        <f>VLOOKUP(B558,★営業所!$A$2:$C$5,3,FALSE)</f>
        <v>8</v>
      </c>
      <c r="V558" s="203">
        <f>申込書!$B$9</f>
        <v>0</v>
      </c>
      <c r="W558" s="203" t="str">
        <f>CONCATENATE(VLOOKUP(B558,★営業所!$A$2:$B$5,2,FALSE),VLOOKUP(申込書!$C$32,★サイズ表記!$D$4:$E$55,2,FALSE),VLOOKUP(D558,★折込地区!$A$2:$B$11,2,FALSE))</f>
        <v>T1001Yng</v>
      </c>
      <c r="X558" s="203" t="str">
        <f>CONCATENATE(申込書!$B$9," ",VLOOKUP(RIGHT(W558,3),★折込地区!$B$2:$C$10,2,FALSE),"")</f>
        <v xml:space="preserve"> 米子</v>
      </c>
      <c r="Z558" s="206">
        <f t="shared" ca="1" si="63"/>
        <v>0</v>
      </c>
      <c r="AB558" s="383">
        <f t="shared" si="64"/>
        <v>2.8</v>
      </c>
      <c r="AC558" s="203" t="str">
        <f t="shared" si="65"/>
        <v>J1001</v>
      </c>
      <c r="AD558" s="203" t="str">
        <f>VLOOKUP(AC558,★原価商品!$E$6:$F$349,2,FALSE)</f>
        <v>読売/B4（折り無し）</v>
      </c>
      <c r="AE558" s="203">
        <f t="shared" ca="1" si="66"/>
        <v>0</v>
      </c>
      <c r="AF558" s="383">
        <f ca="1">IFERROR(IF(VLOOKUP(申込書!$C$32,★サイズ表記!$F$4:$H$55,3,FALSE)="切り捨て",ROUNDDOWN(L558*IF(AK558="◎",I558,J558)/100,2),IF(VLOOKUP(申込書!$C$32,★サイズ表記!$F$4:$H$55,3,FALSE)="切り上げ",ROUNDUP(L558*IF(AK558="◎",I558,J558)/100,2),ROUND(L558*IF(AK558="◎",I558,J558)/100,2))),0)</f>
        <v>2.38</v>
      </c>
      <c r="AG558" s="203">
        <f t="shared" ca="1" si="67"/>
        <v>10561</v>
      </c>
      <c r="AJ558" s="460" t="str">
        <f>IFERROR(VLOOKUP(申込書!$C$30,★業種!$D$2:$E$87,2,FALSE),"")</f>
        <v>1003</v>
      </c>
      <c r="AK558" s="460" t="str">
        <f ca="1">IF(申込書!$C$36="◎",IF(OR(D558="浜坂・温泉",D558="美方・村岡",D558="香住",D558="岡山",D558="大阪"),"",IF(LEFT(F558)="D","◎",IF(AG558=0,"",IFERROR(IF(VLOOKUP(AG558,★仕入先!$A$2:$C$211,3,FALSE)=0,"","◎"),"")))),"")</f>
        <v/>
      </c>
      <c r="AL558" s="460">
        <f>申込書!$H$14</f>
        <v>0</v>
      </c>
      <c r="AM558" s="460" t="str">
        <f>申込書!$C$32</f>
        <v>B4（折り無し）</v>
      </c>
      <c r="AN558" s="460" t="str">
        <f>VLOOKUP(AM558,★サイズ表記!$D$4:$E$55,2,FALSE)</f>
        <v>1001</v>
      </c>
      <c r="AO558" s="460">
        <f>IF(C558&lt;&gt;"⑧兵庫",VLOOKUP(LEFT(F558),★新聞!$A$4:$B$12,2,FALSE),IF(LEFT(F558)&lt;&gt;"S",VLOOKUP(LEFT(F558),★新聞!$A$4:$B$12,2,FALSE),VLOOKUP("X",★新聞!$A$4:$B$12,2,FALSE)))</f>
        <v>3</v>
      </c>
      <c r="AP558" s="460" t="str">
        <f t="shared" ca="1" si="68"/>
        <v>0</v>
      </c>
      <c r="AQ558" s="460" t="str">
        <f>IF(申込書!$C$38="","",申込書!$C$38)</f>
        <v/>
      </c>
    </row>
    <row r="559" spans="1:43">
      <c r="A559" s="463">
        <f t="shared" si="69"/>
        <v>558</v>
      </c>
      <c r="B559" s="463" t="str">
        <f t="shared" si="55"/>
        <v>東部</v>
      </c>
      <c r="C559" s="464" t="s">
        <v>1018</v>
      </c>
      <c r="D559" s="464" t="s">
        <v>1603</v>
      </c>
      <c r="E559" s="464">
        <f>VLOOKUP(D559,★折込地区!$A$2:$D$10,4,FALSE)</f>
        <v>3</v>
      </c>
      <c r="F559" s="464" t="s">
        <v>431</v>
      </c>
      <c r="G559" s="464" t="str">
        <f>INDEX(★新聞!$E$4:$I$12, MATCH(LEFT(F559),★新聞!$A$4:$A$12,0), MATCH(LEFT(W559),★新聞!$E$3:$I$3,0))</f>
        <v>AD</v>
      </c>
      <c r="H559" s="475" t="s">
        <v>1104</v>
      </c>
      <c r="I559" s="464" cm="1">
        <f t="array" ref="I559">IFERROR(INDEX(★原価率!$A$2:$E$50,MATCH($C559&amp;$H559,★原価率!$A$2:$A$50&amp;★原価率!$B$2:$B$50,0),3),0)</f>
        <v>85</v>
      </c>
      <c r="J559" s="464" cm="1">
        <f t="array" ref="J559">IFERROR(INDEX(★原価率!$A$2:$E$50,MATCH($C559&amp;$H559,★原価率!$A$2:$A$50&amp;★原価率!$B$2:$B$50,0),4),0)</f>
        <v>85</v>
      </c>
      <c r="K559" s="464" cm="1">
        <f t="array" ref="K559">IFERROR(INDEX(★原価率!$A$2:$E$50,MATCH($C559&amp;$H559,★原価率!$A$2:$A$50&amp;★原価率!$B$2:$B$50,0),5),0)</f>
        <v>100</v>
      </c>
      <c r="L559" s="528">
        <f>IFERROR(VLOOKUP(W559,★商品!$A$1:$H$1231,8,FALSE),0)</f>
        <v>2.8</v>
      </c>
      <c r="M559" s="203" t="str">
        <f ca="1">CONCATENATE(VLOOKUP(B559,★営業所!$A$2:$B$5,2,FALSE),TEXT(NOW(),"yyyy"))</f>
        <v>T2023</v>
      </c>
      <c r="N559" s="203">
        <v>1</v>
      </c>
      <c r="O559" s="203">
        <v>0</v>
      </c>
      <c r="P559" s="213">
        <f>申込書!$B$6</f>
        <v>0</v>
      </c>
      <c r="Q559" s="203">
        <f>申込書!$C$34</f>
        <v>1000040</v>
      </c>
      <c r="R559" s="203">
        <v>0</v>
      </c>
      <c r="U559" s="203">
        <f>VLOOKUP(B559,★営業所!$A$2:$C$5,3,FALSE)</f>
        <v>8</v>
      </c>
      <c r="V559" s="203">
        <f>申込書!$B$9</f>
        <v>0</v>
      </c>
      <c r="W559" s="203" t="str">
        <f>CONCATENATE(VLOOKUP(B559,★営業所!$A$2:$B$5,2,FALSE),VLOOKUP(申込書!$C$32,★サイズ表記!$D$4:$E$55,2,FALSE),VLOOKUP(D559,★折込地区!$A$2:$B$11,2,FALSE))</f>
        <v>T1001Yng</v>
      </c>
      <c r="X559" s="203" t="str">
        <f>CONCATENATE(申込書!$B$9," ",VLOOKUP(RIGHT(W559,3),★折込地区!$B$2:$C$10,2,FALSE),"")</f>
        <v xml:space="preserve"> 米子</v>
      </c>
      <c r="Z559" s="206">
        <f t="shared" ca="1" si="63"/>
        <v>0</v>
      </c>
      <c r="AB559" s="383">
        <f t="shared" si="64"/>
        <v>2.8</v>
      </c>
      <c r="AC559" s="203" t="str">
        <f t="shared" si="65"/>
        <v>J1001</v>
      </c>
      <c r="AD559" s="203" t="str">
        <f>VLOOKUP(AC559,★原価商品!$E$6:$F$349,2,FALSE)</f>
        <v>読売/B4（折り無し）</v>
      </c>
      <c r="AE559" s="203">
        <f t="shared" ca="1" si="66"/>
        <v>0</v>
      </c>
      <c r="AF559" s="383">
        <f ca="1">IFERROR(IF(VLOOKUP(申込書!$C$32,★サイズ表記!$F$4:$H$55,3,FALSE)="切り捨て",ROUNDDOWN(L559*IF(AK559="◎",I559,J559)/100,2),IF(VLOOKUP(申込書!$C$32,★サイズ表記!$F$4:$H$55,3,FALSE)="切り上げ",ROUNDUP(L559*IF(AK559="◎",I559,J559)/100,2),ROUND(L559*IF(AK559="◎",I559,J559)/100,2))),0)</f>
        <v>2.38</v>
      </c>
      <c r="AG559" s="203">
        <f t="shared" ca="1" si="67"/>
        <v>0</v>
      </c>
      <c r="AJ559" s="460" t="str">
        <f>IFERROR(VLOOKUP(申込書!$C$30,★業種!$D$2:$E$87,2,FALSE),"")</f>
        <v>1003</v>
      </c>
      <c r="AK559" s="460" t="str">
        <f ca="1">IF(申込書!$C$36="◎",IF(OR(D559="浜坂・温泉",D559="美方・村岡",D559="香住",D559="岡山",D559="大阪"),"",IF(LEFT(F559)="D","◎",IF(AG559=0,"",IFERROR(IF(VLOOKUP(AG559,★仕入先!$A$2:$C$211,3,FALSE)=0,"","◎"),"")))),"")</f>
        <v/>
      </c>
      <c r="AL559" s="460">
        <f>申込書!$H$14</f>
        <v>0</v>
      </c>
      <c r="AM559" s="460" t="str">
        <f>申込書!$C$32</f>
        <v>B4（折り無し）</v>
      </c>
      <c r="AN559" s="460" t="str">
        <f>VLOOKUP(AM559,★サイズ表記!$D$4:$E$55,2,FALSE)</f>
        <v>1001</v>
      </c>
      <c r="AO559" s="460">
        <f>IF(C559&lt;&gt;"⑧兵庫",VLOOKUP(LEFT(F559),★新聞!$A$4:$B$12,2,FALSE),IF(LEFT(F559)&lt;&gt;"S",VLOOKUP(LEFT(F559),★新聞!$A$4:$B$12,2,FALSE),VLOOKUP("X",★新聞!$A$4:$B$12,2,FALSE)))</f>
        <v>3</v>
      </c>
      <c r="AP559" s="460" t="str">
        <f t="shared" ca="1" si="68"/>
        <v>0</v>
      </c>
      <c r="AQ559" s="460" t="str">
        <f>IF(申込書!$C$38="","",申込書!$C$38)</f>
        <v/>
      </c>
    </row>
    <row r="560" spans="1:43">
      <c r="A560" s="463">
        <f t="shared" si="69"/>
        <v>559</v>
      </c>
      <c r="B560" s="463" t="str">
        <f t="shared" si="55"/>
        <v>東部</v>
      </c>
      <c r="C560" s="464" t="s">
        <v>1018</v>
      </c>
      <c r="D560" s="464" t="s">
        <v>1603</v>
      </c>
      <c r="E560" s="464">
        <f>VLOOKUP(D560,★折込地区!$A$2:$D$10,4,FALSE)</f>
        <v>3</v>
      </c>
      <c r="F560" s="464" t="s">
        <v>432</v>
      </c>
      <c r="G560" s="464" t="str">
        <f>INDEX(★新聞!$E$4:$I$12, MATCH(LEFT(F560),★新聞!$A$4:$A$12,0), MATCH(LEFT(W560),★新聞!$E$3:$I$3,0))</f>
        <v>AD</v>
      </c>
      <c r="H560" s="475" t="s">
        <v>1104</v>
      </c>
      <c r="I560" s="464" cm="1">
        <f t="array" ref="I560">IFERROR(INDEX(★原価率!$A$2:$E$50,MATCH($C560&amp;$H560,★原価率!$A$2:$A$50&amp;★原価率!$B$2:$B$50,0),3),0)</f>
        <v>85</v>
      </c>
      <c r="J560" s="464" cm="1">
        <f t="array" ref="J560">IFERROR(INDEX(★原価率!$A$2:$E$50,MATCH($C560&amp;$H560,★原価率!$A$2:$A$50&amp;★原価率!$B$2:$B$50,0),4),0)</f>
        <v>85</v>
      </c>
      <c r="K560" s="464" cm="1">
        <f t="array" ref="K560">IFERROR(INDEX(★原価率!$A$2:$E$50,MATCH($C560&amp;$H560,★原価率!$A$2:$A$50&amp;★原価率!$B$2:$B$50,0),5),0)</f>
        <v>100</v>
      </c>
      <c r="L560" s="528">
        <f>IFERROR(VLOOKUP(W560,★商品!$A$1:$H$1231,8,FALSE),0)</f>
        <v>2.8</v>
      </c>
      <c r="M560" s="203" t="str">
        <f ca="1">CONCATENATE(VLOOKUP(B560,★営業所!$A$2:$B$5,2,FALSE),TEXT(NOW(),"yyyy"))</f>
        <v>T2023</v>
      </c>
      <c r="N560" s="203">
        <v>1</v>
      </c>
      <c r="O560" s="203">
        <v>0</v>
      </c>
      <c r="P560" s="213">
        <f>申込書!$B$6</f>
        <v>0</v>
      </c>
      <c r="Q560" s="203">
        <f>申込書!$C$34</f>
        <v>1000040</v>
      </c>
      <c r="R560" s="203">
        <v>0</v>
      </c>
      <c r="U560" s="203">
        <f>VLOOKUP(B560,★営業所!$A$2:$C$5,3,FALSE)</f>
        <v>8</v>
      </c>
      <c r="V560" s="203">
        <f>申込書!$B$9</f>
        <v>0</v>
      </c>
      <c r="W560" s="203" t="str">
        <f>CONCATENATE(VLOOKUP(B560,★営業所!$A$2:$B$5,2,FALSE),VLOOKUP(申込書!$C$32,★サイズ表記!$D$4:$E$55,2,FALSE),VLOOKUP(D560,★折込地区!$A$2:$B$11,2,FALSE))</f>
        <v>T1001Yng</v>
      </c>
      <c r="X560" s="203" t="str">
        <f>CONCATENATE(申込書!$B$9," ",VLOOKUP(RIGHT(W560,3),★折込地区!$B$2:$C$10,2,FALSE),"")</f>
        <v xml:space="preserve"> 米子</v>
      </c>
      <c r="Z560" s="206">
        <f t="shared" ca="1" si="63"/>
        <v>0</v>
      </c>
      <c r="AB560" s="383">
        <f t="shared" si="64"/>
        <v>2.8</v>
      </c>
      <c r="AC560" s="203" t="str">
        <f t="shared" si="65"/>
        <v>J1001</v>
      </c>
      <c r="AD560" s="203" t="str">
        <f>VLOOKUP(AC560,★原価商品!$E$6:$F$349,2,FALSE)</f>
        <v>読売/B4（折り無し）</v>
      </c>
      <c r="AE560" s="203">
        <f t="shared" ca="1" si="66"/>
        <v>0</v>
      </c>
      <c r="AF560" s="383">
        <f ca="1">IFERROR(IF(VLOOKUP(申込書!$C$32,★サイズ表記!$F$4:$H$55,3,FALSE)="切り捨て",ROUNDDOWN(L560*IF(AK560="◎",I560,J560)/100,2),IF(VLOOKUP(申込書!$C$32,★サイズ表記!$F$4:$H$55,3,FALSE)="切り上げ",ROUNDUP(L560*IF(AK560="◎",I560,J560)/100,2),ROUND(L560*IF(AK560="◎",I560,J560)/100,2))),0)</f>
        <v>2.38</v>
      </c>
      <c r="AG560" s="203">
        <f t="shared" ca="1" si="67"/>
        <v>0</v>
      </c>
      <c r="AJ560" s="460" t="str">
        <f>IFERROR(VLOOKUP(申込書!$C$30,★業種!$D$2:$E$87,2,FALSE),"")</f>
        <v>1003</v>
      </c>
      <c r="AK560" s="460" t="str">
        <f ca="1">IF(申込書!$C$36="◎",IF(OR(D560="浜坂・温泉",D560="美方・村岡",D560="香住",D560="岡山",D560="大阪"),"",IF(LEFT(F560)="D","◎",IF(AG560=0,"",IFERROR(IF(VLOOKUP(AG560,★仕入先!$A$2:$C$211,3,FALSE)=0,"","◎"),"")))),"")</f>
        <v/>
      </c>
      <c r="AL560" s="460">
        <f>申込書!$H$14</f>
        <v>0</v>
      </c>
      <c r="AM560" s="460" t="str">
        <f>申込書!$C$32</f>
        <v>B4（折り無し）</v>
      </c>
      <c r="AN560" s="460" t="str">
        <f>VLOOKUP(AM560,★サイズ表記!$D$4:$E$55,2,FALSE)</f>
        <v>1001</v>
      </c>
      <c r="AO560" s="460">
        <f>IF(C560&lt;&gt;"⑧兵庫",VLOOKUP(LEFT(F560),★新聞!$A$4:$B$12,2,FALSE),IF(LEFT(F560)&lt;&gt;"S",VLOOKUP(LEFT(F560),★新聞!$A$4:$B$12,2,FALSE),VLOOKUP("X",★新聞!$A$4:$B$12,2,FALSE)))</f>
        <v>3</v>
      </c>
      <c r="AP560" s="460" t="str">
        <f t="shared" ca="1" si="68"/>
        <v>0</v>
      </c>
      <c r="AQ560" s="460" t="str">
        <f>IF(申込書!$C$38="","",申込書!$C$38)</f>
        <v/>
      </c>
    </row>
    <row r="561" spans="1:43">
      <c r="A561" s="463">
        <f t="shared" si="69"/>
        <v>560</v>
      </c>
      <c r="B561" s="463" t="str">
        <f t="shared" si="55"/>
        <v>東部</v>
      </c>
      <c r="C561" s="464" t="s">
        <v>1018</v>
      </c>
      <c r="D561" s="464" t="s">
        <v>1603</v>
      </c>
      <c r="E561" s="464">
        <f>VLOOKUP(D561,★折込地区!$A$2:$D$10,4,FALSE)</f>
        <v>3</v>
      </c>
      <c r="F561" s="464" t="s">
        <v>433</v>
      </c>
      <c r="G561" s="464" t="str">
        <f>INDEX(★新聞!$E$4:$I$12, MATCH(LEFT(F561),★新聞!$A$4:$A$12,0), MATCH(LEFT(W561),★新聞!$E$3:$I$3,0))</f>
        <v>AD</v>
      </c>
      <c r="H561" s="475" t="s">
        <v>1104</v>
      </c>
      <c r="I561" s="464" cm="1">
        <f t="array" ref="I561">IFERROR(INDEX(★原価率!$A$2:$E$50,MATCH($C561&amp;$H561,★原価率!$A$2:$A$50&amp;★原価率!$B$2:$B$50,0),3),0)</f>
        <v>85</v>
      </c>
      <c r="J561" s="464" cm="1">
        <f t="array" ref="J561">IFERROR(INDEX(★原価率!$A$2:$E$50,MATCH($C561&amp;$H561,★原価率!$A$2:$A$50&amp;★原価率!$B$2:$B$50,0),4),0)</f>
        <v>85</v>
      </c>
      <c r="K561" s="464" cm="1">
        <f t="array" ref="K561">IFERROR(INDEX(★原価率!$A$2:$E$50,MATCH($C561&amp;$H561,★原価率!$A$2:$A$50&amp;★原価率!$B$2:$B$50,0),5),0)</f>
        <v>100</v>
      </c>
      <c r="L561" s="528">
        <f>IFERROR(VLOOKUP(W561,★商品!$A$1:$H$1231,8,FALSE),0)</f>
        <v>2.8</v>
      </c>
      <c r="M561" s="203" t="str">
        <f ca="1">CONCATENATE(VLOOKUP(B561,★営業所!$A$2:$B$5,2,FALSE),TEXT(NOW(),"yyyy"))</f>
        <v>T2023</v>
      </c>
      <c r="N561" s="203">
        <v>1</v>
      </c>
      <c r="O561" s="203">
        <v>0</v>
      </c>
      <c r="P561" s="213">
        <f>申込書!$B$6</f>
        <v>0</v>
      </c>
      <c r="Q561" s="203">
        <f>申込書!$C$34</f>
        <v>1000040</v>
      </c>
      <c r="R561" s="203">
        <v>0</v>
      </c>
      <c r="U561" s="203">
        <f>VLOOKUP(B561,★営業所!$A$2:$C$5,3,FALSE)</f>
        <v>8</v>
      </c>
      <c r="V561" s="203">
        <f>申込書!$B$9</f>
        <v>0</v>
      </c>
      <c r="W561" s="203" t="str">
        <f>CONCATENATE(VLOOKUP(B561,★営業所!$A$2:$B$5,2,FALSE),VLOOKUP(申込書!$C$32,★サイズ表記!$D$4:$E$55,2,FALSE),VLOOKUP(D561,★折込地区!$A$2:$B$11,2,FALSE))</f>
        <v>T1001Yng</v>
      </c>
      <c r="X561" s="203" t="str">
        <f>CONCATENATE(申込書!$B$9," ",VLOOKUP(RIGHT(W561,3),★折込地区!$B$2:$C$10,2,FALSE),"")</f>
        <v xml:space="preserve"> 米子</v>
      </c>
      <c r="Z561" s="206">
        <f t="shared" ca="1" si="63"/>
        <v>0</v>
      </c>
      <c r="AB561" s="383">
        <f t="shared" si="64"/>
        <v>2.8</v>
      </c>
      <c r="AC561" s="203" t="str">
        <f t="shared" si="65"/>
        <v>J1001</v>
      </c>
      <c r="AD561" s="203" t="str">
        <f>VLOOKUP(AC561,★原価商品!$E$6:$F$349,2,FALSE)</f>
        <v>読売/B4（折り無し）</v>
      </c>
      <c r="AE561" s="203">
        <f t="shared" ca="1" si="66"/>
        <v>0</v>
      </c>
      <c r="AF561" s="383">
        <f ca="1">IFERROR(IF(VLOOKUP(申込書!$C$32,★サイズ表記!$F$4:$H$55,3,FALSE)="切り捨て",ROUNDDOWN(L561*IF(AK561="◎",I561,J561)/100,2),IF(VLOOKUP(申込書!$C$32,★サイズ表記!$F$4:$H$55,3,FALSE)="切り上げ",ROUNDUP(L561*IF(AK561="◎",I561,J561)/100,2),ROUND(L561*IF(AK561="◎",I561,J561)/100,2))),0)</f>
        <v>2.38</v>
      </c>
      <c r="AG561" s="203">
        <f t="shared" ca="1" si="67"/>
        <v>0</v>
      </c>
      <c r="AJ561" s="460" t="str">
        <f>IFERROR(VLOOKUP(申込書!$C$30,★業種!$D$2:$E$87,2,FALSE),"")</f>
        <v>1003</v>
      </c>
      <c r="AK561" s="460" t="str">
        <f ca="1">IF(申込書!$C$36="◎",IF(OR(D561="浜坂・温泉",D561="美方・村岡",D561="香住",D561="岡山",D561="大阪"),"",IF(LEFT(F561)="D","◎",IF(AG561=0,"",IFERROR(IF(VLOOKUP(AG561,★仕入先!$A$2:$C$211,3,FALSE)=0,"","◎"),"")))),"")</f>
        <v/>
      </c>
      <c r="AL561" s="460">
        <f>申込書!$H$14</f>
        <v>0</v>
      </c>
      <c r="AM561" s="460" t="str">
        <f>申込書!$C$32</f>
        <v>B4（折り無し）</v>
      </c>
      <c r="AN561" s="460" t="str">
        <f>VLOOKUP(AM561,★サイズ表記!$D$4:$E$55,2,FALSE)</f>
        <v>1001</v>
      </c>
      <c r="AO561" s="460">
        <f>IF(C561&lt;&gt;"⑧兵庫",VLOOKUP(LEFT(F561),★新聞!$A$4:$B$12,2,FALSE),IF(LEFT(F561)&lt;&gt;"S",VLOOKUP(LEFT(F561),★新聞!$A$4:$B$12,2,FALSE),VLOOKUP("X",★新聞!$A$4:$B$12,2,FALSE)))</f>
        <v>3</v>
      </c>
      <c r="AP561" s="460" t="str">
        <f t="shared" ca="1" si="68"/>
        <v>0</v>
      </c>
      <c r="AQ561" s="460" t="str">
        <f>IF(申込書!$C$38="","",申込書!$C$38)</f>
        <v/>
      </c>
    </row>
    <row r="562" spans="1:43">
      <c r="A562" s="463">
        <f t="shared" si="69"/>
        <v>561</v>
      </c>
      <c r="B562" s="463" t="str">
        <f t="shared" si="55"/>
        <v>東部</v>
      </c>
      <c r="C562" s="464" t="s">
        <v>1018</v>
      </c>
      <c r="D562" s="464" t="s">
        <v>1603</v>
      </c>
      <c r="E562" s="464">
        <f>VLOOKUP(D562,★折込地区!$A$2:$D$10,4,FALSE)</f>
        <v>3</v>
      </c>
      <c r="F562" s="464" t="s">
        <v>434</v>
      </c>
      <c r="G562" s="464" t="str">
        <f>INDEX(★新聞!$E$4:$I$12, MATCH(LEFT(F562),★新聞!$A$4:$A$12,0), MATCH(LEFT(W562),★新聞!$E$3:$I$3,0))</f>
        <v>AD</v>
      </c>
      <c r="H562" s="475" t="s">
        <v>1104</v>
      </c>
      <c r="I562" s="464" cm="1">
        <f t="array" ref="I562">IFERROR(INDEX(★原価率!$A$2:$E$50,MATCH($C562&amp;$H562,★原価率!$A$2:$A$50&amp;★原価率!$B$2:$B$50,0),3),0)</f>
        <v>85</v>
      </c>
      <c r="J562" s="464" cm="1">
        <f t="array" ref="J562">IFERROR(INDEX(★原価率!$A$2:$E$50,MATCH($C562&amp;$H562,★原価率!$A$2:$A$50&amp;★原価率!$B$2:$B$50,0),4),0)</f>
        <v>85</v>
      </c>
      <c r="K562" s="464" cm="1">
        <f t="array" ref="K562">IFERROR(INDEX(★原価率!$A$2:$E$50,MATCH($C562&amp;$H562,★原価率!$A$2:$A$50&amp;★原価率!$B$2:$B$50,0),5),0)</f>
        <v>100</v>
      </c>
      <c r="L562" s="528">
        <f>IFERROR(VLOOKUP(W562,★商品!$A$1:$H$1231,8,FALSE),0)</f>
        <v>2.8</v>
      </c>
      <c r="M562" s="203" t="str">
        <f ca="1">CONCATENATE(VLOOKUP(B562,★営業所!$A$2:$B$5,2,FALSE),TEXT(NOW(),"yyyy"))</f>
        <v>T2023</v>
      </c>
      <c r="N562" s="203">
        <v>1</v>
      </c>
      <c r="O562" s="203">
        <v>0</v>
      </c>
      <c r="P562" s="213">
        <f>申込書!$B$6</f>
        <v>0</v>
      </c>
      <c r="Q562" s="203">
        <f>申込書!$C$34</f>
        <v>1000040</v>
      </c>
      <c r="R562" s="203">
        <v>0</v>
      </c>
      <c r="U562" s="203">
        <f>VLOOKUP(B562,★営業所!$A$2:$C$5,3,FALSE)</f>
        <v>8</v>
      </c>
      <c r="V562" s="203">
        <f>申込書!$B$9</f>
        <v>0</v>
      </c>
      <c r="W562" s="203" t="str">
        <f>CONCATENATE(VLOOKUP(B562,★営業所!$A$2:$B$5,2,FALSE),VLOOKUP(申込書!$C$32,★サイズ表記!$D$4:$E$55,2,FALSE),VLOOKUP(D562,★折込地区!$A$2:$B$11,2,FALSE))</f>
        <v>T1001Yng</v>
      </c>
      <c r="X562" s="203" t="str">
        <f>CONCATENATE(申込書!$B$9," ",VLOOKUP(RIGHT(W562,3),★折込地区!$B$2:$C$10,2,FALSE),"")</f>
        <v xml:space="preserve"> 米子</v>
      </c>
      <c r="Z562" s="206">
        <f t="shared" ca="1" si="63"/>
        <v>0</v>
      </c>
      <c r="AB562" s="383">
        <f t="shared" si="64"/>
        <v>2.8</v>
      </c>
      <c r="AC562" s="203" t="str">
        <f t="shared" si="65"/>
        <v>J1001</v>
      </c>
      <c r="AD562" s="203" t="str">
        <f>VLOOKUP(AC562,★原価商品!$E$6:$F$349,2,FALSE)</f>
        <v>読売/B4（折り無し）</v>
      </c>
      <c r="AE562" s="203">
        <f t="shared" ca="1" si="66"/>
        <v>0</v>
      </c>
      <c r="AF562" s="383">
        <f ca="1">IFERROR(IF(VLOOKUP(申込書!$C$32,★サイズ表記!$F$4:$H$55,3,FALSE)="切り捨て",ROUNDDOWN(L562*IF(AK562="◎",I562,J562)/100,2),IF(VLOOKUP(申込書!$C$32,★サイズ表記!$F$4:$H$55,3,FALSE)="切り上げ",ROUNDUP(L562*IF(AK562="◎",I562,J562)/100,2),ROUND(L562*IF(AK562="◎",I562,J562)/100,2))),0)</f>
        <v>2.38</v>
      </c>
      <c r="AG562" s="203">
        <f t="shared" ca="1" si="67"/>
        <v>0</v>
      </c>
      <c r="AJ562" s="460" t="str">
        <f>IFERROR(VLOOKUP(申込書!$C$30,★業種!$D$2:$E$87,2,FALSE),"")</f>
        <v>1003</v>
      </c>
      <c r="AK562" s="460" t="str">
        <f ca="1">IF(申込書!$C$36="◎",IF(OR(D562="浜坂・温泉",D562="美方・村岡",D562="香住",D562="岡山",D562="大阪"),"",IF(LEFT(F562)="D","◎",IF(AG562=0,"",IFERROR(IF(VLOOKUP(AG562,★仕入先!$A$2:$C$211,3,FALSE)=0,"","◎"),"")))),"")</f>
        <v/>
      </c>
      <c r="AL562" s="460">
        <f>申込書!$H$14</f>
        <v>0</v>
      </c>
      <c r="AM562" s="460" t="str">
        <f>申込書!$C$32</f>
        <v>B4（折り無し）</v>
      </c>
      <c r="AN562" s="460" t="str">
        <f>VLOOKUP(AM562,★サイズ表記!$D$4:$E$55,2,FALSE)</f>
        <v>1001</v>
      </c>
      <c r="AO562" s="460">
        <f>IF(C562&lt;&gt;"⑧兵庫",VLOOKUP(LEFT(F562),★新聞!$A$4:$B$12,2,FALSE),IF(LEFT(F562)&lt;&gt;"S",VLOOKUP(LEFT(F562),★新聞!$A$4:$B$12,2,FALSE),VLOOKUP("X",★新聞!$A$4:$B$12,2,FALSE)))</f>
        <v>3</v>
      </c>
      <c r="AP562" s="460" t="str">
        <f t="shared" ca="1" si="68"/>
        <v>0</v>
      </c>
      <c r="AQ562" s="460" t="str">
        <f>IF(申込書!$C$38="","",申込書!$C$38)</f>
        <v/>
      </c>
    </row>
    <row r="563" spans="1:43">
      <c r="A563" s="463">
        <f t="shared" si="69"/>
        <v>562</v>
      </c>
      <c r="B563" s="463" t="str">
        <f t="shared" si="55"/>
        <v>東部</v>
      </c>
      <c r="C563" s="464" t="s">
        <v>1018</v>
      </c>
      <c r="D563" s="464" t="s">
        <v>1603</v>
      </c>
      <c r="E563" s="464">
        <f>VLOOKUP(D563,★折込地区!$A$2:$D$10,4,FALSE)</f>
        <v>3</v>
      </c>
      <c r="F563" s="464" t="s">
        <v>435</v>
      </c>
      <c r="G563" s="464" t="str">
        <f>INDEX(★新聞!$E$4:$I$12, MATCH(LEFT(F563),★新聞!$A$4:$A$12,0), MATCH(LEFT(W563),★新聞!$E$3:$I$3,0))</f>
        <v>AD</v>
      </c>
      <c r="H563" s="475" t="s">
        <v>1104</v>
      </c>
      <c r="I563" s="464" cm="1">
        <f t="array" ref="I563">IFERROR(INDEX(★原価率!$A$2:$E$50,MATCH($C563&amp;$H563,★原価率!$A$2:$A$50&amp;★原価率!$B$2:$B$50,0),3),0)</f>
        <v>85</v>
      </c>
      <c r="J563" s="464" cm="1">
        <f t="array" ref="J563">IFERROR(INDEX(★原価率!$A$2:$E$50,MATCH($C563&amp;$H563,★原価率!$A$2:$A$50&amp;★原価率!$B$2:$B$50,0),4),0)</f>
        <v>85</v>
      </c>
      <c r="K563" s="464" cm="1">
        <f t="array" ref="K563">IFERROR(INDEX(★原価率!$A$2:$E$50,MATCH($C563&amp;$H563,★原価率!$A$2:$A$50&amp;★原価率!$B$2:$B$50,0),5),0)</f>
        <v>100</v>
      </c>
      <c r="L563" s="528">
        <f>IFERROR(VLOOKUP(W563,★商品!$A$1:$H$1231,8,FALSE),0)</f>
        <v>2.8</v>
      </c>
      <c r="M563" s="203" t="str">
        <f ca="1">CONCATENATE(VLOOKUP(B563,★営業所!$A$2:$B$5,2,FALSE),TEXT(NOW(),"yyyy"))</f>
        <v>T2023</v>
      </c>
      <c r="N563" s="203">
        <v>1</v>
      </c>
      <c r="O563" s="203">
        <v>0</v>
      </c>
      <c r="P563" s="213">
        <f>申込書!$B$6</f>
        <v>0</v>
      </c>
      <c r="Q563" s="203">
        <f>申込書!$C$34</f>
        <v>1000040</v>
      </c>
      <c r="R563" s="203">
        <v>0</v>
      </c>
      <c r="U563" s="203">
        <f>VLOOKUP(B563,★営業所!$A$2:$C$5,3,FALSE)</f>
        <v>8</v>
      </c>
      <c r="V563" s="203">
        <f>申込書!$B$9</f>
        <v>0</v>
      </c>
      <c r="W563" s="203" t="str">
        <f>CONCATENATE(VLOOKUP(B563,★営業所!$A$2:$B$5,2,FALSE),VLOOKUP(申込書!$C$32,★サイズ表記!$D$4:$E$55,2,FALSE),VLOOKUP(D563,★折込地区!$A$2:$B$11,2,FALSE))</f>
        <v>T1001Yng</v>
      </c>
      <c r="X563" s="203" t="str">
        <f>CONCATENATE(申込書!$B$9," ",VLOOKUP(RIGHT(W563,3),★折込地区!$B$2:$C$10,2,FALSE),"")</f>
        <v xml:space="preserve"> 米子</v>
      </c>
      <c r="Z563" s="206">
        <f t="shared" ca="1" si="63"/>
        <v>0</v>
      </c>
      <c r="AB563" s="383">
        <f t="shared" si="64"/>
        <v>2.8</v>
      </c>
      <c r="AC563" s="203" t="str">
        <f t="shared" si="65"/>
        <v>J1001</v>
      </c>
      <c r="AD563" s="203" t="str">
        <f>VLOOKUP(AC563,★原価商品!$E$6:$F$349,2,FALSE)</f>
        <v>読売/B4（折り無し）</v>
      </c>
      <c r="AE563" s="203">
        <f t="shared" ca="1" si="66"/>
        <v>0</v>
      </c>
      <c r="AF563" s="383">
        <f ca="1">IFERROR(IF(VLOOKUP(申込書!$C$32,★サイズ表記!$F$4:$H$55,3,FALSE)="切り捨て",ROUNDDOWN(L563*IF(AK563="◎",I563,J563)/100,2),IF(VLOOKUP(申込書!$C$32,★サイズ表記!$F$4:$H$55,3,FALSE)="切り上げ",ROUNDUP(L563*IF(AK563="◎",I563,J563)/100,2),ROUND(L563*IF(AK563="◎",I563,J563)/100,2))),0)</f>
        <v>2.38</v>
      </c>
      <c r="AG563" s="203">
        <f t="shared" ca="1" si="67"/>
        <v>0</v>
      </c>
      <c r="AJ563" s="460" t="str">
        <f>IFERROR(VLOOKUP(申込書!$C$30,★業種!$D$2:$E$87,2,FALSE),"")</f>
        <v>1003</v>
      </c>
      <c r="AK563" s="460" t="str">
        <f ca="1">IF(申込書!$C$36="◎",IF(OR(D563="浜坂・温泉",D563="美方・村岡",D563="香住",D563="岡山",D563="大阪"),"",IF(LEFT(F563)="D","◎",IF(AG563=0,"",IFERROR(IF(VLOOKUP(AG563,★仕入先!$A$2:$C$211,3,FALSE)=0,"","◎"),"")))),"")</f>
        <v/>
      </c>
      <c r="AL563" s="460">
        <f>申込書!$H$14</f>
        <v>0</v>
      </c>
      <c r="AM563" s="460" t="str">
        <f>申込書!$C$32</f>
        <v>B4（折り無し）</v>
      </c>
      <c r="AN563" s="460" t="str">
        <f>VLOOKUP(AM563,★サイズ表記!$D$4:$E$55,2,FALSE)</f>
        <v>1001</v>
      </c>
      <c r="AO563" s="460">
        <f>IF(C563&lt;&gt;"⑧兵庫",VLOOKUP(LEFT(F563),★新聞!$A$4:$B$12,2,FALSE),IF(LEFT(F563)&lt;&gt;"S",VLOOKUP(LEFT(F563),★新聞!$A$4:$B$12,2,FALSE),VLOOKUP("X",★新聞!$A$4:$B$12,2,FALSE)))</f>
        <v>3</v>
      </c>
      <c r="AP563" s="460" t="str">
        <f t="shared" ca="1" si="68"/>
        <v>0</v>
      </c>
      <c r="AQ563" s="460" t="str">
        <f>IF(申込書!$C$38="","",申込書!$C$38)</f>
        <v/>
      </c>
    </row>
    <row r="564" spans="1:43">
      <c r="A564" s="463">
        <f t="shared" si="69"/>
        <v>563</v>
      </c>
      <c r="B564" s="463" t="str">
        <f t="shared" si="55"/>
        <v>東部</v>
      </c>
      <c r="C564" s="464" t="s">
        <v>1018</v>
      </c>
      <c r="D564" s="464" t="s">
        <v>1603</v>
      </c>
      <c r="E564" s="464">
        <f>VLOOKUP(D564,★折込地区!$A$2:$D$10,4,FALSE)</f>
        <v>3</v>
      </c>
      <c r="F564" s="464" t="s">
        <v>436</v>
      </c>
      <c r="G564" s="464" t="str">
        <f>INDEX(★新聞!$E$4:$I$12, MATCH(LEFT(F564),★新聞!$A$4:$A$12,0), MATCH(LEFT(W564),★新聞!$E$3:$I$3,0))</f>
        <v>AD</v>
      </c>
      <c r="H564" s="475" t="s">
        <v>1104</v>
      </c>
      <c r="I564" s="464" cm="1">
        <f t="array" ref="I564">IFERROR(INDEX(★原価率!$A$2:$E$50,MATCH($C564&amp;$H564,★原価率!$A$2:$A$50&amp;★原価率!$B$2:$B$50,0),3),0)</f>
        <v>85</v>
      </c>
      <c r="J564" s="464" cm="1">
        <f t="array" ref="J564">IFERROR(INDEX(★原価率!$A$2:$E$50,MATCH($C564&amp;$H564,★原価率!$A$2:$A$50&amp;★原価率!$B$2:$B$50,0),4),0)</f>
        <v>85</v>
      </c>
      <c r="K564" s="464" cm="1">
        <f t="array" ref="K564">IFERROR(INDEX(★原価率!$A$2:$E$50,MATCH($C564&amp;$H564,★原価率!$A$2:$A$50&amp;★原価率!$B$2:$B$50,0),5),0)</f>
        <v>100</v>
      </c>
      <c r="L564" s="528">
        <f>IFERROR(VLOOKUP(W564,★商品!$A$1:$H$1231,8,FALSE),0)</f>
        <v>2.8</v>
      </c>
      <c r="M564" s="203" t="str">
        <f ca="1">CONCATENATE(VLOOKUP(B564,★営業所!$A$2:$B$5,2,FALSE),TEXT(NOW(),"yyyy"))</f>
        <v>T2023</v>
      </c>
      <c r="N564" s="203">
        <v>1</v>
      </c>
      <c r="O564" s="203">
        <v>0</v>
      </c>
      <c r="P564" s="213">
        <f>申込書!$B$6</f>
        <v>0</v>
      </c>
      <c r="Q564" s="203">
        <f>申込書!$C$34</f>
        <v>1000040</v>
      </c>
      <c r="R564" s="203">
        <v>0</v>
      </c>
      <c r="U564" s="203">
        <f>VLOOKUP(B564,★営業所!$A$2:$C$5,3,FALSE)</f>
        <v>8</v>
      </c>
      <c r="V564" s="203">
        <f>申込書!$B$9</f>
        <v>0</v>
      </c>
      <c r="W564" s="203" t="str">
        <f>CONCATENATE(VLOOKUP(B564,★営業所!$A$2:$B$5,2,FALSE),VLOOKUP(申込書!$C$32,★サイズ表記!$D$4:$E$55,2,FALSE),VLOOKUP(D564,★折込地区!$A$2:$B$11,2,FALSE))</f>
        <v>T1001Yng</v>
      </c>
      <c r="X564" s="203" t="str">
        <f>CONCATENATE(申込書!$B$9," ",VLOOKUP(RIGHT(W564,3),★折込地区!$B$2:$C$10,2,FALSE),"")</f>
        <v xml:space="preserve"> 米子</v>
      </c>
      <c r="Z564" s="206">
        <f t="shared" ca="1" si="63"/>
        <v>0</v>
      </c>
      <c r="AB564" s="383">
        <f t="shared" si="64"/>
        <v>2.8</v>
      </c>
      <c r="AC564" s="203" t="str">
        <f t="shared" si="65"/>
        <v>J1001</v>
      </c>
      <c r="AD564" s="203" t="str">
        <f>VLOOKUP(AC564,★原価商品!$E$6:$F$349,2,FALSE)</f>
        <v>読売/B4（折り無し）</v>
      </c>
      <c r="AE564" s="203">
        <f t="shared" ca="1" si="66"/>
        <v>0</v>
      </c>
      <c r="AF564" s="383">
        <f ca="1">IFERROR(IF(VLOOKUP(申込書!$C$32,★サイズ表記!$F$4:$H$55,3,FALSE)="切り捨て",ROUNDDOWN(L564*IF(AK564="◎",I564,J564)/100,2),IF(VLOOKUP(申込書!$C$32,★サイズ表記!$F$4:$H$55,3,FALSE)="切り上げ",ROUNDUP(L564*IF(AK564="◎",I564,J564)/100,2),ROUND(L564*IF(AK564="◎",I564,J564)/100,2))),0)</f>
        <v>2.38</v>
      </c>
      <c r="AG564" s="203">
        <f t="shared" ca="1" si="67"/>
        <v>0</v>
      </c>
      <c r="AJ564" s="460" t="str">
        <f>IFERROR(VLOOKUP(申込書!$C$30,★業種!$D$2:$E$87,2,FALSE),"")</f>
        <v>1003</v>
      </c>
      <c r="AK564" s="460" t="str">
        <f ca="1">IF(申込書!$C$36="◎",IF(OR(D564="浜坂・温泉",D564="美方・村岡",D564="香住",D564="岡山",D564="大阪"),"",IF(LEFT(F564)="D","◎",IF(AG564=0,"",IFERROR(IF(VLOOKUP(AG564,★仕入先!$A$2:$C$211,3,FALSE)=0,"","◎"),"")))),"")</f>
        <v/>
      </c>
      <c r="AL564" s="460">
        <f>申込書!$H$14</f>
        <v>0</v>
      </c>
      <c r="AM564" s="460" t="str">
        <f>申込書!$C$32</f>
        <v>B4（折り無し）</v>
      </c>
      <c r="AN564" s="460" t="str">
        <f>VLOOKUP(AM564,★サイズ表記!$D$4:$E$55,2,FALSE)</f>
        <v>1001</v>
      </c>
      <c r="AO564" s="460">
        <f>IF(C564&lt;&gt;"⑧兵庫",VLOOKUP(LEFT(F564),★新聞!$A$4:$B$12,2,FALSE),IF(LEFT(F564)&lt;&gt;"S",VLOOKUP(LEFT(F564),★新聞!$A$4:$B$12,2,FALSE),VLOOKUP("X",★新聞!$A$4:$B$12,2,FALSE)))</f>
        <v>3</v>
      </c>
      <c r="AP564" s="460" t="str">
        <f t="shared" ca="1" si="68"/>
        <v>0</v>
      </c>
      <c r="AQ564" s="460" t="str">
        <f>IF(申込書!$C$38="","",申込書!$C$38)</f>
        <v/>
      </c>
    </row>
    <row r="565" spans="1:43">
      <c r="A565" s="463">
        <f t="shared" si="69"/>
        <v>564</v>
      </c>
      <c r="B565" s="463" t="str">
        <f t="shared" si="55"/>
        <v>東部</v>
      </c>
      <c r="C565" s="464" t="s">
        <v>1018</v>
      </c>
      <c r="D565" s="464" t="s">
        <v>1603</v>
      </c>
      <c r="E565" s="464">
        <f>VLOOKUP(D565,★折込地区!$A$2:$D$10,4,FALSE)</f>
        <v>3</v>
      </c>
      <c r="F565" s="464" t="s">
        <v>437</v>
      </c>
      <c r="G565" s="464" t="str">
        <f>INDEX(★新聞!$E$4:$I$12, MATCH(LEFT(F565),★新聞!$A$4:$A$12,0), MATCH(LEFT(W565),★新聞!$E$3:$I$3,0))</f>
        <v>AD</v>
      </c>
      <c r="H565" s="475" t="s">
        <v>1104</v>
      </c>
      <c r="I565" s="464" cm="1">
        <f t="array" ref="I565">IFERROR(INDEX(★原価率!$A$2:$E$50,MATCH($C565&amp;$H565,★原価率!$A$2:$A$50&amp;★原価率!$B$2:$B$50,0),3),0)</f>
        <v>85</v>
      </c>
      <c r="J565" s="464" cm="1">
        <f t="array" ref="J565">IFERROR(INDEX(★原価率!$A$2:$E$50,MATCH($C565&amp;$H565,★原価率!$A$2:$A$50&amp;★原価率!$B$2:$B$50,0),4),0)</f>
        <v>85</v>
      </c>
      <c r="K565" s="464" cm="1">
        <f t="array" ref="K565">IFERROR(INDEX(★原価率!$A$2:$E$50,MATCH($C565&amp;$H565,★原価率!$A$2:$A$50&amp;★原価率!$B$2:$B$50,0),5),0)</f>
        <v>100</v>
      </c>
      <c r="L565" s="528">
        <f>IFERROR(VLOOKUP(W565,★商品!$A$1:$H$1231,8,FALSE),0)</f>
        <v>2.8</v>
      </c>
      <c r="M565" s="203" t="str">
        <f ca="1">CONCATENATE(VLOOKUP(B565,★営業所!$A$2:$B$5,2,FALSE),TEXT(NOW(),"yyyy"))</f>
        <v>T2023</v>
      </c>
      <c r="N565" s="203">
        <v>1</v>
      </c>
      <c r="O565" s="203">
        <v>0</v>
      </c>
      <c r="P565" s="213">
        <f>申込書!$B$6</f>
        <v>0</v>
      </c>
      <c r="Q565" s="203">
        <f>申込書!$C$34</f>
        <v>1000040</v>
      </c>
      <c r="R565" s="203">
        <v>0</v>
      </c>
      <c r="U565" s="203">
        <f>VLOOKUP(B565,★営業所!$A$2:$C$5,3,FALSE)</f>
        <v>8</v>
      </c>
      <c r="V565" s="203">
        <f>申込書!$B$9</f>
        <v>0</v>
      </c>
      <c r="W565" s="203" t="str">
        <f>CONCATENATE(VLOOKUP(B565,★営業所!$A$2:$B$5,2,FALSE),VLOOKUP(申込書!$C$32,★サイズ表記!$D$4:$E$55,2,FALSE),VLOOKUP(D565,★折込地区!$A$2:$B$11,2,FALSE))</f>
        <v>T1001Yng</v>
      </c>
      <c r="X565" s="203" t="str">
        <f>CONCATENATE(申込書!$B$9," ",VLOOKUP(RIGHT(W565,3),★折込地区!$B$2:$C$10,2,FALSE),"")</f>
        <v xml:space="preserve"> 米子</v>
      </c>
      <c r="Z565" s="206">
        <f t="shared" ca="1" si="63"/>
        <v>0</v>
      </c>
      <c r="AB565" s="383">
        <f t="shared" si="64"/>
        <v>2.8</v>
      </c>
      <c r="AC565" s="203" t="str">
        <f t="shared" si="65"/>
        <v>J1001</v>
      </c>
      <c r="AD565" s="203" t="str">
        <f>VLOOKUP(AC565,★原価商品!$E$6:$F$349,2,FALSE)</f>
        <v>読売/B4（折り無し）</v>
      </c>
      <c r="AE565" s="203">
        <f t="shared" ca="1" si="66"/>
        <v>0</v>
      </c>
      <c r="AF565" s="383">
        <f ca="1">IFERROR(IF(VLOOKUP(申込書!$C$32,★サイズ表記!$F$4:$H$55,3,FALSE)="切り捨て",ROUNDDOWN(L565*IF(AK565="◎",I565,J565)/100,2),IF(VLOOKUP(申込書!$C$32,★サイズ表記!$F$4:$H$55,3,FALSE)="切り上げ",ROUNDUP(L565*IF(AK565="◎",I565,J565)/100,2),ROUND(L565*IF(AK565="◎",I565,J565)/100,2))),0)</f>
        <v>2.38</v>
      </c>
      <c r="AG565" s="203">
        <f t="shared" ca="1" si="67"/>
        <v>0</v>
      </c>
      <c r="AJ565" s="460" t="str">
        <f>IFERROR(VLOOKUP(申込書!$C$30,★業種!$D$2:$E$87,2,FALSE),"")</f>
        <v>1003</v>
      </c>
      <c r="AK565" s="460" t="str">
        <f ca="1">IF(申込書!$C$36="◎",IF(OR(D565="浜坂・温泉",D565="美方・村岡",D565="香住",D565="岡山",D565="大阪"),"",IF(LEFT(F565)="D","◎",IF(AG565=0,"",IFERROR(IF(VLOOKUP(AG565,★仕入先!$A$2:$C$211,3,FALSE)=0,"","◎"),"")))),"")</f>
        <v/>
      </c>
      <c r="AL565" s="460">
        <f>申込書!$H$14</f>
        <v>0</v>
      </c>
      <c r="AM565" s="460" t="str">
        <f>申込書!$C$32</f>
        <v>B4（折り無し）</v>
      </c>
      <c r="AN565" s="460" t="str">
        <f>VLOOKUP(AM565,★サイズ表記!$D$4:$E$55,2,FALSE)</f>
        <v>1001</v>
      </c>
      <c r="AO565" s="460">
        <f>IF(C565&lt;&gt;"⑧兵庫",VLOOKUP(LEFT(F565),★新聞!$A$4:$B$12,2,FALSE),IF(LEFT(F565)&lt;&gt;"S",VLOOKUP(LEFT(F565),★新聞!$A$4:$B$12,2,FALSE),VLOOKUP("X",★新聞!$A$4:$B$12,2,FALSE)))</f>
        <v>3</v>
      </c>
      <c r="AP565" s="460" t="str">
        <f t="shared" ca="1" si="68"/>
        <v>0</v>
      </c>
      <c r="AQ565" s="460" t="str">
        <f>IF(申込書!$C$38="","",申込書!$C$38)</f>
        <v/>
      </c>
    </row>
    <row r="566" spans="1:43">
      <c r="A566" s="463">
        <f t="shared" si="69"/>
        <v>565</v>
      </c>
      <c r="B566" s="463" t="str">
        <f t="shared" si="55"/>
        <v>東部</v>
      </c>
      <c r="C566" s="464" t="s">
        <v>1018</v>
      </c>
      <c r="D566" s="464" t="s">
        <v>1603</v>
      </c>
      <c r="E566" s="464">
        <f>VLOOKUP(D566,★折込地区!$A$2:$D$10,4,FALSE)</f>
        <v>3</v>
      </c>
      <c r="F566" s="464" t="s">
        <v>438</v>
      </c>
      <c r="G566" s="464" t="str">
        <f>INDEX(★新聞!$E$4:$I$12, MATCH(LEFT(F566),★新聞!$A$4:$A$12,0), MATCH(LEFT(W566),★新聞!$E$3:$I$3,0))</f>
        <v>AD</v>
      </c>
      <c r="H566" s="475" t="s">
        <v>1104</v>
      </c>
      <c r="I566" s="464" cm="1">
        <f t="array" ref="I566">IFERROR(INDEX(★原価率!$A$2:$E$50,MATCH($C566&amp;$H566,★原価率!$A$2:$A$50&amp;★原価率!$B$2:$B$50,0),3),0)</f>
        <v>85</v>
      </c>
      <c r="J566" s="464" cm="1">
        <f t="array" ref="J566">IFERROR(INDEX(★原価率!$A$2:$E$50,MATCH($C566&amp;$H566,★原価率!$A$2:$A$50&amp;★原価率!$B$2:$B$50,0),4),0)</f>
        <v>85</v>
      </c>
      <c r="K566" s="464" cm="1">
        <f t="array" ref="K566">IFERROR(INDEX(★原価率!$A$2:$E$50,MATCH($C566&amp;$H566,★原価率!$A$2:$A$50&amp;★原価率!$B$2:$B$50,0),5),0)</f>
        <v>100</v>
      </c>
      <c r="L566" s="528">
        <f>IFERROR(VLOOKUP(W566,★商品!$A$1:$H$1231,8,FALSE),0)</f>
        <v>2.8</v>
      </c>
      <c r="M566" s="203" t="str">
        <f ca="1">CONCATENATE(VLOOKUP(B566,★営業所!$A$2:$B$5,2,FALSE),TEXT(NOW(),"yyyy"))</f>
        <v>T2023</v>
      </c>
      <c r="N566" s="203">
        <v>1</v>
      </c>
      <c r="O566" s="203">
        <v>0</v>
      </c>
      <c r="P566" s="213">
        <f>申込書!$B$6</f>
        <v>0</v>
      </c>
      <c r="Q566" s="203">
        <f>申込書!$C$34</f>
        <v>1000040</v>
      </c>
      <c r="R566" s="203">
        <v>0</v>
      </c>
      <c r="U566" s="203">
        <f>VLOOKUP(B566,★営業所!$A$2:$C$5,3,FALSE)</f>
        <v>8</v>
      </c>
      <c r="V566" s="203">
        <f>申込書!$B$9</f>
        <v>0</v>
      </c>
      <c r="W566" s="203" t="str">
        <f>CONCATENATE(VLOOKUP(B566,★営業所!$A$2:$B$5,2,FALSE),VLOOKUP(申込書!$C$32,★サイズ表記!$D$4:$E$55,2,FALSE),VLOOKUP(D566,★折込地区!$A$2:$B$11,2,FALSE))</f>
        <v>T1001Yng</v>
      </c>
      <c r="X566" s="203" t="str">
        <f>CONCATENATE(申込書!$B$9," ",VLOOKUP(RIGHT(W566,3),★折込地区!$B$2:$C$10,2,FALSE),"")</f>
        <v xml:space="preserve"> 米子</v>
      </c>
      <c r="Z566" s="206">
        <f t="shared" ca="1" si="63"/>
        <v>0</v>
      </c>
      <c r="AB566" s="383">
        <f t="shared" si="64"/>
        <v>2.8</v>
      </c>
      <c r="AC566" s="203" t="str">
        <f t="shared" si="65"/>
        <v>J1001</v>
      </c>
      <c r="AD566" s="203" t="str">
        <f>VLOOKUP(AC566,★原価商品!$E$6:$F$349,2,FALSE)</f>
        <v>読売/B4（折り無し）</v>
      </c>
      <c r="AE566" s="203">
        <f t="shared" ca="1" si="66"/>
        <v>0</v>
      </c>
      <c r="AF566" s="383">
        <f ca="1">IFERROR(IF(VLOOKUP(申込書!$C$32,★サイズ表記!$F$4:$H$55,3,FALSE)="切り捨て",ROUNDDOWN(L566*IF(AK566="◎",I566,J566)/100,2),IF(VLOOKUP(申込書!$C$32,★サイズ表記!$F$4:$H$55,3,FALSE)="切り上げ",ROUNDUP(L566*IF(AK566="◎",I566,J566)/100,2),ROUND(L566*IF(AK566="◎",I566,J566)/100,2))),0)</f>
        <v>2.38</v>
      </c>
      <c r="AG566" s="203">
        <f t="shared" ca="1" si="67"/>
        <v>0</v>
      </c>
      <c r="AJ566" s="460" t="str">
        <f>IFERROR(VLOOKUP(申込書!$C$30,★業種!$D$2:$E$87,2,FALSE),"")</f>
        <v>1003</v>
      </c>
      <c r="AK566" s="460" t="str">
        <f ca="1">IF(申込書!$C$36="◎",IF(OR(D566="浜坂・温泉",D566="美方・村岡",D566="香住",D566="岡山",D566="大阪"),"",IF(LEFT(F566)="D","◎",IF(AG566=0,"",IFERROR(IF(VLOOKUP(AG566,★仕入先!$A$2:$C$211,3,FALSE)=0,"","◎"),"")))),"")</f>
        <v/>
      </c>
      <c r="AL566" s="460">
        <f>申込書!$H$14</f>
        <v>0</v>
      </c>
      <c r="AM566" s="460" t="str">
        <f>申込書!$C$32</f>
        <v>B4（折り無し）</v>
      </c>
      <c r="AN566" s="460" t="str">
        <f>VLOOKUP(AM566,★サイズ表記!$D$4:$E$55,2,FALSE)</f>
        <v>1001</v>
      </c>
      <c r="AO566" s="460">
        <f>IF(C566&lt;&gt;"⑧兵庫",VLOOKUP(LEFT(F566),★新聞!$A$4:$B$12,2,FALSE),IF(LEFT(F566)&lt;&gt;"S",VLOOKUP(LEFT(F566),★新聞!$A$4:$B$12,2,FALSE),VLOOKUP("X",★新聞!$A$4:$B$12,2,FALSE)))</f>
        <v>3</v>
      </c>
      <c r="AP566" s="460" t="str">
        <f t="shared" ca="1" si="68"/>
        <v>0</v>
      </c>
      <c r="AQ566" s="460" t="str">
        <f>IF(申込書!$C$38="","",申込書!$C$38)</f>
        <v/>
      </c>
    </row>
    <row r="567" spans="1:43">
      <c r="A567" s="463">
        <f t="shared" si="69"/>
        <v>566</v>
      </c>
      <c r="B567" s="463" t="str">
        <f t="shared" si="55"/>
        <v>東部</v>
      </c>
      <c r="C567" s="464" t="s">
        <v>1018</v>
      </c>
      <c r="D567" s="464" t="s">
        <v>1603</v>
      </c>
      <c r="E567" s="464">
        <f>VLOOKUP(D567,★折込地区!$A$2:$D$10,4,FALSE)</f>
        <v>3</v>
      </c>
      <c r="F567" s="464" t="s">
        <v>440</v>
      </c>
      <c r="G567" s="464" t="str">
        <f>INDEX(★新聞!$E$4:$I$12, MATCH(LEFT(F567),★新聞!$A$4:$A$12,0), MATCH(LEFT(W567),★新聞!$E$3:$I$3,0))</f>
        <v>AD</v>
      </c>
      <c r="H567" s="475" t="s">
        <v>1104</v>
      </c>
      <c r="I567" s="464" cm="1">
        <f t="array" ref="I567">IFERROR(INDEX(★原価率!$A$2:$E$50,MATCH($C567&amp;$H567,★原価率!$A$2:$A$50&amp;★原価率!$B$2:$B$50,0),3),0)</f>
        <v>85</v>
      </c>
      <c r="J567" s="464" cm="1">
        <f t="array" ref="J567">IFERROR(INDEX(★原価率!$A$2:$E$50,MATCH($C567&amp;$H567,★原価率!$A$2:$A$50&amp;★原価率!$B$2:$B$50,0),4),0)</f>
        <v>85</v>
      </c>
      <c r="K567" s="464" cm="1">
        <f t="array" ref="K567">IFERROR(INDEX(★原価率!$A$2:$E$50,MATCH($C567&amp;$H567,★原価率!$A$2:$A$50&amp;★原価率!$B$2:$B$50,0),5),0)</f>
        <v>100</v>
      </c>
      <c r="L567" s="528">
        <f>IFERROR(VLOOKUP(W567,★商品!$A$1:$H$1231,8,FALSE),0)</f>
        <v>2.8</v>
      </c>
      <c r="M567" s="203" t="str">
        <f ca="1">CONCATENATE(VLOOKUP(B567,★営業所!$A$2:$B$5,2,FALSE),TEXT(NOW(),"yyyy"))</f>
        <v>T2023</v>
      </c>
      <c r="N567" s="203">
        <v>1</v>
      </c>
      <c r="O567" s="203">
        <v>0</v>
      </c>
      <c r="P567" s="213">
        <f>申込書!$B$6</f>
        <v>0</v>
      </c>
      <c r="Q567" s="203">
        <f>申込書!$C$34</f>
        <v>1000040</v>
      </c>
      <c r="R567" s="203">
        <v>0</v>
      </c>
      <c r="U567" s="203">
        <f>VLOOKUP(B567,★営業所!$A$2:$C$5,3,FALSE)</f>
        <v>8</v>
      </c>
      <c r="V567" s="203">
        <f>申込書!$B$9</f>
        <v>0</v>
      </c>
      <c r="W567" s="203" t="str">
        <f>CONCATENATE(VLOOKUP(B567,★営業所!$A$2:$B$5,2,FALSE),VLOOKUP(申込書!$C$32,★サイズ表記!$D$4:$E$55,2,FALSE),VLOOKUP(D567,★折込地区!$A$2:$B$11,2,FALSE))</f>
        <v>T1001Yng</v>
      </c>
      <c r="X567" s="203" t="str">
        <f>CONCATENATE(申込書!$B$9," ",VLOOKUP(RIGHT(W567,3),★折込地区!$B$2:$C$10,2,FALSE),"")</f>
        <v xml:space="preserve"> 米子</v>
      </c>
      <c r="Z567" s="206">
        <f t="shared" ca="1" si="63"/>
        <v>0</v>
      </c>
      <c r="AB567" s="383">
        <f t="shared" si="64"/>
        <v>2.8</v>
      </c>
      <c r="AC567" s="203" t="str">
        <f t="shared" si="65"/>
        <v>J1001</v>
      </c>
      <c r="AD567" s="203" t="str">
        <f>VLOOKUP(AC567,★原価商品!$E$6:$F$349,2,FALSE)</f>
        <v>読売/B4（折り無し）</v>
      </c>
      <c r="AE567" s="203">
        <f t="shared" ca="1" si="66"/>
        <v>0</v>
      </c>
      <c r="AF567" s="383">
        <f ca="1">IFERROR(IF(VLOOKUP(申込書!$C$32,★サイズ表記!$F$4:$H$55,3,FALSE)="切り捨て",ROUNDDOWN(L567*IF(AK567="◎",I567,J567)/100,2),IF(VLOOKUP(申込書!$C$32,★サイズ表記!$F$4:$H$55,3,FALSE)="切り上げ",ROUNDUP(L567*IF(AK567="◎",I567,J567)/100,2),ROUND(L567*IF(AK567="◎",I567,J567)/100,2))),0)</f>
        <v>2.38</v>
      </c>
      <c r="AG567" s="203">
        <f t="shared" ca="1" si="67"/>
        <v>10561</v>
      </c>
      <c r="AJ567" s="460" t="str">
        <f>IFERROR(VLOOKUP(申込書!$C$30,★業種!$D$2:$E$87,2,FALSE),"")</f>
        <v>1003</v>
      </c>
      <c r="AK567" s="460" t="str">
        <f ca="1">IF(申込書!$C$36="◎",IF(OR(D567="浜坂・温泉",D567="美方・村岡",D567="香住",D567="岡山",D567="大阪"),"",IF(LEFT(F567)="D","◎",IF(AG567=0,"",IFERROR(IF(VLOOKUP(AG567,★仕入先!$A$2:$C$211,3,FALSE)=0,"","◎"),"")))),"")</f>
        <v/>
      </c>
      <c r="AL567" s="460">
        <f>申込書!$H$14</f>
        <v>0</v>
      </c>
      <c r="AM567" s="460" t="str">
        <f>申込書!$C$32</f>
        <v>B4（折り無し）</v>
      </c>
      <c r="AN567" s="460" t="str">
        <f>VLOOKUP(AM567,★サイズ表記!$D$4:$E$55,2,FALSE)</f>
        <v>1001</v>
      </c>
      <c r="AO567" s="460">
        <f>IF(C567&lt;&gt;"⑧兵庫",VLOOKUP(LEFT(F567),★新聞!$A$4:$B$12,2,FALSE),IF(LEFT(F567)&lt;&gt;"S",VLOOKUP(LEFT(F567),★新聞!$A$4:$B$12,2,FALSE),VLOOKUP("X",★新聞!$A$4:$B$12,2,FALSE)))</f>
        <v>3</v>
      </c>
      <c r="AP567" s="460" t="str">
        <f t="shared" ca="1" si="68"/>
        <v>0</v>
      </c>
      <c r="AQ567" s="460" t="str">
        <f>IF(申込書!$C$38="","",申込書!$C$38)</f>
        <v/>
      </c>
    </row>
    <row r="568" spans="1:43">
      <c r="A568" s="463">
        <f t="shared" si="69"/>
        <v>567</v>
      </c>
      <c r="B568" s="463" t="str">
        <f t="shared" si="55"/>
        <v>東部</v>
      </c>
      <c r="C568" s="464" t="s">
        <v>1018</v>
      </c>
      <c r="D568" s="464" t="s">
        <v>1603</v>
      </c>
      <c r="E568" s="464">
        <f>VLOOKUP(D568,★折込地区!$A$2:$D$10,4,FALSE)</f>
        <v>3</v>
      </c>
      <c r="F568" s="464" t="s">
        <v>441</v>
      </c>
      <c r="G568" s="464" t="str">
        <f>INDEX(★新聞!$E$4:$I$12, MATCH(LEFT(F568),★新聞!$A$4:$A$12,0), MATCH(LEFT(W568),★新聞!$E$3:$I$3,0))</f>
        <v>AD</v>
      </c>
      <c r="H568" s="475" t="s">
        <v>1104</v>
      </c>
      <c r="I568" s="464" cm="1">
        <f t="array" ref="I568">IFERROR(INDEX(★原価率!$A$2:$E$50,MATCH($C568&amp;$H568,★原価率!$A$2:$A$50&amp;★原価率!$B$2:$B$50,0),3),0)</f>
        <v>85</v>
      </c>
      <c r="J568" s="464" cm="1">
        <f t="array" ref="J568">IFERROR(INDEX(★原価率!$A$2:$E$50,MATCH($C568&amp;$H568,★原価率!$A$2:$A$50&amp;★原価率!$B$2:$B$50,0),4),0)</f>
        <v>85</v>
      </c>
      <c r="K568" s="464" cm="1">
        <f t="array" ref="K568">IFERROR(INDEX(★原価率!$A$2:$E$50,MATCH($C568&amp;$H568,★原価率!$A$2:$A$50&amp;★原価率!$B$2:$B$50,0),5),0)</f>
        <v>100</v>
      </c>
      <c r="L568" s="528">
        <f>IFERROR(VLOOKUP(W568,★商品!$A$1:$H$1231,8,FALSE),0)</f>
        <v>2.8</v>
      </c>
      <c r="M568" s="203" t="str">
        <f ca="1">CONCATENATE(VLOOKUP(B568,★営業所!$A$2:$B$5,2,FALSE),TEXT(NOW(),"yyyy"))</f>
        <v>T2023</v>
      </c>
      <c r="N568" s="203">
        <v>1</v>
      </c>
      <c r="O568" s="203">
        <v>0</v>
      </c>
      <c r="P568" s="213">
        <f>申込書!$B$6</f>
        <v>0</v>
      </c>
      <c r="Q568" s="203">
        <f>申込書!$C$34</f>
        <v>1000040</v>
      </c>
      <c r="R568" s="203">
        <v>0</v>
      </c>
      <c r="U568" s="203">
        <f>VLOOKUP(B568,★営業所!$A$2:$C$5,3,FALSE)</f>
        <v>8</v>
      </c>
      <c r="V568" s="203">
        <f>申込書!$B$9</f>
        <v>0</v>
      </c>
      <c r="W568" s="203" t="str">
        <f>CONCATENATE(VLOOKUP(B568,★営業所!$A$2:$B$5,2,FALSE),VLOOKUP(申込書!$C$32,★サイズ表記!$D$4:$E$55,2,FALSE),VLOOKUP(D568,★折込地区!$A$2:$B$11,2,FALSE))</f>
        <v>T1001Yng</v>
      </c>
      <c r="X568" s="203" t="str">
        <f>CONCATENATE(申込書!$B$9," ",VLOOKUP(RIGHT(W568,3),★折込地区!$B$2:$C$10,2,FALSE),"")</f>
        <v xml:space="preserve"> 米子</v>
      </c>
      <c r="Z568" s="206">
        <f t="shared" ca="1" si="63"/>
        <v>0</v>
      </c>
      <c r="AB568" s="383">
        <f t="shared" si="64"/>
        <v>2.8</v>
      </c>
      <c r="AC568" s="203" t="str">
        <f t="shared" si="65"/>
        <v>J1001</v>
      </c>
      <c r="AD568" s="203" t="str">
        <f>VLOOKUP(AC568,★原価商品!$E$6:$F$349,2,FALSE)</f>
        <v>読売/B4（折り無し）</v>
      </c>
      <c r="AE568" s="203">
        <f t="shared" ca="1" si="66"/>
        <v>0</v>
      </c>
      <c r="AF568" s="383">
        <f ca="1">IFERROR(IF(VLOOKUP(申込書!$C$32,★サイズ表記!$F$4:$H$55,3,FALSE)="切り捨て",ROUNDDOWN(L568*IF(AK568="◎",I568,J568)/100,2),IF(VLOOKUP(申込書!$C$32,★サイズ表記!$F$4:$H$55,3,FALSE)="切り上げ",ROUNDUP(L568*IF(AK568="◎",I568,J568)/100,2),ROUND(L568*IF(AK568="◎",I568,J568)/100,2))),0)</f>
        <v>2.38</v>
      </c>
      <c r="AG568" s="203">
        <f t="shared" ca="1" si="67"/>
        <v>10561</v>
      </c>
      <c r="AJ568" s="460" t="str">
        <f>IFERROR(VLOOKUP(申込書!$C$30,★業種!$D$2:$E$87,2,FALSE),"")</f>
        <v>1003</v>
      </c>
      <c r="AK568" s="460" t="str">
        <f ca="1">IF(申込書!$C$36="◎",IF(OR(D568="浜坂・温泉",D568="美方・村岡",D568="香住",D568="岡山",D568="大阪"),"",IF(LEFT(F568)="D","◎",IF(AG568=0,"",IFERROR(IF(VLOOKUP(AG568,★仕入先!$A$2:$C$211,3,FALSE)=0,"","◎"),"")))),"")</f>
        <v/>
      </c>
      <c r="AL568" s="460">
        <f>申込書!$H$14</f>
        <v>0</v>
      </c>
      <c r="AM568" s="460" t="str">
        <f>申込書!$C$32</f>
        <v>B4（折り無し）</v>
      </c>
      <c r="AN568" s="460" t="str">
        <f>VLOOKUP(AM568,★サイズ表記!$D$4:$E$55,2,FALSE)</f>
        <v>1001</v>
      </c>
      <c r="AO568" s="460">
        <f>IF(C568&lt;&gt;"⑧兵庫",VLOOKUP(LEFT(F568),★新聞!$A$4:$B$12,2,FALSE),IF(LEFT(F568)&lt;&gt;"S",VLOOKUP(LEFT(F568),★新聞!$A$4:$B$12,2,FALSE),VLOOKUP("X",★新聞!$A$4:$B$12,2,FALSE)))</f>
        <v>3</v>
      </c>
      <c r="AP568" s="460" t="str">
        <f t="shared" ca="1" si="68"/>
        <v>0</v>
      </c>
      <c r="AQ568" s="460" t="str">
        <f>IF(申込書!$C$38="","",申込書!$C$38)</f>
        <v/>
      </c>
    </row>
    <row r="569" spans="1:43">
      <c r="A569" s="463">
        <f t="shared" si="69"/>
        <v>568</v>
      </c>
      <c r="B569" s="463" t="str">
        <f t="shared" si="55"/>
        <v>東部</v>
      </c>
      <c r="C569" s="464" t="s">
        <v>1018</v>
      </c>
      <c r="D569" s="464" t="s">
        <v>1603</v>
      </c>
      <c r="E569" s="464">
        <f>VLOOKUP(D569,★折込地区!$A$2:$D$10,4,FALSE)</f>
        <v>3</v>
      </c>
      <c r="F569" s="464" t="s">
        <v>442</v>
      </c>
      <c r="G569" s="464" t="str">
        <f>INDEX(★新聞!$E$4:$I$12, MATCH(LEFT(F569),★新聞!$A$4:$A$12,0), MATCH(LEFT(W569),★新聞!$E$3:$I$3,0))</f>
        <v>AD</v>
      </c>
      <c r="H569" s="475" t="s">
        <v>1104</v>
      </c>
      <c r="I569" s="464" cm="1">
        <f t="array" ref="I569">IFERROR(INDEX(★原価率!$A$2:$E$50,MATCH($C569&amp;$H569,★原価率!$A$2:$A$50&amp;★原価率!$B$2:$B$50,0),3),0)</f>
        <v>85</v>
      </c>
      <c r="J569" s="464" cm="1">
        <f t="array" ref="J569">IFERROR(INDEX(★原価率!$A$2:$E$50,MATCH($C569&amp;$H569,★原価率!$A$2:$A$50&amp;★原価率!$B$2:$B$50,0),4),0)</f>
        <v>85</v>
      </c>
      <c r="K569" s="464" cm="1">
        <f t="array" ref="K569">IFERROR(INDEX(★原価率!$A$2:$E$50,MATCH($C569&amp;$H569,★原価率!$A$2:$A$50&amp;★原価率!$B$2:$B$50,0),5),0)</f>
        <v>100</v>
      </c>
      <c r="L569" s="528">
        <f>IFERROR(VLOOKUP(W569,★商品!$A$1:$H$1231,8,FALSE),0)</f>
        <v>2.8</v>
      </c>
      <c r="M569" s="203" t="str">
        <f ca="1">CONCATENATE(VLOOKUP(B569,★営業所!$A$2:$B$5,2,FALSE),TEXT(NOW(),"yyyy"))</f>
        <v>T2023</v>
      </c>
      <c r="N569" s="203">
        <v>1</v>
      </c>
      <c r="O569" s="203">
        <v>0</v>
      </c>
      <c r="P569" s="213">
        <f>申込書!$B$6</f>
        <v>0</v>
      </c>
      <c r="Q569" s="203">
        <f>申込書!$C$34</f>
        <v>1000040</v>
      </c>
      <c r="R569" s="203">
        <v>0</v>
      </c>
      <c r="U569" s="203">
        <f>VLOOKUP(B569,★営業所!$A$2:$C$5,3,FALSE)</f>
        <v>8</v>
      </c>
      <c r="V569" s="203">
        <f>申込書!$B$9</f>
        <v>0</v>
      </c>
      <c r="W569" s="203" t="str">
        <f>CONCATENATE(VLOOKUP(B569,★営業所!$A$2:$B$5,2,FALSE),VLOOKUP(申込書!$C$32,★サイズ表記!$D$4:$E$55,2,FALSE),VLOOKUP(D569,★折込地区!$A$2:$B$11,2,FALSE))</f>
        <v>T1001Yng</v>
      </c>
      <c r="X569" s="203" t="str">
        <f>CONCATENATE(申込書!$B$9," ",VLOOKUP(RIGHT(W569,3),★折込地区!$B$2:$C$10,2,FALSE),"")</f>
        <v xml:space="preserve"> 米子</v>
      </c>
      <c r="Z569" s="206">
        <f t="shared" ca="1" si="63"/>
        <v>0</v>
      </c>
      <c r="AB569" s="383">
        <f t="shared" si="64"/>
        <v>2.8</v>
      </c>
      <c r="AC569" s="203" t="str">
        <f t="shared" si="65"/>
        <v>J1001</v>
      </c>
      <c r="AD569" s="203" t="str">
        <f>VLOOKUP(AC569,★原価商品!$E$6:$F$349,2,FALSE)</f>
        <v>読売/B4（折り無し）</v>
      </c>
      <c r="AE569" s="203">
        <f t="shared" ca="1" si="66"/>
        <v>0</v>
      </c>
      <c r="AF569" s="383">
        <f ca="1">IFERROR(IF(VLOOKUP(申込書!$C$32,★サイズ表記!$F$4:$H$55,3,FALSE)="切り捨て",ROUNDDOWN(L569*IF(AK569="◎",I569,J569)/100,2),IF(VLOOKUP(申込書!$C$32,★サイズ表記!$F$4:$H$55,3,FALSE)="切り上げ",ROUNDUP(L569*IF(AK569="◎",I569,J569)/100,2),ROUND(L569*IF(AK569="◎",I569,J569)/100,2))),0)</f>
        <v>2.38</v>
      </c>
      <c r="AG569" s="203">
        <f t="shared" ca="1" si="67"/>
        <v>10561</v>
      </c>
      <c r="AJ569" s="460" t="str">
        <f>IFERROR(VLOOKUP(申込書!$C$30,★業種!$D$2:$E$87,2,FALSE),"")</f>
        <v>1003</v>
      </c>
      <c r="AK569" s="460" t="str">
        <f ca="1">IF(申込書!$C$36="◎",IF(OR(D569="浜坂・温泉",D569="美方・村岡",D569="香住",D569="岡山",D569="大阪"),"",IF(LEFT(F569)="D","◎",IF(AG569=0,"",IFERROR(IF(VLOOKUP(AG569,★仕入先!$A$2:$C$211,3,FALSE)=0,"","◎"),"")))),"")</f>
        <v/>
      </c>
      <c r="AL569" s="460">
        <f>申込書!$H$14</f>
        <v>0</v>
      </c>
      <c r="AM569" s="460" t="str">
        <f>申込書!$C$32</f>
        <v>B4（折り無し）</v>
      </c>
      <c r="AN569" s="460" t="str">
        <f>VLOOKUP(AM569,★サイズ表記!$D$4:$E$55,2,FALSE)</f>
        <v>1001</v>
      </c>
      <c r="AO569" s="460">
        <f>IF(C569&lt;&gt;"⑧兵庫",VLOOKUP(LEFT(F569),★新聞!$A$4:$B$12,2,FALSE),IF(LEFT(F569)&lt;&gt;"S",VLOOKUP(LEFT(F569),★新聞!$A$4:$B$12,2,FALSE),VLOOKUP("X",★新聞!$A$4:$B$12,2,FALSE)))</f>
        <v>3</v>
      </c>
      <c r="AP569" s="460" t="str">
        <f t="shared" ca="1" si="68"/>
        <v>0</v>
      </c>
      <c r="AQ569" s="460" t="str">
        <f>IF(申込書!$C$38="","",申込書!$C$38)</f>
        <v/>
      </c>
    </row>
    <row r="570" spans="1:43">
      <c r="A570" s="463">
        <f t="shared" si="69"/>
        <v>569</v>
      </c>
      <c r="B570" s="463" t="str">
        <f t="shared" si="55"/>
        <v>東部</v>
      </c>
      <c r="C570" s="464" t="s">
        <v>1018</v>
      </c>
      <c r="D570" s="464" t="s">
        <v>1603</v>
      </c>
      <c r="E570" s="464">
        <f>VLOOKUP(D570,★折込地区!$A$2:$D$10,4,FALSE)</f>
        <v>3</v>
      </c>
      <c r="F570" s="464" t="s">
        <v>443</v>
      </c>
      <c r="G570" s="464" t="str">
        <f>INDEX(★新聞!$E$4:$I$12, MATCH(LEFT(F570),★新聞!$A$4:$A$12,0), MATCH(LEFT(W570),★新聞!$E$3:$I$3,0))</f>
        <v>AD</v>
      </c>
      <c r="H570" s="475" t="s">
        <v>1104</v>
      </c>
      <c r="I570" s="464" cm="1">
        <f t="array" ref="I570">IFERROR(INDEX(★原価率!$A$2:$E$50,MATCH($C570&amp;$H570,★原価率!$A$2:$A$50&amp;★原価率!$B$2:$B$50,0),3),0)</f>
        <v>85</v>
      </c>
      <c r="J570" s="464" cm="1">
        <f t="array" ref="J570">IFERROR(INDEX(★原価率!$A$2:$E$50,MATCH($C570&amp;$H570,★原価率!$A$2:$A$50&amp;★原価率!$B$2:$B$50,0),4),0)</f>
        <v>85</v>
      </c>
      <c r="K570" s="464" cm="1">
        <f t="array" ref="K570">IFERROR(INDEX(★原価率!$A$2:$E$50,MATCH($C570&amp;$H570,★原価率!$A$2:$A$50&amp;★原価率!$B$2:$B$50,0),5),0)</f>
        <v>100</v>
      </c>
      <c r="L570" s="528">
        <f>IFERROR(VLOOKUP(W570,★商品!$A$1:$H$1231,8,FALSE),0)</f>
        <v>2.8</v>
      </c>
      <c r="M570" s="203" t="str">
        <f ca="1">CONCATENATE(VLOOKUP(B570,★営業所!$A$2:$B$5,2,FALSE),TEXT(NOW(),"yyyy"))</f>
        <v>T2023</v>
      </c>
      <c r="N570" s="203">
        <v>1</v>
      </c>
      <c r="O570" s="203">
        <v>0</v>
      </c>
      <c r="P570" s="213">
        <f>申込書!$B$6</f>
        <v>0</v>
      </c>
      <c r="Q570" s="203">
        <f>申込書!$C$34</f>
        <v>1000040</v>
      </c>
      <c r="R570" s="203">
        <v>0</v>
      </c>
      <c r="U570" s="203">
        <f>VLOOKUP(B570,★営業所!$A$2:$C$5,3,FALSE)</f>
        <v>8</v>
      </c>
      <c r="V570" s="203">
        <f>申込書!$B$9</f>
        <v>0</v>
      </c>
      <c r="W570" s="203" t="str">
        <f>CONCATENATE(VLOOKUP(B570,★営業所!$A$2:$B$5,2,FALSE),VLOOKUP(申込書!$C$32,★サイズ表記!$D$4:$E$55,2,FALSE),VLOOKUP(D570,★折込地区!$A$2:$B$11,2,FALSE))</f>
        <v>T1001Yng</v>
      </c>
      <c r="X570" s="203" t="str">
        <f>CONCATENATE(申込書!$B$9," ",VLOOKUP(RIGHT(W570,3),★折込地区!$B$2:$C$10,2,FALSE),"")</f>
        <v xml:space="preserve"> 米子</v>
      </c>
      <c r="Z570" s="206">
        <f t="shared" ca="1" si="63"/>
        <v>0</v>
      </c>
      <c r="AB570" s="383">
        <f t="shared" si="64"/>
        <v>2.8</v>
      </c>
      <c r="AC570" s="203" t="str">
        <f t="shared" si="65"/>
        <v>J1001</v>
      </c>
      <c r="AD570" s="203" t="str">
        <f>VLOOKUP(AC570,★原価商品!$E$6:$F$349,2,FALSE)</f>
        <v>読売/B4（折り無し）</v>
      </c>
      <c r="AE570" s="203">
        <f t="shared" ca="1" si="66"/>
        <v>0</v>
      </c>
      <c r="AF570" s="383">
        <f ca="1">IFERROR(IF(VLOOKUP(申込書!$C$32,★サイズ表記!$F$4:$H$55,3,FALSE)="切り捨て",ROUNDDOWN(L570*IF(AK570="◎",I570,J570)/100,2),IF(VLOOKUP(申込書!$C$32,★サイズ表記!$F$4:$H$55,3,FALSE)="切り上げ",ROUNDUP(L570*IF(AK570="◎",I570,J570)/100,2),ROUND(L570*IF(AK570="◎",I570,J570)/100,2))),0)</f>
        <v>2.38</v>
      </c>
      <c r="AG570" s="203">
        <f t="shared" ca="1" si="67"/>
        <v>10561</v>
      </c>
      <c r="AJ570" s="460" t="str">
        <f>IFERROR(VLOOKUP(申込書!$C$30,★業種!$D$2:$E$87,2,FALSE),"")</f>
        <v>1003</v>
      </c>
      <c r="AK570" s="460" t="str">
        <f ca="1">IF(申込書!$C$36="◎",IF(OR(D570="浜坂・温泉",D570="美方・村岡",D570="香住",D570="岡山",D570="大阪"),"",IF(LEFT(F570)="D","◎",IF(AG570=0,"",IFERROR(IF(VLOOKUP(AG570,★仕入先!$A$2:$C$211,3,FALSE)=0,"","◎"),"")))),"")</f>
        <v/>
      </c>
      <c r="AL570" s="460">
        <f>申込書!$H$14</f>
        <v>0</v>
      </c>
      <c r="AM570" s="460" t="str">
        <f>申込書!$C$32</f>
        <v>B4（折り無し）</v>
      </c>
      <c r="AN570" s="460" t="str">
        <f>VLOOKUP(AM570,★サイズ表記!$D$4:$E$55,2,FALSE)</f>
        <v>1001</v>
      </c>
      <c r="AO570" s="460">
        <f>IF(C570&lt;&gt;"⑧兵庫",VLOOKUP(LEFT(F570),★新聞!$A$4:$B$12,2,FALSE),IF(LEFT(F570)&lt;&gt;"S",VLOOKUP(LEFT(F570),★新聞!$A$4:$B$12,2,FALSE),VLOOKUP("X",★新聞!$A$4:$B$12,2,FALSE)))</f>
        <v>3</v>
      </c>
      <c r="AP570" s="460" t="str">
        <f t="shared" ca="1" si="68"/>
        <v>0</v>
      </c>
      <c r="AQ570" s="460" t="str">
        <f>IF(申込書!$C$38="","",申込書!$C$38)</f>
        <v/>
      </c>
    </row>
    <row r="571" spans="1:43">
      <c r="A571" s="463">
        <f t="shared" si="69"/>
        <v>570</v>
      </c>
      <c r="B571" s="463" t="str">
        <f t="shared" si="55"/>
        <v>東部</v>
      </c>
      <c r="C571" s="464" t="s">
        <v>1018</v>
      </c>
      <c r="D571" s="464" t="s">
        <v>1603</v>
      </c>
      <c r="E571" s="464">
        <f>VLOOKUP(D571,★折込地区!$A$2:$D$10,4,FALSE)</f>
        <v>3</v>
      </c>
      <c r="F571" s="464" t="s">
        <v>444</v>
      </c>
      <c r="G571" s="464" t="str">
        <f>INDEX(★新聞!$E$4:$I$12, MATCH(LEFT(F571),★新聞!$A$4:$A$12,0), MATCH(LEFT(W571),★新聞!$E$3:$I$3,0))</f>
        <v>AD</v>
      </c>
      <c r="H571" s="475" t="s">
        <v>1104</v>
      </c>
      <c r="I571" s="464" cm="1">
        <f t="array" ref="I571">IFERROR(INDEX(★原価率!$A$2:$E$50,MATCH($C571&amp;$H571,★原価率!$A$2:$A$50&amp;★原価率!$B$2:$B$50,0),3),0)</f>
        <v>85</v>
      </c>
      <c r="J571" s="464" cm="1">
        <f t="array" ref="J571">IFERROR(INDEX(★原価率!$A$2:$E$50,MATCH($C571&amp;$H571,★原価率!$A$2:$A$50&amp;★原価率!$B$2:$B$50,0),4),0)</f>
        <v>85</v>
      </c>
      <c r="K571" s="464" cm="1">
        <f t="array" ref="K571">IFERROR(INDEX(★原価率!$A$2:$E$50,MATCH($C571&amp;$H571,★原価率!$A$2:$A$50&amp;★原価率!$B$2:$B$50,0),5),0)</f>
        <v>100</v>
      </c>
      <c r="L571" s="528">
        <f>IFERROR(VLOOKUP(W571,★商品!$A$1:$H$1231,8,FALSE),0)</f>
        <v>2.8</v>
      </c>
      <c r="M571" s="203" t="str">
        <f ca="1">CONCATENATE(VLOOKUP(B571,★営業所!$A$2:$B$5,2,FALSE),TEXT(NOW(),"yyyy"))</f>
        <v>T2023</v>
      </c>
      <c r="N571" s="203">
        <v>1</v>
      </c>
      <c r="O571" s="203">
        <v>0</v>
      </c>
      <c r="P571" s="213">
        <f>申込書!$B$6</f>
        <v>0</v>
      </c>
      <c r="Q571" s="203">
        <f>申込書!$C$34</f>
        <v>1000040</v>
      </c>
      <c r="R571" s="203">
        <v>0</v>
      </c>
      <c r="U571" s="203">
        <f>VLOOKUP(B571,★営業所!$A$2:$C$5,3,FALSE)</f>
        <v>8</v>
      </c>
      <c r="V571" s="203">
        <f>申込書!$B$9</f>
        <v>0</v>
      </c>
      <c r="W571" s="203" t="str">
        <f>CONCATENATE(VLOOKUP(B571,★営業所!$A$2:$B$5,2,FALSE),VLOOKUP(申込書!$C$32,★サイズ表記!$D$4:$E$55,2,FALSE),VLOOKUP(D571,★折込地区!$A$2:$B$11,2,FALSE))</f>
        <v>T1001Yng</v>
      </c>
      <c r="X571" s="203" t="str">
        <f>CONCATENATE(申込書!$B$9," ",VLOOKUP(RIGHT(W571,3),★折込地区!$B$2:$C$10,2,FALSE),"")</f>
        <v xml:space="preserve"> 米子</v>
      </c>
      <c r="Z571" s="206">
        <f t="shared" ca="1" si="63"/>
        <v>0</v>
      </c>
      <c r="AB571" s="383">
        <f t="shared" si="64"/>
        <v>2.8</v>
      </c>
      <c r="AC571" s="203" t="str">
        <f t="shared" si="65"/>
        <v>J1001</v>
      </c>
      <c r="AD571" s="203" t="str">
        <f>VLOOKUP(AC571,★原価商品!$E$6:$F$349,2,FALSE)</f>
        <v>読売/B4（折り無し）</v>
      </c>
      <c r="AE571" s="203">
        <f t="shared" ca="1" si="66"/>
        <v>0</v>
      </c>
      <c r="AF571" s="383">
        <f ca="1">IFERROR(IF(VLOOKUP(申込書!$C$32,★サイズ表記!$F$4:$H$55,3,FALSE)="切り捨て",ROUNDDOWN(L571*IF(AK571="◎",I571,J571)/100,2),IF(VLOOKUP(申込書!$C$32,★サイズ表記!$F$4:$H$55,3,FALSE)="切り上げ",ROUNDUP(L571*IF(AK571="◎",I571,J571)/100,2),ROUND(L571*IF(AK571="◎",I571,J571)/100,2))),0)</f>
        <v>2.38</v>
      </c>
      <c r="AG571" s="203">
        <f t="shared" ca="1" si="67"/>
        <v>10561</v>
      </c>
      <c r="AJ571" s="460" t="str">
        <f>IFERROR(VLOOKUP(申込書!$C$30,★業種!$D$2:$E$87,2,FALSE),"")</f>
        <v>1003</v>
      </c>
      <c r="AK571" s="460" t="str">
        <f ca="1">IF(申込書!$C$36="◎",IF(OR(D571="浜坂・温泉",D571="美方・村岡",D571="香住",D571="岡山",D571="大阪"),"",IF(LEFT(F571)="D","◎",IF(AG571=0,"",IFERROR(IF(VLOOKUP(AG571,★仕入先!$A$2:$C$211,3,FALSE)=0,"","◎"),"")))),"")</f>
        <v/>
      </c>
      <c r="AL571" s="460">
        <f>申込書!$H$14</f>
        <v>0</v>
      </c>
      <c r="AM571" s="460" t="str">
        <f>申込書!$C$32</f>
        <v>B4（折り無し）</v>
      </c>
      <c r="AN571" s="460" t="str">
        <f>VLOOKUP(AM571,★サイズ表記!$D$4:$E$55,2,FALSE)</f>
        <v>1001</v>
      </c>
      <c r="AO571" s="460">
        <f>IF(C571&lt;&gt;"⑧兵庫",VLOOKUP(LEFT(F571),★新聞!$A$4:$B$12,2,FALSE),IF(LEFT(F571)&lt;&gt;"S",VLOOKUP(LEFT(F571),★新聞!$A$4:$B$12,2,FALSE),VLOOKUP("X",★新聞!$A$4:$B$12,2,FALSE)))</f>
        <v>3</v>
      </c>
      <c r="AP571" s="460" t="str">
        <f t="shared" ca="1" si="68"/>
        <v>0</v>
      </c>
      <c r="AQ571" s="460" t="str">
        <f>IF(申込書!$C$38="","",申込書!$C$38)</f>
        <v/>
      </c>
    </row>
    <row r="572" spans="1:43">
      <c r="A572" s="463">
        <f t="shared" si="69"/>
        <v>571</v>
      </c>
      <c r="B572" s="463" t="str">
        <f t="shared" si="55"/>
        <v>東部</v>
      </c>
      <c r="C572" s="464" t="s">
        <v>1018</v>
      </c>
      <c r="D572" s="464" t="s">
        <v>1603</v>
      </c>
      <c r="E572" s="464">
        <f>VLOOKUP(D572,★折込地区!$A$2:$D$10,4,FALSE)</f>
        <v>3</v>
      </c>
      <c r="F572" s="464" t="s">
        <v>445</v>
      </c>
      <c r="G572" s="464" t="str">
        <f>INDEX(★新聞!$E$4:$I$12, MATCH(LEFT(F572),★新聞!$A$4:$A$12,0), MATCH(LEFT(W572),★新聞!$E$3:$I$3,0))</f>
        <v>AD</v>
      </c>
      <c r="H572" s="475" t="s">
        <v>1104</v>
      </c>
      <c r="I572" s="464" cm="1">
        <f t="array" ref="I572">IFERROR(INDEX(★原価率!$A$2:$E$50,MATCH($C572&amp;$H572,★原価率!$A$2:$A$50&amp;★原価率!$B$2:$B$50,0),3),0)</f>
        <v>85</v>
      </c>
      <c r="J572" s="464" cm="1">
        <f t="array" ref="J572">IFERROR(INDEX(★原価率!$A$2:$E$50,MATCH($C572&amp;$H572,★原価率!$A$2:$A$50&amp;★原価率!$B$2:$B$50,0),4),0)</f>
        <v>85</v>
      </c>
      <c r="K572" s="464" cm="1">
        <f t="array" ref="K572">IFERROR(INDEX(★原価率!$A$2:$E$50,MATCH($C572&amp;$H572,★原価率!$A$2:$A$50&amp;★原価率!$B$2:$B$50,0),5),0)</f>
        <v>100</v>
      </c>
      <c r="L572" s="528">
        <f>IFERROR(VLOOKUP(W572,★商品!$A$1:$H$1231,8,FALSE),0)</f>
        <v>2.8</v>
      </c>
      <c r="M572" s="203" t="str">
        <f ca="1">CONCATENATE(VLOOKUP(B572,★営業所!$A$2:$B$5,2,FALSE),TEXT(NOW(),"yyyy"))</f>
        <v>T2023</v>
      </c>
      <c r="N572" s="203">
        <v>1</v>
      </c>
      <c r="O572" s="203">
        <v>0</v>
      </c>
      <c r="P572" s="213">
        <f>申込書!$B$6</f>
        <v>0</v>
      </c>
      <c r="Q572" s="203">
        <f>申込書!$C$34</f>
        <v>1000040</v>
      </c>
      <c r="R572" s="203">
        <v>0</v>
      </c>
      <c r="U572" s="203">
        <f>VLOOKUP(B572,★営業所!$A$2:$C$5,3,FALSE)</f>
        <v>8</v>
      </c>
      <c r="V572" s="203">
        <f>申込書!$B$9</f>
        <v>0</v>
      </c>
      <c r="W572" s="203" t="str">
        <f>CONCATENATE(VLOOKUP(B572,★営業所!$A$2:$B$5,2,FALSE),VLOOKUP(申込書!$C$32,★サイズ表記!$D$4:$E$55,2,FALSE),VLOOKUP(D572,★折込地区!$A$2:$B$11,2,FALSE))</f>
        <v>T1001Yng</v>
      </c>
      <c r="X572" s="203" t="str">
        <f>CONCATENATE(申込書!$B$9," ",VLOOKUP(RIGHT(W572,3),★折込地区!$B$2:$C$10,2,FALSE),"")</f>
        <v xml:space="preserve"> 米子</v>
      </c>
      <c r="Z572" s="206">
        <f t="shared" ca="1" si="63"/>
        <v>0</v>
      </c>
      <c r="AB572" s="383">
        <f t="shared" si="64"/>
        <v>2.8</v>
      </c>
      <c r="AC572" s="203" t="str">
        <f t="shared" si="65"/>
        <v>J1001</v>
      </c>
      <c r="AD572" s="203" t="str">
        <f>VLOOKUP(AC572,★原価商品!$E$6:$F$349,2,FALSE)</f>
        <v>読売/B4（折り無し）</v>
      </c>
      <c r="AE572" s="203">
        <f t="shared" ca="1" si="66"/>
        <v>0</v>
      </c>
      <c r="AF572" s="383">
        <f ca="1">IFERROR(IF(VLOOKUP(申込書!$C$32,★サイズ表記!$F$4:$H$55,3,FALSE)="切り捨て",ROUNDDOWN(L572*IF(AK572="◎",I572,J572)/100,2),IF(VLOOKUP(申込書!$C$32,★サイズ表記!$F$4:$H$55,3,FALSE)="切り上げ",ROUNDUP(L572*IF(AK572="◎",I572,J572)/100,2),ROUND(L572*IF(AK572="◎",I572,J572)/100,2))),0)</f>
        <v>2.38</v>
      </c>
      <c r="AG572" s="203">
        <f t="shared" ca="1" si="67"/>
        <v>10561</v>
      </c>
      <c r="AJ572" s="460" t="str">
        <f>IFERROR(VLOOKUP(申込書!$C$30,★業種!$D$2:$E$87,2,FALSE),"")</f>
        <v>1003</v>
      </c>
      <c r="AK572" s="460" t="str">
        <f ca="1">IF(申込書!$C$36="◎",IF(OR(D572="浜坂・温泉",D572="美方・村岡",D572="香住",D572="岡山",D572="大阪"),"",IF(LEFT(F572)="D","◎",IF(AG572=0,"",IFERROR(IF(VLOOKUP(AG572,★仕入先!$A$2:$C$211,3,FALSE)=0,"","◎"),"")))),"")</f>
        <v/>
      </c>
      <c r="AL572" s="460">
        <f>申込書!$H$14</f>
        <v>0</v>
      </c>
      <c r="AM572" s="460" t="str">
        <f>申込書!$C$32</f>
        <v>B4（折り無し）</v>
      </c>
      <c r="AN572" s="460" t="str">
        <f>VLOOKUP(AM572,★サイズ表記!$D$4:$E$55,2,FALSE)</f>
        <v>1001</v>
      </c>
      <c r="AO572" s="460">
        <f>IF(C572&lt;&gt;"⑧兵庫",VLOOKUP(LEFT(F572),★新聞!$A$4:$B$12,2,FALSE),IF(LEFT(F572)&lt;&gt;"S",VLOOKUP(LEFT(F572),★新聞!$A$4:$B$12,2,FALSE),VLOOKUP("X",★新聞!$A$4:$B$12,2,FALSE)))</f>
        <v>3</v>
      </c>
      <c r="AP572" s="460" t="str">
        <f t="shared" ca="1" si="68"/>
        <v>0</v>
      </c>
      <c r="AQ572" s="460" t="str">
        <f>IF(申込書!$C$38="","",申込書!$C$38)</f>
        <v/>
      </c>
    </row>
    <row r="573" spans="1:43">
      <c r="A573" s="463">
        <f t="shared" si="69"/>
        <v>572</v>
      </c>
      <c r="B573" s="463" t="str">
        <f t="shared" si="55"/>
        <v>東部</v>
      </c>
      <c r="C573" s="464" t="s">
        <v>1018</v>
      </c>
      <c r="D573" s="464" t="s">
        <v>1603</v>
      </c>
      <c r="E573" s="464">
        <f>VLOOKUP(D573,★折込地区!$A$2:$D$10,4,FALSE)</f>
        <v>3</v>
      </c>
      <c r="F573" s="464" t="s">
        <v>446</v>
      </c>
      <c r="G573" s="464" t="str">
        <f>INDEX(★新聞!$E$4:$I$12, MATCH(LEFT(F573),★新聞!$A$4:$A$12,0), MATCH(LEFT(W573),★新聞!$E$3:$I$3,0))</f>
        <v>AD</v>
      </c>
      <c r="H573" s="475" t="s">
        <v>1104</v>
      </c>
      <c r="I573" s="464" cm="1">
        <f t="array" ref="I573">IFERROR(INDEX(★原価率!$A$2:$E$50,MATCH($C573&amp;$H573,★原価率!$A$2:$A$50&amp;★原価率!$B$2:$B$50,0),3),0)</f>
        <v>85</v>
      </c>
      <c r="J573" s="464" cm="1">
        <f t="array" ref="J573">IFERROR(INDEX(★原価率!$A$2:$E$50,MATCH($C573&amp;$H573,★原価率!$A$2:$A$50&amp;★原価率!$B$2:$B$50,0),4),0)</f>
        <v>85</v>
      </c>
      <c r="K573" s="464" cm="1">
        <f t="array" ref="K573">IFERROR(INDEX(★原価率!$A$2:$E$50,MATCH($C573&amp;$H573,★原価率!$A$2:$A$50&amp;★原価率!$B$2:$B$50,0),5),0)</f>
        <v>100</v>
      </c>
      <c r="L573" s="528">
        <f>IFERROR(VLOOKUP(W573,★商品!$A$1:$H$1231,8,FALSE),0)</f>
        <v>2.8</v>
      </c>
      <c r="M573" s="203" t="str">
        <f ca="1">CONCATENATE(VLOOKUP(B573,★営業所!$A$2:$B$5,2,FALSE),TEXT(NOW(),"yyyy"))</f>
        <v>T2023</v>
      </c>
      <c r="N573" s="203">
        <v>1</v>
      </c>
      <c r="O573" s="203">
        <v>0</v>
      </c>
      <c r="P573" s="213">
        <f>申込書!$B$6</f>
        <v>0</v>
      </c>
      <c r="Q573" s="203">
        <f>申込書!$C$34</f>
        <v>1000040</v>
      </c>
      <c r="R573" s="203">
        <v>0</v>
      </c>
      <c r="U573" s="203">
        <f>VLOOKUP(B573,★営業所!$A$2:$C$5,3,FALSE)</f>
        <v>8</v>
      </c>
      <c r="V573" s="203">
        <f>申込書!$B$9</f>
        <v>0</v>
      </c>
      <c r="W573" s="203" t="str">
        <f>CONCATENATE(VLOOKUP(B573,★営業所!$A$2:$B$5,2,FALSE),VLOOKUP(申込書!$C$32,★サイズ表記!$D$4:$E$55,2,FALSE),VLOOKUP(D573,★折込地区!$A$2:$B$11,2,FALSE))</f>
        <v>T1001Yng</v>
      </c>
      <c r="X573" s="203" t="str">
        <f>CONCATENATE(申込書!$B$9," ",VLOOKUP(RIGHT(W573,3),★折込地区!$B$2:$C$10,2,FALSE),"")</f>
        <v xml:space="preserve"> 米子</v>
      </c>
      <c r="Z573" s="206">
        <f t="shared" ca="1" si="63"/>
        <v>0</v>
      </c>
      <c r="AB573" s="383">
        <f t="shared" si="64"/>
        <v>2.8</v>
      </c>
      <c r="AC573" s="203" t="str">
        <f t="shared" si="65"/>
        <v>J1001</v>
      </c>
      <c r="AD573" s="203" t="str">
        <f>VLOOKUP(AC573,★原価商品!$E$6:$F$349,2,FALSE)</f>
        <v>読売/B4（折り無し）</v>
      </c>
      <c r="AE573" s="203">
        <f t="shared" ca="1" si="66"/>
        <v>0</v>
      </c>
      <c r="AF573" s="383">
        <f ca="1">IFERROR(IF(VLOOKUP(申込書!$C$32,★サイズ表記!$F$4:$H$55,3,FALSE)="切り捨て",ROUNDDOWN(L573*IF(AK573="◎",I573,J573)/100,2),IF(VLOOKUP(申込書!$C$32,★サイズ表記!$F$4:$H$55,3,FALSE)="切り上げ",ROUNDUP(L573*IF(AK573="◎",I573,J573)/100,2),ROUND(L573*IF(AK573="◎",I573,J573)/100,2))),0)</f>
        <v>2.38</v>
      </c>
      <c r="AG573" s="203">
        <f t="shared" ca="1" si="67"/>
        <v>0</v>
      </c>
      <c r="AJ573" s="460" t="str">
        <f>IFERROR(VLOOKUP(申込書!$C$30,★業種!$D$2:$E$87,2,FALSE),"")</f>
        <v>1003</v>
      </c>
      <c r="AK573" s="460" t="str">
        <f ca="1">IF(申込書!$C$36="◎",IF(OR(D573="浜坂・温泉",D573="美方・村岡",D573="香住",D573="岡山",D573="大阪"),"",IF(LEFT(F573)="D","◎",IF(AG573=0,"",IFERROR(IF(VLOOKUP(AG573,★仕入先!$A$2:$C$211,3,FALSE)=0,"","◎"),"")))),"")</f>
        <v/>
      </c>
      <c r="AL573" s="460">
        <f>申込書!$H$14</f>
        <v>0</v>
      </c>
      <c r="AM573" s="460" t="str">
        <f>申込書!$C$32</f>
        <v>B4（折り無し）</v>
      </c>
      <c r="AN573" s="460" t="str">
        <f>VLOOKUP(AM573,★サイズ表記!$D$4:$E$55,2,FALSE)</f>
        <v>1001</v>
      </c>
      <c r="AO573" s="460">
        <f>IF(C573&lt;&gt;"⑧兵庫",VLOOKUP(LEFT(F573),★新聞!$A$4:$B$12,2,FALSE),IF(LEFT(F573)&lt;&gt;"S",VLOOKUP(LEFT(F573),★新聞!$A$4:$B$12,2,FALSE),VLOOKUP("X",★新聞!$A$4:$B$12,2,FALSE)))</f>
        <v>3</v>
      </c>
      <c r="AP573" s="460" t="str">
        <f t="shared" ca="1" si="68"/>
        <v>0</v>
      </c>
      <c r="AQ573" s="460" t="str">
        <f>IF(申込書!$C$38="","",申込書!$C$38)</f>
        <v/>
      </c>
    </row>
    <row r="574" spans="1:43">
      <c r="A574" s="463">
        <f t="shared" si="69"/>
        <v>573</v>
      </c>
      <c r="B574" s="463" t="str">
        <f t="shared" ref="B574:B637" si="70">$B$2</f>
        <v>東部</v>
      </c>
      <c r="C574" s="464" t="s">
        <v>1018</v>
      </c>
      <c r="D574" s="464" t="s">
        <v>1603</v>
      </c>
      <c r="E574" s="464">
        <f>VLOOKUP(D574,★折込地区!$A$2:$D$10,4,FALSE)</f>
        <v>3</v>
      </c>
      <c r="F574" s="464" t="s">
        <v>447</v>
      </c>
      <c r="G574" s="464" t="str">
        <f>INDEX(★新聞!$E$4:$I$12, MATCH(LEFT(F574),★新聞!$A$4:$A$12,0), MATCH(LEFT(W574),★新聞!$E$3:$I$3,0))</f>
        <v>AD</v>
      </c>
      <c r="H574" s="475" t="s">
        <v>1104</v>
      </c>
      <c r="I574" s="464" cm="1">
        <f t="array" ref="I574">IFERROR(INDEX(★原価率!$A$2:$E$50,MATCH($C574&amp;$H574,★原価率!$A$2:$A$50&amp;★原価率!$B$2:$B$50,0),3),0)</f>
        <v>85</v>
      </c>
      <c r="J574" s="464" cm="1">
        <f t="array" ref="J574">IFERROR(INDEX(★原価率!$A$2:$E$50,MATCH($C574&amp;$H574,★原価率!$A$2:$A$50&amp;★原価率!$B$2:$B$50,0),4),0)</f>
        <v>85</v>
      </c>
      <c r="K574" s="464" cm="1">
        <f t="array" ref="K574">IFERROR(INDEX(★原価率!$A$2:$E$50,MATCH($C574&amp;$H574,★原価率!$A$2:$A$50&amp;★原価率!$B$2:$B$50,0),5),0)</f>
        <v>100</v>
      </c>
      <c r="L574" s="528">
        <f>IFERROR(VLOOKUP(W574,★商品!$A$1:$H$1231,8,FALSE),0)</f>
        <v>2.8</v>
      </c>
      <c r="M574" s="203" t="str">
        <f ca="1">CONCATENATE(VLOOKUP(B574,★営業所!$A$2:$B$5,2,FALSE),TEXT(NOW(),"yyyy"))</f>
        <v>T2023</v>
      </c>
      <c r="N574" s="203">
        <v>1</v>
      </c>
      <c r="O574" s="203">
        <v>0</v>
      </c>
      <c r="P574" s="213">
        <f>申込書!$B$6</f>
        <v>0</v>
      </c>
      <c r="Q574" s="203">
        <f>申込書!$C$34</f>
        <v>1000040</v>
      </c>
      <c r="R574" s="203">
        <v>0</v>
      </c>
      <c r="U574" s="203">
        <f>VLOOKUP(B574,★営業所!$A$2:$C$5,3,FALSE)</f>
        <v>8</v>
      </c>
      <c r="V574" s="203">
        <f>申込書!$B$9</f>
        <v>0</v>
      </c>
      <c r="W574" s="203" t="str">
        <f>CONCATENATE(VLOOKUP(B574,★営業所!$A$2:$B$5,2,FALSE),VLOOKUP(申込書!$C$32,★サイズ表記!$D$4:$E$55,2,FALSE),VLOOKUP(D574,★折込地区!$A$2:$B$11,2,FALSE))</f>
        <v>T1001Yng</v>
      </c>
      <c r="X574" s="203" t="str">
        <f>CONCATENATE(申込書!$B$9," ",VLOOKUP(RIGHT(W574,3),★折込地区!$B$2:$C$10,2,FALSE),"")</f>
        <v xml:space="preserve"> 米子</v>
      </c>
      <c r="Z574" s="206">
        <f t="shared" ca="1" si="63"/>
        <v>0</v>
      </c>
      <c r="AB574" s="383">
        <f t="shared" si="64"/>
        <v>2.8</v>
      </c>
      <c r="AC574" s="203" t="str">
        <f t="shared" si="65"/>
        <v>J1001</v>
      </c>
      <c r="AD574" s="203" t="str">
        <f>VLOOKUP(AC574,★原価商品!$E$6:$F$349,2,FALSE)</f>
        <v>読売/B4（折り無し）</v>
      </c>
      <c r="AE574" s="203">
        <f t="shared" ca="1" si="66"/>
        <v>0</v>
      </c>
      <c r="AF574" s="383">
        <f ca="1">IFERROR(IF(VLOOKUP(申込書!$C$32,★サイズ表記!$F$4:$H$55,3,FALSE)="切り捨て",ROUNDDOWN(L574*IF(AK574="◎",I574,J574)/100,2),IF(VLOOKUP(申込書!$C$32,★サイズ表記!$F$4:$H$55,3,FALSE)="切り上げ",ROUNDUP(L574*IF(AK574="◎",I574,J574)/100,2),ROUND(L574*IF(AK574="◎",I574,J574)/100,2))),0)</f>
        <v>2.38</v>
      </c>
      <c r="AG574" s="203">
        <f t="shared" ca="1" si="67"/>
        <v>10561</v>
      </c>
      <c r="AJ574" s="460" t="str">
        <f>IFERROR(VLOOKUP(申込書!$C$30,★業種!$D$2:$E$87,2,FALSE),"")</f>
        <v>1003</v>
      </c>
      <c r="AK574" s="460" t="str">
        <f ca="1">IF(申込書!$C$36="◎",IF(OR(D574="浜坂・温泉",D574="美方・村岡",D574="香住",D574="岡山",D574="大阪"),"",IF(LEFT(F574)="D","◎",IF(AG574=0,"",IFERROR(IF(VLOOKUP(AG574,★仕入先!$A$2:$C$211,3,FALSE)=0,"","◎"),"")))),"")</f>
        <v/>
      </c>
      <c r="AL574" s="460">
        <f>申込書!$H$14</f>
        <v>0</v>
      </c>
      <c r="AM574" s="460" t="str">
        <f>申込書!$C$32</f>
        <v>B4（折り無し）</v>
      </c>
      <c r="AN574" s="460" t="str">
        <f>VLOOKUP(AM574,★サイズ表記!$D$4:$E$55,2,FALSE)</f>
        <v>1001</v>
      </c>
      <c r="AO574" s="460">
        <f>IF(C574&lt;&gt;"⑧兵庫",VLOOKUP(LEFT(F574),★新聞!$A$4:$B$12,2,FALSE),IF(LEFT(F574)&lt;&gt;"S",VLOOKUP(LEFT(F574),★新聞!$A$4:$B$12,2,FALSE),VLOOKUP("X",★新聞!$A$4:$B$12,2,FALSE)))</f>
        <v>3</v>
      </c>
      <c r="AP574" s="460" t="str">
        <f t="shared" ca="1" si="68"/>
        <v>0</v>
      </c>
      <c r="AQ574" s="460" t="str">
        <f>IF(申込書!$C$38="","",申込書!$C$38)</f>
        <v/>
      </c>
    </row>
    <row r="575" spans="1:43">
      <c r="A575" s="463">
        <f t="shared" si="69"/>
        <v>574</v>
      </c>
      <c r="B575" s="463" t="str">
        <f t="shared" si="70"/>
        <v>東部</v>
      </c>
      <c r="C575" s="464" t="s">
        <v>1018</v>
      </c>
      <c r="D575" s="464" t="s">
        <v>1603</v>
      </c>
      <c r="E575" s="464">
        <f>VLOOKUP(D575,★折込地区!$A$2:$D$10,4,FALSE)</f>
        <v>3</v>
      </c>
      <c r="F575" s="464" t="s">
        <v>383</v>
      </c>
      <c r="G575" s="464" t="str">
        <f>INDEX(★新聞!$E$4:$I$12, MATCH(LEFT(F575),★新聞!$A$4:$A$12,0), MATCH(LEFT(W575),★新聞!$E$3:$I$3,0))</f>
        <v>AG</v>
      </c>
      <c r="H575" s="475" t="s">
        <v>1119</v>
      </c>
      <c r="I575" s="464" cm="1">
        <f t="array" ref="I575">IFERROR(INDEX(★原価率!$A$2:$E$50,MATCH($C575&amp;$H575,★原価率!$A$2:$A$50&amp;★原価率!$B$2:$B$50,0),3),0)</f>
        <v>94</v>
      </c>
      <c r="J575" s="464" cm="1">
        <f t="array" ref="J575">IFERROR(INDEX(★原価率!$A$2:$E$50,MATCH($C575&amp;$H575,★原価率!$A$2:$A$50&amp;★原価率!$B$2:$B$50,0),4),0)</f>
        <v>94</v>
      </c>
      <c r="K575" s="464" cm="1">
        <f t="array" ref="K575">IFERROR(INDEX(★原価率!$A$2:$E$50,MATCH($C575&amp;$H575,★原価率!$A$2:$A$50&amp;★原価率!$B$2:$B$50,0),5),0)</f>
        <v>100</v>
      </c>
      <c r="L575" s="528">
        <f>IFERROR(VLOOKUP(W575,★商品!$A$1:$H$1231,8,FALSE),0)</f>
        <v>2.8</v>
      </c>
      <c r="M575" s="203" t="str">
        <f ca="1">CONCATENATE(VLOOKUP(B575,★営業所!$A$2:$B$5,2,FALSE),TEXT(NOW(),"yyyy"))</f>
        <v>T2023</v>
      </c>
      <c r="N575" s="203">
        <v>1</v>
      </c>
      <c r="O575" s="203">
        <v>0</v>
      </c>
      <c r="P575" s="213">
        <f>申込書!$B$6</f>
        <v>0</v>
      </c>
      <c r="Q575" s="203">
        <f>申込書!$C$34</f>
        <v>1000040</v>
      </c>
      <c r="R575" s="203">
        <v>0</v>
      </c>
      <c r="U575" s="203">
        <f>VLOOKUP(B575,★営業所!$A$2:$C$5,3,FALSE)</f>
        <v>8</v>
      </c>
      <c r="V575" s="203">
        <f>申込書!$B$9</f>
        <v>0</v>
      </c>
      <c r="W575" s="203" t="str">
        <f>CONCATENATE(VLOOKUP(B575,★営業所!$A$2:$B$5,2,FALSE),VLOOKUP(申込書!$C$32,★サイズ表記!$D$4:$E$55,2,FALSE),VLOOKUP(D575,★折込地区!$A$2:$B$11,2,FALSE))</f>
        <v>T1001Yng</v>
      </c>
      <c r="X575" s="203" t="str">
        <f>CONCATENATE(申込書!$B$9," ",VLOOKUP(RIGHT(W575,3),★折込地区!$B$2:$C$10,2,FALSE),"")</f>
        <v xml:space="preserve"> 米子</v>
      </c>
      <c r="Z575" s="206">
        <f t="shared" ca="1" si="63"/>
        <v>0</v>
      </c>
      <c r="AB575" s="383">
        <f t="shared" si="64"/>
        <v>2.8</v>
      </c>
      <c r="AC575" s="203" t="str">
        <f t="shared" si="65"/>
        <v>M1001</v>
      </c>
      <c r="AD575" s="203" t="str">
        <f>VLOOKUP(AC575,★原価商品!$E$6:$F$349,2,FALSE)</f>
        <v>毎日/B4（折り無し）</v>
      </c>
      <c r="AE575" s="203">
        <f t="shared" ca="1" si="66"/>
        <v>0</v>
      </c>
      <c r="AF575" s="383">
        <f ca="1">IFERROR(IF(VLOOKUP(申込書!$C$32,★サイズ表記!$F$4:$H$55,3,FALSE)="切り捨て",ROUNDDOWN(L575*IF(AK575="◎",I575,J575)/100,2),IF(VLOOKUP(申込書!$C$32,★サイズ表記!$F$4:$H$55,3,FALSE)="切り上げ",ROUNDUP(L575*IF(AK575="◎",I575,J575)/100,2),ROUND(L575*IF(AK575="◎",I575,J575)/100,2))),0)</f>
        <v>2.63</v>
      </c>
      <c r="AG575" s="203">
        <f t="shared" ca="1" si="67"/>
        <v>10561</v>
      </c>
      <c r="AJ575" s="460" t="str">
        <f>IFERROR(VLOOKUP(申込書!$C$30,★業種!$D$2:$E$87,2,FALSE),"")</f>
        <v>1003</v>
      </c>
      <c r="AK575" s="460" t="str">
        <f ca="1">IF(申込書!$C$36="◎",IF(OR(D575="浜坂・温泉",D575="美方・村岡",D575="香住",D575="岡山",D575="大阪"),"",IF(LEFT(F575)="D","◎",IF(AG575=0,"",IFERROR(IF(VLOOKUP(AG575,★仕入先!$A$2:$C$211,3,FALSE)=0,"","◎"),"")))),"")</f>
        <v/>
      </c>
      <c r="AL575" s="460">
        <f>申込書!$H$14</f>
        <v>0</v>
      </c>
      <c r="AM575" s="460" t="str">
        <f>申込書!$C$32</f>
        <v>B4（折り無し）</v>
      </c>
      <c r="AN575" s="460" t="str">
        <f>VLOOKUP(AM575,★サイズ表記!$D$4:$E$55,2,FALSE)</f>
        <v>1001</v>
      </c>
      <c r="AO575" s="460">
        <f>IF(C575&lt;&gt;"⑧兵庫",VLOOKUP(LEFT(F575),★新聞!$A$4:$B$12,2,FALSE),IF(LEFT(F575)&lt;&gt;"S",VLOOKUP(LEFT(F575),★新聞!$A$4:$B$12,2,FALSE),VLOOKUP("X",★新聞!$A$4:$B$12,2,FALSE)))</f>
        <v>4</v>
      </c>
      <c r="AP575" s="460" t="str">
        <f t="shared" ca="1" si="68"/>
        <v>0</v>
      </c>
      <c r="AQ575" s="460" t="str">
        <f>IF(申込書!$C$38="","",申込書!$C$38)</f>
        <v/>
      </c>
    </row>
    <row r="576" spans="1:43">
      <c r="A576" s="463">
        <f t="shared" si="69"/>
        <v>575</v>
      </c>
      <c r="B576" s="463" t="str">
        <f t="shared" si="70"/>
        <v>東部</v>
      </c>
      <c r="C576" s="464" t="s">
        <v>1018</v>
      </c>
      <c r="D576" s="464" t="s">
        <v>1603</v>
      </c>
      <c r="E576" s="464">
        <f>VLOOKUP(D576,★折込地区!$A$2:$D$10,4,FALSE)</f>
        <v>3</v>
      </c>
      <c r="F576" s="464" t="s">
        <v>448</v>
      </c>
      <c r="G576" s="464" t="str">
        <f>INDEX(★新聞!$E$4:$I$12, MATCH(LEFT(F576),★新聞!$A$4:$A$12,0), MATCH(LEFT(W576),★新聞!$E$3:$I$3,0))</f>
        <v>AG</v>
      </c>
      <c r="H576" s="475" t="s">
        <v>1119</v>
      </c>
      <c r="I576" s="464" cm="1">
        <f t="array" ref="I576">IFERROR(INDEX(★原価率!$A$2:$E$50,MATCH($C576&amp;$H576,★原価率!$A$2:$A$50&amp;★原価率!$B$2:$B$50,0),3),0)</f>
        <v>94</v>
      </c>
      <c r="J576" s="464" cm="1">
        <f t="array" ref="J576">IFERROR(INDEX(★原価率!$A$2:$E$50,MATCH($C576&amp;$H576,★原価率!$A$2:$A$50&amp;★原価率!$B$2:$B$50,0),4),0)</f>
        <v>94</v>
      </c>
      <c r="K576" s="464" cm="1">
        <f t="array" ref="K576">IFERROR(INDEX(★原価率!$A$2:$E$50,MATCH($C576&amp;$H576,★原価率!$A$2:$A$50&amp;★原価率!$B$2:$B$50,0),5),0)</f>
        <v>100</v>
      </c>
      <c r="L576" s="528">
        <f>IFERROR(VLOOKUP(W576,★商品!$A$1:$H$1231,8,FALSE),0)</f>
        <v>2.8</v>
      </c>
      <c r="M576" s="203" t="str">
        <f ca="1">CONCATENATE(VLOOKUP(B576,★営業所!$A$2:$B$5,2,FALSE),TEXT(NOW(),"yyyy"))</f>
        <v>T2023</v>
      </c>
      <c r="N576" s="203">
        <v>1</v>
      </c>
      <c r="O576" s="203">
        <v>0</v>
      </c>
      <c r="P576" s="213">
        <f>申込書!$B$6</f>
        <v>0</v>
      </c>
      <c r="Q576" s="203">
        <f>申込書!$C$34</f>
        <v>1000040</v>
      </c>
      <c r="R576" s="203">
        <v>0</v>
      </c>
      <c r="U576" s="203">
        <f>VLOOKUP(B576,★営業所!$A$2:$C$5,3,FALSE)</f>
        <v>8</v>
      </c>
      <c r="V576" s="203">
        <f>申込書!$B$9</f>
        <v>0</v>
      </c>
      <c r="W576" s="203" t="str">
        <f>CONCATENATE(VLOOKUP(B576,★営業所!$A$2:$B$5,2,FALSE),VLOOKUP(申込書!$C$32,★サイズ表記!$D$4:$E$55,2,FALSE),VLOOKUP(D576,★折込地区!$A$2:$B$11,2,FALSE))</f>
        <v>T1001Yng</v>
      </c>
      <c r="X576" s="203" t="str">
        <f>CONCATENATE(申込書!$B$9," ",VLOOKUP(RIGHT(W576,3),★折込地区!$B$2:$C$10,2,FALSE),"")</f>
        <v xml:space="preserve"> 米子</v>
      </c>
      <c r="Z576" s="206">
        <f t="shared" ca="1" si="63"/>
        <v>0</v>
      </c>
      <c r="AB576" s="383">
        <f t="shared" si="64"/>
        <v>2.8</v>
      </c>
      <c r="AC576" s="203" t="str">
        <f t="shared" si="65"/>
        <v>M1001</v>
      </c>
      <c r="AD576" s="203" t="str">
        <f>VLOOKUP(AC576,★原価商品!$E$6:$F$349,2,FALSE)</f>
        <v>毎日/B4（折り無し）</v>
      </c>
      <c r="AE576" s="203">
        <f t="shared" ca="1" si="66"/>
        <v>0</v>
      </c>
      <c r="AF576" s="383">
        <f ca="1">IFERROR(IF(VLOOKUP(申込書!$C$32,★サイズ表記!$F$4:$H$55,3,FALSE)="切り捨て",ROUNDDOWN(L576*IF(AK576="◎",I576,J576)/100,2),IF(VLOOKUP(申込書!$C$32,★サイズ表記!$F$4:$H$55,3,FALSE)="切り上げ",ROUNDUP(L576*IF(AK576="◎",I576,J576)/100,2),ROUND(L576*IF(AK576="◎",I576,J576)/100,2))),0)</f>
        <v>2.63</v>
      </c>
      <c r="AG576" s="203">
        <f t="shared" ca="1" si="67"/>
        <v>0</v>
      </c>
      <c r="AJ576" s="460" t="str">
        <f>IFERROR(VLOOKUP(申込書!$C$30,★業種!$D$2:$E$87,2,FALSE),"")</f>
        <v>1003</v>
      </c>
      <c r="AK576" s="460" t="str">
        <f ca="1">IF(申込書!$C$36="◎",IF(OR(D576="浜坂・温泉",D576="美方・村岡",D576="香住",D576="岡山",D576="大阪"),"",IF(LEFT(F576)="D","◎",IF(AG576=0,"",IFERROR(IF(VLOOKUP(AG576,★仕入先!$A$2:$C$211,3,FALSE)=0,"","◎"),"")))),"")</f>
        <v/>
      </c>
      <c r="AL576" s="460">
        <f>申込書!$H$14</f>
        <v>0</v>
      </c>
      <c r="AM576" s="460" t="str">
        <f>申込書!$C$32</f>
        <v>B4（折り無し）</v>
      </c>
      <c r="AN576" s="460" t="str">
        <f>VLOOKUP(AM576,★サイズ表記!$D$4:$E$55,2,FALSE)</f>
        <v>1001</v>
      </c>
      <c r="AO576" s="460">
        <f>IF(C576&lt;&gt;"⑧兵庫",VLOOKUP(LEFT(F576),★新聞!$A$4:$B$12,2,FALSE),IF(LEFT(F576)&lt;&gt;"S",VLOOKUP(LEFT(F576),★新聞!$A$4:$B$12,2,FALSE),VLOOKUP("X",★新聞!$A$4:$B$12,2,FALSE)))</f>
        <v>4</v>
      </c>
      <c r="AP576" s="460" t="str">
        <f t="shared" ca="1" si="68"/>
        <v>0</v>
      </c>
      <c r="AQ576" s="460" t="str">
        <f>IF(申込書!$C$38="","",申込書!$C$38)</f>
        <v/>
      </c>
    </row>
    <row r="577" spans="1:43">
      <c r="A577" s="463">
        <f t="shared" si="69"/>
        <v>576</v>
      </c>
      <c r="B577" s="463" t="str">
        <f t="shared" si="70"/>
        <v>東部</v>
      </c>
      <c r="C577" s="464" t="s">
        <v>1018</v>
      </c>
      <c r="D577" s="464" t="s">
        <v>1603</v>
      </c>
      <c r="E577" s="464">
        <f>VLOOKUP(D577,★折込地区!$A$2:$D$10,4,FALSE)</f>
        <v>3</v>
      </c>
      <c r="F577" s="464" t="s">
        <v>449</v>
      </c>
      <c r="G577" s="464" t="str">
        <f>INDEX(★新聞!$E$4:$I$12, MATCH(LEFT(F577),★新聞!$A$4:$A$12,0), MATCH(LEFT(W577),★新聞!$E$3:$I$3,0))</f>
        <v>AG</v>
      </c>
      <c r="H577" s="475" t="s">
        <v>1119</v>
      </c>
      <c r="I577" s="464" cm="1">
        <f t="array" ref="I577">IFERROR(INDEX(★原価率!$A$2:$E$50,MATCH($C577&amp;$H577,★原価率!$A$2:$A$50&amp;★原価率!$B$2:$B$50,0),3),0)</f>
        <v>94</v>
      </c>
      <c r="J577" s="464" cm="1">
        <f t="array" ref="J577">IFERROR(INDEX(★原価率!$A$2:$E$50,MATCH($C577&amp;$H577,★原価率!$A$2:$A$50&amp;★原価率!$B$2:$B$50,0),4),0)</f>
        <v>94</v>
      </c>
      <c r="K577" s="464" cm="1">
        <f t="array" ref="K577">IFERROR(INDEX(★原価率!$A$2:$E$50,MATCH($C577&amp;$H577,★原価率!$A$2:$A$50&amp;★原価率!$B$2:$B$50,0),5),0)</f>
        <v>100</v>
      </c>
      <c r="L577" s="528">
        <f>IFERROR(VLOOKUP(W577,★商品!$A$1:$H$1231,8,FALSE),0)</f>
        <v>2.8</v>
      </c>
      <c r="M577" s="203" t="str">
        <f ca="1">CONCATENATE(VLOOKUP(B577,★営業所!$A$2:$B$5,2,FALSE),TEXT(NOW(),"yyyy"))</f>
        <v>T2023</v>
      </c>
      <c r="N577" s="203">
        <v>1</v>
      </c>
      <c r="O577" s="203">
        <v>0</v>
      </c>
      <c r="P577" s="213">
        <f>申込書!$B$6</f>
        <v>0</v>
      </c>
      <c r="Q577" s="203">
        <f>申込書!$C$34</f>
        <v>1000040</v>
      </c>
      <c r="R577" s="203">
        <v>0</v>
      </c>
      <c r="U577" s="203">
        <f>VLOOKUP(B577,★営業所!$A$2:$C$5,3,FALSE)</f>
        <v>8</v>
      </c>
      <c r="V577" s="203">
        <f>申込書!$B$9</f>
        <v>0</v>
      </c>
      <c r="W577" s="203" t="str">
        <f>CONCATENATE(VLOOKUP(B577,★営業所!$A$2:$B$5,2,FALSE),VLOOKUP(申込書!$C$32,★サイズ表記!$D$4:$E$55,2,FALSE),VLOOKUP(D577,★折込地区!$A$2:$B$11,2,FALSE))</f>
        <v>T1001Yng</v>
      </c>
      <c r="X577" s="203" t="str">
        <f>CONCATENATE(申込書!$B$9," ",VLOOKUP(RIGHT(W577,3),★折込地区!$B$2:$C$10,2,FALSE),"")</f>
        <v xml:space="preserve"> 米子</v>
      </c>
      <c r="Z577" s="206">
        <f t="shared" ca="1" si="63"/>
        <v>0</v>
      </c>
      <c r="AB577" s="383">
        <f t="shared" si="64"/>
        <v>2.8</v>
      </c>
      <c r="AC577" s="203" t="str">
        <f t="shared" si="65"/>
        <v>M1001</v>
      </c>
      <c r="AD577" s="203" t="str">
        <f>VLOOKUP(AC577,★原価商品!$E$6:$F$349,2,FALSE)</f>
        <v>毎日/B4（折り無し）</v>
      </c>
      <c r="AE577" s="203">
        <f t="shared" ca="1" si="66"/>
        <v>0</v>
      </c>
      <c r="AF577" s="383">
        <f ca="1">IFERROR(IF(VLOOKUP(申込書!$C$32,★サイズ表記!$F$4:$H$55,3,FALSE)="切り捨て",ROUNDDOWN(L577*IF(AK577="◎",I577,J577)/100,2),IF(VLOOKUP(申込書!$C$32,★サイズ表記!$F$4:$H$55,3,FALSE)="切り上げ",ROUNDUP(L577*IF(AK577="◎",I577,J577)/100,2),ROUND(L577*IF(AK577="◎",I577,J577)/100,2))),0)</f>
        <v>2.63</v>
      </c>
      <c r="AG577" s="203">
        <f t="shared" ca="1" si="67"/>
        <v>0</v>
      </c>
      <c r="AJ577" s="460" t="str">
        <f>IFERROR(VLOOKUP(申込書!$C$30,★業種!$D$2:$E$87,2,FALSE),"")</f>
        <v>1003</v>
      </c>
      <c r="AK577" s="460" t="str">
        <f ca="1">IF(申込書!$C$36="◎",IF(OR(D577="浜坂・温泉",D577="美方・村岡",D577="香住",D577="岡山",D577="大阪"),"",IF(LEFT(F577)="D","◎",IF(AG577=0,"",IFERROR(IF(VLOOKUP(AG577,★仕入先!$A$2:$C$211,3,FALSE)=0,"","◎"),"")))),"")</f>
        <v/>
      </c>
      <c r="AL577" s="460">
        <f>申込書!$H$14</f>
        <v>0</v>
      </c>
      <c r="AM577" s="460" t="str">
        <f>申込書!$C$32</f>
        <v>B4（折り無し）</v>
      </c>
      <c r="AN577" s="460" t="str">
        <f>VLOOKUP(AM577,★サイズ表記!$D$4:$E$55,2,FALSE)</f>
        <v>1001</v>
      </c>
      <c r="AO577" s="460">
        <f>IF(C577&lt;&gt;"⑧兵庫",VLOOKUP(LEFT(F577),★新聞!$A$4:$B$12,2,FALSE),IF(LEFT(F577)&lt;&gt;"S",VLOOKUP(LEFT(F577),★新聞!$A$4:$B$12,2,FALSE),VLOOKUP("X",★新聞!$A$4:$B$12,2,FALSE)))</f>
        <v>4</v>
      </c>
      <c r="AP577" s="460" t="str">
        <f t="shared" ca="1" si="68"/>
        <v>0</v>
      </c>
      <c r="AQ577" s="460" t="str">
        <f>IF(申込書!$C$38="","",申込書!$C$38)</f>
        <v/>
      </c>
    </row>
    <row r="578" spans="1:43">
      <c r="A578" s="463">
        <f t="shared" si="69"/>
        <v>577</v>
      </c>
      <c r="B578" s="463" t="str">
        <f t="shared" si="70"/>
        <v>東部</v>
      </c>
      <c r="C578" s="464" t="s">
        <v>1018</v>
      </c>
      <c r="D578" s="464" t="s">
        <v>1603</v>
      </c>
      <c r="E578" s="464">
        <f>VLOOKUP(D578,★折込地区!$A$2:$D$10,4,FALSE)</f>
        <v>3</v>
      </c>
      <c r="F578" s="464" t="s">
        <v>450</v>
      </c>
      <c r="G578" s="464" t="str">
        <f>INDEX(★新聞!$E$4:$I$12, MATCH(LEFT(F578),★新聞!$A$4:$A$12,0), MATCH(LEFT(W578),★新聞!$E$3:$I$3,0))</f>
        <v>AG</v>
      </c>
      <c r="H578" s="475" t="s">
        <v>1119</v>
      </c>
      <c r="I578" s="464" cm="1">
        <f t="array" ref="I578">IFERROR(INDEX(★原価率!$A$2:$E$50,MATCH($C578&amp;$H578,★原価率!$A$2:$A$50&amp;★原価率!$B$2:$B$50,0),3),0)</f>
        <v>94</v>
      </c>
      <c r="J578" s="464" cm="1">
        <f t="array" ref="J578">IFERROR(INDEX(★原価率!$A$2:$E$50,MATCH($C578&amp;$H578,★原価率!$A$2:$A$50&amp;★原価率!$B$2:$B$50,0),4),0)</f>
        <v>94</v>
      </c>
      <c r="K578" s="464" cm="1">
        <f t="array" ref="K578">IFERROR(INDEX(★原価率!$A$2:$E$50,MATCH($C578&amp;$H578,★原価率!$A$2:$A$50&amp;★原価率!$B$2:$B$50,0),5),0)</f>
        <v>100</v>
      </c>
      <c r="L578" s="528">
        <f>IFERROR(VLOOKUP(W578,★商品!$A$1:$H$1231,8,FALSE),0)</f>
        <v>2.8</v>
      </c>
      <c r="M578" s="203" t="str">
        <f ca="1">CONCATENATE(VLOOKUP(B578,★営業所!$A$2:$B$5,2,FALSE),TEXT(NOW(),"yyyy"))</f>
        <v>T2023</v>
      </c>
      <c r="N578" s="203">
        <v>1</v>
      </c>
      <c r="O578" s="203">
        <v>0</v>
      </c>
      <c r="P578" s="213">
        <f>申込書!$B$6</f>
        <v>0</v>
      </c>
      <c r="Q578" s="203">
        <f>申込書!$C$34</f>
        <v>1000040</v>
      </c>
      <c r="R578" s="203">
        <v>0</v>
      </c>
      <c r="U578" s="203">
        <f>VLOOKUP(B578,★営業所!$A$2:$C$5,3,FALSE)</f>
        <v>8</v>
      </c>
      <c r="V578" s="203">
        <f>申込書!$B$9</f>
        <v>0</v>
      </c>
      <c r="W578" s="203" t="str">
        <f>CONCATENATE(VLOOKUP(B578,★営業所!$A$2:$B$5,2,FALSE),VLOOKUP(申込書!$C$32,★サイズ表記!$D$4:$E$55,2,FALSE),VLOOKUP(D578,★折込地区!$A$2:$B$11,2,FALSE))</f>
        <v>T1001Yng</v>
      </c>
      <c r="X578" s="203" t="str">
        <f>CONCATENATE(申込書!$B$9," ",VLOOKUP(RIGHT(W578,3),★折込地区!$B$2:$C$10,2,FALSE),"")</f>
        <v xml:space="preserve"> 米子</v>
      </c>
      <c r="Z578" s="206">
        <f t="shared" ref="Z578:Z641" ca="1" si="71">SUMIFS($AE$2:$AE$977,$W$2:$W$977,W578,$AG$2:$AG$977,"&lt;&gt;0")</f>
        <v>0</v>
      </c>
      <c r="AB578" s="383">
        <f t="shared" ref="AB578:AB641" si="72">IFERROR(L578*K578/100,0)</f>
        <v>2.8</v>
      </c>
      <c r="AC578" s="203" t="str">
        <f t="shared" ref="AC578:AC641" si="73">CONCATENATE(LEFT(F578),AN578)</f>
        <v>M1001</v>
      </c>
      <c r="AD578" s="203" t="str">
        <f>VLOOKUP(AC578,★原価商品!$E$6:$F$349,2,FALSE)</f>
        <v>毎日/B4（折り無し）</v>
      </c>
      <c r="AE578" s="203">
        <f t="shared" ref="AE578:AE641" ca="1" si="74">INDIRECT(C578 &amp; "!" &amp; F578)</f>
        <v>0</v>
      </c>
      <c r="AF578" s="383">
        <f ca="1">IFERROR(IF(VLOOKUP(申込書!$C$32,★サイズ表記!$F$4:$H$55,3,FALSE)="切り捨て",ROUNDDOWN(L578*IF(AK578="◎",I578,J578)/100,2),IF(VLOOKUP(申込書!$C$32,★サイズ表記!$F$4:$H$55,3,FALSE)="切り上げ",ROUNDUP(L578*IF(AK578="◎",I578,J578)/100,2),ROUND(L578*IF(AK578="◎",I578,J578)/100,2))),0)</f>
        <v>2.63</v>
      </c>
      <c r="AG578" s="203">
        <f t="shared" ref="AG578:AG641" ca="1" si="75">IFERROR(INDIRECT(C578 &amp; "!" &amp; G578 &amp; MID(F578,2,1000)),0)</f>
        <v>10561</v>
      </c>
      <c r="AJ578" s="460" t="str">
        <f>IFERROR(VLOOKUP(申込書!$C$30,★業種!$D$2:$E$87,2,FALSE),"")</f>
        <v>1003</v>
      </c>
      <c r="AK578" s="460" t="str">
        <f ca="1">IF(申込書!$C$36="◎",IF(OR(D578="浜坂・温泉",D578="美方・村岡",D578="香住",D578="岡山",D578="大阪"),"",IF(LEFT(F578)="D","◎",IF(AG578=0,"",IFERROR(IF(VLOOKUP(AG578,★仕入先!$A$2:$C$211,3,FALSE)=0,"","◎"),"")))),"")</f>
        <v/>
      </c>
      <c r="AL578" s="460">
        <f>申込書!$H$14</f>
        <v>0</v>
      </c>
      <c r="AM578" s="460" t="str">
        <f>申込書!$C$32</f>
        <v>B4（折り無し）</v>
      </c>
      <c r="AN578" s="460" t="str">
        <f>VLOOKUP(AM578,★サイズ表記!$D$4:$E$55,2,FALSE)</f>
        <v>1001</v>
      </c>
      <c r="AO578" s="460">
        <f>IF(C578&lt;&gt;"⑧兵庫",VLOOKUP(LEFT(F578),★新聞!$A$4:$B$12,2,FALSE),IF(LEFT(F578)&lt;&gt;"S",VLOOKUP(LEFT(F578),★新聞!$A$4:$B$12,2,FALSE),VLOOKUP("X",★新聞!$A$4:$B$12,2,FALSE)))</f>
        <v>4</v>
      </c>
      <c r="AP578" s="460" t="str">
        <f t="shared" ref="AP578:AP641" ca="1" si="76">FIXED(SUM($AE$2:$AE$977),0,FALSE)</f>
        <v>0</v>
      </c>
      <c r="AQ578" s="460" t="str">
        <f>IF(申込書!$C$38="","",申込書!$C$38)</f>
        <v/>
      </c>
    </row>
    <row r="579" spans="1:43">
      <c r="A579" s="463">
        <f t="shared" si="69"/>
        <v>578</v>
      </c>
      <c r="B579" s="463" t="str">
        <f t="shared" si="70"/>
        <v>東部</v>
      </c>
      <c r="C579" s="464" t="s">
        <v>1018</v>
      </c>
      <c r="D579" s="464" t="s">
        <v>1603</v>
      </c>
      <c r="E579" s="464">
        <f>VLOOKUP(D579,★折込地区!$A$2:$D$10,4,FALSE)</f>
        <v>3</v>
      </c>
      <c r="F579" s="464" t="s">
        <v>451</v>
      </c>
      <c r="G579" s="464" t="str">
        <f>INDEX(★新聞!$E$4:$I$12, MATCH(LEFT(F579),★新聞!$A$4:$A$12,0), MATCH(LEFT(W579),★新聞!$E$3:$I$3,0))</f>
        <v>AG</v>
      </c>
      <c r="H579" s="475" t="s">
        <v>1119</v>
      </c>
      <c r="I579" s="464" cm="1">
        <f t="array" ref="I579">IFERROR(INDEX(★原価率!$A$2:$E$50,MATCH($C579&amp;$H579,★原価率!$A$2:$A$50&amp;★原価率!$B$2:$B$50,0),3),0)</f>
        <v>94</v>
      </c>
      <c r="J579" s="464" cm="1">
        <f t="array" ref="J579">IFERROR(INDEX(★原価率!$A$2:$E$50,MATCH($C579&amp;$H579,★原価率!$A$2:$A$50&amp;★原価率!$B$2:$B$50,0),4),0)</f>
        <v>94</v>
      </c>
      <c r="K579" s="464" cm="1">
        <f t="array" ref="K579">IFERROR(INDEX(★原価率!$A$2:$E$50,MATCH($C579&amp;$H579,★原価率!$A$2:$A$50&amp;★原価率!$B$2:$B$50,0),5),0)</f>
        <v>100</v>
      </c>
      <c r="L579" s="528">
        <f>IFERROR(VLOOKUP(W579,★商品!$A$1:$H$1231,8,FALSE),0)</f>
        <v>2.8</v>
      </c>
      <c r="M579" s="203" t="str">
        <f ca="1">CONCATENATE(VLOOKUP(B579,★営業所!$A$2:$B$5,2,FALSE),TEXT(NOW(),"yyyy"))</f>
        <v>T2023</v>
      </c>
      <c r="N579" s="203">
        <v>1</v>
      </c>
      <c r="O579" s="203">
        <v>0</v>
      </c>
      <c r="P579" s="213">
        <f>申込書!$B$6</f>
        <v>0</v>
      </c>
      <c r="Q579" s="203">
        <f>申込書!$C$34</f>
        <v>1000040</v>
      </c>
      <c r="R579" s="203">
        <v>0</v>
      </c>
      <c r="U579" s="203">
        <f>VLOOKUP(B579,★営業所!$A$2:$C$5,3,FALSE)</f>
        <v>8</v>
      </c>
      <c r="V579" s="203">
        <f>申込書!$B$9</f>
        <v>0</v>
      </c>
      <c r="W579" s="203" t="str">
        <f>CONCATENATE(VLOOKUP(B579,★営業所!$A$2:$B$5,2,FALSE),VLOOKUP(申込書!$C$32,★サイズ表記!$D$4:$E$55,2,FALSE),VLOOKUP(D579,★折込地区!$A$2:$B$11,2,FALSE))</f>
        <v>T1001Yng</v>
      </c>
      <c r="X579" s="203" t="str">
        <f>CONCATENATE(申込書!$B$9," ",VLOOKUP(RIGHT(W579,3),★折込地区!$B$2:$C$10,2,FALSE),"")</f>
        <v xml:space="preserve"> 米子</v>
      </c>
      <c r="Z579" s="206">
        <f t="shared" ca="1" si="71"/>
        <v>0</v>
      </c>
      <c r="AB579" s="383">
        <f t="shared" si="72"/>
        <v>2.8</v>
      </c>
      <c r="AC579" s="203" t="str">
        <f t="shared" si="73"/>
        <v>M1001</v>
      </c>
      <c r="AD579" s="203" t="str">
        <f>VLOOKUP(AC579,★原価商品!$E$6:$F$349,2,FALSE)</f>
        <v>毎日/B4（折り無し）</v>
      </c>
      <c r="AE579" s="203">
        <f t="shared" ca="1" si="74"/>
        <v>0</v>
      </c>
      <c r="AF579" s="383">
        <f ca="1">IFERROR(IF(VLOOKUP(申込書!$C$32,★サイズ表記!$F$4:$H$55,3,FALSE)="切り捨て",ROUNDDOWN(L579*IF(AK579="◎",I579,J579)/100,2),IF(VLOOKUP(申込書!$C$32,★サイズ表記!$F$4:$H$55,3,FALSE)="切り上げ",ROUNDUP(L579*IF(AK579="◎",I579,J579)/100,2),ROUND(L579*IF(AK579="◎",I579,J579)/100,2))),0)</f>
        <v>2.63</v>
      </c>
      <c r="AG579" s="203">
        <f t="shared" ca="1" si="75"/>
        <v>0</v>
      </c>
      <c r="AJ579" s="460" t="str">
        <f>IFERROR(VLOOKUP(申込書!$C$30,★業種!$D$2:$E$87,2,FALSE),"")</f>
        <v>1003</v>
      </c>
      <c r="AK579" s="460" t="str">
        <f ca="1">IF(申込書!$C$36="◎",IF(OR(D579="浜坂・温泉",D579="美方・村岡",D579="香住",D579="岡山",D579="大阪"),"",IF(LEFT(F579)="D","◎",IF(AG579=0,"",IFERROR(IF(VLOOKUP(AG579,★仕入先!$A$2:$C$211,3,FALSE)=0,"","◎"),"")))),"")</f>
        <v/>
      </c>
      <c r="AL579" s="460">
        <f>申込書!$H$14</f>
        <v>0</v>
      </c>
      <c r="AM579" s="460" t="str">
        <f>申込書!$C$32</f>
        <v>B4（折り無し）</v>
      </c>
      <c r="AN579" s="460" t="str">
        <f>VLOOKUP(AM579,★サイズ表記!$D$4:$E$55,2,FALSE)</f>
        <v>1001</v>
      </c>
      <c r="AO579" s="460">
        <f>IF(C579&lt;&gt;"⑧兵庫",VLOOKUP(LEFT(F579),★新聞!$A$4:$B$12,2,FALSE),IF(LEFT(F579)&lt;&gt;"S",VLOOKUP(LEFT(F579),★新聞!$A$4:$B$12,2,FALSE),VLOOKUP("X",★新聞!$A$4:$B$12,2,FALSE)))</f>
        <v>4</v>
      </c>
      <c r="AP579" s="460" t="str">
        <f t="shared" ca="1" si="76"/>
        <v>0</v>
      </c>
      <c r="AQ579" s="460" t="str">
        <f>IF(申込書!$C$38="","",申込書!$C$38)</f>
        <v/>
      </c>
    </row>
    <row r="580" spans="1:43">
      <c r="A580" s="463">
        <f t="shared" ref="A580:A643" si="77">A579+1</f>
        <v>579</v>
      </c>
      <c r="B580" s="463" t="str">
        <f t="shared" si="70"/>
        <v>東部</v>
      </c>
      <c r="C580" s="464" t="s">
        <v>1018</v>
      </c>
      <c r="D580" s="464" t="s">
        <v>1603</v>
      </c>
      <c r="E580" s="464">
        <f>VLOOKUP(D580,★折込地区!$A$2:$D$10,4,FALSE)</f>
        <v>3</v>
      </c>
      <c r="F580" s="464" t="s">
        <v>452</v>
      </c>
      <c r="G580" s="464" t="str">
        <f>INDEX(★新聞!$E$4:$I$12, MATCH(LEFT(F580),★新聞!$A$4:$A$12,0), MATCH(LEFT(W580),★新聞!$E$3:$I$3,0))</f>
        <v>AG</v>
      </c>
      <c r="H580" s="475" t="s">
        <v>1119</v>
      </c>
      <c r="I580" s="464" cm="1">
        <f t="array" ref="I580">IFERROR(INDEX(★原価率!$A$2:$E$50,MATCH($C580&amp;$H580,★原価率!$A$2:$A$50&amp;★原価率!$B$2:$B$50,0),3),0)</f>
        <v>94</v>
      </c>
      <c r="J580" s="464" cm="1">
        <f t="array" ref="J580">IFERROR(INDEX(★原価率!$A$2:$E$50,MATCH($C580&amp;$H580,★原価率!$A$2:$A$50&amp;★原価率!$B$2:$B$50,0),4),0)</f>
        <v>94</v>
      </c>
      <c r="K580" s="464" cm="1">
        <f t="array" ref="K580">IFERROR(INDEX(★原価率!$A$2:$E$50,MATCH($C580&amp;$H580,★原価率!$A$2:$A$50&amp;★原価率!$B$2:$B$50,0),5),0)</f>
        <v>100</v>
      </c>
      <c r="L580" s="528">
        <f>IFERROR(VLOOKUP(W580,★商品!$A$1:$H$1231,8,FALSE),0)</f>
        <v>2.8</v>
      </c>
      <c r="M580" s="203" t="str">
        <f ca="1">CONCATENATE(VLOOKUP(B580,★営業所!$A$2:$B$5,2,FALSE),TEXT(NOW(),"yyyy"))</f>
        <v>T2023</v>
      </c>
      <c r="N580" s="203">
        <v>1</v>
      </c>
      <c r="O580" s="203">
        <v>0</v>
      </c>
      <c r="P580" s="213">
        <f>申込書!$B$6</f>
        <v>0</v>
      </c>
      <c r="Q580" s="203">
        <f>申込書!$C$34</f>
        <v>1000040</v>
      </c>
      <c r="R580" s="203">
        <v>0</v>
      </c>
      <c r="U580" s="203">
        <f>VLOOKUP(B580,★営業所!$A$2:$C$5,3,FALSE)</f>
        <v>8</v>
      </c>
      <c r="V580" s="203">
        <f>申込書!$B$9</f>
        <v>0</v>
      </c>
      <c r="W580" s="203" t="str">
        <f>CONCATENATE(VLOOKUP(B580,★営業所!$A$2:$B$5,2,FALSE),VLOOKUP(申込書!$C$32,★サイズ表記!$D$4:$E$55,2,FALSE),VLOOKUP(D580,★折込地区!$A$2:$B$11,2,FALSE))</f>
        <v>T1001Yng</v>
      </c>
      <c r="X580" s="203" t="str">
        <f>CONCATENATE(申込書!$B$9," ",VLOOKUP(RIGHT(W580,3),★折込地区!$B$2:$C$10,2,FALSE),"")</f>
        <v xml:space="preserve"> 米子</v>
      </c>
      <c r="Z580" s="206">
        <f t="shared" ca="1" si="71"/>
        <v>0</v>
      </c>
      <c r="AB580" s="383">
        <f t="shared" si="72"/>
        <v>2.8</v>
      </c>
      <c r="AC580" s="203" t="str">
        <f t="shared" si="73"/>
        <v>M1001</v>
      </c>
      <c r="AD580" s="203" t="str">
        <f>VLOOKUP(AC580,★原価商品!$E$6:$F$349,2,FALSE)</f>
        <v>毎日/B4（折り無し）</v>
      </c>
      <c r="AE580" s="203">
        <f t="shared" ca="1" si="74"/>
        <v>0</v>
      </c>
      <c r="AF580" s="383">
        <f ca="1">IFERROR(IF(VLOOKUP(申込書!$C$32,★サイズ表記!$F$4:$H$55,3,FALSE)="切り捨て",ROUNDDOWN(L580*IF(AK580="◎",I580,J580)/100,2),IF(VLOOKUP(申込書!$C$32,★サイズ表記!$F$4:$H$55,3,FALSE)="切り上げ",ROUNDUP(L580*IF(AK580="◎",I580,J580)/100,2),ROUND(L580*IF(AK580="◎",I580,J580)/100,2))),0)</f>
        <v>2.63</v>
      </c>
      <c r="AG580" s="203">
        <f t="shared" ca="1" si="75"/>
        <v>0</v>
      </c>
      <c r="AJ580" s="460" t="str">
        <f>IFERROR(VLOOKUP(申込書!$C$30,★業種!$D$2:$E$87,2,FALSE),"")</f>
        <v>1003</v>
      </c>
      <c r="AK580" s="460" t="str">
        <f ca="1">IF(申込書!$C$36="◎",IF(OR(D580="浜坂・温泉",D580="美方・村岡",D580="香住",D580="岡山",D580="大阪"),"",IF(LEFT(F580)="D","◎",IF(AG580=0,"",IFERROR(IF(VLOOKUP(AG580,★仕入先!$A$2:$C$211,3,FALSE)=0,"","◎"),"")))),"")</f>
        <v/>
      </c>
      <c r="AL580" s="460">
        <f>申込書!$H$14</f>
        <v>0</v>
      </c>
      <c r="AM580" s="460" t="str">
        <f>申込書!$C$32</f>
        <v>B4（折り無し）</v>
      </c>
      <c r="AN580" s="460" t="str">
        <f>VLOOKUP(AM580,★サイズ表記!$D$4:$E$55,2,FALSE)</f>
        <v>1001</v>
      </c>
      <c r="AO580" s="460">
        <f>IF(C580&lt;&gt;"⑧兵庫",VLOOKUP(LEFT(F580),★新聞!$A$4:$B$12,2,FALSE),IF(LEFT(F580)&lt;&gt;"S",VLOOKUP(LEFT(F580),★新聞!$A$4:$B$12,2,FALSE),VLOOKUP("X",★新聞!$A$4:$B$12,2,FALSE)))</f>
        <v>4</v>
      </c>
      <c r="AP580" s="460" t="str">
        <f t="shared" ca="1" si="76"/>
        <v>0</v>
      </c>
      <c r="AQ580" s="460" t="str">
        <f>IF(申込書!$C$38="","",申込書!$C$38)</f>
        <v/>
      </c>
    </row>
    <row r="581" spans="1:43">
      <c r="A581" s="463">
        <f t="shared" si="77"/>
        <v>580</v>
      </c>
      <c r="B581" s="463" t="str">
        <f t="shared" si="70"/>
        <v>東部</v>
      </c>
      <c r="C581" s="464" t="s">
        <v>1018</v>
      </c>
      <c r="D581" s="464" t="s">
        <v>1603</v>
      </c>
      <c r="E581" s="464">
        <f>VLOOKUP(D581,★折込地区!$A$2:$D$10,4,FALSE)</f>
        <v>3</v>
      </c>
      <c r="F581" s="464" t="s">
        <v>453</v>
      </c>
      <c r="G581" s="464" t="str">
        <f>INDEX(★新聞!$E$4:$I$12, MATCH(LEFT(F581),★新聞!$A$4:$A$12,0), MATCH(LEFT(W581),★新聞!$E$3:$I$3,0))</f>
        <v>AG</v>
      </c>
      <c r="H581" s="475" t="s">
        <v>1119</v>
      </c>
      <c r="I581" s="464" cm="1">
        <f t="array" ref="I581">IFERROR(INDEX(★原価率!$A$2:$E$50,MATCH($C581&amp;$H581,★原価率!$A$2:$A$50&amp;★原価率!$B$2:$B$50,0),3),0)</f>
        <v>94</v>
      </c>
      <c r="J581" s="464" cm="1">
        <f t="array" ref="J581">IFERROR(INDEX(★原価率!$A$2:$E$50,MATCH($C581&amp;$H581,★原価率!$A$2:$A$50&amp;★原価率!$B$2:$B$50,0),4),0)</f>
        <v>94</v>
      </c>
      <c r="K581" s="464" cm="1">
        <f t="array" ref="K581">IFERROR(INDEX(★原価率!$A$2:$E$50,MATCH($C581&amp;$H581,★原価率!$A$2:$A$50&amp;★原価率!$B$2:$B$50,0),5),0)</f>
        <v>100</v>
      </c>
      <c r="L581" s="528">
        <f>IFERROR(VLOOKUP(W581,★商品!$A$1:$H$1231,8,FALSE),0)</f>
        <v>2.8</v>
      </c>
      <c r="M581" s="203" t="str">
        <f ca="1">CONCATENATE(VLOOKUP(B581,★営業所!$A$2:$B$5,2,FALSE),TEXT(NOW(),"yyyy"))</f>
        <v>T2023</v>
      </c>
      <c r="N581" s="203">
        <v>1</v>
      </c>
      <c r="O581" s="203">
        <v>0</v>
      </c>
      <c r="P581" s="213">
        <f>申込書!$B$6</f>
        <v>0</v>
      </c>
      <c r="Q581" s="203">
        <f>申込書!$C$34</f>
        <v>1000040</v>
      </c>
      <c r="R581" s="203">
        <v>0</v>
      </c>
      <c r="U581" s="203">
        <f>VLOOKUP(B581,★営業所!$A$2:$C$5,3,FALSE)</f>
        <v>8</v>
      </c>
      <c r="V581" s="203">
        <f>申込書!$B$9</f>
        <v>0</v>
      </c>
      <c r="W581" s="203" t="str">
        <f>CONCATENATE(VLOOKUP(B581,★営業所!$A$2:$B$5,2,FALSE),VLOOKUP(申込書!$C$32,★サイズ表記!$D$4:$E$55,2,FALSE),VLOOKUP(D581,★折込地区!$A$2:$B$11,2,FALSE))</f>
        <v>T1001Yng</v>
      </c>
      <c r="X581" s="203" t="str">
        <f>CONCATENATE(申込書!$B$9," ",VLOOKUP(RIGHT(W581,3),★折込地区!$B$2:$C$10,2,FALSE),"")</f>
        <v xml:space="preserve"> 米子</v>
      </c>
      <c r="Z581" s="206">
        <f t="shared" ca="1" si="71"/>
        <v>0</v>
      </c>
      <c r="AB581" s="383">
        <f t="shared" si="72"/>
        <v>2.8</v>
      </c>
      <c r="AC581" s="203" t="str">
        <f t="shared" si="73"/>
        <v>M1001</v>
      </c>
      <c r="AD581" s="203" t="str">
        <f>VLOOKUP(AC581,★原価商品!$E$6:$F$349,2,FALSE)</f>
        <v>毎日/B4（折り無し）</v>
      </c>
      <c r="AE581" s="203">
        <f t="shared" ca="1" si="74"/>
        <v>0</v>
      </c>
      <c r="AF581" s="383">
        <f ca="1">IFERROR(IF(VLOOKUP(申込書!$C$32,★サイズ表記!$F$4:$H$55,3,FALSE)="切り捨て",ROUNDDOWN(L581*IF(AK581="◎",I581,J581)/100,2),IF(VLOOKUP(申込書!$C$32,★サイズ表記!$F$4:$H$55,3,FALSE)="切り上げ",ROUNDUP(L581*IF(AK581="◎",I581,J581)/100,2),ROUND(L581*IF(AK581="◎",I581,J581)/100,2))),0)</f>
        <v>2.63</v>
      </c>
      <c r="AG581" s="203">
        <f t="shared" ca="1" si="75"/>
        <v>0</v>
      </c>
      <c r="AJ581" s="460" t="str">
        <f>IFERROR(VLOOKUP(申込書!$C$30,★業種!$D$2:$E$87,2,FALSE),"")</f>
        <v>1003</v>
      </c>
      <c r="AK581" s="460" t="str">
        <f ca="1">IF(申込書!$C$36="◎",IF(OR(D581="浜坂・温泉",D581="美方・村岡",D581="香住",D581="岡山",D581="大阪"),"",IF(LEFT(F581)="D","◎",IF(AG581=0,"",IFERROR(IF(VLOOKUP(AG581,★仕入先!$A$2:$C$211,3,FALSE)=0,"","◎"),"")))),"")</f>
        <v/>
      </c>
      <c r="AL581" s="460">
        <f>申込書!$H$14</f>
        <v>0</v>
      </c>
      <c r="AM581" s="460" t="str">
        <f>申込書!$C$32</f>
        <v>B4（折り無し）</v>
      </c>
      <c r="AN581" s="460" t="str">
        <f>VLOOKUP(AM581,★サイズ表記!$D$4:$E$55,2,FALSE)</f>
        <v>1001</v>
      </c>
      <c r="AO581" s="460">
        <f>IF(C581&lt;&gt;"⑧兵庫",VLOOKUP(LEFT(F581),★新聞!$A$4:$B$12,2,FALSE),IF(LEFT(F581)&lt;&gt;"S",VLOOKUP(LEFT(F581),★新聞!$A$4:$B$12,2,FALSE),VLOOKUP("X",★新聞!$A$4:$B$12,2,FALSE)))</f>
        <v>4</v>
      </c>
      <c r="AP581" s="460" t="str">
        <f t="shared" ca="1" si="76"/>
        <v>0</v>
      </c>
      <c r="AQ581" s="460" t="str">
        <f>IF(申込書!$C$38="","",申込書!$C$38)</f>
        <v/>
      </c>
    </row>
    <row r="582" spans="1:43">
      <c r="A582" s="463">
        <f t="shared" si="77"/>
        <v>581</v>
      </c>
      <c r="B582" s="463" t="str">
        <f t="shared" si="70"/>
        <v>東部</v>
      </c>
      <c r="C582" s="464" t="s">
        <v>1018</v>
      </c>
      <c r="D582" s="464" t="s">
        <v>1603</v>
      </c>
      <c r="E582" s="464">
        <f>VLOOKUP(D582,★折込地区!$A$2:$D$10,4,FALSE)</f>
        <v>3</v>
      </c>
      <c r="F582" s="464" t="s">
        <v>454</v>
      </c>
      <c r="G582" s="464" t="str">
        <f>INDEX(★新聞!$E$4:$I$12, MATCH(LEFT(F582),★新聞!$A$4:$A$12,0), MATCH(LEFT(W582),★新聞!$E$3:$I$3,0))</f>
        <v>AG</v>
      </c>
      <c r="H582" s="475" t="s">
        <v>1119</v>
      </c>
      <c r="I582" s="464" cm="1">
        <f t="array" ref="I582">IFERROR(INDEX(★原価率!$A$2:$E$50,MATCH($C582&amp;$H582,★原価率!$A$2:$A$50&amp;★原価率!$B$2:$B$50,0),3),0)</f>
        <v>94</v>
      </c>
      <c r="J582" s="464" cm="1">
        <f t="array" ref="J582">IFERROR(INDEX(★原価率!$A$2:$E$50,MATCH($C582&amp;$H582,★原価率!$A$2:$A$50&amp;★原価率!$B$2:$B$50,0),4),0)</f>
        <v>94</v>
      </c>
      <c r="K582" s="464" cm="1">
        <f t="array" ref="K582">IFERROR(INDEX(★原価率!$A$2:$E$50,MATCH($C582&amp;$H582,★原価率!$A$2:$A$50&amp;★原価率!$B$2:$B$50,0),5),0)</f>
        <v>100</v>
      </c>
      <c r="L582" s="528">
        <f>IFERROR(VLOOKUP(W582,★商品!$A$1:$H$1231,8,FALSE),0)</f>
        <v>2.8</v>
      </c>
      <c r="M582" s="203" t="str">
        <f ca="1">CONCATENATE(VLOOKUP(B582,★営業所!$A$2:$B$5,2,FALSE),TEXT(NOW(),"yyyy"))</f>
        <v>T2023</v>
      </c>
      <c r="N582" s="203">
        <v>1</v>
      </c>
      <c r="O582" s="203">
        <v>0</v>
      </c>
      <c r="P582" s="213">
        <f>申込書!$B$6</f>
        <v>0</v>
      </c>
      <c r="Q582" s="203">
        <f>申込書!$C$34</f>
        <v>1000040</v>
      </c>
      <c r="R582" s="203">
        <v>0</v>
      </c>
      <c r="U582" s="203">
        <f>VLOOKUP(B582,★営業所!$A$2:$C$5,3,FALSE)</f>
        <v>8</v>
      </c>
      <c r="V582" s="203">
        <f>申込書!$B$9</f>
        <v>0</v>
      </c>
      <c r="W582" s="203" t="str">
        <f>CONCATENATE(VLOOKUP(B582,★営業所!$A$2:$B$5,2,FALSE),VLOOKUP(申込書!$C$32,★サイズ表記!$D$4:$E$55,2,FALSE),VLOOKUP(D582,★折込地区!$A$2:$B$11,2,FALSE))</f>
        <v>T1001Yng</v>
      </c>
      <c r="X582" s="203" t="str">
        <f>CONCATENATE(申込書!$B$9," ",VLOOKUP(RIGHT(W582,3),★折込地区!$B$2:$C$10,2,FALSE),"")</f>
        <v xml:space="preserve"> 米子</v>
      </c>
      <c r="Z582" s="206">
        <f t="shared" ca="1" si="71"/>
        <v>0</v>
      </c>
      <c r="AB582" s="383">
        <f t="shared" si="72"/>
        <v>2.8</v>
      </c>
      <c r="AC582" s="203" t="str">
        <f t="shared" si="73"/>
        <v>M1001</v>
      </c>
      <c r="AD582" s="203" t="str">
        <f>VLOOKUP(AC582,★原価商品!$E$6:$F$349,2,FALSE)</f>
        <v>毎日/B4（折り無し）</v>
      </c>
      <c r="AE582" s="203">
        <f t="shared" ca="1" si="74"/>
        <v>0</v>
      </c>
      <c r="AF582" s="383">
        <f ca="1">IFERROR(IF(VLOOKUP(申込書!$C$32,★サイズ表記!$F$4:$H$55,3,FALSE)="切り捨て",ROUNDDOWN(L582*IF(AK582="◎",I582,J582)/100,2),IF(VLOOKUP(申込書!$C$32,★サイズ表記!$F$4:$H$55,3,FALSE)="切り上げ",ROUNDUP(L582*IF(AK582="◎",I582,J582)/100,2),ROUND(L582*IF(AK582="◎",I582,J582)/100,2))),0)</f>
        <v>2.63</v>
      </c>
      <c r="AG582" s="203">
        <f t="shared" ca="1" si="75"/>
        <v>0</v>
      </c>
      <c r="AJ582" s="460" t="str">
        <f>IFERROR(VLOOKUP(申込書!$C$30,★業種!$D$2:$E$87,2,FALSE),"")</f>
        <v>1003</v>
      </c>
      <c r="AK582" s="460" t="str">
        <f ca="1">IF(申込書!$C$36="◎",IF(OR(D582="浜坂・温泉",D582="美方・村岡",D582="香住",D582="岡山",D582="大阪"),"",IF(LEFT(F582)="D","◎",IF(AG582=0,"",IFERROR(IF(VLOOKUP(AG582,★仕入先!$A$2:$C$211,3,FALSE)=0,"","◎"),"")))),"")</f>
        <v/>
      </c>
      <c r="AL582" s="460">
        <f>申込書!$H$14</f>
        <v>0</v>
      </c>
      <c r="AM582" s="460" t="str">
        <f>申込書!$C$32</f>
        <v>B4（折り無し）</v>
      </c>
      <c r="AN582" s="460" t="str">
        <f>VLOOKUP(AM582,★サイズ表記!$D$4:$E$55,2,FALSE)</f>
        <v>1001</v>
      </c>
      <c r="AO582" s="460">
        <f>IF(C582&lt;&gt;"⑧兵庫",VLOOKUP(LEFT(F582),★新聞!$A$4:$B$12,2,FALSE),IF(LEFT(F582)&lt;&gt;"S",VLOOKUP(LEFT(F582),★新聞!$A$4:$B$12,2,FALSE),VLOOKUP("X",★新聞!$A$4:$B$12,2,FALSE)))</f>
        <v>4</v>
      </c>
      <c r="AP582" s="460" t="str">
        <f t="shared" ca="1" si="76"/>
        <v>0</v>
      </c>
      <c r="AQ582" s="460" t="str">
        <f>IF(申込書!$C$38="","",申込書!$C$38)</f>
        <v/>
      </c>
    </row>
    <row r="583" spans="1:43">
      <c r="A583" s="463">
        <f t="shared" si="77"/>
        <v>582</v>
      </c>
      <c r="B583" s="463" t="str">
        <f t="shared" si="70"/>
        <v>東部</v>
      </c>
      <c r="C583" s="464" t="s">
        <v>1018</v>
      </c>
      <c r="D583" s="464" t="s">
        <v>1603</v>
      </c>
      <c r="E583" s="464">
        <f>VLOOKUP(D583,★折込地区!$A$2:$D$10,4,FALSE)</f>
        <v>3</v>
      </c>
      <c r="F583" s="464" t="s">
        <v>455</v>
      </c>
      <c r="G583" s="464" t="str">
        <f>INDEX(★新聞!$E$4:$I$12, MATCH(LEFT(F583),★新聞!$A$4:$A$12,0), MATCH(LEFT(W583),★新聞!$E$3:$I$3,0))</f>
        <v>AG</v>
      </c>
      <c r="H583" s="475" t="s">
        <v>1119</v>
      </c>
      <c r="I583" s="464" cm="1">
        <f t="array" ref="I583">IFERROR(INDEX(★原価率!$A$2:$E$50,MATCH($C583&amp;$H583,★原価率!$A$2:$A$50&amp;★原価率!$B$2:$B$50,0),3),0)</f>
        <v>94</v>
      </c>
      <c r="J583" s="464" cm="1">
        <f t="array" ref="J583">IFERROR(INDEX(★原価率!$A$2:$E$50,MATCH($C583&amp;$H583,★原価率!$A$2:$A$50&amp;★原価率!$B$2:$B$50,0),4),0)</f>
        <v>94</v>
      </c>
      <c r="K583" s="464" cm="1">
        <f t="array" ref="K583">IFERROR(INDEX(★原価率!$A$2:$E$50,MATCH($C583&amp;$H583,★原価率!$A$2:$A$50&amp;★原価率!$B$2:$B$50,0),5),0)</f>
        <v>100</v>
      </c>
      <c r="L583" s="528">
        <f>IFERROR(VLOOKUP(W583,★商品!$A$1:$H$1231,8,FALSE),0)</f>
        <v>2.8</v>
      </c>
      <c r="M583" s="203" t="str">
        <f ca="1">CONCATENATE(VLOOKUP(B583,★営業所!$A$2:$B$5,2,FALSE),TEXT(NOW(),"yyyy"))</f>
        <v>T2023</v>
      </c>
      <c r="N583" s="203">
        <v>1</v>
      </c>
      <c r="O583" s="203">
        <v>0</v>
      </c>
      <c r="P583" s="213">
        <f>申込書!$B$6</f>
        <v>0</v>
      </c>
      <c r="Q583" s="203">
        <f>申込書!$C$34</f>
        <v>1000040</v>
      </c>
      <c r="R583" s="203">
        <v>0</v>
      </c>
      <c r="U583" s="203">
        <f>VLOOKUP(B583,★営業所!$A$2:$C$5,3,FALSE)</f>
        <v>8</v>
      </c>
      <c r="V583" s="203">
        <f>申込書!$B$9</f>
        <v>0</v>
      </c>
      <c r="W583" s="203" t="str">
        <f>CONCATENATE(VLOOKUP(B583,★営業所!$A$2:$B$5,2,FALSE),VLOOKUP(申込書!$C$32,★サイズ表記!$D$4:$E$55,2,FALSE),VLOOKUP(D583,★折込地区!$A$2:$B$11,2,FALSE))</f>
        <v>T1001Yng</v>
      </c>
      <c r="X583" s="203" t="str">
        <f>CONCATENATE(申込書!$B$9," ",VLOOKUP(RIGHT(W583,3),★折込地区!$B$2:$C$10,2,FALSE),"")</f>
        <v xml:space="preserve"> 米子</v>
      </c>
      <c r="Z583" s="206">
        <f t="shared" ca="1" si="71"/>
        <v>0</v>
      </c>
      <c r="AB583" s="383">
        <f t="shared" si="72"/>
        <v>2.8</v>
      </c>
      <c r="AC583" s="203" t="str">
        <f t="shared" si="73"/>
        <v>M1001</v>
      </c>
      <c r="AD583" s="203" t="str">
        <f>VLOOKUP(AC583,★原価商品!$E$6:$F$349,2,FALSE)</f>
        <v>毎日/B4（折り無し）</v>
      </c>
      <c r="AE583" s="203">
        <f t="shared" ca="1" si="74"/>
        <v>0</v>
      </c>
      <c r="AF583" s="383">
        <f ca="1">IFERROR(IF(VLOOKUP(申込書!$C$32,★サイズ表記!$F$4:$H$55,3,FALSE)="切り捨て",ROUNDDOWN(L583*IF(AK583="◎",I583,J583)/100,2),IF(VLOOKUP(申込書!$C$32,★サイズ表記!$F$4:$H$55,3,FALSE)="切り上げ",ROUNDUP(L583*IF(AK583="◎",I583,J583)/100,2),ROUND(L583*IF(AK583="◎",I583,J583)/100,2))),0)</f>
        <v>2.63</v>
      </c>
      <c r="AG583" s="203">
        <f t="shared" ca="1" si="75"/>
        <v>0</v>
      </c>
      <c r="AJ583" s="460" t="str">
        <f>IFERROR(VLOOKUP(申込書!$C$30,★業種!$D$2:$E$87,2,FALSE),"")</f>
        <v>1003</v>
      </c>
      <c r="AK583" s="460" t="str">
        <f ca="1">IF(申込書!$C$36="◎",IF(OR(D583="浜坂・温泉",D583="美方・村岡",D583="香住",D583="岡山",D583="大阪"),"",IF(LEFT(F583)="D","◎",IF(AG583=0,"",IFERROR(IF(VLOOKUP(AG583,★仕入先!$A$2:$C$211,3,FALSE)=0,"","◎"),"")))),"")</f>
        <v/>
      </c>
      <c r="AL583" s="460">
        <f>申込書!$H$14</f>
        <v>0</v>
      </c>
      <c r="AM583" s="460" t="str">
        <f>申込書!$C$32</f>
        <v>B4（折り無し）</v>
      </c>
      <c r="AN583" s="460" t="str">
        <f>VLOOKUP(AM583,★サイズ表記!$D$4:$E$55,2,FALSE)</f>
        <v>1001</v>
      </c>
      <c r="AO583" s="460">
        <f>IF(C583&lt;&gt;"⑧兵庫",VLOOKUP(LEFT(F583),★新聞!$A$4:$B$12,2,FALSE),IF(LEFT(F583)&lt;&gt;"S",VLOOKUP(LEFT(F583),★新聞!$A$4:$B$12,2,FALSE),VLOOKUP("X",★新聞!$A$4:$B$12,2,FALSE)))</f>
        <v>4</v>
      </c>
      <c r="AP583" s="460" t="str">
        <f t="shared" ca="1" si="76"/>
        <v>0</v>
      </c>
      <c r="AQ583" s="460" t="str">
        <f>IF(申込書!$C$38="","",申込書!$C$38)</f>
        <v/>
      </c>
    </row>
    <row r="584" spans="1:43">
      <c r="A584" s="463">
        <f t="shared" si="77"/>
        <v>583</v>
      </c>
      <c r="B584" s="463" t="str">
        <f t="shared" si="70"/>
        <v>東部</v>
      </c>
      <c r="C584" s="464" t="s">
        <v>1018</v>
      </c>
      <c r="D584" s="464" t="s">
        <v>1603</v>
      </c>
      <c r="E584" s="464">
        <f>VLOOKUP(D584,★折込地区!$A$2:$D$10,4,FALSE)</f>
        <v>3</v>
      </c>
      <c r="F584" s="464" t="s">
        <v>456</v>
      </c>
      <c r="G584" s="464" t="str">
        <f>INDEX(★新聞!$E$4:$I$12, MATCH(LEFT(F584),★新聞!$A$4:$A$12,0), MATCH(LEFT(W584),★新聞!$E$3:$I$3,0))</f>
        <v>AG</v>
      </c>
      <c r="H584" s="475" t="s">
        <v>1119</v>
      </c>
      <c r="I584" s="464" cm="1">
        <f t="array" ref="I584">IFERROR(INDEX(★原価率!$A$2:$E$50,MATCH($C584&amp;$H584,★原価率!$A$2:$A$50&amp;★原価率!$B$2:$B$50,0),3),0)</f>
        <v>94</v>
      </c>
      <c r="J584" s="464" cm="1">
        <f t="array" ref="J584">IFERROR(INDEX(★原価率!$A$2:$E$50,MATCH($C584&amp;$H584,★原価率!$A$2:$A$50&amp;★原価率!$B$2:$B$50,0),4),0)</f>
        <v>94</v>
      </c>
      <c r="K584" s="464" cm="1">
        <f t="array" ref="K584">IFERROR(INDEX(★原価率!$A$2:$E$50,MATCH($C584&amp;$H584,★原価率!$A$2:$A$50&amp;★原価率!$B$2:$B$50,0),5),0)</f>
        <v>100</v>
      </c>
      <c r="L584" s="528">
        <f>IFERROR(VLOOKUP(W584,★商品!$A$1:$H$1231,8,FALSE),0)</f>
        <v>2.8</v>
      </c>
      <c r="M584" s="203" t="str">
        <f ca="1">CONCATENATE(VLOOKUP(B584,★営業所!$A$2:$B$5,2,FALSE),TEXT(NOW(),"yyyy"))</f>
        <v>T2023</v>
      </c>
      <c r="N584" s="203">
        <v>1</v>
      </c>
      <c r="O584" s="203">
        <v>0</v>
      </c>
      <c r="P584" s="213">
        <f>申込書!$B$6</f>
        <v>0</v>
      </c>
      <c r="Q584" s="203">
        <f>申込書!$C$34</f>
        <v>1000040</v>
      </c>
      <c r="R584" s="203">
        <v>0</v>
      </c>
      <c r="U584" s="203">
        <f>VLOOKUP(B584,★営業所!$A$2:$C$5,3,FALSE)</f>
        <v>8</v>
      </c>
      <c r="V584" s="203">
        <f>申込書!$B$9</f>
        <v>0</v>
      </c>
      <c r="W584" s="203" t="str">
        <f>CONCATENATE(VLOOKUP(B584,★営業所!$A$2:$B$5,2,FALSE),VLOOKUP(申込書!$C$32,★サイズ表記!$D$4:$E$55,2,FALSE),VLOOKUP(D584,★折込地区!$A$2:$B$11,2,FALSE))</f>
        <v>T1001Yng</v>
      </c>
      <c r="X584" s="203" t="str">
        <f>CONCATENATE(申込書!$B$9," ",VLOOKUP(RIGHT(W584,3),★折込地区!$B$2:$C$10,2,FALSE),"")</f>
        <v xml:space="preserve"> 米子</v>
      </c>
      <c r="Z584" s="206">
        <f t="shared" ca="1" si="71"/>
        <v>0</v>
      </c>
      <c r="AB584" s="383">
        <f t="shared" si="72"/>
        <v>2.8</v>
      </c>
      <c r="AC584" s="203" t="str">
        <f t="shared" si="73"/>
        <v>M1001</v>
      </c>
      <c r="AD584" s="203" t="str">
        <f>VLOOKUP(AC584,★原価商品!$E$6:$F$349,2,FALSE)</f>
        <v>毎日/B4（折り無し）</v>
      </c>
      <c r="AE584" s="203">
        <f t="shared" ca="1" si="74"/>
        <v>0</v>
      </c>
      <c r="AF584" s="383">
        <f ca="1">IFERROR(IF(VLOOKUP(申込書!$C$32,★サイズ表記!$F$4:$H$55,3,FALSE)="切り捨て",ROUNDDOWN(L584*IF(AK584="◎",I584,J584)/100,2),IF(VLOOKUP(申込書!$C$32,★サイズ表記!$F$4:$H$55,3,FALSE)="切り上げ",ROUNDUP(L584*IF(AK584="◎",I584,J584)/100,2),ROUND(L584*IF(AK584="◎",I584,J584)/100,2))),0)</f>
        <v>2.63</v>
      </c>
      <c r="AG584" s="203">
        <f t="shared" ca="1" si="75"/>
        <v>0</v>
      </c>
      <c r="AJ584" s="460" t="str">
        <f>IFERROR(VLOOKUP(申込書!$C$30,★業種!$D$2:$E$87,2,FALSE),"")</f>
        <v>1003</v>
      </c>
      <c r="AK584" s="460" t="str">
        <f ca="1">IF(申込書!$C$36="◎",IF(OR(D584="浜坂・温泉",D584="美方・村岡",D584="香住",D584="岡山",D584="大阪"),"",IF(LEFT(F584)="D","◎",IF(AG584=0,"",IFERROR(IF(VLOOKUP(AG584,★仕入先!$A$2:$C$211,3,FALSE)=0,"","◎"),"")))),"")</f>
        <v/>
      </c>
      <c r="AL584" s="460">
        <f>申込書!$H$14</f>
        <v>0</v>
      </c>
      <c r="AM584" s="460" t="str">
        <f>申込書!$C$32</f>
        <v>B4（折り無し）</v>
      </c>
      <c r="AN584" s="460" t="str">
        <f>VLOOKUP(AM584,★サイズ表記!$D$4:$E$55,2,FALSE)</f>
        <v>1001</v>
      </c>
      <c r="AO584" s="460">
        <f>IF(C584&lt;&gt;"⑧兵庫",VLOOKUP(LEFT(F584),★新聞!$A$4:$B$12,2,FALSE),IF(LEFT(F584)&lt;&gt;"S",VLOOKUP(LEFT(F584),★新聞!$A$4:$B$12,2,FALSE),VLOOKUP("X",★新聞!$A$4:$B$12,2,FALSE)))</f>
        <v>4</v>
      </c>
      <c r="AP584" s="460" t="str">
        <f t="shared" ca="1" si="76"/>
        <v>0</v>
      </c>
      <c r="AQ584" s="460" t="str">
        <f>IF(申込書!$C$38="","",申込書!$C$38)</f>
        <v/>
      </c>
    </row>
    <row r="585" spans="1:43">
      <c r="A585" s="463">
        <f t="shared" si="77"/>
        <v>584</v>
      </c>
      <c r="B585" s="463" t="str">
        <f t="shared" si="70"/>
        <v>東部</v>
      </c>
      <c r="C585" s="464" t="s">
        <v>1018</v>
      </c>
      <c r="D585" s="464" t="s">
        <v>1603</v>
      </c>
      <c r="E585" s="464">
        <f>VLOOKUP(D585,★折込地区!$A$2:$D$10,4,FALSE)</f>
        <v>3</v>
      </c>
      <c r="F585" s="464" t="s">
        <v>457</v>
      </c>
      <c r="G585" s="464" t="str">
        <f>INDEX(★新聞!$E$4:$I$12, MATCH(LEFT(F585),★新聞!$A$4:$A$12,0), MATCH(LEFT(W585),★新聞!$E$3:$I$3,0))</f>
        <v>AG</v>
      </c>
      <c r="H585" s="475" t="s">
        <v>1119</v>
      </c>
      <c r="I585" s="464" cm="1">
        <f t="array" ref="I585">IFERROR(INDEX(★原価率!$A$2:$E$50,MATCH($C585&amp;$H585,★原価率!$A$2:$A$50&amp;★原価率!$B$2:$B$50,0),3),0)</f>
        <v>94</v>
      </c>
      <c r="J585" s="464" cm="1">
        <f t="array" ref="J585">IFERROR(INDEX(★原価率!$A$2:$E$50,MATCH($C585&amp;$H585,★原価率!$A$2:$A$50&amp;★原価率!$B$2:$B$50,0),4),0)</f>
        <v>94</v>
      </c>
      <c r="K585" s="464" cm="1">
        <f t="array" ref="K585">IFERROR(INDEX(★原価率!$A$2:$E$50,MATCH($C585&amp;$H585,★原価率!$A$2:$A$50&amp;★原価率!$B$2:$B$50,0),5),0)</f>
        <v>100</v>
      </c>
      <c r="L585" s="528">
        <f>IFERROR(VLOOKUP(W585,★商品!$A$1:$H$1231,8,FALSE),0)</f>
        <v>2.8</v>
      </c>
      <c r="M585" s="203" t="str">
        <f ca="1">CONCATENATE(VLOOKUP(B585,★営業所!$A$2:$B$5,2,FALSE),TEXT(NOW(),"yyyy"))</f>
        <v>T2023</v>
      </c>
      <c r="N585" s="203">
        <v>1</v>
      </c>
      <c r="O585" s="203">
        <v>0</v>
      </c>
      <c r="P585" s="213">
        <f>申込書!$B$6</f>
        <v>0</v>
      </c>
      <c r="Q585" s="203">
        <f>申込書!$C$34</f>
        <v>1000040</v>
      </c>
      <c r="R585" s="203">
        <v>0</v>
      </c>
      <c r="U585" s="203">
        <f>VLOOKUP(B585,★営業所!$A$2:$C$5,3,FALSE)</f>
        <v>8</v>
      </c>
      <c r="V585" s="203">
        <f>申込書!$B$9</f>
        <v>0</v>
      </c>
      <c r="W585" s="203" t="str">
        <f>CONCATENATE(VLOOKUP(B585,★営業所!$A$2:$B$5,2,FALSE),VLOOKUP(申込書!$C$32,★サイズ表記!$D$4:$E$55,2,FALSE),VLOOKUP(D585,★折込地区!$A$2:$B$11,2,FALSE))</f>
        <v>T1001Yng</v>
      </c>
      <c r="X585" s="203" t="str">
        <f>CONCATENATE(申込書!$B$9," ",VLOOKUP(RIGHT(W585,3),★折込地区!$B$2:$C$10,2,FALSE),"")</f>
        <v xml:space="preserve"> 米子</v>
      </c>
      <c r="Z585" s="206">
        <f t="shared" ca="1" si="71"/>
        <v>0</v>
      </c>
      <c r="AB585" s="383">
        <f t="shared" si="72"/>
        <v>2.8</v>
      </c>
      <c r="AC585" s="203" t="str">
        <f t="shared" si="73"/>
        <v>M1001</v>
      </c>
      <c r="AD585" s="203" t="str">
        <f>VLOOKUP(AC585,★原価商品!$E$6:$F$349,2,FALSE)</f>
        <v>毎日/B4（折り無し）</v>
      </c>
      <c r="AE585" s="203">
        <f t="shared" ca="1" si="74"/>
        <v>0</v>
      </c>
      <c r="AF585" s="383">
        <f ca="1">IFERROR(IF(VLOOKUP(申込書!$C$32,★サイズ表記!$F$4:$H$55,3,FALSE)="切り捨て",ROUNDDOWN(L585*IF(AK585="◎",I585,J585)/100,2),IF(VLOOKUP(申込書!$C$32,★サイズ表記!$F$4:$H$55,3,FALSE)="切り上げ",ROUNDUP(L585*IF(AK585="◎",I585,J585)/100,2),ROUND(L585*IF(AK585="◎",I585,J585)/100,2))),0)</f>
        <v>2.63</v>
      </c>
      <c r="AG585" s="203">
        <f t="shared" ca="1" si="75"/>
        <v>0</v>
      </c>
      <c r="AJ585" s="460" t="str">
        <f>IFERROR(VLOOKUP(申込書!$C$30,★業種!$D$2:$E$87,2,FALSE),"")</f>
        <v>1003</v>
      </c>
      <c r="AK585" s="460" t="str">
        <f ca="1">IF(申込書!$C$36="◎",IF(OR(D585="浜坂・温泉",D585="美方・村岡",D585="香住",D585="岡山",D585="大阪"),"",IF(LEFT(F585)="D","◎",IF(AG585=0,"",IFERROR(IF(VLOOKUP(AG585,★仕入先!$A$2:$C$211,3,FALSE)=0,"","◎"),"")))),"")</f>
        <v/>
      </c>
      <c r="AL585" s="460">
        <f>申込書!$H$14</f>
        <v>0</v>
      </c>
      <c r="AM585" s="460" t="str">
        <f>申込書!$C$32</f>
        <v>B4（折り無し）</v>
      </c>
      <c r="AN585" s="460" t="str">
        <f>VLOOKUP(AM585,★サイズ表記!$D$4:$E$55,2,FALSE)</f>
        <v>1001</v>
      </c>
      <c r="AO585" s="460">
        <f>IF(C585&lt;&gt;"⑧兵庫",VLOOKUP(LEFT(F585),★新聞!$A$4:$B$12,2,FALSE),IF(LEFT(F585)&lt;&gt;"S",VLOOKUP(LEFT(F585),★新聞!$A$4:$B$12,2,FALSE),VLOOKUP("X",★新聞!$A$4:$B$12,2,FALSE)))</f>
        <v>4</v>
      </c>
      <c r="AP585" s="460" t="str">
        <f t="shared" ca="1" si="76"/>
        <v>0</v>
      </c>
      <c r="AQ585" s="460" t="str">
        <f>IF(申込書!$C$38="","",申込書!$C$38)</f>
        <v/>
      </c>
    </row>
    <row r="586" spans="1:43">
      <c r="A586" s="463">
        <f t="shared" si="77"/>
        <v>585</v>
      </c>
      <c r="B586" s="463" t="str">
        <f t="shared" si="70"/>
        <v>東部</v>
      </c>
      <c r="C586" s="464" t="s">
        <v>1018</v>
      </c>
      <c r="D586" s="464" t="s">
        <v>1603</v>
      </c>
      <c r="E586" s="464">
        <f>VLOOKUP(D586,★折込地区!$A$2:$D$10,4,FALSE)</f>
        <v>3</v>
      </c>
      <c r="F586" s="464" t="s">
        <v>458</v>
      </c>
      <c r="G586" s="464" t="str">
        <f>INDEX(★新聞!$E$4:$I$12, MATCH(LEFT(F586),★新聞!$A$4:$A$12,0), MATCH(LEFT(W586),★新聞!$E$3:$I$3,0))</f>
        <v>AG</v>
      </c>
      <c r="H586" s="475" t="s">
        <v>1119</v>
      </c>
      <c r="I586" s="464" cm="1">
        <f t="array" ref="I586">IFERROR(INDEX(★原価率!$A$2:$E$50,MATCH($C586&amp;$H586,★原価率!$A$2:$A$50&amp;★原価率!$B$2:$B$50,0),3),0)</f>
        <v>94</v>
      </c>
      <c r="J586" s="464" cm="1">
        <f t="array" ref="J586">IFERROR(INDEX(★原価率!$A$2:$E$50,MATCH($C586&amp;$H586,★原価率!$A$2:$A$50&amp;★原価率!$B$2:$B$50,0),4),0)</f>
        <v>94</v>
      </c>
      <c r="K586" s="464" cm="1">
        <f t="array" ref="K586">IFERROR(INDEX(★原価率!$A$2:$E$50,MATCH($C586&amp;$H586,★原価率!$A$2:$A$50&amp;★原価率!$B$2:$B$50,0),5),0)</f>
        <v>100</v>
      </c>
      <c r="L586" s="528">
        <f>IFERROR(VLOOKUP(W586,★商品!$A$1:$H$1231,8,FALSE),0)</f>
        <v>2.8</v>
      </c>
      <c r="M586" s="203" t="str">
        <f ca="1">CONCATENATE(VLOOKUP(B586,★営業所!$A$2:$B$5,2,FALSE),TEXT(NOW(),"yyyy"))</f>
        <v>T2023</v>
      </c>
      <c r="N586" s="203">
        <v>1</v>
      </c>
      <c r="O586" s="203">
        <v>0</v>
      </c>
      <c r="P586" s="213">
        <f>申込書!$B$6</f>
        <v>0</v>
      </c>
      <c r="Q586" s="203">
        <f>申込書!$C$34</f>
        <v>1000040</v>
      </c>
      <c r="R586" s="203">
        <v>0</v>
      </c>
      <c r="U586" s="203">
        <f>VLOOKUP(B586,★営業所!$A$2:$C$5,3,FALSE)</f>
        <v>8</v>
      </c>
      <c r="V586" s="203">
        <f>申込書!$B$9</f>
        <v>0</v>
      </c>
      <c r="W586" s="203" t="str">
        <f>CONCATENATE(VLOOKUP(B586,★営業所!$A$2:$B$5,2,FALSE),VLOOKUP(申込書!$C$32,★サイズ表記!$D$4:$E$55,2,FALSE),VLOOKUP(D586,★折込地区!$A$2:$B$11,2,FALSE))</f>
        <v>T1001Yng</v>
      </c>
      <c r="X586" s="203" t="str">
        <f>CONCATENATE(申込書!$B$9," ",VLOOKUP(RIGHT(W586,3),★折込地区!$B$2:$C$10,2,FALSE),"")</f>
        <v xml:space="preserve"> 米子</v>
      </c>
      <c r="Z586" s="206">
        <f t="shared" ca="1" si="71"/>
        <v>0</v>
      </c>
      <c r="AB586" s="383">
        <f t="shared" si="72"/>
        <v>2.8</v>
      </c>
      <c r="AC586" s="203" t="str">
        <f t="shared" si="73"/>
        <v>M1001</v>
      </c>
      <c r="AD586" s="203" t="str">
        <f>VLOOKUP(AC586,★原価商品!$E$6:$F$349,2,FALSE)</f>
        <v>毎日/B4（折り無し）</v>
      </c>
      <c r="AE586" s="203">
        <f t="shared" ca="1" si="74"/>
        <v>0</v>
      </c>
      <c r="AF586" s="383">
        <f ca="1">IFERROR(IF(VLOOKUP(申込書!$C$32,★サイズ表記!$F$4:$H$55,3,FALSE)="切り捨て",ROUNDDOWN(L586*IF(AK586="◎",I586,J586)/100,2),IF(VLOOKUP(申込書!$C$32,★サイズ表記!$F$4:$H$55,3,FALSE)="切り上げ",ROUNDUP(L586*IF(AK586="◎",I586,J586)/100,2),ROUND(L586*IF(AK586="◎",I586,J586)/100,2))),0)</f>
        <v>2.63</v>
      </c>
      <c r="AG586" s="203">
        <f t="shared" ca="1" si="75"/>
        <v>0</v>
      </c>
      <c r="AJ586" s="460" t="str">
        <f>IFERROR(VLOOKUP(申込書!$C$30,★業種!$D$2:$E$87,2,FALSE),"")</f>
        <v>1003</v>
      </c>
      <c r="AK586" s="460" t="str">
        <f ca="1">IF(申込書!$C$36="◎",IF(OR(D586="浜坂・温泉",D586="美方・村岡",D586="香住",D586="岡山",D586="大阪"),"",IF(LEFT(F586)="D","◎",IF(AG586=0,"",IFERROR(IF(VLOOKUP(AG586,★仕入先!$A$2:$C$211,3,FALSE)=0,"","◎"),"")))),"")</f>
        <v/>
      </c>
      <c r="AL586" s="460">
        <f>申込書!$H$14</f>
        <v>0</v>
      </c>
      <c r="AM586" s="460" t="str">
        <f>申込書!$C$32</f>
        <v>B4（折り無し）</v>
      </c>
      <c r="AN586" s="460" t="str">
        <f>VLOOKUP(AM586,★サイズ表記!$D$4:$E$55,2,FALSE)</f>
        <v>1001</v>
      </c>
      <c r="AO586" s="460">
        <f>IF(C586&lt;&gt;"⑧兵庫",VLOOKUP(LEFT(F586),★新聞!$A$4:$B$12,2,FALSE),IF(LEFT(F586)&lt;&gt;"S",VLOOKUP(LEFT(F586),★新聞!$A$4:$B$12,2,FALSE),VLOOKUP("X",★新聞!$A$4:$B$12,2,FALSE)))</f>
        <v>4</v>
      </c>
      <c r="AP586" s="460" t="str">
        <f t="shared" ca="1" si="76"/>
        <v>0</v>
      </c>
      <c r="AQ586" s="460" t="str">
        <f>IF(申込書!$C$38="","",申込書!$C$38)</f>
        <v/>
      </c>
    </row>
    <row r="587" spans="1:43">
      <c r="A587" s="463">
        <f t="shared" si="77"/>
        <v>586</v>
      </c>
      <c r="B587" s="463" t="str">
        <f t="shared" si="70"/>
        <v>東部</v>
      </c>
      <c r="C587" s="464" t="s">
        <v>1018</v>
      </c>
      <c r="D587" s="464" t="s">
        <v>1603</v>
      </c>
      <c r="E587" s="464">
        <f>VLOOKUP(D587,★折込地区!$A$2:$D$10,4,FALSE)</f>
        <v>3</v>
      </c>
      <c r="F587" s="464" t="s">
        <v>459</v>
      </c>
      <c r="G587" s="464" t="str">
        <f>INDEX(★新聞!$E$4:$I$12, MATCH(LEFT(F587),★新聞!$A$4:$A$12,0), MATCH(LEFT(W587),★新聞!$E$3:$I$3,0))</f>
        <v>AG</v>
      </c>
      <c r="H587" s="475" t="s">
        <v>1119</v>
      </c>
      <c r="I587" s="464" cm="1">
        <f t="array" ref="I587">IFERROR(INDEX(★原価率!$A$2:$E$50,MATCH($C587&amp;$H587,★原価率!$A$2:$A$50&amp;★原価率!$B$2:$B$50,0),3),0)</f>
        <v>94</v>
      </c>
      <c r="J587" s="464" cm="1">
        <f t="array" ref="J587">IFERROR(INDEX(★原価率!$A$2:$E$50,MATCH($C587&amp;$H587,★原価率!$A$2:$A$50&amp;★原価率!$B$2:$B$50,0),4),0)</f>
        <v>94</v>
      </c>
      <c r="K587" s="464" cm="1">
        <f t="array" ref="K587">IFERROR(INDEX(★原価率!$A$2:$E$50,MATCH($C587&amp;$H587,★原価率!$A$2:$A$50&amp;★原価率!$B$2:$B$50,0),5),0)</f>
        <v>100</v>
      </c>
      <c r="L587" s="528">
        <f>IFERROR(VLOOKUP(W587,★商品!$A$1:$H$1231,8,FALSE),0)</f>
        <v>2.8</v>
      </c>
      <c r="M587" s="203" t="str">
        <f ca="1">CONCATENATE(VLOOKUP(B587,★営業所!$A$2:$B$5,2,FALSE),TEXT(NOW(),"yyyy"))</f>
        <v>T2023</v>
      </c>
      <c r="N587" s="203">
        <v>1</v>
      </c>
      <c r="O587" s="203">
        <v>0</v>
      </c>
      <c r="P587" s="213">
        <f>申込書!$B$6</f>
        <v>0</v>
      </c>
      <c r="Q587" s="203">
        <f>申込書!$C$34</f>
        <v>1000040</v>
      </c>
      <c r="R587" s="203">
        <v>0</v>
      </c>
      <c r="U587" s="203">
        <f>VLOOKUP(B587,★営業所!$A$2:$C$5,3,FALSE)</f>
        <v>8</v>
      </c>
      <c r="V587" s="203">
        <f>申込書!$B$9</f>
        <v>0</v>
      </c>
      <c r="W587" s="203" t="str">
        <f>CONCATENATE(VLOOKUP(B587,★営業所!$A$2:$B$5,2,FALSE),VLOOKUP(申込書!$C$32,★サイズ表記!$D$4:$E$55,2,FALSE),VLOOKUP(D587,★折込地区!$A$2:$B$11,2,FALSE))</f>
        <v>T1001Yng</v>
      </c>
      <c r="X587" s="203" t="str">
        <f>CONCATENATE(申込書!$B$9," ",VLOOKUP(RIGHT(W587,3),★折込地区!$B$2:$C$10,2,FALSE),"")</f>
        <v xml:space="preserve"> 米子</v>
      </c>
      <c r="Z587" s="206">
        <f t="shared" ca="1" si="71"/>
        <v>0</v>
      </c>
      <c r="AB587" s="383">
        <f t="shared" si="72"/>
        <v>2.8</v>
      </c>
      <c r="AC587" s="203" t="str">
        <f t="shared" si="73"/>
        <v>M1001</v>
      </c>
      <c r="AD587" s="203" t="str">
        <f>VLOOKUP(AC587,★原価商品!$E$6:$F$349,2,FALSE)</f>
        <v>毎日/B4（折り無し）</v>
      </c>
      <c r="AE587" s="203">
        <f t="shared" ca="1" si="74"/>
        <v>0</v>
      </c>
      <c r="AF587" s="383">
        <f ca="1">IFERROR(IF(VLOOKUP(申込書!$C$32,★サイズ表記!$F$4:$H$55,3,FALSE)="切り捨て",ROUNDDOWN(L587*IF(AK587="◎",I587,J587)/100,2),IF(VLOOKUP(申込書!$C$32,★サイズ表記!$F$4:$H$55,3,FALSE)="切り上げ",ROUNDUP(L587*IF(AK587="◎",I587,J587)/100,2),ROUND(L587*IF(AK587="◎",I587,J587)/100,2))),0)</f>
        <v>2.63</v>
      </c>
      <c r="AG587" s="203">
        <f t="shared" ca="1" si="75"/>
        <v>0</v>
      </c>
      <c r="AJ587" s="460" t="str">
        <f>IFERROR(VLOOKUP(申込書!$C$30,★業種!$D$2:$E$87,2,FALSE),"")</f>
        <v>1003</v>
      </c>
      <c r="AK587" s="460" t="str">
        <f ca="1">IF(申込書!$C$36="◎",IF(OR(D587="浜坂・温泉",D587="美方・村岡",D587="香住",D587="岡山",D587="大阪"),"",IF(LEFT(F587)="D","◎",IF(AG587=0,"",IFERROR(IF(VLOOKUP(AG587,★仕入先!$A$2:$C$211,3,FALSE)=0,"","◎"),"")))),"")</f>
        <v/>
      </c>
      <c r="AL587" s="460">
        <f>申込書!$H$14</f>
        <v>0</v>
      </c>
      <c r="AM587" s="460" t="str">
        <f>申込書!$C$32</f>
        <v>B4（折り無し）</v>
      </c>
      <c r="AN587" s="460" t="str">
        <f>VLOOKUP(AM587,★サイズ表記!$D$4:$E$55,2,FALSE)</f>
        <v>1001</v>
      </c>
      <c r="AO587" s="460">
        <f>IF(C587&lt;&gt;"⑧兵庫",VLOOKUP(LEFT(F587),★新聞!$A$4:$B$12,2,FALSE),IF(LEFT(F587)&lt;&gt;"S",VLOOKUP(LEFT(F587),★新聞!$A$4:$B$12,2,FALSE),VLOOKUP("X",★新聞!$A$4:$B$12,2,FALSE)))</f>
        <v>4</v>
      </c>
      <c r="AP587" s="460" t="str">
        <f t="shared" ca="1" si="76"/>
        <v>0</v>
      </c>
      <c r="AQ587" s="460" t="str">
        <f>IF(申込書!$C$38="","",申込書!$C$38)</f>
        <v/>
      </c>
    </row>
    <row r="588" spans="1:43">
      <c r="A588" s="463">
        <f t="shared" si="77"/>
        <v>587</v>
      </c>
      <c r="B588" s="463" t="str">
        <f t="shared" si="70"/>
        <v>東部</v>
      </c>
      <c r="C588" s="464" t="s">
        <v>1018</v>
      </c>
      <c r="D588" s="464" t="s">
        <v>1603</v>
      </c>
      <c r="E588" s="464">
        <f>VLOOKUP(D588,★折込地区!$A$2:$D$10,4,FALSE)</f>
        <v>3</v>
      </c>
      <c r="F588" s="464" t="s">
        <v>461</v>
      </c>
      <c r="G588" s="464" t="str">
        <f>INDEX(★新聞!$E$4:$I$12, MATCH(LEFT(F588),★新聞!$A$4:$A$12,0), MATCH(LEFT(W588),★新聞!$E$3:$I$3,0))</f>
        <v>AG</v>
      </c>
      <c r="H588" s="475" t="s">
        <v>1119</v>
      </c>
      <c r="I588" s="464" cm="1">
        <f t="array" ref="I588">IFERROR(INDEX(★原価率!$A$2:$E$50,MATCH($C588&amp;$H588,★原価率!$A$2:$A$50&amp;★原価率!$B$2:$B$50,0),3),0)</f>
        <v>94</v>
      </c>
      <c r="J588" s="464" cm="1">
        <f t="array" ref="J588">IFERROR(INDEX(★原価率!$A$2:$E$50,MATCH($C588&amp;$H588,★原価率!$A$2:$A$50&amp;★原価率!$B$2:$B$50,0),4),0)</f>
        <v>94</v>
      </c>
      <c r="K588" s="464" cm="1">
        <f t="array" ref="K588">IFERROR(INDEX(★原価率!$A$2:$E$50,MATCH($C588&amp;$H588,★原価率!$A$2:$A$50&amp;★原価率!$B$2:$B$50,0),5),0)</f>
        <v>100</v>
      </c>
      <c r="L588" s="528">
        <f>IFERROR(VLOOKUP(W588,★商品!$A$1:$H$1231,8,FALSE),0)</f>
        <v>2.8</v>
      </c>
      <c r="M588" s="203" t="str">
        <f ca="1">CONCATENATE(VLOOKUP(B588,★営業所!$A$2:$B$5,2,FALSE),TEXT(NOW(),"yyyy"))</f>
        <v>T2023</v>
      </c>
      <c r="N588" s="203">
        <v>1</v>
      </c>
      <c r="O588" s="203">
        <v>0</v>
      </c>
      <c r="P588" s="213">
        <f>申込書!$B$6</f>
        <v>0</v>
      </c>
      <c r="Q588" s="203">
        <f>申込書!$C$34</f>
        <v>1000040</v>
      </c>
      <c r="R588" s="203">
        <v>0</v>
      </c>
      <c r="U588" s="203">
        <f>VLOOKUP(B588,★営業所!$A$2:$C$5,3,FALSE)</f>
        <v>8</v>
      </c>
      <c r="V588" s="203">
        <f>申込書!$B$9</f>
        <v>0</v>
      </c>
      <c r="W588" s="203" t="str">
        <f>CONCATENATE(VLOOKUP(B588,★営業所!$A$2:$B$5,2,FALSE),VLOOKUP(申込書!$C$32,★サイズ表記!$D$4:$E$55,2,FALSE),VLOOKUP(D588,★折込地区!$A$2:$B$11,2,FALSE))</f>
        <v>T1001Yng</v>
      </c>
      <c r="X588" s="203" t="str">
        <f>CONCATENATE(申込書!$B$9," ",VLOOKUP(RIGHT(W588,3),★折込地区!$B$2:$C$10,2,FALSE),"")</f>
        <v xml:space="preserve"> 米子</v>
      </c>
      <c r="Z588" s="206">
        <f t="shared" ca="1" si="71"/>
        <v>0</v>
      </c>
      <c r="AB588" s="383">
        <f t="shared" si="72"/>
        <v>2.8</v>
      </c>
      <c r="AC588" s="203" t="str">
        <f t="shared" si="73"/>
        <v>M1001</v>
      </c>
      <c r="AD588" s="203" t="str">
        <f>VLOOKUP(AC588,★原価商品!$E$6:$F$349,2,FALSE)</f>
        <v>毎日/B4（折り無し）</v>
      </c>
      <c r="AE588" s="203">
        <f t="shared" ca="1" si="74"/>
        <v>0</v>
      </c>
      <c r="AF588" s="383">
        <f ca="1">IFERROR(IF(VLOOKUP(申込書!$C$32,★サイズ表記!$F$4:$H$55,3,FALSE)="切り捨て",ROUNDDOWN(L588*IF(AK588="◎",I588,J588)/100,2),IF(VLOOKUP(申込書!$C$32,★サイズ表記!$F$4:$H$55,3,FALSE)="切り上げ",ROUNDUP(L588*IF(AK588="◎",I588,J588)/100,2),ROUND(L588*IF(AK588="◎",I588,J588)/100,2))),0)</f>
        <v>2.63</v>
      </c>
      <c r="AG588" s="203">
        <f t="shared" ca="1" si="75"/>
        <v>0</v>
      </c>
      <c r="AJ588" s="460" t="str">
        <f>IFERROR(VLOOKUP(申込書!$C$30,★業種!$D$2:$E$87,2,FALSE),"")</f>
        <v>1003</v>
      </c>
      <c r="AK588" s="460" t="str">
        <f ca="1">IF(申込書!$C$36="◎",IF(OR(D588="浜坂・温泉",D588="美方・村岡",D588="香住",D588="岡山",D588="大阪"),"",IF(LEFT(F588)="D","◎",IF(AG588=0,"",IFERROR(IF(VLOOKUP(AG588,★仕入先!$A$2:$C$211,3,FALSE)=0,"","◎"),"")))),"")</f>
        <v/>
      </c>
      <c r="AL588" s="460">
        <f>申込書!$H$14</f>
        <v>0</v>
      </c>
      <c r="AM588" s="460" t="str">
        <f>申込書!$C$32</f>
        <v>B4（折り無し）</v>
      </c>
      <c r="AN588" s="460" t="str">
        <f>VLOOKUP(AM588,★サイズ表記!$D$4:$E$55,2,FALSE)</f>
        <v>1001</v>
      </c>
      <c r="AO588" s="460">
        <f>IF(C588&lt;&gt;"⑧兵庫",VLOOKUP(LEFT(F588),★新聞!$A$4:$B$12,2,FALSE),IF(LEFT(F588)&lt;&gt;"S",VLOOKUP(LEFT(F588),★新聞!$A$4:$B$12,2,FALSE),VLOOKUP("X",★新聞!$A$4:$B$12,2,FALSE)))</f>
        <v>4</v>
      </c>
      <c r="AP588" s="460" t="str">
        <f t="shared" ca="1" si="76"/>
        <v>0</v>
      </c>
      <c r="AQ588" s="460" t="str">
        <f>IF(申込書!$C$38="","",申込書!$C$38)</f>
        <v/>
      </c>
    </row>
    <row r="589" spans="1:43">
      <c r="A589" s="463">
        <f t="shared" si="77"/>
        <v>588</v>
      </c>
      <c r="B589" s="463" t="str">
        <f t="shared" si="70"/>
        <v>東部</v>
      </c>
      <c r="C589" s="464" t="s">
        <v>1018</v>
      </c>
      <c r="D589" s="464" t="s">
        <v>1603</v>
      </c>
      <c r="E589" s="464">
        <f>VLOOKUP(D589,★折込地区!$A$2:$D$10,4,FALSE)</f>
        <v>3</v>
      </c>
      <c r="F589" s="464" t="s">
        <v>462</v>
      </c>
      <c r="G589" s="464" t="str">
        <f>INDEX(★新聞!$E$4:$I$12, MATCH(LEFT(F589),★新聞!$A$4:$A$12,0), MATCH(LEFT(W589),★新聞!$E$3:$I$3,0))</f>
        <v>AG</v>
      </c>
      <c r="H589" s="475" t="s">
        <v>1119</v>
      </c>
      <c r="I589" s="464" cm="1">
        <f t="array" ref="I589">IFERROR(INDEX(★原価率!$A$2:$E$50,MATCH($C589&amp;$H589,★原価率!$A$2:$A$50&amp;★原価率!$B$2:$B$50,0),3),0)</f>
        <v>94</v>
      </c>
      <c r="J589" s="464" cm="1">
        <f t="array" ref="J589">IFERROR(INDEX(★原価率!$A$2:$E$50,MATCH($C589&amp;$H589,★原価率!$A$2:$A$50&amp;★原価率!$B$2:$B$50,0),4),0)</f>
        <v>94</v>
      </c>
      <c r="K589" s="464" cm="1">
        <f t="array" ref="K589">IFERROR(INDEX(★原価率!$A$2:$E$50,MATCH($C589&amp;$H589,★原価率!$A$2:$A$50&amp;★原価率!$B$2:$B$50,0),5),0)</f>
        <v>100</v>
      </c>
      <c r="L589" s="528">
        <f>IFERROR(VLOOKUP(W589,★商品!$A$1:$H$1231,8,FALSE),0)</f>
        <v>2.8</v>
      </c>
      <c r="M589" s="203" t="str">
        <f ca="1">CONCATENATE(VLOOKUP(B589,★営業所!$A$2:$B$5,2,FALSE),TEXT(NOW(),"yyyy"))</f>
        <v>T2023</v>
      </c>
      <c r="N589" s="203">
        <v>1</v>
      </c>
      <c r="O589" s="203">
        <v>0</v>
      </c>
      <c r="P589" s="213">
        <f>申込書!$B$6</f>
        <v>0</v>
      </c>
      <c r="Q589" s="203">
        <f>申込書!$C$34</f>
        <v>1000040</v>
      </c>
      <c r="R589" s="203">
        <v>0</v>
      </c>
      <c r="U589" s="203">
        <f>VLOOKUP(B589,★営業所!$A$2:$C$5,3,FALSE)</f>
        <v>8</v>
      </c>
      <c r="V589" s="203">
        <f>申込書!$B$9</f>
        <v>0</v>
      </c>
      <c r="W589" s="203" t="str">
        <f>CONCATENATE(VLOOKUP(B589,★営業所!$A$2:$B$5,2,FALSE),VLOOKUP(申込書!$C$32,★サイズ表記!$D$4:$E$55,2,FALSE),VLOOKUP(D589,★折込地区!$A$2:$B$11,2,FALSE))</f>
        <v>T1001Yng</v>
      </c>
      <c r="X589" s="203" t="str">
        <f>CONCATENATE(申込書!$B$9," ",VLOOKUP(RIGHT(W589,3),★折込地区!$B$2:$C$10,2,FALSE),"")</f>
        <v xml:space="preserve"> 米子</v>
      </c>
      <c r="Z589" s="206">
        <f t="shared" ca="1" si="71"/>
        <v>0</v>
      </c>
      <c r="AB589" s="383">
        <f t="shared" si="72"/>
        <v>2.8</v>
      </c>
      <c r="AC589" s="203" t="str">
        <f t="shared" si="73"/>
        <v>M1001</v>
      </c>
      <c r="AD589" s="203" t="str">
        <f>VLOOKUP(AC589,★原価商品!$E$6:$F$349,2,FALSE)</f>
        <v>毎日/B4（折り無し）</v>
      </c>
      <c r="AE589" s="203">
        <f t="shared" ca="1" si="74"/>
        <v>0</v>
      </c>
      <c r="AF589" s="383">
        <f ca="1">IFERROR(IF(VLOOKUP(申込書!$C$32,★サイズ表記!$F$4:$H$55,3,FALSE)="切り捨て",ROUNDDOWN(L589*IF(AK589="◎",I589,J589)/100,2),IF(VLOOKUP(申込書!$C$32,★サイズ表記!$F$4:$H$55,3,FALSE)="切り上げ",ROUNDUP(L589*IF(AK589="◎",I589,J589)/100,2),ROUND(L589*IF(AK589="◎",I589,J589)/100,2))),0)</f>
        <v>2.63</v>
      </c>
      <c r="AG589" s="203">
        <f t="shared" ca="1" si="75"/>
        <v>0</v>
      </c>
      <c r="AJ589" s="460" t="str">
        <f>IFERROR(VLOOKUP(申込書!$C$30,★業種!$D$2:$E$87,2,FALSE),"")</f>
        <v>1003</v>
      </c>
      <c r="AK589" s="460" t="str">
        <f ca="1">IF(申込書!$C$36="◎",IF(OR(D589="浜坂・温泉",D589="美方・村岡",D589="香住",D589="岡山",D589="大阪"),"",IF(LEFT(F589)="D","◎",IF(AG589=0,"",IFERROR(IF(VLOOKUP(AG589,★仕入先!$A$2:$C$211,3,FALSE)=0,"","◎"),"")))),"")</f>
        <v/>
      </c>
      <c r="AL589" s="460">
        <f>申込書!$H$14</f>
        <v>0</v>
      </c>
      <c r="AM589" s="460" t="str">
        <f>申込書!$C$32</f>
        <v>B4（折り無し）</v>
      </c>
      <c r="AN589" s="460" t="str">
        <f>VLOOKUP(AM589,★サイズ表記!$D$4:$E$55,2,FALSE)</f>
        <v>1001</v>
      </c>
      <c r="AO589" s="460">
        <f>IF(C589&lt;&gt;"⑧兵庫",VLOOKUP(LEFT(F589),★新聞!$A$4:$B$12,2,FALSE),IF(LEFT(F589)&lt;&gt;"S",VLOOKUP(LEFT(F589),★新聞!$A$4:$B$12,2,FALSE),VLOOKUP("X",★新聞!$A$4:$B$12,2,FALSE)))</f>
        <v>4</v>
      </c>
      <c r="AP589" s="460" t="str">
        <f t="shared" ca="1" si="76"/>
        <v>0</v>
      </c>
      <c r="AQ589" s="460" t="str">
        <f>IF(申込書!$C$38="","",申込書!$C$38)</f>
        <v/>
      </c>
    </row>
    <row r="590" spans="1:43">
      <c r="A590" s="463">
        <f t="shared" si="77"/>
        <v>589</v>
      </c>
      <c r="B590" s="463" t="str">
        <f t="shared" si="70"/>
        <v>東部</v>
      </c>
      <c r="C590" s="464" t="s">
        <v>1018</v>
      </c>
      <c r="D590" s="464" t="s">
        <v>1603</v>
      </c>
      <c r="E590" s="464">
        <f>VLOOKUP(D590,★折込地区!$A$2:$D$10,4,FALSE)</f>
        <v>3</v>
      </c>
      <c r="F590" s="464" t="s">
        <v>463</v>
      </c>
      <c r="G590" s="464" t="str">
        <f>INDEX(★新聞!$E$4:$I$12, MATCH(LEFT(F590),★新聞!$A$4:$A$12,0), MATCH(LEFT(W590),★新聞!$E$3:$I$3,0))</f>
        <v>AG</v>
      </c>
      <c r="H590" s="475" t="s">
        <v>1119</v>
      </c>
      <c r="I590" s="464" cm="1">
        <f t="array" ref="I590">IFERROR(INDEX(★原価率!$A$2:$E$50,MATCH($C590&amp;$H590,★原価率!$A$2:$A$50&amp;★原価率!$B$2:$B$50,0),3),0)</f>
        <v>94</v>
      </c>
      <c r="J590" s="464" cm="1">
        <f t="array" ref="J590">IFERROR(INDEX(★原価率!$A$2:$E$50,MATCH($C590&amp;$H590,★原価率!$A$2:$A$50&amp;★原価率!$B$2:$B$50,0),4),0)</f>
        <v>94</v>
      </c>
      <c r="K590" s="464" cm="1">
        <f t="array" ref="K590">IFERROR(INDEX(★原価率!$A$2:$E$50,MATCH($C590&amp;$H590,★原価率!$A$2:$A$50&amp;★原価率!$B$2:$B$50,0),5),0)</f>
        <v>100</v>
      </c>
      <c r="L590" s="528">
        <f>IFERROR(VLOOKUP(W590,★商品!$A$1:$H$1231,8,FALSE),0)</f>
        <v>2.8</v>
      </c>
      <c r="M590" s="203" t="str">
        <f ca="1">CONCATENATE(VLOOKUP(B590,★営業所!$A$2:$B$5,2,FALSE),TEXT(NOW(),"yyyy"))</f>
        <v>T2023</v>
      </c>
      <c r="N590" s="203">
        <v>1</v>
      </c>
      <c r="O590" s="203">
        <v>0</v>
      </c>
      <c r="P590" s="213">
        <f>申込書!$B$6</f>
        <v>0</v>
      </c>
      <c r="Q590" s="203">
        <f>申込書!$C$34</f>
        <v>1000040</v>
      </c>
      <c r="R590" s="203">
        <v>0</v>
      </c>
      <c r="U590" s="203">
        <f>VLOOKUP(B590,★営業所!$A$2:$C$5,3,FALSE)</f>
        <v>8</v>
      </c>
      <c r="V590" s="203">
        <f>申込書!$B$9</f>
        <v>0</v>
      </c>
      <c r="W590" s="203" t="str">
        <f>CONCATENATE(VLOOKUP(B590,★営業所!$A$2:$B$5,2,FALSE),VLOOKUP(申込書!$C$32,★サイズ表記!$D$4:$E$55,2,FALSE),VLOOKUP(D590,★折込地区!$A$2:$B$11,2,FALSE))</f>
        <v>T1001Yng</v>
      </c>
      <c r="X590" s="203" t="str">
        <f>CONCATENATE(申込書!$B$9," ",VLOOKUP(RIGHT(W590,3),★折込地区!$B$2:$C$10,2,FALSE),"")</f>
        <v xml:space="preserve"> 米子</v>
      </c>
      <c r="Z590" s="206">
        <f t="shared" ca="1" si="71"/>
        <v>0</v>
      </c>
      <c r="AB590" s="383">
        <f t="shared" si="72"/>
        <v>2.8</v>
      </c>
      <c r="AC590" s="203" t="str">
        <f t="shared" si="73"/>
        <v>M1001</v>
      </c>
      <c r="AD590" s="203" t="str">
        <f>VLOOKUP(AC590,★原価商品!$E$6:$F$349,2,FALSE)</f>
        <v>毎日/B4（折り無し）</v>
      </c>
      <c r="AE590" s="203">
        <f t="shared" ca="1" si="74"/>
        <v>0</v>
      </c>
      <c r="AF590" s="383">
        <f ca="1">IFERROR(IF(VLOOKUP(申込書!$C$32,★サイズ表記!$F$4:$H$55,3,FALSE)="切り捨て",ROUNDDOWN(L590*IF(AK590="◎",I590,J590)/100,2),IF(VLOOKUP(申込書!$C$32,★サイズ表記!$F$4:$H$55,3,FALSE)="切り上げ",ROUNDUP(L590*IF(AK590="◎",I590,J590)/100,2),ROUND(L590*IF(AK590="◎",I590,J590)/100,2))),0)</f>
        <v>2.63</v>
      </c>
      <c r="AG590" s="203">
        <f t="shared" ca="1" si="75"/>
        <v>0</v>
      </c>
      <c r="AJ590" s="460" t="str">
        <f>IFERROR(VLOOKUP(申込書!$C$30,★業種!$D$2:$E$87,2,FALSE),"")</f>
        <v>1003</v>
      </c>
      <c r="AK590" s="460" t="str">
        <f ca="1">IF(申込書!$C$36="◎",IF(OR(D590="浜坂・温泉",D590="美方・村岡",D590="香住",D590="岡山",D590="大阪"),"",IF(LEFT(F590)="D","◎",IF(AG590=0,"",IFERROR(IF(VLOOKUP(AG590,★仕入先!$A$2:$C$211,3,FALSE)=0,"","◎"),"")))),"")</f>
        <v/>
      </c>
      <c r="AL590" s="460">
        <f>申込書!$H$14</f>
        <v>0</v>
      </c>
      <c r="AM590" s="460" t="str">
        <f>申込書!$C$32</f>
        <v>B4（折り無し）</v>
      </c>
      <c r="AN590" s="460" t="str">
        <f>VLOOKUP(AM590,★サイズ表記!$D$4:$E$55,2,FALSE)</f>
        <v>1001</v>
      </c>
      <c r="AO590" s="460">
        <f>IF(C590&lt;&gt;"⑧兵庫",VLOOKUP(LEFT(F590),★新聞!$A$4:$B$12,2,FALSE),IF(LEFT(F590)&lt;&gt;"S",VLOOKUP(LEFT(F590),★新聞!$A$4:$B$12,2,FALSE),VLOOKUP("X",★新聞!$A$4:$B$12,2,FALSE)))</f>
        <v>4</v>
      </c>
      <c r="AP590" s="460" t="str">
        <f t="shared" ca="1" si="76"/>
        <v>0</v>
      </c>
      <c r="AQ590" s="460" t="str">
        <f>IF(申込書!$C$38="","",申込書!$C$38)</f>
        <v/>
      </c>
    </row>
    <row r="591" spans="1:43">
      <c r="A591" s="463">
        <f t="shared" si="77"/>
        <v>590</v>
      </c>
      <c r="B591" s="463" t="str">
        <f t="shared" si="70"/>
        <v>東部</v>
      </c>
      <c r="C591" s="464" t="s">
        <v>1018</v>
      </c>
      <c r="D591" s="464" t="s">
        <v>1603</v>
      </c>
      <c r="E591" s="464">
        <f>VLOOKUP(D591,★折込地区!$A$2:$D$10,4,FALSE)</f>
        <v>3</v>
      </c>
      <c r="F591" s="464" t="s">
        <v>464</v>
      </c>
      <c r="G591" s="464" t="str">
        <f>INDEX(★新聞!$E$4:$I$12, MATCH(LEFT(F591),★新聞!$A$4:$A$12,0), MATCH(LEFT(W591),★新聞!$E$3:$I$3,0))</f>
        <v>AG</v>
      </c>
      <c r="H591" s="475" t="s">
        <v>1119</v>
      </c>
      <c r="I591" s="464" cm="1">
        <f t="array" ref="I591">IFERROR(INDEX(★原価率!$A$2:$E$50,MATCH($C591&amp;$H591,★原価率!$A$2:$A$50&amp;★原価率!$B$2:$B$50,0),3),0)</f>
        <v>94</v>
      </c>
      <c r="J591" s="464" cm="1">
        <f t="array" ref="J591">IFERROR(INDEX(★原価率!$A$2:$E$50,MATCH($C591&amp;$H591,★原価率!$A$2:$A$50&amp;★原価率!$B$2:$B$50,0),4),0)</f>
        <v>94</v>
      </c>
      <c r="K591" s="464" cm="1">
        <f t="array" ref="K591">IFERROR(INDEX(★原価率!$A$2:$E$50,MATCH($C591&amp;$H591,★原価率!$A$2:$A$50&amp;★原価率!$B$2:$B$50,0),5),0)</f>
        <v>100</v>
      </c>
      <c r="L591" s="528">
        <f>IFERROR(VLOOKUP(W591,★商品!$A$1:$H$1231,8,FALSE),0)</f>
        <v>2.8</v>
      </c>
      <c r="M591" s="203" t="str">
        <f ca="1">CONCATENATE(VLOOKUP(B591,★営業所!$A$2:$B$5,2,FALSE),TEXT(NOW(),"yyyy"))</f>
        <v>T2023</v>
      </c>
      <c r="N591" s="203">
        <v>1</v>
      </c>
      <c r="O591" s="203">
        <v>0</v>
      </c>
      <c r="P591" s="213">
        <f>申込書!$B$6</f>
        <v>0</v>
      </c>
      <c r="Q591" s="203">
        <f>申込書!$C$34</f>
        <v>1000040</v>
      </c>
      <c r="R591" s="203">
        <v>0</v>
      </c>
      <c r="U591" s="203">
        <f>VLOOKUP(B591,★営業所!$A$2:$C$5,3,FALSE)</f>
        <v>8</v>
      </c>
      <c r="V591" s="203">
        <f>申込書!$B$9</f>
        <v>0</v>
      </c>
      <c r="W591" s="203" t="str">
        <f>CONCATENATE(VLOOKUP(B591,★営業所!$A$2:$B$5,2,FALSE),VLOOKUP(申込書!$C$32,★サイズ表記!$D$4:$E$55,2,FALSE),VLOOKUP(D591,★折込地区!$A$2:$B$11,2,FALSE))</f>
        <v>T1001Yng</v>
      </c>
      <c r="X591" s="203" t="str">
        <f>CONCATENATE(申込書!$B$9," ",VLOOKUP(RIGHT(W591,3),★折込地区!$B$2:$C$10,2,FALSE),"")</f>
        <v xml:space="preserve"> 米子</v>
      </c>
      <c r="Z591" s="206">
        <f t="shared" ca="1" si="71"/>
        <v>0</v>
      </c>
      <c r="AB591" s="383">
        <f t="shared" si="72"/>
        <v>2.8</v>
      </c>
      <c r="AC591" s="203" t="str">
        <f t="shared" si="73"/>
        <v>M1001</v>
      </c>
      <c r="AD591" s="203" t="str">
        <f>VLOOKUP(AC591,★原価商品!$E$6:$F$349,2,FALSE)</f>
        <v>毎日/B4（折り無し）</v>
      </c>
      <c r="AE591" s="203">
        <f t="shared" ca="1" si="74"/>
        <v>0</v>
      </c>
      <c r="AF591" s="383">
        <f ca="1">IFERROR(IF(VLOOKUP(申込書!$C$32,★サイズ表記!$F$4:$H$55,3,FALSE)="切り捨て",ROUNDDOWN(L591*IF(AK591="◎",I591,J591)/100,2),IF(VLOOKUP(申込書!$C$32,★サイズ表記!$F$4:$H$55,3,FALSE)="切り上げ",ROUNDUP(L591*IF(AK591="◎",I591,J591)/100,2),ROUND(L591*IF(AK591="◎",I591,J591)/100,2))),0)</f>
        <v>2.63</v>
      </c>
      <c r="AG591" s="203">
        <f t="shared" ca="1" si="75"/>
        <v>0</v>
      </c>
      <c r="AJ591" s="460" t="str">
        <f>IFERROR(VLOOKUP(申込書!$C$30,★業種!$D$2:$E$87,2,FALSE),"")</f>
        <v>1003</v>
      </c>
      <c r="AK591" s="460" t="str">
        <f ca="1">IF(申込書!$C$36="◎",IF(OR(D591="浜坂・温泉",D591="美方・村岡",D591="香住",D591="岡山",D591="大阪"),"",IF(LEFT(F591)="D","◎",IF(AG591=0,"",IFERROR(IF(VLOOKUP(AG591,★仕入先!$A$2:$C$211,3,FALSE)=0,"","◎"),"")))),"")</f>
        <v/>
      </c>
      <c r="AL591" s="460">
        <f>申込書!$H$14</f>
        <v>0</v>
      </c>
      <c r="AM591" s="460" t="str">
        <f>申込書!$C$32</f>
        <v>B4（折り無し）</v>
      </c>
      <c r="AN591" s="460" t="str">
        <f>VLOOKUP(AM591,★サイズ表記!$D$4:$E$55,2,FALSE)</f>
        <v>1001</v>
      </c>
      <c r="AO591" s="460">
        <f>IF(C591&lt;&gt;"⑧兵庫",VLOOKUP(LEFT(F591),★新聞!$A$4:$B$12,2,FALSE),IF(LEFT(F591)&lt;&gt;"S",VLOOKUP(LEFT(F591),★新聞!$A$4:$B$12,2,FALSE),VLOOKUP("X",★新聞!$A$4:$B$12,2,FALSE)))</f>
        <v>4</v>
      </c>
      <c r="AP591" s="460" t="str">
        <f t="shared" ca="1" si="76"/>
        <v>0</v>
      </c>
      <c r="AQ591" s="460" t="str">
        <f>IF(申込書!$C$38="","",申込書!$C$38)</f>
        <v/>
      </c>
    </row>
    <row r="592" spans="1:43">
      <c r="A592" s="463">
        <f t="shared" si="77"/>
        <v>591</v>
      </c>
      <c r="B592" s="463" t="str">
        <f t="shared" si="70"/>
        <v>東部</v>
      </c>
      <c r="C592" s="464" t="s">
        <v>1018</v>
      </c>
      <c r="D592" s="464" t="s">
        <v>1603</v>
      </c>
      <c r="E592" s="464">
        <f>VLOOKUP(D592,★折込地区!$A$2:$D$10,4,FALSE)</f>
        <v>3</v>
      </c>
      <c r="F592" s="464" t="s">
        <v>465</v>
      </c>
      <c r="G592" s="464" t="str">
        <f>INDEX(★新聞!$E$4:$I$12, MATCH(LEFT(F592),★新聞!$A$4:$A$12,0), MATCH(LEFT(W592),★新聞!$E$3:$I$3,0))</f>
        <v>AG</v>
      </c>
      <c r="H592" s="475" t="s">
        <v>1119</v>
      </c>
      <c r="I592" s="464" cm="1">
        <f t="array" ref="I592">IFERROR(INDEX(★原価率!$A$2:$E$50,MATCH($C592&amp;$H592,★原価率!$A$2:$A$50&amp;★原価率!$B$2:$B$50,0),3),0)</f>
        <v>94</v>
      </c>
      <c r="J592" s="464" cm="1">
        <f t="array" ref="J592">IFERROR(INDEX(★原価率!$A$2:$E$50,MATCH($C592&amp;$H592,★原価率!$A$2:$A$50&amp;★原価率!$B$2:$B$50,0),4),0)</f>
        <v>94</v>
      </c>
      <c r="K592" s="464" cm="1">
        <f t="array" ref="K592">IFERROR(INDEX(★原価率!$A$2:$E$50,MATCH($C592&amp;$H592,★原価率!$A$2:$A$50&amp;★原価率!$B$2:$B$50,0),5),0)</f>
        <v>100</v>
      </c>
      <c r="L592" s="528">
        <f>IFERROR(VLOOKUP(W592,★商品!$A$1:$H$1231,8,FALSE),0)</f>
        <v>2.8</v>
      </c>
      <c r="M592" s="203" t="str">
        <f ca="1">CONCATENATE(VLOOKUP(B592,★営業所!$A$2:$B$5,2,FALSE),TEXT(NOW(),"yyyy"))</f>
        <v>T2023</v>
      </c>
      <c r="N592" s="203">
        <v>1</v>
      </c>
      <c r="O592" s="203">
        <v>0</v>
      </c>
      <c r="P592" s="213">
        <f>申込書!$B$6</f>
        <v>0</v>
      </c>
      <c r="Q592" s="203">
        <f>申込書!$C$34</f>
        <v>1000040</v>
      </c>
      <c r="R592" s="203">
        <v>0</v>
      </c>
      <c r="U592" s="203">
        <f>VLOOKUP(B592,★営業所!$A$2:$C$5,3,FALSE)</f>
        <v>8</v>
      </c>
      <c r="V592" s="203">
        <f>申込書!$B$9</f>
        <v>0</v>
      </c>
      <c r="W592" s="203" t="str">
        <f>CONCATENATE(VLOOKUP(B592,★営業所!$A$2:$B$5,2,FALSE),VLOOKUP(申込書!$C$32,★サイズ表記!$D$4:$E$55,2,FALSE),VLOOKUP(D592,★折込地区!$A$2:$B$11,2,FALSE))</f>
        <v>T1001Yng</v>
      </c>
      <c r="X592" s="203" t="str">
        <f>CONCATENATE(申込書!$B$9," ",VLOOKUP(RIGHT(W592,3),★折込地区!$B$2:$C$10,2,FALSE),"")</f>
        <v xml:space="preserve"> 米子</v>
      </c>
      <c r="Z592" s="206">
        <f t="shared" ca="1" si="71"/>
        <v>0</v>
      </c>
      <c r="AB592" s="383">
        <f t="shared" si="72"/>
        <v>2.8</v>
      </c>
      <c r="AC592" s="203" t="str">
        <f t="shared" si="73"/>
        <v>M1001</v>
      </c>
      <c r="AD592" s="203" t="str">
        <f>VLOOKUP(AC592,★原価商品!$E$6:$F$349,2,FALSE)</f>
        <v>毎日/B4（折り無し）</v>
      </c>
      <c r="AE592" s="203">
        <f t="shared" ca="1" si="74"/>
        <v>0</v>
      </c>
      <c r="AF592" s="383">
        <f ca="1">IFERROR(IF(VLOOKUP(申込書!$C$32,★サイズ表記!$F$4:$H$55,3,FALSE)="切り捨て",ROUNDDOWN(L592*IF(AK592="◎",I592,J592)/100,2),IF(VLOOKUP(申込書!$C$32,★サイズ表記!$F$4:$H$55,3,FALSE)="切り上げ",ROUNDUP(L592*IF(AK592="◎",I592,J592)/100,2),ROUND(L592*IF(AK592="◎",I592,J592)/100,2))),0)</f>
        <v>2.63</v>
      </c>
      <c r="AG592" s="203">
        <f t="shared" ca="1" si="75"/>
        <v>0</v>
      </c>
      <c r="AJ592" s="460" t="str">
        <f>IFERROR(VLOOKUP(申込書!$C$30,★業種!$D$2:$E$87,2,FALSE),"")</f>
        <v>1003</v>
      </c>
      <c r="AK592" s="460" t="str">
        <f ca="1">IF(申込書!$C$36="◎",IF(OR(D592="浜坂・温泉",D592="美方・村岡",D592="香住",D592="岡山",D592="大阪"),"",IF(LEFT(F592)="D","◎",IF(AG592=0,"",IFERROR(IF(VLOOKUP(AG592,★仕入先!$A$2:$C$211,3,FALSE)=0,"","◎"),"")))),"")</f>
        <v/>
      </c>
      <c r="AL592" s="460">
        <f>申込書!$H$14</f>
        <v>0</v>
      </c>
      <c r="AM592" s="460" t="str">
        <f>申込書!$C$32</f>
        <v>B4（折り無し）</v>
      </c>
      <c r="AN592" s="460" t="str">
        <f>VLOOKUP(AM592,★サイズ表記!$D$4:$E$55,2,FALSE)</f>
        <v>1001</v>
      </c>
      <c r="AO592" s="460">
        <f>IF(C592&lt;&gt;"⑧兵庫",VLOOKUP(LEFT(F592),★新聞!$A$4:$B$12,2,FALSE),IF(LEFT(F592)&lt;&gt;"S",VLOOKUP(LEFT(F592),★新聞!$A$4:$B$12,2,FALSE),VLOOKUP("X",★新聞!$A$4:$B$12,2,FALSE)))</f>
        <v>4</v>
      </c>
      <c r="AP592" s="460" t="str">
        <f t="shared" ca="1" si="76"/>
        <v>0</v>
      </c>
      <c r="AQ592" s="460" t="str">
        <f>IF(申込書!$C$38="","",申込書!$C$38)</f>
        <v/>
      </c>
    </row>
    <row r="593" spans="1:43">
      <c r="A593" s="463">
        <f t="shared" si="77"/>
        <v>592</v>
      </c>
      <c r="B593" s="463" t="str">
        <f t="shared" si="70"/>
        <v>東部</v>
      </c>
      <c r="C593" s="464" t="s">
        <v>1018</v>
      </c>
      <c r="D593" s="464" t="s">
        <v>1603</v>
      </c>
      <c r="E593" s="464">
        <f>VLOOKUP(D593,★折込地区!$A$2:$D$10,4,FALSE)</f>
        <v>3</v>
      </c>
      <c r="F593" s="464" t="s">
        <v>466</v>
      </c>
      <c r="G593" s="464" t="str">
        <f>INDEX(★新聞!$E$4:$I$12, MATCH(LEFT(F593),★新聞!$A$4:$A$12,0), MATCH(LEFT(W593),★新聞!$E$3:$I$3,0))</f>
        <v>AG</v>
      </c>
      <c r="H593" s="555" t="s">
        <v>1102</v>
      </c>
      <c r="I593" s="464" cm="1">
        <f t="array" ref="I593">IFERROR(INDEX(★原価率!$A$2:$E$50,MATCH($C593&amp;$H593,★原価率!$A$2:$A$50&amp;★原価率!$B$2:$B$50,0),3),0)</f>
        <v>81</v>
      </c>
      <c r="J593" s="464" cm="1">
        <f t="array" ref="J593">IFERROR(INDEX(★原価率!$A$2:$E$50,MATCH($C593&amp;$H593,★原価率!$A$2:$A$50&amp;★原価率!$B$2:$B$50,0),4),0)</f>
        <v>85</v>
      </c>
      <c r="K593" s="464" cm="1">
        <f t="array" ref="K593">IFERROR(INDEX(★原価率!$A$2:$E$50,MATCH($C593&amp;$H593,★原価率!$A$2:$A$50&amp;★原価率!$B$2:$B$50,0),5),0)</f>
        <v>100</v>
      </c>
      <c r="L593" s="528">
        <f>IFERROR(VLOOKUP(W593,★商品!$A$1:$H$1231,8,FALSE),0)</f>
        <v>2.8</v>
      </c>
      <c r="M593" s="203" t="str">
        <f ca="1">CONCATENATE(VLOOKUP(B593,★営業所!$A$2:$B$5,2,FALSE),TEXT(NOW(),"yyyy"))</f>
        <v>T2023</v>
      </c>
      <c r="N593" s="203">
        <v>1</v>
      </c>
      <c r="O593" s="203">
        <v>0</v>
      </c>
      <c r="P593" s="213">
        <f>申込書!$B$6</f>
        <v>0</v>
      </c>
      <c r="Q593" s="203">
        <f>申込書!$C$34</f>
        <v>1000040</v>
      </c>
      <c r="R593" s="203">
        <v>0</v>
      </c>
      <c r="U593" s="203">
        <f>VLOOKUP(B593,★営業所!$A$2:$C$5,3,FALSE)</f>
        <v>8</v>
      </c>
      <c r="V593" s="203">
        <f>申込書!$B$9</f>
        <v>0</v>
      </c>
      <c r="W593" s="203" t="str">
        <f>CONCATENATE(VLOOKUP(B593,★営業所!$A$2:$B$5,2,FALSE),VLOOKUP(申込書!$C$32,★サイズ表記!$D$4:$E$55,2,FALSE),VLOOKUP(D593,★折込地区!$A$2:$B$11,2,FALSE))</f>
        <v>T1001Yng</v>
      </c>
      <c r="X593" s="203" t="str">
        <f>CONCATENATE(申込書!$B$9," ",VLOOKUP(RIGHT(W593,3),★折込地区!$B$2:$C$10,2,FALSE),"")</f>
        <v xml:space="preserve"> 米子</v>
      </c>
      <c r="Z593" s="206">
        <f t="shared" ca="1" si="71"/>
        <v>0</v>
      </c>
      <c r="AB593" s="383">
        <f t="shared" si="72"/>
        <v>2.8</v>
      </c>
      <c r="AC593" s="203" t="str">
        <f t="shared" si="73"/>
        <v>M1001</v>
      </c>
      <c r="AD593" s="203" t="str">
        <f>VLOOKUP(AC593,★原価商品!$E$6:$F$349,2,FALSE)</f>
        <v>毎日/B4（折り無し）</v>
      </c>
      <c r="AE593" s="203">
        <f t="shared" ca="1" si="74"/>
        <v>0</v>
      </c>
      <c r="AF593" s="383">
        <f ca="1">IFERROR(IF(VLOOKUP(申込書!$C$32,★サイズ表記!$F$4:$H$55,3,FALSE)="切り捨て",ROUNDDOWN(L593*IF(AK593="◎",I593,J593)/100,2),IF(VLOOKUP(申込書!$C$32,★サイズ表記!$F$4:$H$55,3,FALSE)="切り上げ",ROUNDUP(L593*IF(AK593="◎",I593,J593)/100,2),ROUND(L593*IF(AK593="◎",I593,J593)/100,2))),0)</f>
        <v>2.38</v>
      </c>
      <c r="AG593" s="203">
        <f t="shared" ca="1" si="75"/>
        <v>10561</v>
      </c>
      <c r="AJ593" s="460" t="str">
        <f>IFERROR(VLOOKUP(申込書!$C$30,★業種!$D$2:$E$87,2,FALSE),"")</f>
        <v>1003</v>
      </c>
      <c r="AK593" s="460" t="str">
        <f ca="1">IF(申込書!$C$36="◎",IF(OR(D593="浜坂・温泉",D593="美方・村岡",D593="香住",D593="岡山",D593="大阪"),"",IF(LEFT(F593)="D","◎",IF(AG593=0,"",IFERROR(IF(VLOOKUP(AG593,★仕入先!$A$2:$C$211,3,FALSE)=0,"","◎"),"")))),"")</f>
        <v/>
      </c>
      <c r="AL593" s="460">
        <f>申込書!$H$14</f>
        <v>0</v>
      </c>
      <c r="AM593" s="460" t="str">
        <f>申込書!$C$32</f>
        <v>B4（折り無し）</v>
      </c>
      <c r="AN593" s="460" t="str">
        <f>VLOOKUP(AM593,★サイズ表記!$D$4:$E$55,2,FALSE)</f>
        <v>1001</v>
      </c>
      <c r="AO593" s="460">
        <f>IF(C593&lt;&gt;"⑧兵庫",VLOOKUP(LEFT(F593),★新聞!$A$4:$B$12,2,FALSE),IF(LEFT(F593)&lt;&gt;"S",VLOOKUP(LEFT(F593),★新聞!$A$4:$B$12,2,FALSE),VLOOKUP("X",★新聞!$A$4:$B$12,2,FALSE)))</f>
        <v>4</v>
      </c>
      <c r="AP593" s="460" t="str">
        <f t="shared" ca="1" si="76"/>
        <v>0</v>
      </c>
      <c r="AQ593" s="460" t="str">
        <f>IF(申込書!$C$38="","",申込書!$C$38)</f>
        <v/>
      </c>
    </row>
    <row r="594" spans="1:43">
      <c r="A594" s="463">
        <f t="shared" si="77"/>
        <v>593</v>
      </c>
      <c r="B594" s="463" t="str">
        <f t="shared" si="70"/>
        <v>東部</v>
      </c>
      <c r="C594" s="464" t="s">
        <v>1018</v>
      </c>
      <c r="D594" s="464" t="s">
        <v>1603</v>
      </c>
      <c r="E594" s="464">
        <f>VLOOKUP(D594,★折込地区!$A$2:$D$10,4,FALSE)</f>
        <v>3</v>
      </c>
      <c r="F594" s="464" t="s">
        <v>467</v>
      </c>
      <c r="G594" s="464" t="str">
        <f>INDEX(★新聞!$E$4:$I$12, MATCH(LEFT(F594),★新聞!$A$4:$A$12,0), MATCH(LEFT(W594),★新聞!$E$3:$I$3,0))</f>
        <v>AG</v>
      </c>
      <c r="H594" s="555" t="s">
        <v>1102</v>
      </c>
      <c r="I594" s="464" cm="1">
        <f t="array" ref="I594">IFERROR(INDEX(★原価率!$A$2:$E$50,MATCH($C594&amp;$H594,★原価率!$A$2:$A$50&amp;★原価率!$B$2:$B$50,0),3),0)</f>
        <v>81</v>
      </c>
      <c r="J594" s="464" cm="1">
        <f t="array" ref="J594">IFERROR(INDEX(★原価率!$A$2:$E$50,MATCH($C594&amp;$H594,★原価率!$A$2:$A$50&amp;★原価率!$B$2:$B$50,0),4),0)</f>
        <v>85</v>
      </c>
      <c r="K594" s="464" cm="1">
        <f t="array" ref="K594">IFERROR(INDEX(★原価率!$A$2:$E$50,MATCH($C594&amp;$H594,★原価率!$A$2:$A$50&amp;★原価率!$B$2:$B$50,0),5),0)</f>
        <v>100</v>
      </c>
      <c r="L594" s="528">
        <f>IFERROR(VLOOKUP(W594,★商品!$A$1:$H$1231,8,FALSE),0)</f>
        <v>2.8</v>
      </c>
      <c r="M594" s="203" t="str">
        <f ca="1">CONCATENATE(VLOOKUP(B594,★営業所!$A$2:$B$5,2,FALSE),TEXT(NOW(),"yyyy"))</f>
        <v>T2023</v>
      </c>
      <c r="N594" s="203">
        <v>1</v>
      </c>
      <c r="O594" s="203">
        <v>0</v>
      </c>
      <c r="P594" s="213">
        <f>申込書!$B$6</f>
        <v>0</v>
      </c>
      <c r="Q594" s="203">
        <f>申込書!$C$34</f>
        <v>1000040</v>
      </c>
      <c r="R594" s="203">
        <v>0</v>
      </c>
      <c r="U594" s="203">
        <f>VLOOKUP(B594,★営業所!$A$2:$C$5,3,FALSE)</f>
        <v>8</v>
      </c>
      <c r="V594" s="203">
        <f>申込書!$B$9</f>
        <v>0</v>
      </c>
      <c r="W594" s="203" t="str">
        <f>CONCATENATE(VLOOKUP(B594,★営業所!$A$2:$B$5,2,FALSE),VLOOKUP(申込書!$C$32,★サイズ表記!$D$4:$E$55,2,FALSE),VLOOKUP(D594,★折込地区!$A$2:$B$11,2,FALSE))</f>
        <v>T1001Yng</v>
      </c>
      <c r="X594" s="203" t="str">
        <f>CONCATENATE(申込書!$B$9," ",VLOOKUP(RIGHT(W594,3),★折込地区!$B$2:$C$10,2,FALSE),"")</f>
        <v xml:space="preserve"> 米子</v>
      </c>
      <c r="Z594" s="206">
        <f t="shared" ca="1" si="71"/>
        <v>0</v>
      </c>
      <c r="AB594" s="383">
        <f t="shared" si="72"/>
        <v>2.8</v>
      </c>
      <c r="AC594" s="203" t="str">
        <f t="shared" si="73"/>
        <v>M1001</v>
      </c>
      <c r="AD594" s="203" t="str">
        <f>VLOOKUP(AC594,★原価商品!$E$6:$F$349,2,FALSE)</f>
        <v>毎日/B4（折り無し）</v>
      </c>
      <c r="AE594" s="203">
        <f t="shared" ca="1" si="74"/>
        <v>0</v>
      </c>
      <c r="AF594" s="383">
        <f ca="1">IFERROR(IF(VLOOKUP(申込書!$C$32,★サイズ表記!$F$4:$H$55,3,FALSE)="切り捨て",ROUNDDOWN(L594*IF(AK594="◎",I594,J594)/100,2),IF(VLOOKUP(申込書!$C$32,★サイズ表記!$F$4:$H$55,3,FALSE)="切り上げ",ROUNDUP(L594*IF(AK594="◎",I594,J594)/100,2),ROUND(L594*IF(AK594="◎",I594,J594)/100,2))),0)</f>
        <v>2.38</v>
      </c>
      <c r="AG594" s="203">
        <f t="shared" ca="1" si="75"/>
        <v>10561</v>
      </c>
      <c r="AJ594" s="460" t="str">
        <f>IFERROR(VLOOKUP(申込書!$C$30,★業種!$D$2:$E$87,2,FALSE),"")</f>
        <v>1003</v>
      </c>
      <c r="AK594" s="460" t="str">
        <f ca="1">IF(申込書!$C$36="◎",IF(OR(D594="浜坂・温泉",D594="美方・村岡",D594="香住",D594="岡山",D594="大阪"),"",IF(LEFT(F594)="D","◎",IF(AG594=0,"",IFERROR(IF(VLOOKUP(AG594,★仕入先!$A$2:$C$211,3,FALSE)=0,"","◎"),"")))),"")</f>
        <v/>
      </c>
      <c r="AL594" s="460">
        <f>申込書!$H$14</f>
        <v>0</v>
      </c>
      <c r="AM594" s="460" t="str">
        <f>申込書!$C$32</f>
        <v>B4（折り無し）</v>
      </c>
      <c r="AN594" s="460" t="str">
        <f>VLOOKUP(AM594,★サイズ表記!$D$4:$E$55,2,FALSE)</f>
        <v>1001</v>
      </c>
      <c r="AO594" s="460">
        <f>IF(C594&lt;&gt;"⑧兵庫",VLOOKUP(LEFT(F594),★新聞!$A$4:$B$12,2,FALSE),IF(LEFT(F594)&lt;&gt;"S",VLOOKUP(LEFT(F594),★新聞!$A$4:$B$12,2,FALSE),VLOOKUP("X",★新聞!$A$4:$B$12,2,FALSE)))</f>
        <v>4</v>
      </c>
      <c r="AP594" s="460" t="str">
        <f t="shared" ca="1" si="76"/>
        <v>0</v>
      </c>
      <c r="AQ594" s="460" t="str">
        <f>IF(申込書!$C$38="","",申込書!$C$38)</f>
        <v/>
      </c>
    </row>
    <row r="595" spans="1:43">
      <c r="A595" s="463">
        <f t="shared" si="77"/>
        <v>594</v>
      </c>
      <c r="B595" s="463" t="str">
        <f t="shared" si="70"/>
        <v>東部</v>
      </c>
      <c r="C595" s="464" t="s">
        <v>1018</v>
      </c>
      <c r="D595" s="464" t="s">
        <v>1603</v>
      </c>
      <c r="E595" s="464">
        <f>VLOOKUP(D595,★折込地区!$A$2:$D$10,4,FALSE)</f>
        <v>3</v>
      </c>
      <c r="F595" s="464" t="s">
        <v>468</v>
      </c>
      <c r="G595" s="464" t="str">
        <f>INDEX(★新聞!$E$4:$I$12, MATCH(LEFT(F595),★新聞!$A$4:$A$12,0), MATCH(LEFT(W595),★新聞!$E$3:$I$3,0))</f>
        <v>AG</v>
      </c>
      <c r="H595" s="555" t="s">
        <v>1102</v>
      </c>
      <c r="I595" s="464" cm="1">
        <f t="array" ref="I595">IFERROR(INDEX(★原価率!$A$2:$E$50,MATCH($C595&amp;$H595,★原価率!$A$2:$A$50&amp;★原価率!$B$2:$B$50,0),3),0)</f>
        <v>81</v>
      </c>
      <c r="J595" s="464" cm="1">
        <f t="array" ref="J595">IFERROR(INDEX(★原価率!$A$2:$E$50,MATCH($C595&amp;$H595,★原価率!$A$2:$A$50&amp;★原価率!$B$2:$B$50,0),4),0)</f>
        <v>85</v>
      </c>
      <c r="K595" s="464" cm="1">
        <f t="array" ref="K595">IFERROR(INDEX(★原価率!$A$2:$E$50,MATCH($C595&amp;$H595,★原価率!$A$2:$A$50&amp;★原価率!$B$2:$B$50,0),5),0)</f>
        <v>100</v>
      </c>
      <c r="L595" s="528">
        <f>IFERROR(VLOOKUP(W595,★商品!$A$1:$H$1231,8,FALSE),0)</f>
        <v>2.8</v>
      </c>
      <c r="M595" s="203" t="str">
        <f ca="1">CONCATENATE(VLOOKUP(B595,★営業所!$A$2:$B$5,2,FALSE),TEXT(NOW(),"yyyy"))</f>
        <v>T2023</v>
      </c>
      <c r="N595" s="203">
        <v>1</v>
      </c>
      <c r="O595" s="203">
        <v>0</v>
      </c>
      <c r="P595" s="213">
        <f>申込書!$B$6</f>
        <v>0</v>
      </c>
      <c r="Q595" s="203">
        <f>申込書!$C$34</f>
        <v>1000040</v>
      </c>
      <c r="R595" s="203">
        <v>0</v>
      </c>
      <c r="U595" s="203">
        <f>VLOOKUP(B595,★営業所!$A$2:$C$5,3,FALSE)</f>
        <v>8</v>
      </c>
      <c r="V595" s="203">
        <f>申込書!$B$9</f>
        <v>0</v>
      </c>
      <c r="W595" s="203" t="str">
        <f>CONCATENATE(VLOOKUP(B595,★営業所!$A$2:$B$5,2,FALSE),VLOOKUP(申込書!$C$32,★サイズ表記!$D$4:$E$55,2,FALSE),VLOOKUP(D595,★折込地区!$A$2:$B$11,2,FALSE))</f>
        <v>T1001Yng</v>
      </c>
      <c r="X595" s="203" t="str">
        <f>CONCATENATE(申込書!$B$9," ",VLOOKUP(RIGHT(W595,3),★折込地区!$B$2:$C$10,2,FALSE),"")</f>
        <v xml:space="preserve"> 米子</v>
      </c>
      <c r="Z595" s="206">
        <f t="shared" ca="1" si="71"/>
        <v>0</v>
      </c>
      <c r="AB595" s="383">
        <f t="shared" si="72"/>
        <v>2.8</v>
      </c>
      <c r="AC595" s="203" t="str">
        <f t="shared" si="73"/>
        <v>M1001</v>
      </c>
      <c r="AD595" s="203" t="str">
        <f>VLOOKUP(AC595,★原価商品!$E$6:$F$349,2,FALSE)</f>
        <v>毎日/B4（折り無し）</v>
      </c>
      <c r="AE595" s="203">
        <f t="shared" ca="1" si="74"/>
        <v>0</v>
      </c>
      <c r="AF595" s="383">
        <f ca="1">IFERROR(IF(VLOOKUP(申込書!$C$32,★サイズ表記!$F$4:$H$55,3,FALSE)="切り捨て",ROUNDDOWN(L595*IF(AK595="◎",I595,J595)/100,2),IF(VLOOKUP(申込書!$C$32,★サイズ表記!$F$4:$H$55,3,FALSE)="切り上げ",ROUNDUP(L595*IF(AK595="◎",I595,J595)/100,2),ROUND(L595*IF(AK595="◎",I595,J595)/100,2))),0)</f>
        <v>2.38</v>
      </c>
      <c r="AG595" s="203">
        <f t="shared" ca="1" si="75"/>
        <v>10561</v>
      </c>
      <c r="AJ595" s="460" t="str">
        <f>IFERROR(VLOOKUP(申込書!$C$30,★業種!$D$2:$E$87,2,FALSE),"")</f>
        <v>1003</v>
      </c>
      <c r="AK595" s="460" t="str">
        <f ca="1">IF(申込書!$C$36="◎",IF(OR(D595="浜坂・温泉",D595="美方・村岡",D595="香住",D595="岡山",D595="大阪"),"",IF(LEFT(F595)="D","◎",IF(AG595=0,"",IFERROR(IF(VLOOKUP(AG595,★仕入先!$A$2:$C$211,3,FALSE)=0,"","◎"),"")))),"")</f>
        <v/>
      </c>
      <c r="AL595" s="460">
        <f>申込書!$H$14</f>
        <v>0</v>
      </c>
      <c r="AM595" s="460" t="str">
        <f>申込書!$C$32</f>
        <v>B4（折り無し）</v>
      </c>
      <c r="AN595" s="460" t="str">
        <f>VLOOKUP(AM595,★サイズ表記!$D$4:$E$55,2,FALSE)</f>
        <v>1001</v>
      </c>
      <c r="AO595" s="460">
        <f>IF(C595&lt;&gt;"⑧兵庫",VLOOKUP(LEFT(F595),★新聞!$A$4:$B$12,2,FALSE),IF(LEFT(F595)&lt;&gt;"S",VLOOKUP(LEFT(F595),★新聞!$A$4:$B$12,2,FALSE),VLOOKUP("X",★新聞!$A$4:$B$12,2,FALSE)))</f>
        <v>4</v>
      </c>
      <c r="AP595" s="460" t="str">
        <f t="shared" ca="1" si="76"/>
        <v>0</v>
      </c>
      <c r="AQ595" s="460" t="str">
        <f>IF(申込書!$C$38="","",申込書!$C$38)</f>
        <v/>
      </c>
    </row>
    <row r="596" spans="1:43">
      <c r="A596" s="463">
        <f t="shared" si="77"/>
        <v>595</v>
      </c>
      <c r="B596" s="463" t="str">
        <f t="shared" si="70"/>
        <v>東部</v>
      </c>
      <c r="C596" s="464" t="s">
        <v>1018</v>
      </c>
      <c r="D596" s="464" t="s">
        <v>1603</v>
      </c>
      <c r="E596" s="464">
        <f>VLOOKUP(D596,★折込地区!$A$2:$D$10,4,FALSE)</f>
        <v>3</v>
      </c>
      <c r="F596" s="464" t="s">
        <v>469</v>
      </c>
      <c r="G596" s="464" t="str">
        <f>INDEX(★新聞!$E$4:$I$12, MATCH(LEFT(F596),★新聞!$A$4:$A$12,0), MATCH(LEFT(W596),★新聞!$E$3:$I$3,0))</f>
        <v>AJ</v>
      </c>
      <c r="H596" s="475" t="s">
        <v>1119</v>
      </c>
      <c r="I596" s="464" cm="1">
        <f t="array" ref="I596">IFERROR(INDEX(★原価率!$A$2:$E$50,MATCH($C596&amp;$H596,★原価率!$A$2:$A$50&amp;★原価率!$B$2:$B$50,0),3),0)</f>
        <v>94</v>
      </c>
      <c r="J596" s="464" cm="1">
        <f t="array" ref="J596">IFERROR(INDEX(★原価率!$A$2:$E$50,MATCH($C596&amp;$H596,★原価率!$A$2:$A$50&amp;★原価率!$B$2:$B$50,0),4),0)</f>
        <v>94</v>
      </c>
      <c r="K596" s="464" cm="1">
        <f t="array" ref="K596">IFERROR(INDEX(★原価率!$A$2:$E$50,MATCH($C596&amp;$H596,★原価率!$A$2:$A$50&amp;★原価率!$B$2:$B$50,0),5),0)</f>
        <v>100</v>
      </c>
      <c r="L596" s="528">
        <f>IFERROR(VLOOKUP(W596,★商品!$A$1:$H$1231,8,FALSE),0)</f>
        <v>2.8</v>
      </c>
      <c r="M596" s="203" t="str">
        <f ca="1">CONCATENATE(VLOOKUP(B596,★営業所!$A$2:$B$5,2,FALSE),TEXT(NOW(),"yyyy"))</f>
        <v>T2023</v>
      </c>
      <c r="N596" s="203">
        <v>1</v>
      </c>
      <c r="O596" s="203">
        <v>0</v>
      </c>
      <c r="P596" s="213">
        <f>申込書!$B$6</f>
        <v>0</v>
      </c>
      <c r="Q596" s="203">
        <f>申込書!$C$34</f>
        <v>1000040</v>
      </c>
      <c r="R596" s="203">
        <v>0</v>
      </c>
      <c r="U596" s="203">
        <f>VLOOKUP(B596,★営業所!$A$2:$C$5,3,FALSE)</f>
        <v>8</v>
      </c>
      <c r="V596" s="203">
        <f>申込書!$B$9</f>
        <v>0</v>
      </c>
      <c r="W596" s="203" t="str">
        <f>CONCATENATE(VLOOKUP(B596,★営業所!$A$2:$B$5,2,FALSE),VLOOKUP(申込書!$C$32,★サイズ表記!$D$4:$E$55,2,FALSE),VLOOKUP(D596,★折込地区!$A$2:$B$11,2,FALSE))</f>
        <v>T1001Yng</v>
      </c>
      <c r="X596" s="203" t="str">
        <f>CONCATENATE(申込書!$B$9," ",VLOOKUP(RIGHT(W596,3),★折込地区!$B$2:$C$10,2,FALSE),"")</f>
        <v xml:space="preserve"> 米子</v>
      </c>
      <c r="Z596" s="206">
        <f t="shared" ca="1" si="71"/>
        <v>0</v>
      </c>
      <c r="AB596" s="383">
        <f t="shared" si="72"/>
        <v>2.8</v>
      </c>
      <c r="AC596" s="203" t="str">
        <f t="shared" si="73"/>
        <v>P1001</v>
      </c>
      <c r="AD596" s="203" t="str">
        <f>VLOOKUP(AC596,★原価商品!$E$6:$F$349,2,FALSE)</f>
        <v>産経/B4（折り無し）</v>
      </c>
      <c r="AE596" s="203">
        <f t="shared" ca="1" si="74"/>
        <v>0</v>
      </c>
      <c r="AF596" s="383">
        <f ca="1">IFERROR(IF(VLOOKUP(申込書!$C$32,★サイズ表記!$F$4:$H$55,3,FALSE)="切り捨て",ROUNDDOWN(L596*IF(AK596="◎",I596,J596)/100,2),IF(VLOOKUP(申込書!$C$32,★サイズ表記!$F$4:$H$55,3,FALSE)="切り上げ",ROUNDUP(L596*IF(AK596="◎",I596,J596)/100,2),ROUND(L596*IF(AK596="◎",I596,J596)/100,2))),0)</f>
        <v>2.63</v>
      </c>
      <c r="AG596" s="203">
        <f t="shared" ca="1" si="75"/>
        <v>10561</v>
      </c>
      <c r="AJ596" s="460" t="str">
        <f>IFERROR(VLOOKUP(申込書!$C$30,★業種!$D$2:$E$87,2,FALSE),"")</f>
        <v>1003</v>
      </c>
      <c r="AK596" s="460" t="str">
        <f ca="1">IF(申込書!$C$36="◎",IF(OR(D596="浜坂・温泉",D596="美方・村岡",D596="香住",D596="岡山",D596="大阪"),"",IF(LEFT(F596)="D","◎",IF(AG596=0,"",IFERROR(IF(VLOOKUP(AG596,★仕入先!$A$2:$C$211,3,FALSE)=0,"","◎"),"")))),"")</f>
        <v/>
      </c>
      <c r="AL596" s="460">
        <f>申込書!$H$14</f>
        <v>0</v>
      </c>
      <c r="AM596" s="460" t="str">
        <f>申込書!$C$32</f>
        <v>B4（折り無し）</v>
      </c>
      <c r="AN596" s="460" t="str">
        <f>VLOOKUP(AM596,★サイズ表記!$D$4:$E$55,2,FALSE)</f>
        <v>1001</v>
      </c>
      <c r="AO596" s="460">
        <f>IF(C596&lt;&gt;"⑧兵庫",VLOOKUP(LEFT(F596),★新聞!$A$4:$B$12,2,FALSE),IF(LEFT(F596)&lt;&gt;"S",VLOOKUP(LEFT(F596),★新聞!$A$4:$B$12,2,FALSE),VLOOKUP("X",★新聞!$A$4:$B$12,2,FALSE)))</f>
        <v>5</v>
      </c>
      <c r="AP596" s="460" t="str">
        <f t="shared" ca="1" si="76"/>
        <v>0</v>
      </c>
      <c r="AQ596" s="460" t="str">
        <f>IF(申込書!$C$38="","",申込書!$C$38)</f>
        <v/>
      </c>
    </row>
    <row r="597" spans="1:43">
      <c r="A597" s="463">
        <f t="shared" si="77"/>
        <v>596</v>
      </c>
      <c r="B597" s="463" t="str">
        <f t="shared" si="70"/>
        <v>東部</v>
      </c>
      <c r="C597" s="464" t="s">
        <v>1018</v>
      </c>
      <c r="D597" s="464" t="s">
        <v>1603</v>
      </c>
      <c r="E597" s="464">
        <f>VLOOKUP(D597,★折込地区!$A$2:$D$10,4,FALSE)</f>
        <v>3</v>
      </c>
      <c r="F597" s="464" t="s">
        <v>470</v>
      </c>
      <c r="G597" s="464" t="str">
        <f>INDEX(★新聞!$E$4:$I$12, MATCH(LEFT(F597),★新聞!$A$4:$A$12,0), MATCH(LEFT(W597),★新聞!$E$3:$I$3,0))</f>
        <v>AJ</v>
      </c>
      <c r="H597" s="475" t="s">
        <v>1119</v>
      </c>
      <c r="I597" s="464" cm="1">
        <f t="array" ref="I597">IFERROR(INDEX(★原価率!$A$2:$E$50,MATCH($C597&amp;$H597,★原価率!$A$2:$A$50&amp;★原価率!$B$2:$B$50,0),3),0)</f>
        <v>94</v>
      </c>
      <c r="J597" s="464" cm="1">
        <f t="array" ref="J597">IFERROR(INDEX(★原価率!$A$2:$E$50,MATCH($C597&amp;$H597,★原価率!$A$2:$A$50&amp;★原価率!$B$2:$B$50,0),4),0)</f>
        <v>94</v>
      </c>
      <c r="K597" s="464" cm="1">
        <f t="array" ref="K597">IFERROR(INDEX(★原価率!$A$2:$E$50,MATCH($C597&amp;$H597,★原価率!$A$2:$A$50&amp;★原価率!$B$2:$B$50,0),5),0)</f>
        <v>100</v>
      </c>
      <c r="L597" s="528">
        <f>IFERROR(VLOOKUP(W597,★商品!$A$1:$H$1231,8,FALSE),0)</f>
        <v>2.8</v>
      </c>
      <c r="M597" s="203" t="str">
        <f ca="1">CONCATENATE(VLOOKUP(B597,★営業所!$A$2:$B$5,2,FALSE),TEXT(NOW(),"yyyy"))</f>
        <v>T2023</v>
      </c>
      <c r="N597" s="203">
        <v>1</v>
      </c>
      <c r="O597" s="203">
        <v>0</v>
      </c>
      <c r="P597" s="213">
        <f>申込書!$B$6</f>
        <v>0</v>
      </c>
      <c r="Q597" s="203">
        <f>申込書!$C$34</f>
        <v>1000040</v>
      </c>
      <c r="R597" s="203">
        <v>0</v>
      </c>
      <c r="U597" s="203">
        <f>VLOOKUP(B597,★営業所!$A$2:$C$5,3,FALSE)</f>
        <v>8</v>
      </c>
      <c r="V597" s="203">
        <f>申込書!$B$9</f>
        <v>0</v>
      </c>
      <c r="W597" s="203" t="str">
        <f>CONCATENATE(VLOOKUP(B597,★営業所!$A$2:$B$5,2,FALSE),VLOOKUP(申込書!$C$32,★サイズ表記!$D$4:$E$55,2,FALSE),VLOOKUP(D597,★折込地区!$A$2:$B$11,2,FALSE))</f>
        <v>T1001Yng</v>
      </c>
      <c r="X597" s="203" t="str">
        <f>CONCATENATE(申込書!$B$9," ",VLOOKUP(RIGHT(W597,3),★折込地区!$B$2:$C$10,2,FALSE),"")</f>
        <v xml:space="preserve"> 米子</v>
      </c>
      <c r="Z597" s="206">
        <f t="shared" ca="1" si="71"/>
        <v>0</v>
      </c>
      <c r="AB597" s="383">
        <f t="shared" si="72"/>
        <v>2.8</v>
      </c>
      <c r="AC597" s="203" t="str">
        <f t="shared" si="73"/>
        <v>P1001</v>
      </c>
      <c r="AD597" s="203" t="str">
        <f>VLOOKUP(AC597,★原価商品!$E$6:$F$349,2,FALSE)</f>
        <v>産経/B4（折り無し）</v>
      </c>
      <c r="AE597" s="203">
        <f t="shared" ca="1" si="74"/>
        <v>0</v>
      </c>
      <c r="AF597" s="383">
        <f ca="1">IFERROR(IF(VLOOKUP(申込書!$C$32,★サイズ表記!$F$4:$H$55,3,FALSE)="切り捨て",ROUNDDOWN(L597*IF(AK597="◎",I597,J597)/100,2),IF(VLOOKUP(申込書!$C$32,★サイズ表記!$F$4:$H$55,3,FALSE)="切り上げ",ROUNDUP(L597*IF(AK597="◎",I597,J597)/100,2),ROUND(L597*IF(AK597="◎",I597,J597)/100,2))),0)</f>
        <v>2.63</v>
      </c>
      <c r="AG597" s="203">
        <f t="shared" ca="1" si="75"/>
        <v>10561</v>
      </c>
      <c r="AJ597" s="460" t="str">
        <f>IFERROR(VLOOKUP(申込書!$C$30,★業種!$D$2:$E$87,2,FALSE),"")</f>
        <v>1003</v>
      </c>
      <c r="AK597" s="460" t="str">
        <f ca="1">IF(申込書!$C$36="◎",IF(OR(D597="浜坂・温泉",D597="美方・村岡",D597="香住",D597="岡山",D597="大阪"),"",IF(LEFT(F597)="D","◎",IF(AG597=0,"",IFERROR(IF(VLOOKUP(AG597,★仕入先!$A$2:$C$211,3,FALSE)=0,"","◎"),"")))),"")</f>
        <v/>
      </c>
      <c r="AL597" s="460">
        <f>申込書!$H$14</f>
        <v>0</v>
      </c>
      <c r="AM597" s="460" t="str">
        <f>申込書!$C$32</f>
        <v>B4（折り無し）</v>
      </c>
      <c r="AN597" s="460" t="str">
        <f>VLOOKUP(AM597,★サイズ表記!$D$4:$E$55,2,FALSE)</f>
        <v>1001</v>
      </c>
      <c r="AO597" s="460">
        <f>IF(C597&lt;&gt;"⑧兵庫",VLOOKUP(LEFT(F597),★新聞!$A$4:$B$12,2,FALSE),IF(LEFT(F597)&lt;&gt;"S",VLOOKUP(LEFT(F597),★新聞!$A$4:$B$12,2,FALSE),VLOOKUP("X",★新聞!$A$4:$B$12,2,FALSE)))</f>
        <v>5</v>
      </c>
      <c r="AP597" s="460" t="str">
        <f t="shared" ca="1" si="76"/>
        <v>0</v>
      </c>
      <c r="AQ597" s="460" t="str">
        <f>IF(申込書!$C$38="","",申込書!$C$38)</f>
        <v/>
      </c>
    </row>
    <row r="598" spans="1:43">
      <c r="A598" s="463">
        <f t="shared" si="77"/>
        <v>597</v>
      </c>
      <c r="B598" s="463" t="str">
        <f t="shared" si="70"/>
        <v>東部</v>
      </c>
      <c r="C598" s="464" t="s">
        <v>1018</v>
      </c>
      <c r="D598" s="464" t="s">
        <v>1603</v>
      </c>
      <c r="E598" s="464">
        <f>VLOOKUP(D598,★折込地区!$A$2:$D$10,4,FALSE)</f>
        <v>3</v>
      </c>
      <c r="F598" s="464" t="s">
        <v>471</v>
      </c>
      <c r="G598" s="464" t="str">
        <f>INDEX(★新聞!$E$4:$I$12, MATCH(LEFT(F598),★新聞!$A$4:$A$12,0), MATCH(LEFT(W598),★新聞!$E$3:$I$3,0))</f>
        <v>AJ</v>
      </c>
      <c r="H598" s="475" t="s">
        <v>1119</v>
      </c>
      <c r="I598" s="464" cm="1">
        <f t="array" ref="I598">IFERROR(INDEX(★原価率!$A$2:$E$50,MATCH($C598&amp;$H598,★原価率!$A$2:$A$50&amp;★原価率!$B$2:$B$50,0),3),0)</f>
        <v>94</v>
      </c>
      <c r="J598" s="464" cm="1">
        <f t="array" ref="J598">IFERROR(INDEX(★原価率!$A$2:$E$50,MATCH($C598&amp;$H598,★原価率!$A$2:$A$50&amp;★原価率!$B$2:$B$50,0),4),0)</f>
        <v>94</v>
      </c>
      <c r="K598" s="464" cm="1">
        <f t="array" ref="K598">IFERROR(INDEX(★原価率!$A$2:$E$50,MATCH($C598&amp;$H598,★原価率!$A$2:$A$50&amp;★原価率!$B$2:$B$50,0),5),0)</f>
        <v>100</v>
      </c>
      <c r="L598" s="528">
        <f>IFERROR(VLOOKUP(W598,★商品!$A$1:$H$1231,8,FALSE),0)</f>
        <v>2.8</v>
      </c>
      <c r="M598" s="203" t="str">
        <f ca="1">CONCATENATE(VLOOKUP(B598,★営業所!$A$2:$B$5,2,FALSE),TEXT(NOW(),"yyyy"))</f>
        <v>T2023</v>
      </c>
      <c r="N598" s="203">
        <v>1</v>
      </c>
      <c r="O598" s="203">
        <v>0</v>
      </c>
      <c r="P598" s="213">
        <f>申込書!$B$6</f>
        <v>0</v>
      </c>
      <c r="Q598" s="203">
        <f>申込書!$C$34</f>
        <v>1000040</v>
      </c>
      <c r="R598" s="203">
        <v>0</v>
      </c>
      <c r="U598" s="203">
        <f>VLOOKUP(B598,★営業所!$A$2:$C$5,3,FALSE)</f>
        <v>8</v>
      </c>
      <c r="V598" s="203">
        <f>申込書!$B$9</f>
        <v>0</v>
      </c>
      <c r="W598" s="203" t="str">
        <f>CONCATENATE(VLOOKUP(B598,★営業所!$A$2:$B$5,2,FALSE),VLOOKUP(申込書!$C$32,★サイズ表記!$D$4:$E$55,2,FALSE),VLOOKUP(D598,★折込地区!$A$2:$B$11,2,FALSE))</f>
        <v>T1001Yng</v>
      </c>
      <c r="X598" s="203" t="str">
        <f>CONCATENATE(申込書!$B$9," ",VLOOKUP(RIGHT(W598,3),★折込地区!$B$2:$C$10,2,FALSE),"")</f>
        <v xml:space="preserve"> 米子</v>
      </c>
      <c r="Z598" s="206">
        <f t="shared" ca="1" si="71"/>
        <v>0</v>
      </c>
      <c r="AB598" s="383">
        <f t="shared" si="72"/>
        <v>2.8</v>
      </c>
      <c r="AC598" s="203" t="str">
        <f t="shared" si="73"/>
        <v>P1001</v>
      </c>
      <c r="AD598" s="203" t="str">
        <f>VLOOKUP(AC598,★原価商品!$E$6:$F$349,2,FALSE)</f>
        <v>産経/B4（折り無し）</v>
      </c>
      <c r="AE598" s="203">
        <f t="shared" ca="1" si="74"/>
        <v>0</v>
      </c>
      <c r="AF598" s="383">
        <f ca="1">IFERROR(IF(VLOOKUP(申込書!$C$32,★サイズ表記!$F$4:$H$55,3,FALSE)="切り捨て",ROUNDDOWN(L598*IF(AK598="◎",I598,J598)/100,2),IF(VLOOKUP(申込書!$C$32,★サイズ表記!$F$4:$H$55,3,FALSE)="切り上げ",ROUNDUP(L598*IF(AK598="◎",I598,J598)/100,2),ROUND(L598*IF(AK598="◎",I598,J598)/100,2))),0)</f>
        <v>2.63</v>
      </c>
      <c r="AG598" s="203">
        <f t="shared" ca="1" si="75"/>
        <v>10561</v>
      </c>
      <c r="AJ598" s="460" t="str">
        <f>IFERROR(VLOOKUP(申込書!$C$30,★業種!$D$2:$E$87,2,FALSE),"")</f>
        <v>1003</v>
      </c>
      <c r="AK598" s="460" t="str">
        <f ca="1">IF(申込書!$C$36="◎",IF(OR(D598="浜坂・温泉",D598="美方・村岡",D598="香住",D598="岡山",D598="大阪"),"",IF(LEFT(F598)="D","◎",IF(AG598=0,"",IFERROR(IF(VLOOKUP(AG598,★仕入先!$A$2:$C$211,3,FALSE)=0,"","◎"),"")))),"")</f>
        <v/>
      </c>
      <c r="AL598" s="460">
        <f>申込書!$H$14</f>
        <v>0</v>
      </c>
      <c r="AM598" s="460" t="str">
        <f>申込書!$C$32</f>
        <v>B4（折り無し）</v>
      </c>
      <c r="AN598" s="460" t="str">
        <f>VLOOKUP(AM598,★サイズ表記!$D$4:$E$55,2,FALSE)</f>
        <v>1001</v>
      </c>
      <c r="AO598" s="460">
        <f>IF(C598&lt;&gt;"⑧兵庫",VLOOKUP(LEFT(F598),★新聞!$A$4:$B$12,2,FALSE),IF(LEFT(F598)&lt;&gt;"S",VLOOKUP(LEFT(F598),★新聞!$A$4:$B$12,2,FALSE),VLOOKUP("X",★新聞!$A$4:$B$12,2,FALSE)))</f>
        <v>5</v>
      </c>
      <c r="AP598" s="460" t="str">
        <f t="shared" ca="1" si="76"/>
        <v>0</v>
      </c>
      <c r="AQ598" s="460" t="str">
        <f>IF(申込書!$C$38="","",申込書!$C$38)</f>
        <v/>
      </c>
    </row>
    <row r="599" spans="1:43">
      <c r="A599" s="463">
        <f t="shared" si="77"/>
        <v>598</v>
      </c>
      <c r="B599" s="463" t="str">
        <f t="shared" si="70"/>
        <v>東部</v>
      </c>
      <c r="C599" s="464" t="s">
        <v>1018</v>
      </c>
      <c r="D599" s="464" t="s">
        <v>1603</v>
      </c>
      <c r="E599" s="464">
        <f>VLOOKUP(D599,★折込地区!$A$2:$D$10,4,FALSE)</f>
        <v>3</v>
      </c>
      <c r="F599" s="464" t="s">
        <v>472</v>
      </c>
      <c r="G599" s="464" t="str">
        <f>INDEX(★新聞!$E$4:$I$12, MATCH(LEFT(F599),★新聞!$A$4:$A$12,0), MATCH(LEFT(W599),★新聞!$E$3:$I$3,0))</f>
        <v>AJ</v>
      </c>
      <c r="H599" s="475" t="s">
        <v>1119</v>
      </c>
      <c r="I599" s="464" cm="1">
        <f t="array" ref="I599">IFERROR(INDEX(★原価率!$A$2:$E$50,MATCH($C599&amp;$H599,★原価率!$A$2:$A$50&amp;★原価率!$B$2:$B$50,0),3),0)</f>
        <v>94</v>
      </c>
      <c r="J599" s="464" cm="1">
        <f t="array" ref="J599">IFERROR(INDEX(★原価率!$A$2:$E$50,MATCH($C599&amp;$H599,★原価率!$A$2:$A$50&amp;★原価率!$B$2:$B$50,0),4),0)</f>
        <v>94</v>
      </c>
      <c r="K599" s="464" cm="1">
        <f t="array" ref="K599">IFERROR(INDEX(★原価率!$A$2:$E$50,MATCH($C599&amp;$H599,★原価率!$A$2:$A$50&amp;★原価率!$B$2:$B$50,0),5),0)</f>
        <v>100</v>
      </c>
      <c r="L599" s="528">
        <f>IFERROR(VLOOKUP(W599,★商品!$A$1:$H$1231,8,FALSE),0)</f>
        <v>2.8</v>
      </c>
      <c r="M599" s="203" t="str">
        <f ca="1">CONCATENATE(VLOOKUP(B599,★営業所!$A$2:$B$5,2,FALSE),TEXT(NOW(),"yyyy"))</f>
        <v>T2023</v>
      </c>
      <c r="N599" s="203">
        <v>1</v>
      </c>
      <c r="O599" s="203">
        <v>0</v>
      </c>
      <c r="P599" s="213">
        <f>申込書!$B$6</f>
        <v>0</v>
      </c>
      <c r="Q599" s="203">
        <f>申込書!$C$34</f>
        <v>1000040</v>
      </c>
      <c r="R599" s="203">
        <v>0</v>
      </c>
      <c r="U599" s="203">
        <f>VLOOKUP(B599,★営業所!$A$2:$C$5,3,FALSE)</f>
        <v>8</v>
      </c>
      <c r="V599" s="203">
        <f>申込書!$B$9</f>
        <v>0</v>
      </c>
      <c r="W599" s="203" t="str">
        <f>CONCATENATE(VLOOKUP(B599,★営業所!$A$2:$B$5,2,FALSE),VLOOKUP(申込書!$C$32,★サイズ表記!$D$4:$E$55,2,FALSE),VLOOKUP(D599,★折込地区!$A$2:$B$11,2,FALSE))</f>
        <v>T1001Yng</v>
      </c>
      <c r="X599" s="203" t="str">
        <f>CONCATENATE(申込書!$B$9," ",VLOOKUP(RIGHT(W599,3),★折込地区!$B$2:$C$10,2,FALSE),"")</f>
        <v xml:space="preserve"> 米子</v>
      </c>
      <c r="Z599" s="206">
        <f t="shared" ca="1" si="71"/>
        <v>0</v>
      </c>
      <c r="AB599" s="383">
        <f t="shared" si="72"/>
        <v>2.8</v>
      </c>
      <c r="AC599" s="203" t="str">
        <f t="shared" si="73"/>
        <v>P1001</v>
      </c>
      <c r="AD599" s="203" t="str">
        <f>VLOOKUP(AC599,★原価商品!$E$6:$F$349,2,FALSE)</f>
        <v>産経/B4（折り無し）</v>
      </c>
      <c r="AE599" s="203">
        <f t="shared" ca="1" si="74"/>
        <v>0</v>
      </c>
      <c r="AF599" s="383">
        <f ca="1">IFERROR(IF(VLOOKUP(申込書!$C$32,★サイズ表記!$F$4:$H$55,3,FALSE)="切り捨て",ROUNDDOWN(L599*IF(AK599="◎",I599,J599)/100,2),IF(VLOOKUP(申込書!$C$32,★サイズ表記!$F$4:$H$55,3,FALSE)="切り上げ",ROUNDUP(L599*IF(AK599="◎",I599,J599)/100,2),ROUND(L599*IF(AK599="◎",I599,J599)/100,2))),0)</f>
        <v>2.63</v>
      </c>
      <c r="AG599" s="203">
        <f t="shared" ca="1" si="75"/>
        <v>0</v>
      </c>
      <c r="AJ599" s="460" t="str">
        <f>IFERROR(VLOOKUP(申込書!$C$30,★業種!$D$2:$E$87,2,FALSE),"")</f>
        <v>1003</v>
      </c>
      <c r="AK599" s="460" t="str">
        <f ca="1">IF(申込書!$C$36="◎",IF(OR(D599="浜坂・温泉",D599="美方・村岡",D599="香住",D599="岡山",D599="大阪"),"",IF(LEFT(F599)="D","◎",IF(AG599=0,"",IFERROR(IF(VLOOKUP(AG599,★仕入先!$A$2:$C$211,3,FALSE)=0,"","◎"),"")))),"")</f>
        <v/>
      </c>
      <c r="AL599" s="460">
        <f>申込書!$H$14</f>
        <v>0</v>
      </c>
      <c r="AM599" s="460" t="str">
        <f>申込書!$C$32</f>
        <v>B4（折り無し）</v>
      </c>
      <c r="AN599" s="460" t="str">
        <f>VLOOKUP(AM599,★サイズ表記!$D$4:$E$55,2,FALSE)</f>
        <v>1001</v>
      </c>
      <c r="AO599" s="460">
        <f>IF(C599&lt;&gt;"⑧兵庫",VLOOKUP(LEFT(F599),★新聞!$A$4:$B$12,2,FALSE),IF(LEFT(F599)&lt;&gt;"S",VLOOKUP(LEFT(F599),★新聞!$A$4:$B$12,2,FALSE),VLOOKUP("X",★新聞!$A$4:$B$12,2,FALSE)))</f>
        <v>5</v>
      </c>
      <c r="AP599" s="460" t="str">
        <f t="shared" ca="1" si="76"/>
        <v>0</v>
      </c>
      <c r="AQ599" s="460" t="str">
        <f>IF(申込書!$C$38="","",申込書!$C$38)</f>
        <v/>
      </c>
    </row>
    <row r="600" spans="1:43">
      <c r="A600" s="463">
        <f t="shared" si="77"/>
        <v>599</v>
      </c>
      <c r="B600" s="463" t="str">
        <f t="shared" si="70"/>
        <v>東部</v>
      </c>
      <c r="C600" s="464" t="s">
        <v>1018</v>
      </c>
      <c r="D600" s="464" t="s">
        <v>1603</v>
      </c>
      <c r="E600" s="464">
        <f>VLOOKUP(D600,★折込地区!$A$2:$D$10,4,FALSE)</f>
        <v>3</v>
      </c>
      <c r="F600" s="464" t="s">
        <v>473</v>
      </c>
      <c r="G600" s="464" t="str">
        <f>INDEX(★新聞!$E$4:$I$12, MATCH(LEFT(F600),★新聞!$A$4:$A$12,0), MATCH(LEFT(W600),★新聞!$E$3:$I$3,0))</f>
        <v>AJ</v>
      </c>
      <c r="H600" s="475" t="s">
        <v>1119</v>
      </c>
      <c r="I600" s="464" cm="1">
        <f t="array" ref="I600">IFERROR(INDEX(★原価率!$A$2:$E$50,MATCH($C600&amp;$H600,★原価率!$A$2:$A$50&amp;★原価率!$B$2:$B$50,0),3),0)</f>
        <v>94</v>
      </c>
      <c r="J600" s="464" cm="1">
        <f t="array" ref="J600">IFERROR(INDEX(★原価率!$A$2:$E$50,MATCH($C600&amp;$H600,★原価率!$A$2:$A$50&amp;★原価率!$B$2:$B$50,0),4),0)</f>
        <v>94</v>
      </c>
      <c r="K600" s="464" cm="1">
        <f t="array" ref="K600">IFERROR(INDEX(★原価率!$A$2:$E$50,MATCH($C600&amp;$H600,★原価率!$A$2:$A$50&amp;★原価率!$B$2:$B$50,0),5),0)</f>
        <v>100</v>
      </c>
      <c r="L600" s="528">
        <f>IFERROR(VLOOKUP(W600,★商品!$A$1:$H$1231,8,FALSE),0)</f>
        <v>2.8</v>
      </c>
      <c r="M600" s="203" t="str">
        <f ca="1">CONCATENATE(VLOOKUP(B600,★営業所!$A$2:$B$5,2,FALSE),TEXT(NOW(),"yyyy"))</f>
        <v>T2023</v>
      </c>
      <c r="N600" s="203">
        <v>1</v>
      </c>
      <c r="O600" s="203">
        <v>0</v>
      </c>
      <c r="P600" s="213">
        <f>申込書!$B$6</f>
        <v>0</v>
      </c>
      <c r="Q600" s="203">
        <f>申込書!$C$34</f>
        <v>1000040</v>
      </c>
      <c r="R600" s="203">
        <v>0</v>
      </c>
      <c r="U600" s="203">
        <f>VLOOKUP(B600,★営業所!$A$2:$C$5,3,FALSE)</f>
        <v>8</v>
      </c>
      <c r="V600" s="203">
        <f>申込書!$B$9</f>
        <v>0</v>
      </c>
      <c r="W600" s="203" t="str">
        <f>CONCATENATE(VLOOKUP(B600,★営業所!$A$2:$B$5,2,FALSE),VLOOKUP(申込書!$C$32,★サイズ表記!$D$4:$E$55,2,FALSE),VLOOKUP(D600,★折込地区!$A$2:$B$11,2,FALSE))</f>
        <v>T1001Yng</v>
      </c>
      <c r="X600" s="203" t="str">
        <f>CONCATENATE(申込書!$B$9," ",VLOOKUP(RIGHT(W600,3),★折込地区!$B$2:$C$10,2,FALSE),"")</f>
        <v xml:space="preserve"> 米子</v>
      </c>
      <c r="Z600" s="206">
        <f t="shared" ca="1" si="71"/>
        <v>0</v>
      </c>
      <c r="AB600" s="383">
        <f t="shared" si="72"/>
        <v>2.8</v>
      </c>
      <c r="AC600" s="203" t="str">
        <f t="shared" si="73"/>
        <v>P1001</v>
      </c>
      <c r="AD600" s="203" t="str">
        <f>VLOOKUP(AC600,★原価商品!$E$6:$F$349,2,FALSE)</f>
        <v>産経/B4（折り無し）</v>
      </c>
      <c r="AE600" s="203">
        <f t="shared" ca="1" si="74"/>
        <v>0</v>
      </c>
      <c r="AF600" s="383">
        <f ca="1">IFERROR(IF(VLOOKUP(申込書!$C$32,★サイズ表記!$F$4:$H$55,3,FALSE)="切り捨て",ROUNDDOWN(L600*IF(AK600="◎",I600,J600)/100,2),IF(VLOOKUP(申込書!$C$32,★サイズ表記!$F$4:$H$55,3,FALSE)="切り上げ",ROUNDUP(L600*IF(AK600="◎",I600,J600)/100,2),ROUND(L600*IF(AK600="◎",I600,J600)/100,2))),0)</f>
        <v>2.63</v>
      </c>
      <c r="AG600" s="203">
        <f t="shared" ca="1" si="75"/>
        <v>0</v>
      </c>
      <c r="AJ600" s="460" t="str">
        <f>IFERROR(VLOOKUP(申込書!$C$30,★業種!$D$2:$E$87,2,FALSE),"")</f>
        <v>1003</v>
      </c>
      <c r="AK600" s="460" t="str">
        <f ca="1">IF(申込書!$C$36="◎",IF(OR(D600="浜坂・温泉",D600="美方・村岡",D600="香住",D600="岡山",D600="大阪"),"",IF(LEFT(F600)="D","◎",IF(AG600=0,"",IFERROR(IF(VLOOKUP(AG600,★仕入先!$A$2:$C$211,3,FALSE)=0,"","◎"),"")))),"")</f>
        <v/>
      </c>
      <c r="AL600" s="460">
        <f>申込書!$H$14</f>
        <v>0</v>
      </c>
      <c r="AM600" s="460" t="str">
        <f>申込書!$C$32</f>
        <v>B4（折り無し）</v>
      </c>
      <c r="AN600" s="460" t="str">
        <f>VLOOKUP(AM600,★サイズ表記!$D$4:$E$55,2,FALSE)</f>
        <v>1001</v>
      </c>
      <c r="AO600" s="460">
        <f>IF(C600&lt;&gt;"⑧兵庫",VLOOKUP(LEFT(F600),★新聞!$A$4:$B$12,2,FALSE),IF(LEFT(F600)&lt;&gt;"S",VLOOKUP(LEFT(F600),★新聞!$A$4:$B$12,2,FALSE),VLOOKUP("X",★新聞!$A$4:$B$12,2,FALSE)))</f>
        <v>5</v>
      </c>
      <c r="AP600" s="460" t="str">
        <f t="shared" ca="1" si="76"/>
        <v>0</v>
      </c>
      <c r="AQ600" s="460" t="str">
        <f>IF(申込書!$C$38="","",申込書!$C$38)</f>
        <v/>
      </c>
    </row>
    <row r="601" spans="1:43">
      <c r="A601" s="463">
        <f t="shared" si="77"/>
        <v>600</v>
      </c>
      <c r="B601" s="463" t="str">
        <f t="shared" si="70"/>
        <v>東部</v>
      </c>
      <c r="C601" s="464" t="s">
        <v>1018</v>
      </c>
      <c r="D601" s="464" t="s">
        <v>1603</v>
      </c>
      <c r="E601" s="464">
        <f>VLOOKUP(D601,★折込地区!$A$2:$D$10,4,FALSE)</f>
        <v>3</v>
      </c>
      <c r="F601" s="464" t="s">
        <v>474</v>
      </c>
      <c r="G601" s="464" t="str">
        <f>INDEX(★新聞!$E$4:$I$12, MATCH(LEFT(F601),★新聞!$A$4:$A$12,0), MATCH(LEFT(W601),★新聞!$E$3:$I$3,0))</f>
        <v>AJ</v>
      </c>
      <c r="H601" s="475" t="s">
        <v>1119</v>
      </c>
      <c r="I601" s="464" cm="1">
        <f t="array" ref="I601">IFERROR(INDEX(★原価率!$A$2:$E$50,MATCH($C601&amp;$H601,★原価率!$A$2:$A$50&amp;★原価率!$B$2:$B$50,0),3),0)</f>
        <v>94</v>
      </c>
      <c r="J601" s="464" cm="1">
        <f t="array" ref="J601">IFERROR(INDEX(★原価率!$A$2:$E$50,MATCH($C601&amp;$H601,★原価率!$A$2:$A$50&amp;★原価率!$B$2:$B$50,0),4),0)</f>
        <v>94</v>
      </c>
      <c r="K601" s="464" cm="1">
        <f t="array" ref="K601">IFERROR(INDEX(★原価率!$A$2:$E$50,MATCH($C601&amp;$H601,★原価率!$A$2:$A$50&amp;★原価率!$B$2:$B$50,0),5),0)</f>
        <v>100</v>
      </c>
      <c r="L601" s="528">
        <f>IFERROR(VLOOKUP(W601,★商品!$A$1:$H$1231,8,FALSE),0)</f>
        <v>2.8</v>
      </c>
      <c r="M601" s="203" t="str">
        <f ca="1">CONCATENATE(VLOOKUP(B601,★営業所!$A$2:$B$5,2,FALSE),TEXT(NOW(),"yyyy"))</f>
        <v>T2023</v>
      </c>
      <c r="N601" s="203">
        <v>1</v>
      </c>
      <c r="O601" s="203">
        <v>0</v>
      </c>
      <c r="P601" s="213">
        <f>申込書!$B$6</f>
        <v>0</v>
      </c>
      <c r="Q601" s="203">
        <f>申込書!$C$34</f>
        <v>1000040</v>
      </c>
      <c r="R601" s="203">
        <v>0</v>
      </c>
      <c r="U601" s="203">
        <f>VLOOKUP(B601,★営業所!$A$2:$C$5,3,FALSE)</f>
        <v>8</v>
      </c>
      <c r="V601" s="203">
        <f>申込書!$B$9</f>
        <v>0</v>
      </c>
      <c r="W601" s="203" t="str">
        <f>CONCATENATE(VLOOKUP(B601,★営業所!$A$2:$B$5,2,FALSE),VLOOKUP(申込書!$C$32,★サイズ表記!$D$4:$E$55,2,FALSE),VLOOKUP(D601,★折込地区!$A$2:$B$11,2,FALSE))</f>
        <v>T1001Yng</v>
      </c>
      <c r="X601" s="203" t="str">
        <f>CONCATENATE(申込書!$B$9," ",VLOOKUP(RIGHT(W601,3),★折込地区!$B$2:$C$10,2,FALSE),"")</f>
        <v xml:space="preserve"> 米子</v>
      </c>
      <c r="Z601" s="206">
        <f t="shared" ca="1" si="71"/>
        <v>0</v>
      </c>
      <c r="AB601" s="383">
        <f t="shared" si="72"/>
        <v>2.8</v>
      </c>
      <c r="AC601" s="203" t="str">
        <f t="shared" si="73"/>
        <v>P1001</v>
      </c>
      <c r="AD601" s="203" t="str">
        <f>VLOOKUP(AC601,★原価商品!$E$6:$F$349,2,FALSE)</f>
        <v>産経/B4（折り無し）</v>
      </c>
      <c r="AE601" s="203">
        <f t="shared" ca="1" si="74"/>
        <v>0</v>
      </c>
      <c r="AF601" s="383">
        <f ca="1">IFERROR(IF(VLOOKUP(申込書!$C$32,★サイズ表記!$F$4:$H$55,3,FALSE)="切り捨て",ROUNDDOWN(L601*IF(AK601="◎",I601,J601)/100,2),IF(VLOOKUP(申込書!$C$32,★サイズ表記!$F$4:$H$55,3,FALSE)="切り上げ",ROUNDUP(L601*IF(AK601="◎",I601,J601)/100,2),ROUND(L601*IF(AK601="◎",I601,J601)/100,2))),0)</f>
        <v>2.63</v>
      </c>
      <c r="AG601" s="203">
        <f t="shared" ca="1" si="75"/>
        <v>0</v>
      </c>
      <c r="AJ601" s="460" t="str">
        <f>IFERROR(VLOOKUP(申込書!$C$30,★業種!$D$2:$E$87,2,FALSE),"")</f>
        <v>1003</v>
      </c>
      <c r="AK601" s="460" t="str">
        <f ca="1">IF(申込書!$C$36="◎",IF(OR(D601="浜坂・温泉",D601="美方・村岡",D601="香住",D601="岡山",D601="大阪"),"",IF(LEFT(F601)="D","◎",IF(AG601=0,"",IFERROR(IF(VLOOKUP(AG601,★仕入先!$A$2:$C$211,3,FALSE)=0,"","◎"),"")))),"")</f>
        <v/>
      </c>
      <c r="AL601" s="460">
        <f>申込書!$H$14</f>
        <v>0</v>
      </c>
      <c r="AM601" s="460" t="str">
        <f>申込書!$C$32</f>
        <v>B4（折り無し）</v>
      </c>
      <c r="AN601" s="460" t="str">
        <f>VLOOKUP(AM601,★サイズ表記!$D$4:$E$55,2,FALSE)</f>
        <v>1001</v>
      </c>
      <c r="AO601" s="460">
        <f>IF(C601&lt;&gt;"⑧兵庫",VLOOKUP(LEFT(F601),★新聞!$A$4:$B$12,2,FALSE),IF(LEFT(F601)&lt;&gt;"S",VLOOKUP(LEFT(F601),★新聞!$A$4:$B$12,2,FALSE),VLOOKUP("X",★新聞!$A$4:$B$12,2,FALSE)))</f>
        <v>5</v>
      </c>
      <c r="AP601" s="460" t="str">
        <f t="shared" ca="1" si="76"/>
        <v>0</v>
      </c>
      <c r="AQ601" s="460" t="str">
        <f>IF(申込書!$C$38="","",申込書!$C$38)</f>
        <v/>
      </c>
    </row>
    <row r="602" spans="1:43">
      <c r="A602" s="463">
        <f t="shared" si="77"/>
        <v>601</v>
      </c>
      <c r="B602" s="463" t="str">
        <f t="shared" si="70"/>
        <v>東部</v>
      </c>
      <c r="C602" s="464" t="s">
        <v>1018</v>
      </c>
      <c r="D602" s="464" t="s">
        <v>1603</v>
      </c>
      <c r="E602" s="464">
        <f>VLOOKUP(D602,★折込地区!$A$2:$D$10,4,FALSE)</f>
        <v>3</v>
      </c>
      <c r="F602" s="464" t="s">
        <v>475</v>
      </c>
      <c r="G602" s="464" t="str">
        <f>INDEX(★新聞!$E$4:$I$12, MATCH(LEFT(F602),★新聞!$A$4:$A$12,0), MATCH(LEFT(W602),★新聞!$E$3:$I$3,0))</f>
        <v>AJ</v>
      </c>
      <c r="H602" s="475" t="s">
        <v>1119</v>
      </c>
      <c r="I602" s="464" cm="1">
        <f t="array" ref="I602">IFERROR(INDEX(★原価率!$A$2:$E$50,MATCH($C602&amp;$H602,★原価率!$A$2:$A$50&amp;★原価率!$B$2:$B$50,0),3),0)</f>
        <v>94</v>
      </c>
      <c r="J602" s="464" cm="1">
        <f t="array" ref="J602">IFERROR(INDEX(★原価率!$A$2:$E$50,MATCH($C602&amp;$H602,★原価率!$A$2:$A$50&amp;★原価率!$B$2:$B$50,0),4),0)</f>
        <v>94</v>
      </c>
      <c r="K602" s="464" cm="1">
        <f t="array" ref="K602">IFERROR(INDEX(★原価率!$A$2:$E$50,MATCH($C602&amp;$H602,★原価率!$A$2:$A$50&amp;★原価率!$B$2:$B$50,0),5),0)</f>
        <v>100</v>
      </c>
      <c r="L602" s="528">
        <f>IFERROR(VLOOKUP(W602,★商品!$A$1:$H$1231,8,FALSE),0)</f>
        <v>2.8</v>
      </c>
      <c r="M602" s="203" t="str">
        <f ca="1">CONCATENATE(VLOOKUP(B602,★営業所!$A$2:$B$5,2,FALSE),TEXT(NOW(),"yyyy"))</f>
        <v>T2023</v>
      </c>
      <c r="N602" s="203">
        <v>1</v>
      </c>
      <c r="O602" s="203">
        <v>0</v>
      </c>
      <c r="P602" s="213">
        <f>申込書!$B$6</f>
        <v>0</v>
      </c>
      <c r="Q602" s="203">
        <f>申込書!$C$34</f>
        <v>1000040</v>
      </c>
      <c r="R602" s="203">
        <v>0</v>
      </c>
      <c r="U602" s="203">
        <f>VLOOKUP(B602,★営業所!$A$2:$C$5,3,FALSE)</f>
        <v>8</v>
      </c>
      <c r="V602" s="203">
        <f>申込書!$B$9</f>
        <v>0</v>
      </c>
      <c r="W602" s="203" t="str">
        <f>CONCATENATE(VLOOKUP(B602,★営業所!$A$2:$B$5,2,FALSE),VLOOKUP(申込書!$C$32,★サイズ表記!$D$4:$E$55,2,FALSE),VLOOKUP(D602,★折込地区!$A$2:$B$11,2,FALSE))</f>
        <v>T1001Yng</v>
      </c>
      <c r="X602" s="203" t="str">
        <f>CONCATENATE(申込書!$B$9," ",VLOOKUP(RIGHT(W602,3),★折込地区!$B$2:$C$10,2,FALSE),"")</f>
        <v xml:space="preserve"> 米子</v>
      </c>
      <c r="Z602" s="206">
        <f t="shared" ca="1" si="71"/>
        <v>0</v>
      </c>
      <c r="AB602" s="383">
        <f t="shared" si="72"/>
        <v>2.8</v>
      </c>
      <c r="AC602" s="203" t="str">
        <f t="shared" si="73"/>
        <v>P1001</v>
      </c>
      <c r="AD602" s="203" t="str">
        <f>VLOOKUP(AC602,★原価商品!$E$6:$F$349,2,FALSE)</f>
        <v>産経/B4（折り無し）</v>
      </c>
      <c r="AE602" s="203">
        <f t="shared" ca="1" si="74"/>
        <v>0</v>
      </c>
      <c r="AF602" s="383">
        <f ca="1">IFERROR(IF(VLOOKUP(申込書!$C$32,★サイズ表記!$F$4:$H$55,3,FALSE)="切り捨て",ROUNDDOWN(L602*IF(AK602="◎",I602,J602)/100,2),IF(VLOOKUP(申込書!$C$32,★サイズ表記!$F$4:$H$55,3,FALSE)="切り上げ",ROUNDUP(L602*IF(AK602="◎",I602,J602)/100,2),ROUND(L602*IF(AK602="◎",I602,J602)/100,2))),0)</f>
        <v>2.63</v>
      </c>
      <c r="AG602" s="203">
        <f t="shared" ca="1" si="75"/>
        <v>0</v>
      </c>
      <c r="AJ602" s="460" t="str">
        <f>IFERROR(VLOOKUP(申込書!$C$30,★業種!$D$2:$E$87,2,FALSE),"")</f>
        <v>1003</v>
      </c>
      <c r="AK602" s="460" t="str">
        <f ca="1">IF(申込書!$C$36="◎",IF(OR(D602="浜坂・温泉",D602="美方・村岡",D602="香住",D602="岡山",D602="大阪"),"",IF(LEFT(F602)="D","◎",IF(AG602=0,"",IFERROR(IF(VLOOKUP(AG602,★仕入先!$A$2:$C$211,3,FALSE)=0,"","◎"),"")))),"")</f>
        <v/>
      </c>
      <c r="AL602" s="460">
        <f>申込書!$H$14</f>
        <v>0</v>
      </c>
      <c r="AM602" s="460" t="str">
        <f>申込書!$C$32</f>
        <v>B4（折り無し）</v>
      </c>
      <c r="AN602" s="460" t="str">
        <f>VLOOKUP(AM602,★サイズ表記!$D$4:$E$55,2,FALSE)</f>
        <v>1001</v>
      </c>
      <c r="AO602" s="460">
        <f>IF(C602&lt;&gt;"⑧兵庫",VLOOKUP(LEFT(F602),★新聞!$A$4:$B$12,2,FALSE),IF(LEFT(F602)&lt;&gt;"S",VLOOKUP(LEFT(F602),★新聞!$A$4:$B$12,2,FALSE),VLOOKUP("X",★新聞!$A$4:$B$12,2,FALSE)))</f>
        <v>5</v>
      </c>
      <c r="AP602" s="460" t="str">
        <f t="shared" ca="1" si="76"/>
        <v>0</v>
      </c>
      <c r="AQ602" s="460" t="str">
        <f>IF(申込書!$C$38="","",申込書!$C$38)</f>
        <v/>
      </c>
    </row>
    <row r="603" spans="1:43">
      <c r="A603" s="463">
        <f t="shared" si="77"/>
        <v>602</v>
      </c>
      <c r="B603" s="463" t="str">
        <f t="shared" si="70"/>
        <v>東部</v>
      </c>
      <c r="C603" s="464" t="s">
        <v>1018</v>
      </c>
      <c r="D603" s="464" t="s">
        <v>1603</v>
      </c>
      <c r="E603" s="464">
        <f>VLOOKUP(D603,★折込地区!$A$2:$D$10,4,FALSE)</f>
        <v>3</v>
      </c>
      <c r="F603" s="464" t="s">
        <v>476</v>
      </c>
      <c r="G603" s="464" t="str">
        <f>INDEX(★新聞!$E$4:$I$12, MATCH(LEFT(F603),★新聞!$A$4:$A$12,0), MATCH(LEFT(W603),★新聞!$E$3:$I$3,0))</f>
        <v>AJ</v>
      </c>
      <c r="H603" s="475" t="s">
        <v>1119</v>
      </c>
      <c r="I603" s="464" cm="1">
        <f t="array" ref="I603">IFERROR(INDEX(★原価率!$A$2:$E$50,MATCH($C603&amp;$H603,★原価率!$A$2:$A$50&amp;★原価率!$B$2:$B$50,0),3),0)</f>
        <v>94</v>
      </c>
      <c r="J603" s="464" cm="1">
        <f t="array" ref="J603">IFERROR(INDEX(★原価率!$A$2:$E$50,MATCH($C603&amp;$H603,★原価率!$A$2:$A$50&amp;★原価率!$B$2:$B$50,0),4),0)</f>
        <v>94</v>
      </c>
      <c r="K603" s="464" cm="1">
        <f t="array" ref="K603">IFERROR(INDEX(★原価率!$A$2:$E$50,MATCH($C603&amp;$H603,★原価率!$A$2:$A$50&amp;★原価率!$B$2:$B$50,0),5),0)</f>
        <v>100</v>
      </c>
      <c r="L603" s="528">
        <f>IFERROR(VLOOKUP(W603,★商品!$A$1:$H$1231,8,FALSE),0)</f>
        <v>2.8</v>
      </c>
      <c r="M603" s="203" t="str">
        <f ca="1">CONCATENATE(VLOOKUP(B603,★営業所!$A$2:$B$5,2,FALSE),TEXT(NOW(),"yyyy"))</f>
        <v>T2023</v>
      </c>
      <c r="N603" s="203">
        <v>1</v>
      </c>
      <c r="O603" s="203">
        <v>0</v>
      </c>
      <c r="P603" s="213">
        <f>申込書!$B$6</f>
        <v>0</v>
      </c>
      <c r="Q603" s="203">
        <f>申込書!$C$34</f>
        <v>1000040</v>
      </c>
      <c r="R603" s="203">
        <v>0</v>
      </c>
      <c r="U603" s="203">
        <f>VLOOKUP(B603,★営業所!$A$2:$C$5,3,FALSE)</f>
        <v>8</v>
      </c>
      <c r="V603" s="203">
        <f>申込書!$B$9</f>
        <v>0</v>
      </c>
      <c r="W603" s="203" t="str">
        <f>CONCATENATE(VLOOKUP(B603,★営業所!$A$2:$B$5,2,FALSE),VLOOKUP(申込書!$C$32,★サイズ表記!$D$4:$E$55,2,FALSE),VLOOKUP(D603,★折込地区!$A$2:$B$11,2,FALSE))</f>
        <v>T1001Yng</v>
      </c>
      <c r="X603" s="203" t="str">
        <f>CONCATENATE(申込書!$B$9," ",VLOOKUP(RIGHT(W603,3),★折込地区!$B$2:$C$10,2,FALSE),"")</f>
        <v xml:space="preserve"> 米子</v>
      </c>
      <c r="Z603" s="206">
        <f t="shared" ca="1" si="71"/>
        <v>0</v>
      </c>
      <c r="AB603" s="383">
        <f t="shared" si="72"/>
        <v>2.8</v>
      </c>
      <c r="AC603" s="203" t="str">
        <f t="shared" si="73"/>
        <v>P1001</v>
      </c>
      <c r="AD603" s="203" t="str">
        <f>VLOOKUP(AC603,★原価商品!$E$6:$F$349,2,FALSE)</f>
        <v>産経/B4（折り無し）</v>
      </c>
      <c r="AE603" s="203">
        <f t="shared" ca="1" si="74"/>
        <v>0</v>
      </c>
      <c r="AF603" s="383">
        <f ca="1">IFERROR(IF(VLOOKUP(申込書!$C$32,★サイズ表記!$F$4:$H$55,3,FALSE)="切り捨て",ROUNDDOWN(L603*IF(AK603="◎",I603,J603)/100,2),IF(VLOOKUP(申込書!$C$32,★サイズ表記!$F$4:$H$55,3,FALSE)="切り上げ",ROUNDUP(L603*IF(AK603="◎",I603,J603)/100,2),ROUND(L603*IF(AK603="◎",I603,J603)/100,2))),0)</f>
        <v>2.63</v>
      </c>
      <c r="AG603" s="203">
        <f t="shared" ca="1" si="75"/>
        <v>0</v>
      </c>
      <c r="AJ603" s="460" t="str">
        <f>IFERROR(VLOOKUP(申込書!$C$30,★業種!$D$2:$E$87,2,FALSE),"")</f>
        <v>1003</v>
      </c>
      <c r="AK603" s="460" t="str">
        <f ca="1">IF(申込書!$C$36="◎",IF(OR(D603="浜坂・温泉",D603="美方・村岡",D603="香住",D603="岡山",D603="大阪"),"",IF(LEFT(F603)="D","◎",IF(AG603=0,"",IFERROR(IF(VLOOKUP(AG603,★仕入先!$A$2:$C$211,3,FALSE)=0,"","◎"),"")))),"")</f>
        <v/>
      </c>
      <c r="AL603" s="460">
        <f>申込書!$H$14</f>
        <v>0</v>
      </c>
      <c r="AM603" s="460" t="str">
        <f>申込書!$C$32</f>
        <v>B4（折り無し）</v>
      </c>
      <c r="AN603" s="460" t="str">
        <f>VLOOKUP(AM603,★サイズ表記!$D$4:$E$55,2,FALSE)</f>
        <v>1001</v>
      </c>
      <c r="AO603" s="460">
        <f>IF(C603&lt;&gt;"⑧兵庫",VLOOKUP(LEFT(F603),★新聞!$A$4:$B$12,2,FALSE),IF(LEFT(F603)&lt;&gt;"S",VLOOKUP(LEFT(F603),★新聞!$A$4:$B$12,2,FALSE),VLOOKUP("X",★新聞!$A$4:$B$12,2,FALSE)))</f>
        <v>5</v>
      </c>
      <c r="AP603" s="460" t="str">
        <f t="shared" ca="1" si="76"/>
        <v>0</v>
      </c>
      <c r="AQ603" s="460" t="str">
        <f>IF(申込書!$C$38="","",申込書!$C$38)</f>
        <v/>
      </c>
    </row>
    <row r="604" spans="1:43">
      <c r="A604" s="463">
        <f t="shared" si="77"/>
        <v>603</v>
      </c>
      <c r="B604" s="463" t="str">
        <f t="shared" si="70"/>
        <v>東部</v>
      </c>
      <c r="C604" s="464" t="s">
        <v>1018</v>
      </c>
      <c r="D604" s="464" t="s">
        <v>1603</v>
      </c>
      <c r="E604" s="464">
        <f>VLOOKUP(D604,★折込地区!$A$2:$D$10,4,FALSE)</f>
        <v>3</v>
      </c>
      <c r="F604" s="464" t="s">
        <v>477</v>
      </c>
      <c r="G604" s="464" t="str">
        <f>INDEX(★新聞!$E$4:$I$12, MATCH(LEFT(F604),★新聞!$A$4:$A$12,0), MATCH(LEFT(W604),★新聞!$E$3:$I$3,0))</f>
        <v>AJ</v>
      </c>
      <c r="H604" s="475" t="s">
        <v>1119</v>
      </c>
      <c r="I604" s="464" cm="1">
        <f t="array" ref="I604">IFERROR(INDEX(★原価率!$A$2:$E$50,MATCH($C604&amp;$H604,★原価率!$A$2:$A$50&amp;★原価率!$B$2:$B$50,0),3),0)</f>
        <v>94</v>
      </c>
      <c r="J604" s="464" cm="1">
        <f t="array" ref="J604">IFERROR(INDEX(★原価率!$A$2:$E$50,MATCH($C604&amp;$H604,★原価率!$A$2:$A$50&amp;★原価率!$B$2:$B$50,0),4),0)</f>
        <v>94</v>
      </c>
      <c r="K604" s="464" cm="1">
        <f t="array" ref="K604">IFERROR(INDEX(★原価率!$A$2:$E$50,MATCH($C604&amp;$H604,★原価率!$A$2:$A$50&amp;★原価率!$B$2:$B$50,0),5),0)</f>
        <v>100</v>
      </c>
      <c r="L604" s="528">
        <f>IFERROR(VLOOKUP(W604,★商品!$A$1:$H$1231,8,FALSE),0)</f>
        <v>2.8</v>
      </c>
      <c r="M604" s="203" t="str">
        <f ca="1">CONCATENATE(VLOOKUP(B604,★営業所!$A$2:$B$5,2,FALSE),TEXT(NOW(),"yyyy"))</f>
        <v>T2023</v>
      </c>
      <c r="N604" s="203">
        <v>1</v>
      </c>
      <c r="O604" s="203">
        <v>0</v>
      </c>
      <c r="P604" s="213">
        <f>申込書!$B$6</f>
        <v>0</v>
      </c>
      <c r="Q604" s="203">
        <f>申込書!$C$34</f>
        <v>1000040</v>
      </c>
      <c r="R604" s="203">
        <v>0</v>
      </c>
      <c r="U604" s="203">
        <f>VLOOKUP(B604,★営業所!$A$2:$C$5,3,FALSE)</f>
        <v>8</v>
      </c>
      <c r="V604" s="203">
        <f>申込書!$B$9</f>
        <v>0</v>
      </c>
      <c r="W604" s="203" t="str">
        <f>CONCATENATE(VLOOKUP(B604,★営業所!$A$2:$B$5,2,FALSE),VLOOKUP(申込書!$C$32,★サイズ表記!$D$4:$E$55,2,FALSE),VLOOKUP(D604,★折込地区!$A$2:$B$11,2,FALSE))</f>
        <v>T1001Yng</v>
      </c>
      <c r="X604" s="203" t="str">
        <f>CONCATENATE(申込書!$B$9," ",VLOOKUP(RIGHT(W604,3),★折込地区!$B$2:$C$10,2,FALSE),"")</f>
        <v xml:space="preserve"> 米子</v>
      </c>
      <c r="Z604" s="206">
        <f t="shared" ca="1" si="71"/>
        <v>0</v>
      </c>
      <c r="AB604" s="383">
        <f t="shared" si="72"/>
        <v>2.8</v>
      </c>
      <c r="AC604" s="203" t="str">
        <f t="shared" si="73"/>
        <v>P1001</v>
      </c>
      <c r="AD604" s="203" t="str">
        <f>VLOOKUP(AC604,★原価商品!$E$6:$F$349,2,FALSE)</f>
        <v>産経/B4（折り無し）</v>
      </c>
      <c r="AE604" s="203">
        <f t="shared" ca="1" si="74"/>
        <v>0</v>
      </c>
      <c r="AF604" s="383">
        <f ca="1">IFERROR(IF(VLOOKUP(申込書!$C$32,★サイズ表記!$F$4:$H$55,3,FALSE)="切り捨て",ROUNDDOWN(L604*IF(AK604="◎",I604,J604)/100,2),IF(VLOOKUP(申込書!$C$32,★サイズ表記!$F$4:$H$55,3,FALSE)="切り上げ",ROUNDUP(L604*IF(AK604="◎",I604,J604)/100,2),ROUND(L604*IF(AK604="◎",I604,J604)/100,2))),0)</f>
        <v>2.63</v>
      </c>
      <c r="AG604" s="203">
        <f t="shared" ca="1" si="75"/>
        <v>0</v>
      </c>
      <c r="AJ604" s="460" t="str">
        <f>IFERROR(VLOOKUP(申込書!$C$30,★業種!$D$2:$E$87,2,FALSE),"")</f>
        <v>1003</v>
      </c>
      <c r="AK604" s="460" t="str">
        <f ca="1">IF(申込書!$C$36="◎",IF(OR(D604="浜坂・温泉",D604="美方・村岡",D604="香住",D604="岡山",D604="大阪"),"",IF(LEFT(F604)="D","◎",IF(AG604=0,"",IFERROR(IF(VLOOKUP(AG604,★仕入先!$A$2:$C$211,3,FALSE)=0,"","◎"),"")))),"")</f>
        <v/>
      </c>
      <c r="AL604" s="460">
        <f>申込書!$H$14</f>
        <v>0</v>
      </c>
      <c r="AM604" s="460" t="str">
        <f>申込書!$C$32</f>
        <v>B4（折り無し）</v>
      </c>
      <c r="AN604" s="460" t="str">
        <f>VLOOKUP(AM604,★サイズ表記!$D$4:$E$55,2,FALSE)</f>
        <v>1001</v>
      </c>
      <c r="AO604" s="460">
        <f>IF(C604&lt;&gt;"⑧兵庫",VLOOKUP(LEFT(F604),★新聞!$A$4:$B$12,2,FALSE),IF(LEFT(F604)&lt;&gt;"S",VLOOKUP(LEFT(F604),★新聞!$A$4:$B$12,2,FALSE),VLOOKUP("X",★新聞!$A$4:$B$12,2,FALSE)))</f>
        <v>5</v>
      </c>
      <c r="AP604" s="460" t="str">
        <f t="shared" ca="1" si="76"/>
        <v>0</v>
      </c>
      <c r="AQ604" s="460" t="str">
        <f>IF(申込書!$C$38="","",申込書!$C$38)</f>
        <v/>
      </c>
    </row>
    <row r="605" spans="1:43">
      <c r="A605" s="463">
        <f t="shared" si="77"/>
        <v>604</v>
      </c>
      <c r="B605" s="463" t="str">
        <f t="shared" si="70"/>
        <v>東部</v>
      </c>
      <c r="C605" s="464" t="s">
        <v>1018</v>
      </c>
      <c r="D605" s="464" t="s">
        <v>1603</v>
      </c>
      <c r="E605" s="464">
        <f>VLOOKUP(D605,★折込地区!$A$2:$D$10,4,FALSE)</f>
        <v>3</v>
      </c>
      <c r="F605" s="464" t="s">
        <v>478</v>
      </c>
      <c r="G605" s="464" t="str">
        <f>INDEX(★新聞!$E$4:$I$12, MATCH(LEFT(F605),★新聞!$A$4:$A$12,0), MATCH(LEFT(W605),★新聞!$E$3:$I$3,0))</f>
        <v>AJ</v>
      </c>
      <c r="H605" s="475" t="s">
        <v>1119</v>
      </c>
      <c r="I605" s="464" cm="1">
        <f t="array" ref="I605">IFERROR(INDEX(★原価率!$A$2:$E$50,MATCH($C605&amp;$H605,★原価率!$A$2:$A$50&amp;★原価率!$B$2:$B$50,0),3),0)</f>
        <v>94</v>
      </c>
      <c r="J605" s="464" cm="1">
        <f t="array" ref="J605">IFERROR(INDEX(★原価率!$A$2:$E$50,MATCH($C605&amp;$H605,★原価率!$A$2:$A$50&amp;★原価率!$B$2:$B$50,0),4),0)</f>
        <v>94</v>
      </c>
      <c r="K605" s="464" cm="1">
        <f t="array" ref="K605">IFERROR(INDEX(★原価率!$A$2:$E$50,MATCH($C605&amp;$H605,★原価率!$A$2:$A$50&amp;★原価率!$B$2:$B$50,0),5),0)</f>
        <v>100</v>
      </c>
      <c r="L605" s="528">
        <f>IFERROR(VLOOKUP(W605,★商品!$A$1:$H$1231,8,FALSE),0)</f>
        <v>2.8</v>
      </c>
      <c r="M605" s="203" t="str">
        <f ca="1">CONCATENATE(VLOOKUP(B605,★営業所!$A$2:$B$5,2,FALSE),TEXT(NOW(),"yyyy"))</f>
        <v>T2023</v>
      </c>
      <c r="N605" s="203">
        <v>1</v>
      </c>
      <c r="O605" s="203">
        <v>0</v>
      </c>
      <c r="P605" s="213">
        <f>申込書!$B$6</f>
        <v>0</v>
      </c>
      <c r="Q605" s="203">
        <f>申込書!$C$34</f>
        <v>1000040</v>
      </c>
      <c r="R605" s="203">
        <v>0</v>
      </c>
      <c r="U605" s="203">
        <f>VLOOKUP(B605,★営業所!$A$2:$C$5,3,FALSE)</f>
        <v>8</v>
      </c>
      <c r="V605" s="203">
        <f>申込書!$B$9</f>
        <v>0</v>
      </c>
      <c r="W605" s="203" t="str">
        <f>CONCATENATE(VLOOKUP(B605,★営業所!$A$2:$B$5,2,FALSE),VLOOKUP(申込書!$C$32,★サイズ表記!$D$4:$E$55,2,FALSE),VLOOKUP(D605,★折込地区!$A$2:$B$11,2,FALSE))</f>
        <v>T1001Yng</v>
      </c>
      <c r="X605" s="203" t="str">
        <f>CONCATENATE(申込書!$B$9," ",VLOOKUP(RIGHT(W605,3),★折込地区!$B$2:$C$10,2,FALSE),"")</f>
        <v xml:space="preserve"> 米子</v>
      </c>
      <c r="Z605" s="206">
        <f t="shared" ca="1" si="71"/>
        <v>0</v>
      </c>
      <c r="AB605" s="383">
        <f t="shared" si="72"/>
        <v>2.8</v>
      </c>
      <c r="AC605" s="203" t="str">
        <f t="shared" si="73"/>
        <v>P1001</v>
      </c>
      <c r="AD605" s="203" t="str">
        <f>VLOOKUP(AC605,★原価商品!$E$6:$F$349,2,FALSE)</f>
        <v>産経/B4（折り無し）</v>
      </c>
      <c r="AE605" s="203">
        <f t="shared" ca="1" si="74"/>
        <v>0</v>
      </c>
      <c r="AF605" s="383">
        <f ca="1">IFERROR(IF(VLOOKUP(申込書!$C$32,★サイズ表記!$F$4:$H$55,3,FALSE)="切り捨て",ROUNDDOWN(L605*IF(AK605="◎",I605,J605)/100,2),IF(VLOOKUP(申込書!$C$32,★サイズ表記!$F$4:$H$55,3,FALSE)="切り上げ",ROUNDUP(L605*IF(AK605="◎",I605,J605)/100,2),ROUND(L605*IF(AK605="◎",I605,J605)/100,2))),0)</f>
        <v>2.63</v>
      </c>
      <c r="AG605" s="203">
        <f t="shared" ca="1" si="75"/>
        <v>0</v>
      </c>
      <c r="AJ605" s="460" t="str">
        <f>IFERROR(VLOOKUP(申込書!$C$30,★業種!$D$2:$E$87,2,FALSE),"")</f>
        <v>1003</v>
      </c>
      <c r="AK605" s="460" t="str">
        <f ca="1">IF(申込書!$C$36="◎",IF(OR(D605="浜坂・温泉",D605="美方・村岡",D605="香住",D605="岡山",D605="大阪"),"",IF(LEFT(F605)="D","◎",IF(AG605=0,"",IFERROR(IF(VLOOKUP(AG605,★仕入先!$A$2:$C$211,3,FALSE)=0,"","◎"),"")))),"")</f>
        <v/>
      </c>
      <c r="AL605" s="460">
        <f>申込書!$H$14</f>
        <v>0</v>
      </c>
      <c r="AM605" s="460" t="str">
        <f>申込書!$C$32</f>
        <v>B4（折り無し）</v>
      </c>
      <c r="AN605" s="460" t="str">
        <f>VLOOKUP(AM605,★サイズ表記!$D$4:$E$55,2,FALSE)</f>
        <v>1001</v>
      </c>
      <c r="AO605" s="460">
        <f>IF(C605&lt;&gt;"⑧兵庫",VLOOKUP(LEFT(F605),★新聞!$A$4:$B$12,2,FALSE),IF(LEFT(F605)&lt;&gt;"S",VLOOKUP(LEFT(F605),★新聞!$A$4:$B$12,2,FALSE),VLOOKUP("X",★新聞!$A$4:$B$12,2,FALSE)))</f>
        <v>5</v>
      </c>
      <c r="AP605" s="460" t="str">
        <f t="shared" ca="1" si="76"/>
        <v>0</v>
      </c>
      <c r="AQ605" s="460" t="str">
        <f>IF(申込書!$C$38="","",申込書!$C$38)</f>
        <v/>
      </c>
    </row>
    <row r="606" spans="1:43">
      <c r="A606" s="463">
        <f t="shared" si="77"/>
        <v>605</v>
      </c>
      <c r="B606" s="463" t="str">
        <f t="shared" si="70"/>
        <v>東部</v>
      </c>
      <c r="C606" s="464" t="s">
        <v>1018</v>
      </c>
      <c r="D606" s="464" t="s">
        <v>1603</v>
      </c>
      <c r="E606" s="464">
        <f>VLOOKUP(D606,★折込地区!$A$2:$D$10,4,FALSE)</f>
        <v>3</v>
      </c>
      <c r="F606" s="464" t="s">
        <v>479</v>
      </c>
      <c r="G606" s="464" t="str">
        <f>INDEX(★新聞!$E$4:$I$12, MATCH(LEFT(F606),★新聞!$A$4:$A$12,0), MATCH(LEFT(W606),★新聞!$E$3:$I$3,0))</f>
        <v>AJ</v>
      </c>
      <c r="H606" s="475" t="s">
        <v>1119</v>
      </c>
      <c r="I606" s="464" cm="1">
        <f t="array" ref="I606">IFERROR(INDEX(★原価率!$A$2:$E$50,MATCH($C606&amp;$H606,★原価率!$A$2:$A$50&amp;★原価率!$B$2:$B$50,0),3),0)</f>
        <v>94</v>
      </c>
      <c r="J606" s="464" cm="1">
        <f t="array" ref="J606">IFERROR(INDEX(★原価率!$A$2:$E$50,MATCH($C606&amp;$H606,★原価率!$A$2:$A$50&amp;★原価率!$B$2:$B$50,0),4),0)</f>
        <v>94</v>
      </c>
      <c r="K606" s="464" cm="1">
        <f t="array" ref="K606">IFERROR(INDEX(★原価率!$A$2:$E$50,MATCH($C606&amp;$H606,★原価率!$A$2:$A$50&amp;★原価率!$B$2:$B$50,0),5),0)</f>
        <v>100</v>
      </c>
      <c r="L606" s="528">
        <f>IFERROR(VLOOKUP(W606,★商品!$A$1:$H$1231,8,FALSE),0)</f>
        <v>2.8</v>
      </c>
      <c r="M606" s="203" t="str">
        <f ca="1">CONCATENATE(VLOOKUP(B606,★営業所!$A$2:$B$5,2,FALSE),TEXT(NOW(),"yyyy"))</f>
        <v>T2023</v>
      </c>
      <c r="N606" s="203">
        <v>1</v>
      </c>
      <c r="O606" s="203">
        <v>0</v>
      </c>
      <c r="P606" s="213">
        <f>申込書!$B$6</f>
        <v>0</v>
      </c>
      <c r="Q606" s="203">
        <f>申込書!$C$34</f>
        <v>1000040</v>
      </c>
      <c r="R606" s="203">
        <v>0</v>
      </c>
      <c r="U606" s="203">
        <f>VLOOKUP(B606,★営業所!$A$2:$C$5,3,FALSE)</f>
        <v>8</v>
      </c>
      <c r="V606" s="203">
        <f>申込書!$B$9</f>
        <v>0</v>
      </c>
      <c r="W606" s="203" t="str">
        <f>CONCATENATE(VLOOKUP(B606,★営業所!$A$2:$B$5,2,FALSE),VLOOKUP(申込書!$C$32,★サイズ表記!$D$4:$E$55,2,FALSE),VLOOKUP(D606,★折込地区!$A$2:$B$11,2,FALSE))</f>
        <v>T1001Yng</v>
      </c>
      <c r="X606" s="203" t="str">
        <f>CONCATENATE(申込書!$B$9," ",VLOOKUP(RIGHT(W606,3),★折込地区!$B$2:$C$10,2,FALSE),"")</f>
        <v xml:space="preserve"> 米子</v>
      </c>
      <c r="Z606" s="206">
        <f t="shared" ca="1" si="71"/>
        <v>0</v>
      </c>
      <c r="AB606" s="383">
        <f t="shared" si="72"/>
        <v>2.8</v>
      </c>
      <c r="AC606" s="203" t="str">
        <f t="shared" si="73"/>
        <v>P1001</v>
      </c>
      <c r="AD606" s="203" t="str">
        <f>VLOOKUP(AC606,★原価商品!$E$6:$F$349,2,FALSE)</f>
        <v>産経/B4（折り無し）</v>
      </c>
      <c r="AE606" s="203">
        <f t="shared" ca="1" si="74"/>
        <v>0</v>
      </c>
      <c r="AF606" s="383">
        <f ca="1">IFERROR(IF(VLOOKUP(申込書!$C$32,★サイズ表記!$F$4:$H$55,3,FALSE)="切り捨て",ROUNDDOWN(L606*IF(AK606="◎",I606,J606)/100,2),IF(VLOOKUP(申込書!$C$32,★サイズ表記!$F$4:$H$55,3,FALSE)="切り上げ",ROUNDUP(L606*IF(AK606="◎",I606,J606)/100,2),ROUND(L606*IF(AK606="◎",I606,J606)/100,2))),0)</f>
        <v>2.63</v>
      </c>
      <c r="AG606" s="203">
        <f t="shared" ca="1" si="75"/>
        <v>0</v>
      </c>
      <c r="AJ606" s="460" t="str">
        <f>IFERROR(VLOOKUP(申込書!$C$30,★業種!$D$2:$E$87,2,FALSE),"")</f>
        <v>1003</v>
      </c>
      <c r="AK606" s="460" t="str">
        <f ca="1">IF(申込書!$C$36="◎",IF(OR(D606="浜坂・温泉",D606="美方・村岡",D606="香住",D606="岡山",D606="大阪"),"",IF(LEFT(F606)="D","◎",IF(AG606=0,"",IFERROR(IF(VLOOKUP(AG606,★仕入先!$A$2:$C$211,3,FALSE)=0,"","◎"),"")))),"")</f>
        <v/>
      </c>
      <c r="AL606" s="460">
        <f>申込書!$H$14</f>
        <v>0</v>
      </c>
      <c r="AM606" s="460" t="str">
        <f>申込書!$C$32</f>
        <v>B4（折り無し）</v>
      </c>
      <c r="AN606" s="460" t="str">
        <f>VLOOKUP(AM606,★サイズ表記!$D$4:$E$55,2,FALSE)</f>
        <v>1001</v>
      </c>
      <c r="AO606" s="460">
        <f>IF(C606&lt;&gt;"⑧兵庫",VLOOKUP(LEFT(F606),★新聞!$A$4:$B$12,2,FALSE),IF(LEFT(F606)&lt;&gt;"S",VLOOKUP(LEFT(F606),★新聞!$A$4:$B$12,2,FALSE),VLOOKUP("X",★新聞!$A$4:$B$12,2,FALSE)))</f>
        <v>5</v>
      </c>
      <c r="AP606" s="460" t="str">
        <f t="shared" ca="1" si="76"/>
        <v>0</v>
      </c>
      <c r="AQ606" s="460" t="str">
        <f>IF(申込書!$C$38="","",申込書!$C$38)</f>
        <v/>
      </c>
    </row>
    <row r="607" spans="1:43">
      <c r="A607" s="463">
        <f t="shared" si="77"/>
        <v>606</v>
      </c>
      <c r="B607" s="463" t="str">
        <f t="shared" si="70"/>
        <v>東部</v>
      </c>
      <c r="C607" s="464" t="s">
        <v>1018</v>
      </c>
      <c r="D607" s="464" t="s">
        <v>1603</v>
      </c>
      <c r="E607" s="464">
        <f>VLOOKUP(D607,★折込地区!$A$2:$D$10,4,FALSE)</f>
        <v>3</v>
      </c>
      <c r="F607" s="464" t="s">
        <v>480</v>
      </c>
      <c r="G607" s="464" t="str">
        <f>INDEX(★新聞!$E$4:$I$12, MATCH(LEFT(F607),★新聞!$A$4:$A$12,0), MATCH(LEFT(W607),★新聞!$E$3:$I$3,0))</f>
        <v>AJ</v>
      </c>
      <c r="H607" s="475" t="s">
        <v>1119</v>
      </c>
      <c r="I607" s="464" cm="1">
        <f t="array" ref="I607">IFERROR(INDEX(★原価率!$A$2:$E$50,MATCH($C607&amp;$H607,★原価率!$A$2:$A$50&amp;★原価率!$B$2:$B$50,0),3),0)</f>
        <v>94</v>
      </c>
      <c r="J607" s="464" cm="1">
        <f t="array" ref="J607">IFERROR(INDEX(★原価率!$A$2:$E$50,MATCH($C607&amp;$H607,★原価率!$A$2:$A$50&amp;★原価率!$B$2:$B$50,0),4),0)</f>
        <v>94</v>
      </c>
      <c r="K607" s="464" cm="1">
        <f t="array" ref="K607">IFERROR(INDEX(★原価率!$A$2:$E$50,MATCH($C607&amp;$H607,★原価率!$A$2:$A$50&amp;★原価率!$B$2:$B$50,0),5),0)</f>
        <v>100</v>
      </c>
      <c r="L607" s="528">
        <f>IFERROR(VLOOKUP(W607,★商品!$A$1:$H$1231,8,FALSE),0)</f>
        <v>2.8</v>
      </c>
      <c r="M607" s="203" t="str">
        <f ca="1">CONCATENATE(VLOOKUP(B607,★営業所!$A$2:$B$5,2,FALSE),TEXT(NOW(),"yyyy"))</f>
        <v>T2023</v>
      </c>
      <c r="N607" s="203">
        <v>1</v>
      </c>
      <c r="O607" s="203">
        <v>0</v>
      </c>
      <c r="P607" s="213">
        <f>申込書!$B$6</f>
        <v>0</v>
      </c>
      <c r="Q607" s="203">
        <f>申込書!$C$34</f>
        <v>1000040</v>
      </c>
      <c r="R607" s="203">
        <v>0</v>
      </c>
      <c r="U607" s="203">
        <f>VLOOKUP(B607,★営業所!$A$2:$C$5,3,FALSE)</f>
        <v>8</v>
      </c>
      <c r="V607" s="203">
        <f>申込書!$B$9</f>
        <v>0</v>
      </c>
      <c r="W607" s="203" t="str">
        <f>CONCATENATE(VLOOKUP(B607,★営業所!$A$2:$B$5,2,FALSE),VLOOKUP(申込書!$C$32,★サイズ表記!$D$4:$E$55,2,FALSE),VLOOKUP(D607,★折込地区!$A$2:$B$11,2,FALSE))</f>
        <v>T1001Yng</v>
      </c>
      <c r="X607" s="203" t="str">
        <f>CONCATENATE(申込書!$B$9," ",VLOOKUP(RIGHT(W607,3),★折込地区!$B$2:$C$10,2,FALSE),"")</f>
        <v xml:space="preserve"> 米子</v>
      </c>
      <c r="Z607" s="206">
        <f t="shared" ca="1" si="71"/>
        <v>0</v>
      </c>
      <c r="AB607" s="383">
        <f t="shared" si="72"/>
        <v>2.8</v>
      </c>
      <c r="AC607" s="203" t="str">
        <f t="shared" si="73"/>
        <v>P1001</v>
      </c>
      <c r="AD607" s="203" t="str">
        <f>VLOOKUP(AC607,★原価商品!$E$6:$F$349,2,FALSE)</f>
        <v>産経/B4（折り無し）</v>
      </c>
      <c r="AE607" s="203">
        <f t="shared" ca="1" si="74"/>
        <v>0</v>
      </c>
      <c r="AF607" s="383">
        <f ca="1">IFERROR(IF(VLOOKUP(申込書!$C$32,★サイズ表記!$F$4:$H$55,3,FALSE)="切り捨て",ROUNDDOWN(L607*IF(AK607="◎",I607,J607)/100,2),IF(VLOOKUP(申込書!$C$32,★サイズ表記!$F$4:$H$55,3,FALSE)="切り上げ",ROUNDUP(L607*IF(AK607="◎",I607,J607)/100,2),ROUND(L607*IF(AK607="◎",I607,J607)/100,2))),0)</f>
        <v>2.63</v>
      </c>
      <c r="AG607" s="203">
        <f t="shared" ca="1" si="75"/>
        <v>0</v>
      </c>
      <c r="AJ607" s="460" t="str">
        <f>IFERROR(VLOOKUP(申込書!$C$30,★業種!$D$2:$E$87,2,FALSE),"")</f>
        <v>1003</v>
      </c>
      <c r="AK607" s="460" t="str">
        <f ca="1">IF(申込書!$C$36="◎",IF(OR(D607="浜坂・温泉",D607="美方・村岡",D607="香住",D607="岡山",D607="大阪"),"",IF(LEFT(F607)="D","◎",IF(AG607=0,"",IFERROR(IF(VLOOKUP(AG607,★仕入先!$A$2:$C$211,3,FALSE)=0,"","◎"),"")))),"")</f>
        <v/>
      </c>
      <c r="AL607" s="460">
        <f>申込書!$H$14</f>
        <v>0</v>
      </c>
      <c r="AM607" s="460" t="str">
        <f>申込書!$C$32</f>
        <v>B4（折り無し）</v>
      </c>
      <c r="AN607" s="460" t="str">
        <f>VLOOKUP(AM607,★サイズ表記!$D$4:$E$55,2,FALSE)</f>
        <v>1001</v>
      </c>
      <c r="AO607" s="460">
        <f>IF(C607&lt;&gt;"⑧兵庫",VLOOKUP(LEFT(F607),★新聞!$A$4:$B$12,2,FALSE),IF(LEFT(F607)&lt;&gt;"S",VLOOKUP(LEFT(F607),★新聞!$A$4:$B$12,2,FALSE),VLOOKUP("X",★新聞!$A$4:$B$12,2,FALSE)))</f>
        <v>5</v>
      </c>
      <c r="AP607" s="460" t="str">
        <f t="shared" ca="1" si="76"/>
        <v>0</v>
      </c>
      <c r="AQ607" s="460" t="str">
        <f>IF(申込書!$C$38="","",申込書!$C$38)</f>
        <v/>
      </c>
    </row>
    <row r="608" spans="1:43">
      <c r="A608" s="463">
        <f t="shared" si="77"/>
        <v>607</v>
      </c>
      <c r="B608" s="463" t="str">
        <f t="shared" si="70"/>
        <v>東部</v>
      </c>
      <c r="C608" s="464" t="s">
        <v>1018</v>
      </c>
      <c r="D608" s="464" t="s">
        <v>1603</v>
      </c>
      <c r="E608" s="464">
        <f>VLOOKUP(D608,★折込地区!$A$2:$D$10,4,FALSE)</f>
        <v>3</v>
      </c>
      <c r="F608" s="464" t="s">
        <v>481</v>
      </c>
      <c r="G608" s="464" t="str">
        <f>INDEX(★新聞!$E$4:$I$12, MATCH(LEFT(F608),★新聞!$A$4:$A$12,0), MATCH(LEFT(W608),★新聞!$E$3:$I$3,0))</f>
        <v>AJ</v>
      </c>
      <c r="H608" s="475" t="s">
        <v>1119</v>
      </c>
      <c r="I608" s="464" cm="1">
        <f t="array" ref="I608">IFERROR(INDEX(★原価率!$A$2:$E$50,MATCH($C608&amp;$H608,★原価率!$A$2:$A$50&amp;★原価率!$B$2:$B$50,0),3),0)</f>
        <v>94</v>
      </c>
      <c r="J608" s="464" cm="1">
        <f t="array" ref="J608">IFERROR(INDEX(★原価率!$A$2:$E$50,MATCH($C608&amp;$H608,★原価率!$A$2:$A$50&amp;★原価率!$B$2:$B$50,0),4),0)</f>
        <v>94</v>
      </c>
      <c r="K608" s="464" cm="1">
        <f t="array" ref="K608">IFERROR(INDEX(★原価率!$A$2:$E$50,MATCH($C608&amp;$H608,★原価率!$A$2:$A$50&amp;★原価率!$B$2:$B$50,0),5),0)</f>
        <v>100</v>
      </c>
      <c r="L608" s="528">
        <f>IFERROR(VLOOKUP(W608,★商品!$A$1:$H$1231,8,FALSE),0)</f>
        <v>2.8</v>
      </c>
      <c r="M608" s="203" t="str">
        <f ca="1">CONCATENATE(VLOOKUP(B608,★営業所!$A$2:$B$5,2,FALSE),TEXT(NOW(),"yyyy"))</f>
        <v>T2023</v>
      </c>
      <c r="N608" s="203">
        <v>1</v>
      </c>
      <c r="O608" s="203">
        <v>0</v>
      </c>
      <c r="P608" s="213">
        <f>申込書!$B$6</f>
        <v>0</v>
      </c>
      <c r="Q608" s="203">
        <f>申込書!$C$34</f>
        <v>1000040</v>
      </c>
      <c r="R608" s="203">
        <v>0</v>
      </c>
      <c r="U608" s="203">
        <f>VLOOKUP(B608,★営業所!$A$2:$C$5,3,FALSE)</f>
        <v>8</v>
      </c>
      <c r="V608" s="203">
        <f>申込書!$B$9</f>
        <v>0</v>
      </c>
      <c r="W608" s="203" t="str">
        <f>CONCATENATE(VLOOKUP(B608,★営業所!$A$2:$B$5,2,FALSE),VLOOKUP(申込書!$C$32,★サイズ表記!$D$4:$E$55,2,FALSE),VLOOKUP(D608,★折込地区!$A$2:$B$11,2,FALSE))</f>
        <v>T1001Yng</v>
      </c>
      <c r="X608" s="203" t="str">
        <f>CONCATENATE(申込書!$B$9," ",VLOOKUP(RIGHT(W608,3),★折込地区!$B$2:$C$10,2,FALSE),"")</f>
        <v xml:space="preserve"> 米子</v>
      </c>
      <c r="Z608" s="206">
        <f t="shared" ca="1" si="71"/>
        <v>0</v>
      </c>
      <c r="AB608" s="383">
        <f t="shared" si="72"/>
        <v>2.8</v>
      </c>
      <c r="AC608" s="203" t="str">
        <f t="shared" si="73"/>
        <v>P1001</v>
      </c>
      <c r="AD608" s="203" t="str">
        <f>VLOOKUP(AC608,★原価商品!$E$6:$F$349,2,FALSE)</f>
        <v>産経/B4（折り無し）</v>
      </c>
      <c r="AE608" s="203">
        <f t="shared" ca="1" si="74"/>
        <v>0</v>
      </c>
      <c r="AF608" s="383">
        <f ca="1">IFERROR(IF(VLOOKUP(申込書!$C$32,★サイズ表記!$F$4:$H$55,3,FALSE)="切り捨て",ROUNDDOWN(L608*IF(AK608="◎",I608,J608)/100,2),IF(VLOOKUP(申込書!$C$32,★サイズ表記!$F$4:$H$55,3,FALSE)="切り上げ",ROUNDUP(L608*IF(AK608="◎",I608,J608)/100,2),ROUND(L608*IF(AK608="◎",I608,J608)/100,2))),0)</f>
        <v>2.63</v>
      </c>
      <c r="AG608" s="203">
        <f t="shared" ca="1" si="75"/>
        <v>0</v>
      </c>
      <c r="AJ608" s="460" t="str">
        <f>IFERROR(VLOOKUP(申込書!$C$30,★業種!$D$2:$E$87,2,FALSE),"")</f>
        <v>1003</v>
      </c>
      <c r="AK608" s="460" t="str">
        <f ca="1">IF(申込書!$C$36="◎",IF(OR(D608="浜坂・温泉",D608="美方・村岡",D608="香住",D608="岡山",D608="大阪"),"",IF(LEFT(F608)="D","◎",IF(AG608=0,"",IFERROR(IF(VLOOKUP(AG608,★仕入先!$A$2:$C$211,3,FALSE)=0,"","◎"),"")))),"")</f>
        <v/>
      </c>
      <c r="AL608" s="460">
        <f>申込書!$H$14</f>
        <v>0</v>
      </c>
      <c r="AM608" s="460" t="str">
        <f>申込書!$C$32</f>
        <v>B4（折り無し）</v>
      </c>
      <c r="AN608" s="460" t="str">
        <f>VLOOKUP(AM608,★サイズ表記!$D$4:$E$55,2,FALSE)</f>
        <v>1001</v>
      </c>
      <c r="AO608" s="460">
        <f>IF(C608&lt;&gt;"⑧兵庫",VLOOKUP(LEFT(F608),★新聞!$A$4:$B$12,2,FALSE),IF(LEFT(F608)&lt;&gt;"S",VLOOKUP(LEFT(F608),★新聞!$A$4:$B$12,2,FALSE),VLOOKUP("X",★新聞!$A$4:$B$12,2,FALSE)))</f>
        <v>5</v>
      </c>
      <c r="AP608" s="460" t="str">
        <f t="shared" ca="1" si="76"/>
        <v>0</v>
      </c>
      <c r="AQ608" s="460" t="str">
        <f>IF(申込書!$C$38="","",申込書!$C$38)</f>
        <v/>
      </c>
    </row>
    <row r="609" spans="1:43">
      <c r="A609" s="463">
        <f t="shared" si="77"/>
        <v>608</v>
      </c>
      <c r="B609" s="463" t="str">
        <f t="shared" si="70"/>
        <v>東部</v>
      </c>
      <c r="C609" s="464" t="s">
        <v>1018</v>
      </c>
      <c r="D609" s="464" t="s">
        <v>1603</v>
      </c>
      <c r="E609" s="464">
        <f>VLOOKUP(D609,★折込地区!$A$2:$D$10,4,FALSE)</f>
        <v>3</v>
      </c>
      <c r="F609" s="464" t="s">
        <v>483</v>
      </c>
      <c r="G609" s="464" t="str">
        <f>INDEX(★新聞!$E$4:$I$12, MATCH(LEFT(F609),★新聞!$A$4:$A$12,0), MATCH(LEFT(W609),★新聞!$E$3:$I$3,0))</f>
        <v>AJ</v>
      </c>
      <c r="H609" s="475" t="s">
        <v>1119</v>
      </c>
      <c r="I609" s="464" cm="1">
        <f t="array" ref="I609">IFERROR(INDEX(★原価率!$A$2:$E$50,MATCH($C609&amp;$H609,★原価率!$A$2:$A$50&amp;★原価率!$B$2:$B$50,0),3),0)</f>
        <v>94</v>
      </c>
      <c r="J609" s="464" cm="1">
        <f t="array" ref="J609">IFERROR(INDEX(★原価率!$A$2:$E$50,MATCH($C609&amp;$H609,★原価率!$A$2:$A$50&amp;★原価率!$B$2:$B$50,0),4),0)</f>
        <v>94</v>
      </c>
      <c r="K609" s="464" cm="1">
        <f t="array" ref="K609">IFERROR(INDEX(★原価率!$A$2:$E$50,MATCH($C609&amp;$H609,★原価率!$A$2:$A$50&amp;★原価率!$B$2:$B$50,0),5),0)</f>
        <v>100</v>
      </c>
      <c r="L609" s="528">
        <f>IFERROR(VLOOKUP(W609,★商品!$A$1:$H$1231,8,FALSE),0)</f>
        <v>2.8</v>
      </c>
      <c r="M609" s="203" t="str">
        <f ca="1">CONCATENATE(VLOOKUP(B609,★営業所!$A$2:$B$5,2,FALSE),TEXT(NOW(),"yyyy"))</f>
        <v>T2023</v>
      </c>
      <c r="N609" s="203">
        <v>1</v>
      </c>
      <c r="O609" s="203">
        <v>0</v>
      </c>
      <c r="P609" s="213">
        <f>申込書!$B$6</f>
        <v>0</v>
      </c>
      <c r="Q609" s="203">
        <f>申込書!$C$34</f>
        <v>1000040</v>
      </c>
      <c r="R609" s="203">
        <v>0</v>
      </c>
      <c r="U609" s="203">
        <f>VLOOKUP(B609,★営業所!$A$2:$C$5,3,FALSE)</f>
        <v>8</v>
      </c>
      <c r="V609" s="203">
        <f>申込書!$B$9</f>
        <v>0</v>
      </c>
      <c r="W609" s="203" t="str">
        <f>CONCATENATE(VLOOKUP(B609,★営業所!$A$2:$B$5,2,FALSE),VLOOKUP(申込書!$C$32,★サイズ表記!$D$4:$E$55,2,FALSE),VLOOKUP(D609,★折込地区!$A$2:$B$11,2,FALSE))</f>
        <v>T1001Yng</v>
      </c>
      <c r="X609" s="203" t="str">
        <f>CONCATENATE(申込書!$B$9," ",VLOOKUP(RIGHT(W609,3),★折込地区!$B$2:$C$10,2,FALSE),"")</f>
        <v xml:space="preserve"> 米子</v>
      </c>
      <c r="Z609" s="206">
        <f t="shared" ca="1" si="71"/>
        <v>0</v>
      </c>
      <c r="AB609" s="383">
        <f t="shared" si="72"/>
        <v>2.8</v>
      </c>
      <c r="AC609" s="203" t="str">
        <f t="shared" si="73"/>
        <v>P1001</v>
      </c>
      <c r="AD609" s="203" t="str">
        <f>VLOOKUP(AC609,★原価商品!$E$6:$F$349,2,FALSE)</f>
        <v>産経/B4（折り無し）</v>
      </c>
      <c r="AE609" s="203">
        <f t="shared" ca="1" si="74"/>
        <v>0</v>
      </c>
      <c r="AF609" s="383">
        <f ca="1">IFERROR(IF(VLOOKUP(申込書!$C$32,★サイズ表記!$F$4:$H$55,3,FALSE)="切り捨て",ROUNDDOWN(L609*IF(AK609="◎",I609,J609)/100,2),IF(VLOOKUP(申込書!$C$32,★サイズ表記!$F$4:$H$55,3,FALSE)="切り上げ",ROUNDUP(L609*IF(AK609="◎",I609,J609)/100,2),ROUND(L609*IF(AK609="◎",I609,J609)/100,2))),0)</f>
        <v>2.63</v>
      </c>
      <c r="AG609" s="203">
        <f t="shared" ca="1" si="75"/>
        <v>0</v>
      </c>
      <c r="AJ609" s="460" t="str">
        <f>IFERROR(VLOOKUP(申込書!$C$30,★業種!$D$2:$E$87,2,FALSE),"")</f>
        <v>1003</v>
      </c>
      <c r="AK609" s="460" t="str">
        <f ca="1">IF(申込書!$C$36="◎",IF(OR(D609="浜坂・温泉",D609="美方・村岡",D609="香住",D609="岡山",D609="大阪"),"",IF(LEFT(F609)="D","◎",IF(AG609=0,"",IFERROR(IF(VLOOKUP(AG609,★仕入先!$A$2:$C$211,3,FALSE)=0,"","◎"),"")))),"")</f>
        <v/>
      </c>
      <c r="AL609" s="460">
        <f>申込書!$H$14</f>
        <v>0</v>
      </c>
      <c r="AM609" s="460" t="str">
        <f>申込書!$C$32</f>
        <v>B4（折り無し）</v>
      </c>
      <c r="AN609" s="460" t="str">
        <f>VLOOKUP(AM609,★サイズ表記!$D$4:$E$55,2,FALSE)</f>
        <v>1001</v>
      </c>
      <c r="AO609" s="460">
        <f>IF(C609&lt;&gt;"⑧兵庫",VLOOKUP(LEFT(F609),★新聞!$A$4:$B$12,2,FALSE),IF(LEFT(F609)&lt;&gt;"S",VLOOKUP(LEFT(F609),★新聞!$A$4:$B$12,2,FALSE),VLOOKUP("X",★新聞!$A$4:$B$12,2,FALSE)))</f>
        <v>5</v>
      </c>
      <c r="AP609" s="460" t="str">
        <f t="shared" ca="1" si="76"/>
        <v>0</v>
      </c>
      <c r="AQ609" s="460" t="str">
        <f>IF(申込書!$C$38="","",申込書!$C$38)</f>
        <v/>
      </c>
    </row>
    <row r="610" spans="1:43">
      <c r="A610" s="463">
        <f t="shared" si="77"/>
        <v>609</v>
      </c>
      <c r="B610" s="463" t="str">
        <f t="shared" si="70"/>
        <v>東部</v>
      </c>
      <c r="C610" s="464" t="s">
        <v>1018</v>
      </c>
      <c r="D610" s="464" t="s">
        <v>1603</v>
      </c>
      <c r="E610" s="464">
        <f>VLOOKUP(D610,★折込地区!$A$2:$D$10,4,FALSE)</f>
        <v>3</v>
      </c>
      <c r="F610" s="464" t="s">
        <v>484</v>
      </c>
      <c r="G610" s="464" t="str">
        <f>INDEX(★新聞!$E$4:$I$12, MATCH(LEFT(F610),★新聞!$A$4:$A$12,0), MATCH(LEFT(W610),★新聞!$E$3:$I$3,0))</f>
        <v>AJ</v>
      </c>
      <c r="H610" s="475" t="s">
        <v>1119</v>
      </c>
      <c r="I610" s="464" cm="1">
        <f t="array" ref="I610">IFERROR(INDEX(★原価率!$A$2:$E$50,MATCH($C610&amp;$H610,★原価率!$A$2:$A$50&amp;★原価率!$B$2:$B$50,0),3),0)</f>
        <v>94</v>
      </c>
      <c r="J610" s="464" cm="1">
        <f t="array" ref="J610">IFERROR(INDEX(★原価率!$A$2:$E$50,MATCH($C610&amp;$H610,★原価率!$A$2:$A$50&amp;★原価率!$B$2:$B$50,0),4),0)</f>
        <v>94</v>
      </c>
      <c r="K610" s="464" cm="1">
        <f t="array" ref="K610">IFERROR(INDEX(★原価率!$A$2:$E$50,MATCH($C610&amp;$H610,★原価率!$A$2:$A$50&amp;★原価率!$B$2:$B$50,0),5),0)</f>
        <v>100</v>
      </c>
      <c r="L610" s="528">
        <f>IFERROR(VLOOKUP(W610,★商品!$A$1:$H$1231,8,FALSE),0)</f>
        <v>2.8</v>
      </c>
      <c r="M610" s="203" t="str">
        <f ca="1">CONCATENATE(VLOOKUP(B610,★営業所!$A$2:$B$5,2,FALSE),TEXT(NOW(),"yyyy"))</f>
        <v>T2023</v>
      </c>
      <c r="N610" s="203">
        <v>1</v>
      </c>
      <c r="O610" s="203">
        <v>0</v>
      </c>
      <c r="P610" s="213">
        <f>申込書!$B$6</f>
        <v>0</v>
      </c>
      <c r="Q610" s="203">
        <f>申込書!$C$34</f>
        <v>1000040</v>
      </c>
      <c r="R610" s="203">
        <v>0</v>
      </c>
      <c r="U610" s="203">
        <f>VLOOKUP(B610,★営業所!$A$2:$C$5,3,FALSE)</f>
        <v>8</v>
      </c>
      <c r="V610" s="203">
        <f>申込書!$B$9</f>
        <v>0</v>
      </c>
      <c r="W610" s="203" t="str">
        <f>CONCATENATE(VLOOKUP(B610,★営業所!$A$2:$B$5,2,FALSE),VLOOKUP(申込書!$C$32,★サイズ表記!$D$4:$E$55,2,FALSE),VLOOKUP(D610,★折込地区!$A$2:$B$11,2,FALSE))</f>
        <v>T1001Yng</v>
      </c>
      <c r="X610" s="203" t="str">
        <f>CONCATENATE(申込書!$B$9," ",VLOOKUP(RIGHT(W610,3),★折込地区!$B$2:$C$10,2,FALSE),"")</f>
        <v xml:space="preserve"> 米子</v>
      </c>
      <c r="Z610" s="206">
        <f t="shared" ca="1" si="71"/>
        <v>0</v>
      </c>
      <c r="AB610" s="383">
        <f t="shared" si="72"/>
        <v>2.8</v>
      </c>
      <c r="AC610" s="203" t="str">
        <f t="shared" si="73"/>
        <v>P1001</v>
      </c>
      <c r="AD610" s="203" t="str">
        <f>VLOOKUP(AC610,★原価商品!$E$6:$F$349,2,FALSE)</f>
        <v>産経/B4（折り無し）</v>
      </c>
      <c r="AE610" s="203">
        <f t="shared" ca="1" si="74"/>
        <v>0</v>
      </c>
      <c r="AF610" s="383">
        <f ca="1">IFERROR(IF(VLOOKUP(申込書!$C$32,★サイズ表記!$F$4:$H$55,3,FALSE)="切り捨て",ROUNDDOWN(L610*IF(AK610="◎",I610,J610)/100,2),IF(VLOOKUP(申込書!$C$32,★サイズ表記!$F$4:$H$55,3,FALSE)="切り上げ",ROUNDUP(L610*IF(AK610="◎",I610,J610)/100,2),ROUND(L610*IF(AK610="◎",I610,J610)/100,2))),0)</f>
        <v>2.63</v>
      </c>
      <c r="AG610" s="203">
        <f t="shared" ca="1" si="75"/>
        <v>0</v>
      </c>
      <c r="AJ610" s="460" t="str">
        <f>IFERROR(VLOOKUP(申込書!$C$30,★業種!$D$2:$E$87,2,FALSE),"")</f>
        <v>1003</v>
      </c>
      <c r="AK610" s="460" t="str">
        <f ca="1">IF(申込書!$C$36="◎",IF(OR(D610="浜坂・温泉",D610="美方・村岡",D610="香住",D610="岡山",D610="大阪"),"",IF(LEFT(F610)="D","◎",IF(AG610=0,"",IFERROR(IF(VLOOKUP(AG610,★仕入先!$A$2:$C$211,3,FALSE)=0,"","◎"),"")))),"")</f>
        <v/>
      </c>
      <c r="AL610" s="460">
        <f>申込書!$H$14</f>
        <v>0</v>
      </c>
      <c r="AM610" s="460" t="str">
        <f>申込書!$C$32</f>
        <v>B4（折り無し）</v>
      </c>
      <c r="AN610" s="460" t="str">
        <f>VLOOKUP(AM610,★サイズ表記!$D$4:$E$55,2,FALSE)</f>
        <v>1001</v>
      </c>
      <c r="AO610" s="460">
        <f>IF(C610&lt;&gt;"⑧兵庫",VLOOKUP(LEFT(F610),★新聞!$A$4:$B$12,2,FALSE),IF(LEFT(F610)&lt;&gt;"S",VLOOKUP(LEFT(F610),★新聞!$A$4:$B$12,2,FALSE),VLOOKUP("X",★新聞!$A$4:$B$12,2,FALSE)))</f>
        <v>5</v>
      </c>
      <c r="AP610" s="460" t="str">
        <f t="shared" ca="1" si="76"/>
        <v>0</v>
      </c>
      <c r="AQ610" s="460" t="str">
        <f>IF(申込書!$C$38="","",申込書!$C$38)</f>
        <v/>
      </c>
    </row>
    <row r="611" spans="1:43">
      <c r="A611" s="463">
        <f t="shared" si="77"/>
        <v>610</v>
      </c>
      <c r="B611" s="463" t="str">
        <f t="shared" si="70"/>
        <v>東部</v>
      </c>
      <c r="C611" s="464" t="s">
        <v>1018</v>
      </c>
      <c r="D611" s="464" t="s">
        <v>1603</v>
      </c>
      <c r="E611" s="464">
        <f>VLOOKUP(D611,★折込地区!$A$2:$D$10,4,FALSE)</f>
        <v>3</v>
      </c>
      <c r="F611" s="464" t="s">
        <v>485</v>
      </c>
      <c r="G611" s="464" t="str">
        <f>INDEX(★新聞!$E$4:$I$12, MATCH(LEFT(F611),★新聞!$A$4:$A$12,0), MATCH(LEFT(W611),★新聞!$E$3:$I$3,0))</f>
        <v>AJ</v>
      </c>
      <c r="H611" s="475" t="s">
        <v>1119</v>
      </c>
      <c r="I611" s="464" cm="1">
        <f t="array" ref="I611">IFERROR(INDEX(★原価率!$A$2:$E$50,MATCH($C611&amp;$H611,★原価率!$A$2:$A$50&amp;★原価率!$B$2:$B$50,0),3),0)</f>
        <v>94</v>
      </c>
      <c r="J611" s="464" cm="1">
        <f t="array" ref="J611">IFERROR(INDEX(★原価率!$A$2:$E$50,MATCH($C611&amp;$H611,★原価率!$A$2:$A$50&amp;★原価率!$B$2:$B$50,0),4),0)</f>
        <v>94</v>
      </c>
      <c r="K611" s="464" cm="1">
        <f t="array" ref="K611">IFERROR(INDEX(★原価率!$A$2:$E$50,MATCH($C611&amp;$H611,★原価率!$A$2:$A$50&amp;★原価率!$B$2:$B$50,0),5),0)</f>
        <v>100</v>
      </c>
      <c r="L611" s="528">
        <f>IFERROR(VLOOKUP(W611,★商品!$A$1:$H$1231,8,FALSE),0)</f>
        <v>2.8</v>
      </c>
      <c r="M611" s="203" t="str">
        <f ca="1">CONCATENATE(VLOOKUP(B611,★営業所!$A$2:$B$5,2,FALSE),TEXT(NOW(),"yyyy"))</f>
        <v>T2023</v>
      </c>
      <c r="N611" s="203">
        <v>1</v>
      </c>
      <c r="O611" s="203">
        <v>0</v>
      </c>
      <c r="P611" s="213">
        <f>申込書!$B$6</f>
        <v>0</v>
      </c>
      <c r="Q611" s="203">
        <f>申込書!$C$34</f>
        <v>1000040</v>
      </c>
      <c r="R611" s="203">
        <v>0</v>
      </c>
      <c r="U611" s="203">
        <f>VLOOKUP(B611,★営業所!$A$2:$C$5,3,FALSE)</f>
        <v>8</v>
      </c>
      <c r="V611" s="203">
        <f>申込書!$B$9</f>
        <v>0</v>
      </c>
      <c r="W611" s="203" t="str">
        <f>CONCATENATE(VLOOKUP(B611,★営業所!$A$2:$B$5,2,FALSE),VLOOKUP(申込書!$C$32,★サイズ表記!$D$4:$E$55,2,FALSE),VLOOKUP(D611,★折込地区!$A$2:$B$11,2,FALSE))</f>
        <v>T1001Yng</v>
      </c>
      <c r="X611" s="203" t="str">
        <f>CONCATENATE(申込書!$B$9," ",VLOOKUP(RIGHT(W611,3),★折込地区!$B$2:$C$10,2,FALSE),"")</f>
        <v xml:space="preserve"> 米子</v>
      </c>
      <c r="Z611" s="206">
        <f t="shared" ca="1" si="71"/>
        <v>0</v>
      </c>
      <c r="AB611" s="383">
        <f t="shared" si="72"/>
        <v>2.8</v>
      </c>
      <c r="AC611" s="203" t="str">
        <f t="shared" si="73"/>
        <v>P1001</v>
      </c>
      <c r="AD611" s="203" t="str">
        <f>VLOOKUP(AC611,★原価商品!$E$6:$F$349,2,FALSE)</f>
        <v>産経/B4（折り無し）</v>
      </c>
      <c r="AE611" s="203">
        <f t="shared" ca="1" si="74"/>
        <v>0</v>
      </c>
      <c r="AF611" s="383">
        <f ca="1">IFERROR(IF(VLOOKUP(申込書!$C$32,★サイズ表記!$F$4:$H$55,3,FALSE)="切り捨て",ROUNDDOWN(L611*IF(AK611="◎",I611,J611)/100,2),IF(VLOOKUP(申込書!$C$32,★サイズ表記!$F$4:$H$55,3,FALSE)="切り上げ",ROUNDUP(L611*IF(AK611="◎",I611,J611)/100,2),ROUND(L611*IF(AK611="◎",I611,J611)/100,2))),0)</f>
        <v>2.63</v>
      </c>
      <c r="AG611" s="203">
        <f t="shared" ca="1" si="75"/>
        <v>0</v>
      </c>
      <c r="AJ611" s="460" t="str">
        <f>IFERROR(VLOOKUP(申込書!$C$30,★業種!$D$2:$E$87,2,FALSE),"")</f>
        <v>1003</v>
      </c>
      <c r="AK611" s="460" t="str">
        <f ca="1">IF(申込書!$C$36="◎",IF(OR(D611="浜坂・温泉",D611="美方・村岡",D611="香住",D611="岡山",D611="大阪"),"",IF(LEFT(F611)="D","◎",IF(AG611=0,"",IFERROR(IF(VLOOKUP(AG611,★仕入先!$A$2:$C$211,3,FALSE)=0,"","◎"),"")))),"")</f>
        <v/>
      </c>
      <c r="AL611" s="460">
        <f>申込書!$H$14</f>
        <v>0</v>
      </c>
      <c r="AM611" s="460" t="str">
        <f>申込書!$C$32</f>
        <v>B4（折り無し）</v>
      </c>
      <c r="AN611" s="460" t="str">
        <f>VLOOKUP(AM611,★サイズ表記!$D$4:$E$55,2,FALSE)</f>
        <v>1001</v>
      </c>
      <c r="AO611" s="460">
        <f>IF(C611&lt;&gt;"⑧兵庫",VLOOKUP(LEFT(F611),★新聞!$A$4:$B$12,2,FALSE),IF(LEFT(F611)&lt;&gt;"S",VLOOKUP(LEFT(F611),★新聞!$A$4:$B$12,2,FALSE),VLOOKUP("X",★新聞!$A$4:$B$12,2,FALSE)))</f>
        <v>5</v>
      </c>
      <c r="AP611" s="460" t="str">
        <f t="shared" ca="1" si="76"/>
        <v>0</v>
      </c>
      <c r="AQ611" s="460" t="str">
        <f>IF(申込書!$C$38="","",申込書!$C$38)</f>
        <v/>
      </c>
    </row>
    <row r="612" spans="1:43">
      <c r="A612" s="463">
        <f t="shared" si="77"/>
        <v>611</v>
      </c>
      <c r="B612" s="463" t="str">
        <f t="shared" si="70"/>
        <v>東部</v>
      </c>
      <c r="C612" s="464" t="s">
        <v>1018</v>
      </c>
      <c r="D612" s="464" t="s">
        <v>1603</v>
      </c>
      <c r="E612" s="464">
        <f>VLOOKUP(D612,★折込地区!$A$2:$D$10,4,FALSE)</f>
        <v>3</v>
      </c>
      <c r="F612" s="464" t="s">
        <v>486</v>
      </c>
      <c r="G612" s="464" t="str">
        <f>INDEX(★新聞!$E$4:$I$12, MATCH(LEFT(F612),★新聞!$A$4:$A$12,0), MATCH(LEFT(W612),★新聞!$E$3:$I$3,0))</f>
        <v>AJ</v>
      </c>
      <c r="H612" s="475" t="s">
        <v>1119</v>
      </c>
      <c r="I612" s="464" cm="1">
        <f t="array" ref="I612">IFERROR(INDEX(★原価率!$A$2:$E$50,MATCH($C612&amp;$H612,★原価率!$A$2:$A$50&amp;★原価率!$B$2:$B$50,0),3),0)</f>
        <v>94</v>
      </c>
      <c r="J612" s="464" cm="1">
        <f t="array" ref="J612">IFERROR(INDEX(★原価率!$A$2:$E$50,MATCH($C612&amp;$H612,★原価率!$A$2:$A$50&amp;★原価率!$B$2:$B$50,0),4),0)</f>
        <v>94</v>
      </c>
      <c r="K612" s="464" cm="1">
        <f t="array" ref="K612">IFERROR(INDEX(★原価率!$A$2:$E$50,MATCH($C612&amp;$H612,★原価率!$A$2:$A$50&amp;★原価率!$B$2:$B$50,0),5),0)</f>
        <v>100</v>
      </c>
      <c r="L612" s="528">
        <f>IFERROR(VLOOKUP(W612,★商品!$A$1:$H$1231,8,FALSE),0)</f>
        <v>2.8</v>
      </c>
      <c r="M612" s="203" t="str">
        <f ca="1">CONCATENATE(VLOOKUP(B612,★営業所!$A$2:$B$5,2,FALSE),TEXT(NOW(),"yyyy"))</f>
        <v>T2023</v>
      </c>
      <c r="N612" s="203">
        <v>1</v>
      </c>
      <c r="O612" s="203">
        <v>0</v>
      </c>
      <c r="P612" s="213">
        <f>申込書!$B$6</f>
        <v>0</v>
      </c>
      <c r="Q612" s="203">
        <f>申込書!$C$34</f>
        <v>1000040</v>
      </c>
      <c r="R612" s="203">
        <v>0</v>
      </c>
      <c r="U612" s="203">
        <f>VLOOKUP(B612,★営業所!$A$2:$C$5,3,FALSE)</f>
        <v>8</v>
      </c>
      <c r="V612" s="203">
        <f>申込書!$B$9</f>
        <v>0</v>
      </c>
      <c r="W612" s="203" t="str">
        <f>CONCATENATE(VLOOKUP(B612,★営業所!$A$2:$B$5,2,FALSE),VLOOKUP(申込書!$C$32,★サイズ表記!$D$4:$E$55,2,FALSE),VLOOKUP(D612,★折込地区!$A$2:$B$11,2,FALSE))</f>
        <v>T1001Yng</v>
      </c>
      <c r="X612" s="203" t="str">
        <f>CONCATENATE(申込書!$B$9," ",VLOOKUP(RIGHT(W612,3),★折込地区!$B$2:$C$10,2,FALSE),"")</f>
        <v xml:space="preserve"> 米子</v>
      </c>
      <c r="Z612" s="206">
        <f t="shared" ca="1" si="71"/>
        <v>0</v>
      </c>
      <c r="AB612" s="383">
        <f t="shared" si="72"/>
        <v>2.8</v>
      </c>
      <c r="AC612" s="203" t="str">
        <f t="shared" si="73"/>
        <v>P1001</v>
      </c>
      <c r="AD612" s="203" t="str">
        <f>VLOOKUP(AC612,★原価商品!$E$6:$F$349,2,FALSE)</f>
        <v>産経/B4（折り無し）</v>
      </c>
      <c r="AE612" s="203">
        <f t="shared" ca="1" si="74"/>
        <v>0</v>
      </c>
      <c r="AF612" s="383">
        <f ca="1">IFERROR(IF(VLOOKUP(申込書!$C$32,★サイズ表記!$F$4:$H$55,3,FALSE)="切り捨て",ROUNDDOWN(L612*IF(AK612="◎",I612,J612)/100,2),IF(VLOOKUP(申込書!$C$32,★サイズ表記!$F$4:$H$55,3,FALSE)="切り上げ",ROUNDUP(L612*IF(AK612="◎",I612,J612)/100,2),ROUND(L612*IF(AK612="◎",I612,J612)/100,2))),0)</f>
        <v>2.63</v>
      </c>
      <c r="AG612" s="203">
        <f t="shared" ca="1" si="75"/>
        <v>0</v>
      </c>
      <c r="AJ612" s="460" t="str">
        <f>IFERROR(VLOOKUP(申込書!$C$30,★業種!$D$2:$E$87,2,FALSE),"")</f>
        <v>1003</v>
      </c>
      <c r="AK612" s="460" t="str">
        <f ca="1">IF(申込書!$C$36="◎",IF(OR(D612="浜坂・温泉",D612="美方・村岡",D612="香住",D612="岡山",D612="大阪"),"",IF(LEFT(F612)="D","◎",IF(AG612=0,"",IFERROR(IF(VLOOKUP(AG612,★仕入先!$A$2:$C$211,3,FALSE)=0,"","◎"),"")))),"")</f>
        <v/>
      </c>
      <c r="AL612" s="460">
        <f>申込書!$H$14</f>
        <v>0</v>
      </c>
      <c r="AM612" s="460" t="str">
        <f>申込書!$C$32</f>
        <v>B4（折り無し）</v>
      </c>
      <c r="AN612" s="460" t="str">
        <f>VLOOKUP(AM612,★サイズ表記!$D$4:$E$55,2,FALSE)</f>
        <v>1001</v>
      </c>
      <c r="AO612" s="460">
        <f>IF(C612&lt;&gt;"⑧兵庫",VLOOKUP(LEFT(F612),★新聞!$A$4:$B$12,2,FALSE),IF(LEFT(F612)&lt;&gt;"S",VLOOKUP(LEFT(F612),★新聞!$A$4:$B$12,2,FALSE),VLOOKUP("X",★新聞!$A$4:$B$12,2,FALSE)))</f>
        <v>5</v>
      </c>
      <c r="AP612" s="460" t="str">
        <f t="shared" ca="1" si="76"/>
        <v>0</v>
      </c>
      <c r="AQ612" s="460" t="str">
        <f>IF(申込書!$C$38="","",申込書!$C$38)</f>
        <v/>
      </c>
    </row>
    <row r="613" spans="1:43">
      <c r="A613" s="463">
        <f t="shared" si="77"/>
        <v>612</v>
      </c>
      <c r="B613" s="463" t="str">
        <f t="shared" si="70"/>
        <v>東部</v>
      </c>
      <c r="C613" s="464" t="s">
        <v>1018</v>
      </c>
      <c r="D613" s="464" t="s">
        <v>1603</v>
      </c>
      <c r="E613" s="464">
        <f>VLOOKUP(D613,★折込地区!$A$2:$D$10,4,FALSE)</f>
        <v>3</v>
      </c>
      <c r="F613" s="464" t="s">
        <v>487</v>
      </c>
      <c r="G613" s="464" t="str">
        <f>INDEX(★新聞!$E$4:$I$12, MATCH(LEFT(F613),★新聞!$A$4:$A$12,0), MATCH(LEFT(W613),★新聞!$E$3:$I$3,0))</f>
        <v>AJ</v>
      </c>
      <c r="H613" s="475" t="s">
        <v>1119</v>
      </c>
      <c r="I613" s="464" cm="1">
        <f t="array" ref="I613">IFERROR(INDEX(★原価率!$A$2:$E$50,MATCH($C613&amp;$H613,★原価率!$A$2:$A$50&amp;★原価率!$B$2:$B$50,0),3),0)</f>
        <v>94</v>
      </c>
      <c r="J613" s="464" cm="1">
        <f t="array" ref="J613">IFERROR(INDEX(★原価率!$A$2:$E$50,MATCH($C613&amp;$H613,★原価率!$A$2:$A$50&amp;★原価率!$B$2:$B$50,0),4),0)</f>
        <v>94</v>
      </c>
      <c r="K613" s="464" cm="1">
        <f t="array" ref="K613">IFERROR(INDEX(★原価率!$A$2:$E$50,MATCH($C613&amp;$H613,★原価率!$A$2:$A$50&amp;★原価率!$B$2:$B$50,0),5),0)</f>
        <v>100</v>
      </c>
      <c r="L613" s="528">
        <f>IFERROR(VLOOKUP(W613,★商品!$A$1:$H$1231,8,FALSE),0)</f>
        <v>2.8</v>
      </c>
      <c r="M613" s="203" t="str">
        <f ca="1">CONCATENATE(VLOOKUP(B613,★営業所!$A$2:$B$5,2,FALSE),TEXT(NOW(),"yyyy"))</f>
        <v>T2023</v>
      </c>
      <c r="N613" s="203">
        <v>1</v>
      </c>
      <c r="O613" s="203">
        <v>0</v>
      </c>
      <c r="P613" s="213">
        <f>申込書!$B$6</f>
        <v>0</v>
      </c>
      <c r="Q613" s="203">
        <f>申込書!$C$34</f>
        <v>1000040</v>
      </c>
      <c r="R613" s="203">
        <v>0</v>
      </c>
      <c r="U613" s="203">
        <f>VLOOKUP(B613,★営業所!$A$2:$C$5,3,FALSE)</f>
        <v>8</v>
      </c>
      <c r="V613" s="203">
        <f>申込書!$B$9</f>
        <v>0</v>
      </c>
      <c r="W613" s="203" t="str">
        <f>CONCATENATE(VLOOKUP(B613,★営業所!$A$2:$B$5,2,FALSE),VLOOKUP(申込書!$C$32,★サイズ表記!$D$4:$E$55,2,FALSE),VLOOKUP(D613,★折込地区!$A$2:$B$11,2,FALSE))</f>
        <v>T1001Yng</v>
      </c>
      <c r="X613" s="203" t="str">
        <f>CONCATENATE(申込書!$B$9," ",VLOOKUP(RIGHT(W613,3),★折込地区!$B$2:$C$10,2,FALSE),"")</f>
        <v xml:space="preserve"> 米子</v>
      </c>
      <c r="Z613" s="206">
        <f t="shared" ca="1" si="71"/>
        <v>0</v>
      </c>
      <c r="AB613" s="383">
        <f t="shared" si="72"/>
        <v>2.8</v>
      </c>
      <c r="AC613" s="203" t="str">
        <f t="shared" si="73"/>
        <v>P1001</v>
      </c>
      <c r="AD613" s="203" t="str">
        <f>VLOOKUP(AC613,★原価商品!$E$6:$F$349,2,FALSE)</f>
        <v>産経/B4（折り無し）</v>
      </c>
      <c r="AE613" s="203">
        <f t="shared" ca="1" si="74"/>
        <v>0</v>
      </c>
      <c r="AF613" s="383">
        <f ca="1">IFERROR(IF(VLOOKUP(申込書!$C$32,★サイズ表記!$F$4:$H$55,3,FALSE)="切り捨て",ROUNDDOWN(L613*IF(AK613="◎",I613,J613)/100,2),IF(VLOOKUP(申込書!$C$32,★サイズ表記!$F$4:$H$55,3,FALSE)="切り上げ",ROUNDUP(L613*IF(AK613="◎",I613,J613)/100,2),ROUND(L613*IF(AK613="◎",I613,J613)/100,2))),0)</f>
        <v>2.63</v>
      </c>
      <c r="AG613" s="203">
        <f t="shared" ca="1" si="75"/>
        <v>0</v>
      </c>
      <c r="AJ613" s="460" t="str">
        <f>IFERROR(VLOOKUP(申込書!$C$30,★業種!$D$2:$E$87,2,FALSE),"")</f>
        <v>1003</v>
      </c>
      <c r="AK613" s="460" t="str">
        <f ca="1">IF(申込書!$C$36="◎",IF(OR(D613="浜坂・温泉",D613="美方・村岡",D613="香住",D613="岡山",D613="大阪"),"",IF(LEFT(F613)="D","◎",IF(AG613=0,"",IFERROR(IF(VLOOKUP(AG613,★仕入先!$A$2:$C$211,3,FALSE)=0,"","◎"),"")))),"")</f>
        <v/>
      </c>
      <c r="AL613" s="460">
        <f>申込書!$H$14</f>
        <v>0</v>
      </c>
      <c r="AM613" s="460" t="str">
        <f>申込書!$C$32</f>
        <v>B4（折り無し）</v>
      </c>
      <c r="AN613" s="460" t="str">
        <f>VLOOKUP(AM613,★サイズ表記!$D$4:$E$55,2,FALSE)</f>
        <v>1001</v>
      </c>
      <c r="AO613" s="460">
        <f>IF(C613&lt;&gt;"⑧兵庫",VLOOKUP(LEFT(F613),★新聞!$A$4:$B$12,2,FALSE),IF(LEFT(F613)&lt;&gt;"S",VLOOKUP(LEFT(F613),★新聞!$A$4:$B$12,2,FALSE),VLOOKUP("X",★新聞!$A$4:$B$12,2,FALSE)))</f>
        <v>5</v>
      </c>
      <c r="AP613" s="460" t="str">
        <f t="shared" ca="1" si="76"/>
        <v>0</v>
      </c>
      <c r="AQ613" s="460" t="str">
        <f>IF(申込書!$C$38="","",申込書!$C$38)</f>
        <v/>
      </c>
    </row>
    <row r="614" spans="1:43">
      <c r="A614" s="463">
        <f t="shared" si="77"/>
        <v>613</v>
      </c>
      <c r="B614" s="463" t="str">
        <f t="shared" si="70"/>
        <v>東部</v>
      </c>
      <c r="C614" s="464" t="s">
        <v>1018</v>
      </c>
      <c r="D614" s="464" t="s">
        <v>1603</v>
      </c>
      <c r="E614" s="464">
        <f>VLOOKUP(D614,★折込地区!$A$2:$D$10,4,FALSE)</f>
        <v>3</v>
      </c>
      <c r="F614" s="464" t="s">
        <v>488</v>
      </c>
      <c r="G614" s="464" t="str">
        <f>INDEX(★新聞!$E$4:$I$12, MATCH(LEFT(F614),★新聞!$A$4:$A$12,0), MATCH(LEFT(W614),★新聞!$E$3:$I$3,0))</f>
        <v>AJ</v>
      </c>
      <c r="H614" s="555" t="s">
        <v>1102</v>
      </c>
      <c r="I614" s="464" cm="1">
        <f t="array" ref="I614">IFERROR(INDEX(★原価率!$A$2:$E$50,MATCH($C614&amp;$H614,★原価率!$A$2:$A$50&amp;★原価率!$B$2:$B$50,0),3),0)</f>
        <v>81</v>
      </c>
      <c r="J614" s="464" cm="1">
        <f t="array" ref="J614">IFERROR(INDEX(★原価率!$A$2:$E$50,MATCH($C614&amp;$H614,★原価率!$A$2:$A$50&amp;★原価率!$B$2:$B$50,0),4),0)</f>
        <v>85</v>
      </c>
      <c r="K614" s="464" cm="1">
        <f t="array" ref="K614">IFERROR(INDEX(★原価率!$A$2:$E$50,MATCH($C614&amp;$H614,★原価率!$A$2:$A$50&amp;★原価率!$B$2:$B$50,0),5),0)</f>
        <v>100</v>
      </c>
      <c r="L614" s="528">
        <f>IFERROR(VLOOKUP(W614,★商品!$A$1:$H$1231,8,FALSE),0)</f>
        <v>2.8</v>
      </c>
      <c r="M614" s="203" t="str">
        <f ca="1">CONCATENATE(VLOOKUP(B614,★営業所!$A$2:$B$5,2,FALSE),TEXT(NOW(),"yyyy"))</f>
        <v>T2023</v>
      </c>
      <c r="N614" s="203">
        <v>1</v>
      </c>
      <c r="O614" s="203">
        <v>0</v>
      </c>
      <c r="P614" s="213">
        <f>申込書!$B$6</f>
        <v>0</v>
      </c>
      <c r="Q614" s="203">
        <f>申込書!$C$34</f>
        <v>1000040</v>
      </c>
      <c r="R614" s="203">
        <v>0</v>
      </c>
      <c r="U614" s="203">
        <f>VLOOKUP(B614,★営業所!$A$2:$C$5,3,FALSE)</f>
        <v>8</v>
      </c>
      <c r="V614" s="203">
        <f>申込書!$B$9</f>
        <v>0</v>
      </c>
      <c r="W614" s="203" t="str">
        <f>CONCATENATE(VLOOKUP(B614,★営業所!$A$2:$B$5,2,FALSE),VLOOKUP(申込書!$C$32,★サイズ表記!$D$4:$E$55,2,FALSE),VLOOKUP(D614,★折込地区!$A$2:$B$11,2,FALSE))</f>
        <v>T1001Yng</v>
      </c>
      <c r="X614" s="203" t="str">
        <f>CONCATENATE(申込書!$B$9," ",VLOOKUP(RIGHT(W614,3),★折込地区!$B$2:$C$10,2,FALSE),"")</f>
        <v xml:space="preserve"> 米子</v>
      </c>
      <c r="Z614" s="206">
        <f t="shared" ca="1" si="71"/>
        <v>0</v>
      </c>
      <c r="AB614" s="383">
        <f t="shared" si="72"/>
        <v>2.8</v>
      </c>
      <c r="AC614" s="203" t="str">
        <f t="shared" si="73"/>
        <v>P1001</v>
      </c>
      <c r="AD614" s="203" t="str">
        <f>VLOOKUP(AC614,★原価商品!$E$6:$F$349,2,FALSE)</f>
        <v>産経/B4（折り無し）</v>
      </c>
      <c r="AE614" s="203">
        <f t="shared" ca="1" si="74"/>
        <v>0</v>
      </c>
      <c r="AF614" s="383">
        <f ca="1">IFERROR(IF(VLOOKUP(申込書!$C$32,★サイズ表記!$F$4:$H$55,3,FALSE)="切り捨て",ROUNDDOWN(L614*IF(AK614="◎",I614,J614)/100,2),IF(VLOOKUP(申込書!$C$32,★サイズ表記!$F$4:$H$55,3,FALSE)="切り上げ",ROUNDUP(L614*IF(AK614="◎",I614,J614)/100,2),ROUND(L614*IF(AK614="◎",I614,J614)/100,2))),0)</f>
        <v>2.38</v>
      </c>
      <c r="AG614" s="203">
        <f t="shared" ca="1" si="75"/>
        <v>10561</v>
      </c>
      <c r="AJ614" s="460" t="str">
        <f>IFERROR(VLOOKUP(申込書!$C$30,★業種!$D$2:$E$87,2,FALSE),"")</f>
        <v>1003</v>
      </c>
      <c r="AK614" s="460" t="str">
        <f ca="1">IF(申込書!$C$36="◎",IF(OR(D614="浜坂・温泉",D614="美方・村岡",D614="香住",D614="岡山",D614="大阪"),"",IF(LEFT(F614)="D","◎",IF(AG614=0,"",IFERROR(IF(VLOOKUP(AG614,★仕入先!$A$2:$C$211,3,FALSE)=0,"","◎"),"")))),"")</f>
        <v/>
      </c>
      <c r="AL614" s="460">
        <f>申込書!$H$14</f>
        <v>0</v>
      </c>
      <c r="AM614" s="460" t="str">
        <f>申込書!$C$32</f>
        <v>B4（折り無し）</v>
      </c>
      <c r="AN614" s="460" t="str">
        <f>VLOOKUP(AM614,★サイズ表記!$D$4:$E$55,2,FALSE)</f>
        <v>1001</v>
      </c>
      <c r="AO614" s="460">
        <f>IF(C614&lt;&gt;"⑧兵庫",VLOOKUP(LEFT(F614),★新聞!$A$4:$B$12,2,FALSE),IF(LEFT(F614)&lt;&gt;"S",VLOOKUP(LEFT(F614),★新聞!$A$4:$B$12,2,FALSE),VLOOKUP("X",★新聞!$A$4:$B$12,2,FALSE)))</f>
        <v>5</v>
      </c>
      <c r="AP614" s="460" t="str">
        <f t="shared" ca="1" si="76"/>
        <v>0</v>
      </c>
      <c r="AQ614" s="460" t="str">
        <f>IF(申込書!$C$38="","",申込書!$C$38)</f>
        <v/>
      </c>
    </row>
    <row r="615" spans="1:43">
      <c r="A615" s="463">
        <f t="shared" si="77"/>
        <v>614</v>
      </c>
      <c r="B615" s="463" t="str">
        <f t="shared" si="70"/>
        <v>東部</v>
      </c>
      <c r="C615" s="464" t="s">
        <v>1018</v>
      </c>
      <c r="D615" s="464" t="s">
        <v>1603</v>
      </c>
      <c r="E615" s="464">
        <f>VLOOKUP(D615,★折込地区!$A$2:$D$10,4,FALSE)</f>
        <v>3</v>
      </c>
      <c r="F615" s="464" t="s">
        <v>489</v>
      </c>
      <c r="G615" s="464" t="str">
        <f>INDEX(★新聞!$E$4:$I$12, MATCH(LEFT(F615),★新聞!$A$4:$A$12,0), MATCH(LEFT(W615),★新聞!$E$3:$I$3,0))</f>
        <v>AJ</v>
      </c>
      <c r="H615" s="555" t="s">
        <v>1102</v>
      </c>
      <c r="I615" s="464" cm="1">
        <f t="array" ref="I615">IFERROR(INDEX(★原価率!$A$2:$E$50,MATCH($C615&amp;$H615,★原価率!$A$2:$A$50&amp;★原価率!$B$2:$B$50,0),3),0)</f>
        <v>81</v>
      </c>
      <c r="J615" s="464" cm="1">
        <f t="array" ref="J615">IFERROR(INDEX(★原価率!$A$2:$E$50,MATCH($C615&amp;$H615,★原価率!$A$2:$A$50&amp;★原価率!$B$2:$B$50,0),4),0)</f>
        <v>85</v>
      </c>
      <c r="K615" s="464" cm="1">
        <f t="array" ref="K615">IFERROR(INDEX(★原価率!$A$2:$E$50,MATCH($C615&amp;$H615,★原価率!$A$2:$A$50&amp;★原価率!$B$2:$B$50,0),5),0)</f>
        <v>100</v>
      </c>
      <c r="L615" s="528">
        <f>IFERROR(VLOOKUP(W615,★商品!$A$1:$H$1231,8,FALSE),0)</f>
        <v>2.8</v>
      </c>
      <c r="M615" s="203" t="str">
        <f ca="1">CONCATENATE(VLOOKUP(B615,★営業所!$A$2:$B$5,2,FALSE),TEXT(NOW(),"yyyy"))</f>
        <v>T2023</v>
      </c>
      <c r="N615" s="203">
        <v>1</v>
      </c>
      <c r="O615" s="203">
        <v>0</v>
      </c>
      <c r="P615" s="213">
        <f>申込書!$B$6</f>
        <v>0</v>
      </c>
      <c r="Q615" s="203">
        <f>申込書!$C$34</f>
        <v>1000040</v>
      </c>
      <c r="R615" s="203">
        <v>0</v>
      </c>
      <c r="U615" s="203">
        <f>VLOOKUP(B615,★営業所!$A$2:$C$5,3,FALSE)</f>
        <v>8</v>
      </c>
      <c r="V615" s="203">
        <f>申込書!$B$9</f>
        <v>0</v>
      </c>
      <c r="W615" s="203" t="str">
        <f>CONCATENATE(VLOOKUP(B615,★営業所!$A$2:$B$5,2,FALSE),VLOOKUP(申込書!$C$32,★サイズ表記!$D$4:$E$55,2,FALSE),VLOOKUP(D615,★折込地区!$A$2:$B$11,2,FALSE))</f>
        <v>T1001Yng</v>
      </c>
      <c r="X615" s="203" t="str">
        <f>CONCATENATE(申込書!$B$9," ",VLOOKUP(RIGHT(W615,3),★折込地区!$B$2:$C$10,2,FALSE),"")</f>
        <v xml:space="preserve"> 米子</v>
      </c>
      <c r="Z615" s="206">
        <f t="shared" ca="1" si="71"/>
        <v>0</v>
      </c>
      <c r="AB615" s="383">
        <f t="shared" si="72"/>
        <v>2.8</v>
      </c>
      <c r="AC615" s="203" t="str">
        <f t="shared" si="73"/>
        <v>P1001</v>
      </c>
      <c r="AD615" s="203" t="str">
        <f>VLOOKUP(AC615,★原価商品!$E$6:$F$349,2,FALSE)</f>
        <v>産経/B4（折り無し）</v>
      </c>
      <c r="AE615" s="203">
        <f t="shared" ca="1" si="74"/>
        <v>0</v>
      </c>
      <c r="AF615" s="383">
        <f ca="1">IFERROR(IF(VLOOKUP(申込書!$C$32,★サイズ表記!$F$4:$H$55,3,FALSE)="切り捨て",ROUNDDOWN(L615*IF(AK615="◎",I615,J615)/100,2),IF(VLOOKUP(申込書!$C$32,★サイズ表記!$F$4:$H$55,3,FALSE)="切り上げ",ROUNDUP(L615*IF(AK615="◎",I615,J615)/100,2),ROUND(L615*IF(AK615="◎",I615,J615)/100,2))),0)</f>
        <v>2.38</v>
      </c>
      <c r="AG615" s="203">
        <f t="shared" ca="1" si="75"/>
        <v>10561</v>
      </c>
      <c r="AJ615" s="460" t="str">
        <f>IFERROR(VLOOKUP(申込書!$C$30,★業種!$D$2:$E$87,2,FALSE),"")</f>
        <v>1003</v>
      </c>
      <c r="AK615" s="460" t="str">
        <f ca="1">IF(申込書!$C$36="◎",IF(OR(D615="浜坂・温泉",D615="美方・村岡",D615="香住",D615="岡山",D615="大阪"),"",IF(LEFT(F615)="D","◎",IF(AG615=0,"",IFERROR(IF(VLOOKUP(AG615,★仕入先!$A$2:$C$211,3,FALSE)=0,"","◎"),"")))),"")</f>
        <v/>
      </c>
      <c r="AL615" s="460">
        <f>申込書!$H$14</f>
        <v>0</v>
      </c>
      <c r="AM615" s="460" t="str">
        <f>申込書!$C$32</f>
        <v>B4（折り無し）</v>
      </c>
      <c r="AN615" s="460" t="str">
        <f>VLOOKUP(AM615,★サイズ表記!$D$4:$E$55,2,FALSE)</f>
        <v>1001</v>
      </c>
      <c r="AO615" s="460">
        <f>IF(C615&lt;&gt;"⑧兵庫",VLOOKUP(LEFT(F615),★新聞!$A$4:$B$12,2,FALSE),IF(LEFT(F615)&lt;&gt;"S",VLOOKUP(LEFT(F615),★新聞!$A$4:$B$12,2,FALSE),VLOOKUP("X",★新聞!$A$4:$B$12,2,FALSE)))</f>
        <v>5</v>
      </c>
      <c r="AP615" s="460" t="str">
        <f t="shared" ca="1" si="76"/>
        <v>0</v>
      </c>
      <c r="AQ615" s="460" t="str">
        <f>IF(申込書!$C$38="","",申込書!$C$38)</f>
        <v/>
      </c>
    </row>
    <row r="616" spans="1:43">
      <c r="A616" s="463">
        <f t="shared" si="77"/>
        <v>615</v>
      </c>
      <c r="B616" s="463" t="str">
        <f t="shared" si="70"/>
        <v>東部</v>
      </c>
      <c r="C616" s="464" t="s">
        <v>1018</v>
      </c>
      <c r="D616" s="464" t="s">
        <v>1603</v>
      </c>
      <c r="E616" s="464">
        <f>VLOOKUP(D616,★折込地区!$A$2:$D$10,4,FALSE)</f>
        <v>3</v>
      </c>
      <c r="F616" s="464" t="s">
        <v>490</v>
      </c>
      <c r="G616" s="464" t="str">
        <f>INDEX(★新聞!$E$4:$I$12, MATCH(LEFT(F616),★新聞!$A$4:$A$12,0), MATCH(LEFT(W616),★新聞!$E$3:$I$3,0))</f>
        <v>AJ</v>
      </c>
      <c r="H616" s="555" t="s">
        <v>1102</v>
      </c>
      <c r="I616" s="464" cm="1">
        <f t="array" ref="I616">IFERROR(INDEX(★原価率!$A$2:$E$50,MATCH($C616&amp;$H616,★原価率!$A$2:$A$50&amp;★原価率!$B$2:$B$50,0),3),0)</f>
        <v>81</v>
      </c>
      <c r="J616" s="464" cm="1">
        <f t="array" ref="J616">IFERROR(INDEX(★原価率!$A$2:$E$50,MATCH($C616&amp;$H616,★原価率!$A$2:$A$50&amp;★原価率!$B$2:$B$50,0),4),0)</f>
        <v>85</v>
      </c>
      <c r="K616" s="464" cm="1">
        <f t="array" ref="K616">IFERROR(INDEX(★原価率!$A$2:$E$50,MATCH($C616&amp;$H616,★原価率!$A$2:$A$50&amp;★原価率!$B$2:$B$50,0),5),0)</f>
        <v>100</v>
      </c>
      <c r="L616" s="528">
        <f>IFERROR(VLOOKUP(W616,★商品!$A$1:$H$1231,8,FALSE),0)</f>
        <v>2.8</v>
      </c>
      <c r="M616" s="203" t="str">
        <f ca="1">CONCATENATE(VLOOKUP(B616,★営業所!$A$2:$B$5,2,FALSE),TEXT(NOW(),"yyyy"))</f>
        <v>T2023</v>
      </c>
      <c r="N616" s="203">
        <v>1</v>
      </c>
      <c r="O616" s="203">
        <v>0</v>
      </c>
      <c r="P616" s="213">
        <f>申込書!$B$6</f>
        <v>0</v>
      </c>
      <c r="Q616" s="203">
        <f>申込書!$C$34</f>
        <v>1000040</v>
      </c>
      <c r="R616" s="203">
        <v>0</v>
      </c>
      <c r="U616" s="203">
        <f>VLOOKUP(B616,★営業所!$A$2:$C$5,3,FALSE)</f>
        <v>8</v>
      </c>
      <c r="V616" s="203">
        <f>申込書!$B$9</f>
        <v>0</v>
      </c>
      <c r="W616" s="203" t="str">
        <f>CONCATENATE(VLOOKUP(B616,★営業所!$A$2:$B$5,2,FALSE),VLOOKUP(申込書!$C$32,★サイズ表記!$D$4:$E$55,2,FALSE),VLOOKUP(D616,★折込地区!$A$2:$B$11,2,FALSE))</f>
        <v>T1001Yng</v>
      </c>
      <c r="X616" s="203" t="str">
        <f>CONCATENATE(申込書!$B$9," ",VLOOKUP(RIGHT(W616,3),★折込地区!$B$2:$C$10,2,FALSE),"")</f>
        <v xml:space="preserve"> 米子</v>
      </c>
      <c r="Z616" s="206">
        <f t="shared" ca="1" si="71"/>
        <v>0</v>
      </c>
      <c r="AB616" s="383">
        <f t="shared" si="72"/>
        <v>2.8</v>
      </c>
      <c r="AC616" s="203" t="str">
        <f t="shared" si="73"/>
        <v>P1001</v>
      </c>
      <c r="AD616" s="203" t="str">
        <f>VLOOKUP(AC616,★原価商品!$E$6:$F$349,2,FALSE)</f>
        <v>産経/B4（折り無し）</v>
      </c>
      <c r="AE616" s="203">
        <f t="shared" ca="1" si="74"/>
        <v>0</v>
      </c>
      <c r="AF616" s="383">
        <f ca="1">IFERROR(IF(VLOOKUP(申込書!$C$32,★サイズ表記!$F$4:$H$55,3,FALSE)="切り捨て",ROUNDDOWN(L616*IF(AK616="◎",I616,J616)/100,2),IF(VLOOKUP(申込書!$C$32,★サイズ表記!$F$4:$H$55,3,FALSE)="切り上げ",ROUNDUP(L616*IF(AK616="◎",I616,J616)/100,2),ROUND(L616*IF(AK616="◎",I616,J616)/100,2))),0)</f>
        <v>2.38</v>
      </c>
      <c r="AG616" s="203">
        <f t="shared" ca="1" si="75"/>
        <v>10561</v>
      </c>
      <c r="AJ616" s="460" t="str">
        <f>IFERROR(VLOOKUP(申込書!$C$30,★業種!$D$2:$E$87,2,FALSE),"")</f>
        <v>1003</v>
      </c>
      <c r="AK616" s="460" t="str">
        <f ca="1">IF(申込書!$C$36="◎",IF(OR(D616="浜坂・温泉",D616="美方・村岡",D616="香住",D616="岡山",D616="大阪"),"",IF(LEFT(F616)="D","◎",IF(AG616=0,"",IFERROR(IF(VLOOKUP(AG616,★仕入先!$A$2:$C$211,3,FALSE)=0,"","◎"),"")))),"")</f>
        <v/>
      </c>
      <c r="AL616" s="460">
        <f>申込書!$H$14</f>
        <v>0</v>
      </c>
      <c r="AM616" s="460" t="str">
        <f>申込書!$C$32</f>
        <v>B4（折り無し）</v>
      </c>
      <c r="AN616" s="460" t="str">
        <f>VLOOKUP(AM616,★サイズ表記!$D$4:$E$55,2,FALSE)</f>
        <v>1001</v>
      </c>
      <c r="AO616" s="460">
        <f>IF(C616&lt;&gt;"⑧兵庫",VLOOKUP(LEFT(F616),★新聞!$A$4:$B$12,2,FALSE),IF(LEFT(F616)&lt;&gt;"S",VLOOKUP(LEFT(F616),★新聞!$A$4:$B$12,2,FALSE),VLOOKUP("X",★新聞!$A$4:$B$12,2,FALSE)))</f>
        <v>5</v>
      </c>
      <c r="AP616" s="460" t="str">
        <f t="shared" ca="1" si="76"/>
        <v>0</v>
      </c>
      <c r="AQ616" s="460" t="str">
        <f>IF(申込書!$C$38="","",申込書!$C$38)</f>
        <v/>
      </c>
    </row>
    <row r="617" spans="1:43">
      <c r="A617" s="463">
        <f t="shared" si="77"/>
        <v>616</v>
      </c>
      <c r="B617" s="463" t="str">
        <f t="shared" si="70"/>
        <v>東部</v>
      </c>
      <c r="C617" s="464" t="s">
        <v>1018</v>
      </c>
      <c r="D617" s="464" t="s">
        <v>1603</v>
      </c>
      <c r="E617" s="464">
        <f>VLOOKUP(D617,★折込地区!$A$2:$D$10,4,FALSE)</f>
        <v>3</v>
      </c>
      <c r="F617" s="464" t="s">
        <v>491</v>
      </c>
      <c r="G617" s="464" t="str">
        <f>INDEX(★新聞!$E$4:$I$12, MATCH(LEFT(F617),★新聞!$A$4:$A$12,0), MATCH(LEFT(W617),★新聞!$E$3:$I$3,0))</f>
        <v>AM</v>
      </c>
      <c r="H617" s="475" t="s">
        <v>1103</v>
      </c>
      <c r="I617" s="464" cm="1">
        <f t="array" ref="I617">IFERROR(INDEX(★原価率!$A$2:$E$50,MATCH($C617&amp;$H617,★原価率!$A$2:$A$50&amp;★原価率!$B$2:$B$50,0),3),0)</f>
        <v>85</v>
      </c>
      <c r="J617" s="464" cm="1">
        <f t="array" ref="J617">IFERROR(INDEX(★原価率!$A$2:$E$50,MATCH($C617&amp;$H617,★原価率!$A$2:$A$50&amp;★原価率!$B$2:$B$50,0),4),0)</f>
        <v>85</v>
      </c>
      <c r="K617" s="464" cm="1">
        <f t="array" ref="K617">IFERROR(INDEX(★原価率!$A$2:$E$50,MATCH($C617&amp;$H617,★原価率!$A$2:$A$50&amp;★原価率!$B$2:$B$50,0),5),0)</f>
        <v>100</v>
      </c>
      <c r="L617" s="528">
        <f>IFERROR(VLOOKUP(W617,★商品!$A$1:$H$1231,8,FALSE),0)</f>
        <v>2.8</v>
      </c>
      <c r="M617" s="203" t="str">
        <f ca="1">CONCATENATE(VLOOKUP(B617,★営業所!$A$2:$B$5,2,FALSE),TEXT(NOW(),"yyyy"))</f>
        <v>T2023</v>
      </c>
      <c r="N617" s="203">
        <v>1</v>
      </c>
      <c r="O617" s="203">
        <v>0</v>
      </c>
      <c r="P617" s="213">
        <f>申込書!$B$6</f>
        <v>0</v>
      </c>
      <c r="Q617" s="203">
        <f>申込書!$C$34</f>
        <v>1000040</v>
      </c>
      <c r="R617" s="203">
        <v>0</v>
      </c>
      <c r="U617" s="203">
        <f>VLOOKUP(B617,★営業所!$A$2:$C$5,3,FALSE)</f>
        <v>8</v>
      </c>
      <c r="V617" s="203">
        <f>申込書!$B$9</f>
        <v>0</v>
      </c>
      <c r="W617" s="203" t="str">
        <f>CONCATENATE(VLOOKUP(B617,★営業所!$A$2:$B$5,2,FALSE),VLOOKUP(申込書!$C$32,★サイズ表記!$D$4:$E$55,2,FALSE),VLOOKUP(D617,★折込地区!$A$2:$B$11,2,FALSE))</f>
        <v>T1001Yng</v>
      </c>
      <c r="X617" s="203" t="str">
        <f>CONCATENATE(申込書!$B$9," ",VLOOKUP(RIGHT(W617,3),★折込地区!$B$2:$C$10,2,FALSE),"")</f>
        <v xml:space="preserve"> 米子</v>
      </c>
      <c r="Z617" s="206">
        <f t="shared" ca="1" si="71"/>
        <v>0</v>
      </c>
      <c r="AB617" s="383">
        <f t="shared" si="72"/>
        <v>2.8</v>
      </c>
      <c r="AC617" s="203" t="str">
        <f t="shared" si="73"/>
        <v>S1001</v>
      </c>
      <c r="AD617" s="203" t="str">
        <f>VLOOKUP(AC617,★原価商品!$E$6:$F$349,2,FALSE)</f>
        <v>山陰中央/B4（折り無し）</v>
      </c>
      <c r="AE617" s="203">
        <f t="shared" ca="1" si="74"/>
        <v>0</v>
      </c>
      <c r="AF617" s="383">
        <f ca="1">IFERROR(IF(VLOOKUP(申込書!$C$32,★サイズ表記!$F$4:$H$55,3,FALSE)="切り捨て",ROUNDDOWN(L617*IF(AK617="◎",I617,J617)/100,2),IF(VLOOKUP(申込書!$C$32,★サイズ表記!$F$4:$H$55,3,FALSE)="切り上げ",ROUNDUP(L617*IF(AK617="◎",I617,J617)/100,2),ROUND(L617*IF(AK617="◎",I617,J617)/100,2))),0)</f>
        <v>2.38</v>
      </c>
      <c r="AG617" s="203">
        <f t="shared" ca="1" si="75"/>
        <v>10561</v>
      </c>
      <c r="AJ617" s="460" t="str">
        <f>IFERROR(VLOOKUP(申込書!$C$30,★業種!$D$2:$E$87,2,FALSE),"")</f>
        <v>1003</v>
      </c>
      <c r="AK617" s="460" t="str">
        <f ca="1">IF(申込書!$C$36="◎",IF(OR(D617="浜坂・温泉",D617="美方・村岡",D617="香住",D617="岡山",D617="大阪"),"",IF(LEFT(F617)="D","◎",IF(AG617=0,"",IFERROR(IF(VLOOKUP(AG617,★仕入先!$A$2:$C$211,3,FALSE)=0,"","◎"),"")))),"")</f>
        <v/>
      </c>
      <c r="AL617" s="460">
        <f>申込書!$H$14</f>
        <v>0</v>
      </c>
      <c r="AM617" s="460" t="str">
        <f>申込書!$C$32</f>
        <v>B4（折り無し）</v>
      </c>
      <c r="AN617" s="460" t="str">
        <f>VLOOKUP(AM617,★サイズ表記!$D$4:$E$55,2,FALSE)</f>
        <v>1001</v>
      </c>
      <c r="AO617" s="460">
        <f>IF(C617&lt;&gt;"⑧兵庫",VLOOKUP(LEFT(F617),★新聞!$A$4:$B$12,2,FALSE),IF(LEFT(F617)&lt;&gt;"S",VLOOKUP(LEFT(F617),★新聞!$A$4:$B$12,2,FALSE),VLOOKUP("X",★新聞!$A$4:$B$12,2,FALSE)))</f>
        <v>6</v>
      </c>
      <c r="AP617" s="460" t="str">
        <f t="shared" ca="1" si="76"/>
        <v>0</v>
      </c>
      <c r="AQ617" s="460" t="str">
        <f>IF(申込書!$C$38="","",申込書!$C$38)</f>
        <v/>
      </c>
    </row>
    <row r="618" spans="1:43">
      <c r="A618" s="463">
        <f t="shared" si="77"/>
        <v>617</v>
      </c>
      <c r="B618" s="463" t="str">
        <f t="shared" si="70"/>
        <v>東部</v>
      </c>
      <c r="C618" s="464" t="s">
        <v>1018</v>
      </c>
      <c r="D618" s="464" t="s">
        <v>1603</v>
      </c>
      <c r="E618" s="464">
        <f>VLOOKUP(D618,★折込地区!$A$2:$D$10,4,FALSE)</f>
        <v>3</v>
      </c>
      <c r="F618" s="464" t="s">
        <v>492</v>
      </c>
      <c r="G618" s="464" t="str">
        <f>INDEX(★新聞!$E$4:$I$12, MATCH(LEFT(F618),★新聞!$A$4:$A$12,0), MATCH(LEFT(W618),★新聞!$E$3:$I$3,0))</f>
        <v>AM</v>
      </c>
      <c r="H618" s="475" t="s">
        <v>1103</v>
      </c>
      <c r="I618" s="464" cm="1">
        <f t="array" ref="I618">IFERROR(INDEX(★原価率!$A$2:$E$50,MATCH($C618&amp;$H618,★原価率!$A$2:$A$50&amp;★原価率!$B$2:$B$50,0),3),0)</f>
        <v>85</v>
      </c>
      <c r="J618" s="464" cm="1">
        <f t="array" ref="J618">IFERROR(INDEX(★原価率!$A$2:$E$50,MATCH($C618&amp;$H618,★原価率!$A$2:$A$50&amp;★原価率!$B$2:$B$50,0),4),0)</f>
        <v>85</v>
      </c>
      <c r="K618" s="464" cm="1">
        <f t="array" ref="K618">IFERROR(INDEX(★原価率!$A$2:$E$50,MATCH($C618&amp;$H618,★原価率!$A$2:$A$50&amp;★原価率!$B$2:$B$50,0),5),0)</f>
        <v>100</v>
      </c>
      <c r="L618" s="528">
        <f>IFERROR(VLOOKUP(W618,★商品!$A$1:$H$1231,8,FALSE),0)</f>
        <v>2.8</v>
      </c>
      <c r="M618" s="203" t="str">
        <f ca="1">CONCATENATE(VLOOKUP(B618,★営業所!$A$2:$B$5,2,FALSE),TEXT(NOW(),"yyyy"))</f>
        <v>T2023</v>
      </c>
      <c r="N618" s="203">
        <v>1</v>
      </c>
      <c r="O618" s="203">
        <v>0</v>
      </c>
      <c r="P618" s="213">
        <f>申込書!$B$6</f>
        <v>0</v>
      </c>
      <c r="Q618" s="203">
        <f>申込書!$C$34</f>
        <v>1000040</v>
      </c>
      <c r="R618" s="203">
        <v>0</v>
      </c>
      <c r="U618" s="203">
        <f>VLOOKUP(B618,★営業所!$A$2:$C$5,3,FALSE)</f>
        <v>8</v>
      </c>
      <c r="V618" s="203">
        <f>申込書!$B$9</f>
        <v>0</v>
      </c>
      <c r="W618" s="203" t="str">
        <f>CONCATENATE(VLOOKUP(B618,★営業所!$A$2:$B$5,2,FALSE),VLOOKUP(申込書!$C$32,★サイズ表記!$D$4:$E$55,2,FALSE),VLOOKUP(D618,★折込地区!$A$2:$B$11,2,FALSE))</f>
        <v>T1001Yng</v>
      </c>
      <c r="X618" s="203" t="str">
        <f>CONCATENATE(申込書!$B$9," ",VLOOKUP(RIGHT(W618,3),★折込地区!$B$2:$C$10,2,FALSE),"")</f>
        <v xml:space="preserve"> 米子</v>
      </c>
      <c r="Z618" s="206">
        <f t="shared" ca="1" si="71"/>
        <v>0</v>
      </c>
      <c r="AB618" s="383">
        <f t="shared" si="72"/>
        <v>2.8</v>
      </c>
      <c r="AC618" s="203" t="str">
        <f t="shared" si="73"/>
        <v>S1001</v>
      </c>
      <c r="AD618" s="203" t="str">
        <f>VLOOKUP(AC618,★原価商品!$E$6:$F$349,2,FALSE)</f>
        <v>山陰中央/B4（折り無し）</v>
      </c>
      <c r="AE618" s="203">
        <f t="shared" ca="1" si="74"/>
        <v>0</v>
      </c>
      <c r="AF618" s="383">
        <f ca="1">IFERROR(IF(VLOOKUP(申込書!$C$32,★サイズ表記!$F$4:$H$55,3,FALSE)="切り捨て",ROUNDDOWN(L618*IF(AK618="◎",I618,J618)/100,2),IF(VLOOKUP(申込書!$C$32,★サイズ表記!$F$4:$H$55,3,FALSE)="切り上げ",ROUNDUP(L618*IF(AK618="◎",I618,J618)/100,2),ROUND(L618*IF(AK618="◎",I618,J618)/100,2))),0)</f>
        <v>2.38</v>
      </c>
      <c r="AG618" s="203">
        <f t="shared" ca="1" si="75"/>
        <v>0</v>
      </c>
      <c r="AJ618" s="460" t="str">
        <f>IFERROR(VLOOKUP(申込書!$C$30,★業種!$D$2:$E$87,2,FALSE),"")</f>
        <v>1003</v>
      </c>
      <c r="AK618" s="460" t="str">
        <f ca="1">IF(申込書!$C$36="◎",IF(OR(D618="浜坂・温泉",D618="美方・村岡",D618="香住",D618="岡山",D618="大阪"),"",IF(LEFT(F618)="D","◎",IF(AG618=0,"",IFERROR(IF(VLOOKUP(AG618,★仕入先!$A$2:$C$211,3,FALSE)=0,"","◎"),"")))),"")</f>
        <v/>
      </c>
      <c r="AL618" s="460">
        <f>申込書!$H$14</f>
        <v>0</v>
      </c>
      <c r="AM618" s="460" t="str">
        <f>申込書!$C$32</f>
        <v>B4（折り無し）</v>
      </c>
      <c r="AN618" s="460" t="str">
        <f>VLOOKUP(AM618,★サイズ表記!$D$4:$E$55,2,FALSE)</f>
        <v>1001</v>
      </c>
      <c r="AO618" s="460">
        <f>IF(C618&lt;&gt;"⑧兵庫",VLOOKUP(LEFT(F618),★新聞!$A$4:$B$12,2,FALSE),IF(LEFT(F618)&lt;&gt;"S",VLOOKUP(LEFT(F618),★新聞!$A$4:$B$12,2,FALSE),VLOOKUP("X",★新聞!$A$4:$B$12,2,FALSE)))</f>
        <v>6</v>
      </c>
      <c r="AP618" s="460" t="str">
        <f t="shared" ca="1" si="76"/>
        <v>0</v>
      </c>
      <c r="AQ618" s="460" t="str">
        <f>IF(申込書!$C$38="","",申込書!$C$38)</f>
        <v/>
      </c>
    </row>
    <row r="619" spans="1:43">
      <c r="A619" s="463">
        <f t="shared" si="77"/>
        <v>618</v>
      </c>
      <c r="B619" s="463" t="str">
        <f t="shared" si="70"/>
        <v>東部</v>
      </c>
      <c r="C619" s="464" t="s">
        <v>1018</v>
      </c>
      <c r="D619" s="464" t="s">
        <v>1603</v>
      </c>
      <c r="E619" s="464">
        <f>VLOOKUP(D619,★折込地区!$A$2:$D$10,4,FALSE)</f>
        <v>3</v>
      </c>
      <c r="F619" s="464" t="s">
        <v>493</v>
      </c>
      <c r="G619" s="464" t="str">
        <f>INDEX(★新聞!$E$4:$I$12, MATCH(LEFT(F619),★新聞!$A$4:$A$12,0), MATCH(LEFT(W619),★新聞!$E$3:$I$3,0))</f>
        <v>AM</v>
      </c>
      <c r="H619" s="475" t="s">
        <v>1103</v>
      </c>
      <c r="I619" s="464" cm="1">
        <f t="array" ref="I619">IFERROR(INDEX(★原価率!$A$2:$E$50,MATCH($C619&amp;$H619,★原価率!$A$2:$A$50&amp;★原価率!$B$2:$B$50,0),3),0)</f>
        <v>85</v>
      </c>
      <c r="J619" s="464" cm="1">
        <f t="array" ref="J619">IFERROR(INDEX(★原価率!$A$2:$E$50,MATCH($C619&amp;$H619,★原価率!$A$2:$A$50&amp;★原価率!$B$2:$B$50,0),4),0)</f>
        <v>85</v>
      </c>
      <c r="K619" s="464" cm="1">
        <f t="array" ref="K619">IFERROR(INDEX(★原価率!$A$2:$E$50,MATCH($C619&amp;$H619,★原価率!$A$2:$A$50&amp;★原価率!$B$2:$B$50,0),5),0)</f>
        <v>100</v>
      </c>
      <c r="L619" s="528">
        <f>IFERROR(VLOOKUP(W619,★商品!$A$1:$H$1231,8,FALSE),0)</f>
        <v>2.8</v>
      </c>
      <c r="M619" s="203" t="str">
        <f ca="1">CONCATENATE(VLOOKUP(B619,★営業所!$A$2:$B$5,2,FALSE),TEXT(NOW(),"yyyy"))</f>
        <v>T2023</v>
      </c>
      <c r="N619" s="203">
        <v>1</v>
      </c>
      <c r="O619" s="203">
        <v>0</v>
      </c>
      <c r="P619" s="213">
        <f>申込書!$B$6</f>
        <v>0</v>
      </c>
      <c r="Q619" s="203">
        <f>申込書!$C$34</f>
        <v>1000040</v>
      </c>
      <c r="R619" s="203">
        <v>0</v>
      </c>
      <c r="U619" s="203">
        <f>VLOOKUP(B619,★営業所!$A$2:$C$5,3,FALSE)</f>
        <v>8</v>
      </c>
      <c r="V619" s="203">
        <f>申込書!$B$9</f>
        <v>0</v>
      </c>
      <c r="W619" s="203" t="str">
        <f>CONCATENATE(VLOOKUP(B619,★営業所!$A$2:$B$5,2,FALSE),VLOOKUP(申込書!$C$32,★サイズ表記!$D$4:$E$55,2,FALSE),VLOOKUP(D619,★折込地区!$A$2:$B$11,2,FALSE))</f>
        <v>T1001Yng</v>
      </c>
      <c r="X619" s="203" t="str">
        <f>CONCATENATE(申込書!$B$9," ",VLOOKUP(RIGHT(W619,3),★折込地区!$B$2:$C$10,2,FALSE),"")</f>
        <v xml:space="preserve"> 米子</v>
      </c>
      <c r="Z619" s="206">
        <f t="shared" ca="1" si="71"/>
        <v>0</v>
      </c>
      <c r="AB619" s="383">
        <f t="shared" si="72"/>
        <v>2.8</v>
      </c>
      <c r="AC619" s="203" t="str">
        <f t="shared" si="73"/>
        <v>S1001</v>
      </c>
      <c r="AD619" s="203" t="str">
        <f>VLOOKUP(AC619,★原価商品!$E$6:$F$349,2,FALSE)</f>
        <v>山陰中央/B4（折り無し）</v>
      </c>
      <c r="AE619" s="203">
        <f t="shared" ca="1" si="74"/>
        <v>0</v>
      </c>
      <c r="AF619" s="383">
        <f ca="1">IFERROR(IF(VLOOKUP(申込書!$C$32,★サイズ表記!$F$4:$H$55,3,FALSE)="切り捨て",ROUNDDOWN(L619*IF(AK619="◎",I619,J619)/100,2),IF(VLOOKUP(申込書!$C$32,★サイズ表記!$F$4:$H$55,3,FALSE)="切り上げ",ROUNDUP(L619*IF(AK619="◎",I619,J619)/100,2),ROUND(L619*IF(AK619="◎",I619,J619)/100,2))),0)</f>
        <v>2.38</v>
      </c>
      <c r="AG619" s="203">
        <f t="shared" ca="1" si="75"/>
        <v>0</v>
      </c>
      <c r="AJ619" s="460" t="str">
        <f>IFERROR(VLOOKUP(申込書!$C$30,★業種!$D$2:$E$87,2,FALSE),"")</f>
        <v>1003</v>
      </c>
      <c r="AK619" s="460" t="str">
        <f ca="1">IF(申込書!$C$36="◎",IF(OR(D619="浜坂・温泉",D619="美方・村岡",D619="香住",D619="岡山",D619="大阪"),"",IF(LEFT(F619)="D","◎",IF(AG619=0,"",IFERROR(IF(VLOOKUP(AG619,★仕入先!$A$2:$C$211,3,FALSE)=0,"","◎"),"")))),"")</f>
        <v/>
      </c>
      <c r="AL619" s="460">
        <f>申込書!$H$14</f>
        <v>0</v>
      </c>
      <c r="AM619" s="460" t="str">
        <f>申込書!$C$32</f>
        <v>B4（折り無し）</v>
      </c>
      <c r="AN619" s="460" t="str">
        <f>VLOOKUP(AM619,★サイズ表記!$D$4:$E$55,2,FALSE)</f>
        <v>1001</v>
      </c>
      <c r="AO619" s="460">
        <f>IF(C619&lt;&gt;"⑧兵庫",VLOOKUP(LEFT(F619),★新聞!$A$4:$B$12,2,FALSE),IF(LEFT(F619)&lt;&gt;"S",VLOOKUP(LEFT(F619),★新聞!$A$4:$B$12,2,FALSE),VLOOKUP("X",★新聞!$A$4:$B$12,2,FALSE)))</f>
        <v>6</v>
      </c>
      <c r="AP619" s="460" t="str">
        <f t="shared" ca="1" si="76"/>
        <v>0</v>
      </c>
      <c r="AQ619" s="460" t="str">
        <f>IF(申込書!$C$38="","",申込書!$C$38)</f>
        <v/>
      </c>
    </row>
    <row r="620" spans="1:43">
      <c r="A620" s="463">
        <f t="shared" si="77"/>
        <v>619</v>
      </c>
      <c r="B620" s="463" t="str">
        <f t="shared" si="70"/>
        <v>東部</v>
      </c>
      <c r="C620" s="464" t="s">
        <v>1018</v>
      </c>
      <c r="D620" s="464" t="s">
        <v>1603</v>
      </c>
      <c r="E620" s="464">
        <f>VLOOKUP(D620,★折込地区!$A$2:$D$10,4,FALSE)</f>
        <v>3</v>
      </c>
      <c r="F620" s="464" t="s">
        <v>494</v>
      </c>
      <c r="G620" s="464" t="str">
        <f>INDEX(★新聞!$E$4:$I$12, MATCH(LEFT(F620),★新聞!$A$4:$A$12,0), MATCH(LEFT(W620),★新聞!$E$3:$I$3,0))</f>
        <v>AM</v>
      </c>
      <c r="H620" s="475" t="s">
        <v>1103</v>
      </c>
      <c r="I620" s="464" cm="1">
        <f t="array" ref="I620">IFERROR(INDEX(★原価率!$A$2:$E$50,MATCH($C620&amp;$H620,★原価率!$A$2:$A$50&amp;★原価率!$B$2:$B$50,0),3),0)</f>
        <v>85</v>
      </c>
      <c r="J620" s="464" cm="1">
        <f t="array" ref="J620">IFERROR(INDEX(★原価率!$A$2:$E$50,MATCH($C620&amp;$H620,★原価率!$A$2:$A$50&amp;★原価率!$B$2:$B$50,0),4),0)</f>
        <v>85</v>
      </c>
      <c r="K620" s="464" cm="1">
        <f t="array" ref="K620">IFERROR(INDEX(★原価率!$A$2:$E$50,MATCH($C620&amp;$H620,★原価率!$A$2:$A$50&amp;★原価率!$B$2:$B$50,0),5),0)</f>
        <v>100</v>
      </c>
      <c r="L620" s="528">
        <f>IFERROR(VLOOKUP(W620,★商品!$A$1:$H$1231,8,FALSE),0)</f>
        <v>2.8</v>
      </c>
      <c r="M620" s="203" t="str">
        <f ca="1">CONCATENATE(VLOOKUP(B620,★営業所!$A$2:$B$5,2,FALSE),TEXT(NOW(),"yyyy"))</f>
        <v>T2023</v>
      </c>
      <c r="N620" s="203">
        <v>1</v>
      </c>
      <c r="O620" s="203">
        <v>0</v>
      </c>
      <c r="P620" s="213">
        <f>申込書!$B$6</f>
        <v>0</v>
      </c>
      <c r="Q620" s="203">
        <f>申込書!$C$34</f>
        <v>1000040</v>
      </c>
      <c r="R620" s="203">
        <v>0</v>
      </c>
      <c r="U620" s="203">
        <f>VLOOKUP(B620,★営業所!$A$2:$C$5,3,FALSE)</f>
        <v>8</v>
      </c>
      <c r="V620" s="203">
        <f>申込書!$B$9</f>
        <v>0</v>
      </c>
      <c r="W620" s="203" t="str">
        <f>CONCATENATE(VLOOKUP(B620,★営業所!$A$2:$B$5,2,FALSE),VLOOKUP(申込書!$C$32,★サイズ表記!$D$4:$E$55,2,FALSE),VLOOKUP(D620,★折込地区!$A$2:$B$11,2,FALSE))</f>
        <v>T1001Yng</v>
      </c>
      <c r="X620" s="203" t="str">
        <f>CONCATENATE(申込書!$B$9," ",VLOOKUP(RIGHT(W620,3),★折込地区!$B$2:$C$10,2,FALSE),"")</f>
        <v xml:space="preserve"> 米子</v>
      </c>
      <c r="Z620" s="206">
        <f t="shared" ca="1" si="71"/>
        <v>0</v>
      </c>
      <c r="AB620" s="383">
        <f t="shared" si="72"/>
        <v>2.8</v>
      </c>
      <c r="AC620" s="203" t="str">
        <f t="shared" si="73"/>
        <v>S1001</v>
      </c>
      <c r="AD620" s="203" t="str">
        <f>VLOOKUP(AC620,★原価商品!$E$6:$F$349,2,FALSE)</f>
        <v>山陰中央/B4（折り無し）</v>
      </c>
      <c r="AE620" s="203">
        <f t="shared" ca="1" si="74"/>
        <v>0</v>
      </c>
      <c r="AF620" s="383">
        <f ca="1">IFERROR(IF(VLOOKUP(申込書!$C$32,★サイズ表記!$F$4:$H$55,3,FALSE)="切り捨て",ROUNDDOWN(L620*IF(AK620="◎",I620,J620)/100,2),IF(VLOOKUP(申込書!$C$32,★サイズ表記!$F$4:$H$55,3,FALSE)="切り上げ",ROUNDUP(L620*IF(AK620="◎",I620,J620)/100,2),ROUND(L620*IF(AK620="◎",I620,J620)/100,2))),0)</f>
        <v>2.38</v>
      </c>
      <c r="AG620" s="203">
        <f t="shared" ca="1" si="75"/>
        <v>10561</v>
      </c>
      <c r="AJ620" s="460" t="str">
        <f>IFERROR(VLOOKUP(申込書!$C$30,★業種!$D$2:$E$87,2,FALSE),"")</f>
        <v>1003</v>
      </c>
      <c r="AK620" s="460" t="str">
        <f ca="1">IF(申込書!$C$36="◎",IF(OR(D620="浜坂・温泉",D620="美方・村岡",D620="香住",D620="岡山",D620="大阪"),"",IF(LEFT(F620)="D","◎",IF(AG620=0,"",IFERROR(IF(VLOOKUP(AG620,★仕入先!$A$2:$C$211,3,FALSE)=0,"","◎"),"")))),"")</f>
        <v/>
      </c>
      <c r="AL620" s="460">
        <f>申込書!$H$14</f>
        <v>0</v>
      </c>
      <c r="AM620" s="460" t="str">
        <f>申込書!$C$32</f>
        <v>B4（折り無し）</v>
      </c>
      <c r="AN620" s="460" t="str">
        <f>VLOOKUP(AM620,★サイズ表記!$D$4:$E$55,2,FALSE)</f>
        <v>1001</v>
      </c>
      <c r="AO620" s="460">
        <f>IF(C620&lt;&gt;"⑧兵庫",VLOOKUP(LEFT(F620),★新聞!$A$4:$B$12,2,FALSE),IF(LEFT(F620)&lt;&gt;"S",VLOOKUP(LEFT(F620),★新聞!$A$4:$B$12,2,FALSE),VLOOKUP("X",★新聞!$A$4:$B$12,2,FALSE)))</f>
        <v>6</v>
      </c>
      <c r="AP620" s="460" t="str">
        <f t="shared" ca="1" si="76"/>
        <v>0</v>
      </c>
      <c r="AQ620" s="460" t="str">
        <f>IF(申込書!$C$38="","",申込書!$C$38)</f>
        <v/>
      </c>
    </row>
    <row r="621" spans="1:43">
      <c r="A621" s="463">
        <f t="shared" si="77"/>
        <v>620</v>
      </c>
      <c r="B621" s="463" t="str">
        <f t="shared" si="70"/>
        <v>東部</v>
      </c>
      <c r="C621" s="464" t="s">
        <v>1018</v>
      </c>
      <c r="D621" s="464" t="s">
        <v>1603</v>
      </c>
      <c r="E621" s="464">
        <f>VLOOKUP(D621,★折込地区!$A$2:$D$10,4,FALSE)</f>
        <v>3</v>
      </c>
      <c r="F621" s="464" t="s">
        <v>495</v>
      </c>
      <c r="G621" s="464" t="str">
        <f>INDEX(★新聞!$E$4:$I$12, MATCH(LEFT(F621),★新聞!$A$4:$A$12,0), MATCH(LEFT(W621),★新聞!$E$3:$I$3,0))</f>
        <v>AM</v>
      </c>
      <c r="H621" s="475" t="s">
        <v>1103</v>
      </c>
      <c r="I621" s="464" cm="1">
        <f t="array" ref="I621">IFERROR(INDEX(★原価率!$A$2:$E$50,MATCH($C621&amp;$H621,★原価率!$A$2:$A$50&amp;★原価率!$B$2:$B$50,0),3),0)</f>
        <v>85</v>
      </c>
      <c r="J621" s="464" cm="1">
        <f t="array" ref="J621">IFERROR(INDEX(★原価率!$A$2:$E$50,MATCH($C621&amp;$H621,★原価率!$A$2:$A$50&amp;★原価率!$B$2:$B$50,0),4),0)</f>
        <v>85</v>
      </c>
      <c r="K621" s="464" cm="1">
        <f t="array" ref="K621">IFERROR(INDEX(★原価率!$A$2:$E$50,MATCH($C621&amp;$H621,★原価率!$A$2:$A$50&amp;★原価率!$B$2:$B$50,0),5),0)</f>
        <v>100</v>
      </c>
      <c r="L621" s="528">
        <f>IFERROR(VLOOKUP(W621,★商品!$A$1:$H$1231,8,FALSE),0)</f>
        <v>2.8</v>
      </c>
      <c r="M621" s="203" t="str">
        <f ca="1">CONCATENATE(VLOOKUP(B621,★営業所!$A$2:$B$5,2,FALSE),TEXT(NOW(),"yyyy"))</f>
        <v>T2023</v>
      </c>
      <c r="N621" s="203">
        <v>1</v>
      </c>
      <c r="O621" s="203">
        <v>0</v>
      </c>
      <c r="P621" s="213">
        <f>申込書!$B$6</f>
        <v>0</v>
      </c>
      <c r="Q621" s="203">
        <f>申込書!$C$34</f>
        <v>1000040</v>
      </c>
      <c r="R621" s="203">
        <v>0</v>
      </c>
      <c r="U621" s="203">
        <f>VLOOKUP(B621,★営業所!$A$2:$C$5,3,FALSE)</f>
        <v>8</v>
      </c>
      <c r="V621" s="203">
        <f>申込書!$B$9</f>
        <v>0</v>
      </c>
      <c r="W621" s="203" t="str">
        <f>CONCATENATE(VLOOKUP(B621,★営業所!$A$2:$B$5,2,FALSE),VLOOKUP(申込書!$C$32,★サイズ表記!$D$4:$E$55,2,FALSE),VLOOKUP(D621,★折込地区!$A$2:$B$11,2,FALSE))</f>
        <v>T1001Yng</v>
      </c>
      <c r="X621" s="203" t="str">
        <f>CONCATENATE(申込書!$B$9," ",VLOOKUP(RIGHT(W621,3),★折込地区!$B$2:$C$10,2,FALSE),"")</f>
        <v xml:space="preserve"> 米子</v>
      </c>
      <c r="Z621" s="206">
        <f t="shared" ca="1" si="71"/>
        <v>0</v>
      </c>
      <c r="AB621" s="383">
        <f t="shared" si="72"/>
        <v>2.8</v>
      </c>
      <c r="AC621" s="203" t="str">
        <f t="shared" si="73"/>
        <v>S1001</v>
      </c>
      <c r="AD621" s="203" t="str">
        <f>VLOOKUP(AC621,★原価商品!$E$6:$F$349,2,FALSE)</f>
        <v>山陰中央/B4（折り無し）</v>
      </c>
      <c r="AE621" s="203">
        <f t="shared" ca="1" si="74"/>
        <v>0</v>
      </c>
      <c r="AF621" s="383">
        <f ca="1">IFERROR(IF(VLOOKUP(申込書!$C$32,★サイズ表記!$F$4:$H$55,3,FALSE)="切り捨て",ROUNDDOWN(L621*IF(AK621="◎",I621,J621)/100,2),IF(VLOOKUP(申込書!$C$32,★サイズ表記!$F$4:$H$55,3,FALSE)="切り上げ",ROUNDUP(L621*IF(AK621="◎",I621,J621)/100,2),ROUND(L621*IF(AK621="◎",I621,J621)/100,2))),0)</f>
        <v>2.38</v>
      </c>
      <c r="AG621" s="203">
        <f t="shared" ca="1" si="75"/>
        <v>0</v>
      </c>
      <c r="AJ621" s="460" t="str">
        <f>IFERROR(VLOOKUP(申込書!$C$30,★業種!$D$2:$E$87,2,FALSE),"")</f>
        <v>1003</v>
      </c>
      <c r="AK621" s="460" t="str">
        <f ca="1">IF(申込書!$C$36="◎",IF(OR(D621="浜坂・温泉",D621="美方・村岡",D621="香住",D621="岡山",D621="大阪"),"",IF(LEFT(F621)="D","◎",IF(AG621=0,"",IFERROR(IF(VLOOKUP(AG621,★仕入先!$A$2:$C$211,3,FALSE)=0,"","◎"),"")))),"")</f>
        <v/>
      </c>
      <c r="AL621" s="460">
        <f>申込書!$H$14</f>
        <v>0</v>
      </c>
      <c r="AM621" s="460" t="str">
        <f>申込書!$C$32</f>
        <v>B4（折り無し）</v>
      </c>
      <c r="AN621" s="460" t="str">
        <f>VLOOKUP(AM621,★サイズ表記!$D$4:$E$55,2,FALSE)</f>
        <v>1001</v>
      </c>
      <c r="AO621" s="460">
        <f>IF(C621&lt;&gt;"⑧兵庫",VLOOKUP(LEFT(F621),★新聞!$A$4:$B$12,2,FALSE),IF(LEFT(F621)&lt;&gt;"S",VLOOKUP(LEFT(F621),★新聞!$A$4:$B$12,2,FALSE),VLOOKUP("X",★新聞!$A$4:$B$12,2,FALSE)))</f>
        <v>6</v>
      </c>
      <c r="AP621" s="460" t="str">
        <f t="shared" ca="1" si="76"/>
        <v>0</v>
      </c>
      <c r="AQ621" s="460" t="str">
        <f>IF(申込書!$C$38="","",申込書!$C$38)</f>
        <v/>
      </c>
    </row>
    <row r="622" spans="1:43">
      <c r="A622" s="463">
        <f t="shared" si="77"/>
        <v>621</v>
      </c>
      <c r="B622" s="463" t="str">
        <f t="shared" si="70"/>
        <v>東部</v>
      </c>
      <c r="C622" s="464" t="s">
        <v>1018</v>
      </c>
      <c r="D622" s="464" t="s">
        <v>1603</v>
      </c>
      <c r="E622" s="464">
        <f>VLOOKUP(D622,★折込地区!$A$2:$D$10,4,FALSE)</f>
        <v>3</v>
      </c>
      <c r="F622" s="464" t="s">
        <v>496</v>
      </c>
      <c r="G622" s="464" t="str">
        <f>INDEX(★新聞!$E$4:$I$12, MATCH(LEFT(F622),★新聞!$A$4:$A$12,0), MATCH(LEFT(W622),★新聞!$E$3:$I$3,0))</f>
        <v>AM</v>
      </c>
      <c r="H622" s="475" t="s">
        <v>1103</v>
      </c>
      <c r="I622" s="464" cm="1">
        <f t="array" ref="I622">IFERROR(INDEX(★原価率!$A$2:$E$50,MATCH($C622&amp;$H622,★原価率!$A$2:$A$50&amp;★原価率!$B$2:$B$50,0),3),0)</f>
        <v>85</v>
      </c>
      <c r="J622" s="464" cm="1">
        <f t="array" ref="J622">IFERROR(INDEX(★原価率!$A$2:$E$50,MATCH($C622&amp;$H622,★原価率!$A$2:$A$50&amp;★原価率!$B$2:$B$50,0),4),0)</f>
        <v>85</v>
      </c>
      <c r="K622" s="464" cm="1">
        <f t="array" ref="K622">IFERROR(INDEX(★原価率!$A$2:$E$50,MATCH($C622&amp;$H622,★原価率!$A$2:$A$50&amp;★原価率!$B$2:$B$50,0),5),0)</f>
        <v>100</v>
      </c>
      <c r="L622" s="528">
        <f>IFERROR(VLOOKUP(W622,★商品!$A$1:$H$1231,8,FALSE),0)</f>
        <v>2.8</v>
      </c>
      <c r="M622" s="203" t="str">
        <f ca="1">CONCATENATE(VLOOKUP(B622,★営業所!$A$2:$B$5,2,FALSE),TEXT(NOW(),"yyyy"))</f>
        <v>T2023</v>
      </c>
      <c r="N622" s="203">
        <v>1</v>
      </c>
      <c r="O622" s="203">
        <v>0</v>
      </c>
      <c r="P622" s="213">
        <f>申込書!$B$6</f>
        <v>0</v>
      </c>
      <c r="Q622" s="203">
        <f>申込書!$C$34</f>
        <v>1000040</v>
      </c>
      <c r="R622" s="203">
        <v>0</v>
      </c>
      <c r="U622" s="203">
        <f>VLOOKUP(B622,★営業所!$A$2:$C$5,3,FALSE)</f>
        <v>8</v>
      </c>
      <c r="V622" s="203">
        <f>申込書!$B$9</f>
        <v>0</v>
      </c>
      <c r="W622" s="203" t="str">
        <f>CONCATENATE(VLOOKUP(B622,★営業所!$A$2:$B$5,2,FALSE),VLOOKUP(申込書!$C$32,★サイズ表記!$D$4:$E$55,2,FALSE),VLOOKUP(D622,★折込地区!$A$2:$B$11,2,FALSE))</f>
        <v>T1001Yng</v>
      </c>
      <c r="X622" s="203" t="str">
        <f>CONCATENATE(申込書!$B$9," ",VLOOKUP(RIGHT(W622,3),★折込地区!$B$2:$C$10,2,FALSE),"")</f>
        <v xml:space="preserve"> 米子</v>
      </c>
      <c r="Z622" s="206">
        <f t="shared" ca="1" si="71"/>
        <v>0</v>
      </c>
      <c r="AB622" s="383">
        <f t="shared" si="72"/>
        <v>2.8</v>
      </c>
      <c r="AC622" s="203" t="str">
        <f t="shared" si="73"/>
        <v>S1001</v>
      </c>
      <c r="AD622" s="203" t="str">
        <f>VLOOKUP(AC622,★原価商品!$E$6:$F$349,2,FALSE)</f>
        <v>山陰中央/B4（折り無し）</v>
      </c>
      <c r="AE622" s="203">
        <f t="shared" ca="1" si="74"/>
        <v>0</v>
      </c>
      <c r="AF622" s="383">
        <f ca="1">IFERROR(IF(VLOOKUP(申込書!$C$32,★サイズ表記!$F$4:$H$55,3,FALSE)="切り捨て",ROUNDDOWN(L622*IF(AK622="◎",I622,J622)/100,2),IF(VLOOKUP(申込書!$C$32,★サイズ表記!$F$4:$H$55,3,FALSE)="切り上げ",ROUNDUP(L622*IF(AK622="◎",I622,J622)/100,2),ROUND(L622*IF(AK622="◎",I622,J622)/100,2))),0)</f>
        <v>2.38</v>
      </c>
      <c r="AG622" s="203">
        <f t="shared" ca="1" si="75"/>
        <v>0</v>
      </c>
      <c r="AJ622" s="460" t="str">
        <f>IFERROR(VLOOKUP(申込書!$C$30,★業種!$D$2:$E$87,2,FALSE),"")</f>
        <v>1003</v>
      </c>
      <c r="AK622" s="460" t="str">
        <f ca="1">IF(申込書!$C$36="◎",IF(OR(D622="浜坂・温泉",D622="美方・村岡",D622="香住",D622="岡山",D622="大阪"),"",IF(LEFT(F622)="D","◎",IF(AG622=0,"",IFERROR(IF(VLOOKUP(AG622,★仕入先!$A$2:$C$211,3,FALSE)=0,"","◎"),"")))),"")</f>
        <v/>
      </c>
      <c r="AL622" s="460">
        <f>申込書!$H$14</f>
        <v>0</v>
      </c>
      <c r="AM622" s="460" t="str">
        <f>申込書!$C$32</f>
        <v>B4（折り無し）</v>
      </c>
      <c r="AN622" s="460" t="str">
        <f>VLOOKUP(AM622,★サイズ表記!$D$4:$E$55,2,FALSE)</f>
        <v>1001</v>
      </c>
      <c r="AO622" s="460">
        <f>IF(C622&lt;&gt;"⑧兵庫",VLOOKUP(LEFT(F622),★新聞!$A$4:$B$12,2,FALSE),IF(LEFT(F622)&lt;&gt;"S",VLOOKUP(LEFT(F622),★新聞!$A$4:$B$12,2,FALSE),VLOOKUP("X",★新聞!$A$4:$B$12,2,FALSE)))</f>
        <v>6</v>
      </c>
      <c r="AP622" s="460" t="str">
        <f t="shared" ca="1" si="76"/>
        <v>0</v>
      </c>
      <c r="AQ622" s="460" t="str">
        <f>IF(申込書!$C$38="","",申込書!$C$38)</f>
        <v/>
      </c>
    </row>
    <row r="623" spans="1:43">
      <c r="A623" s="463">
        <f t="shared" si="77"/>
        <v>622</v>
      </c>
      <c r="B623" s="463" t="str">
        <f t="shared" si="70"/>
        <v>東部</v>
      </c>
      <c r="C623" s="464" t="s">
        <v>1018</v>
      </c>
      <c r="D623" s="464" t="s">
        <v>1603</v>
      </c>
      <c r="E623" s="464">
        <f>VLOOKUP(D623,★折込地区!$A$2:$D$10,4,FALSE)</f>
        <v>3</v>
      </c>
      <c r="F623" s="464" t="s">
        <v>497</v>
      </c>
      <c r="G623" s="464" t="str">
        <f>INDEX(★新聞!$E$4:$I$12, MATCH(LEFT(F623),★新聞!$A$4:$A$12,0), MATCH(LEFT(W623),★新聞!$E$3:$I$3,0))</f>
        <v>AM</v>
      </c>
      <c r="H623" s="475" t="s">
        <v>1103</v>
      </c>
      <c r="I623" s="464" cm="1">
        <f t="array" ref="I623">IFERROR(INDEX(★原価率!$A$2:$E$50,MATCH($C623&amp;$H623,★原価率!$A$2:$A$50&amp;★原価率!$B$2:$B$50,0),3),0)</f>
        <v>85</v>
      </c>
      <c r="J623" s="464" cm="1">
        <f t="array" ref="J623">IFERROR(INDEX(★原価率!$A$2:$E$50,MATCH($C623&amp;$H623,★原価率!$A$2:$A$50&amp;★原価率!$B$2:$B$50,0),4),0)</f>
        <v>85</v>
      </c>
      <c r="K623" s="464" cm="1">
        <f t="array" ref="K623">IFERROR(INDEX(★原価率!$A$2:$E$50,MATCH($C623&amp;$H623,★原価率!$A$2:$A$50&amp;★原価率!$B$2:$B$50,0),5),0)</f>
        <v>100</v>
      </c>
      <c r="L623" s="528">
        <f>IFERROR(VLOOKUP(W623,★商品!$A$1:$H$1231,8,FALSE),0)</f>
        <v>2.8</v>
      </c>
      <c r="M623" s="203" t="str">
        <f ca="1">CONCATENATE(VLOOKUP(B623,★営業所!$A$2:$B$5,2,FALSE),TEXT(NOW(),"yyyy"))</f>
        <v>T2023</v>
      </c>
      <c r="N623" s="203">
        <v>1</v>
      </c>
      <c r="O623" s="203">
        <v>0</v>
      </c>
      <c r="P623" s="213">
        <f>申込書!$B$6</f>
        <v>0</v>
      </c>
      <c r="Q623" s="203">
        <f>申込書!$C$34</f>
        <v>1000040</v>
      </c>
      <c r="R623" s="203">
        <v>0</v>
      </c>
      <c r="U623" s="203">
        <f>VLOOKUP(B623,★営業所!$A$2:$C$5,3,FALSE)</f>
        <v>8</v>
      </c>
      <c r="V623" s="203">
        <f>申込書!$B$9</f>
        <v>0</v>
      </c>
      <c r="W623" s="203" t="str">
        <f>CONCATENATE(VLOOKUP(B623,★営業所!$A$2:$B$5,2,FALSE),VLOOKUP(申込書!$C$32,★サイズ表記!$D$4:$E$55,2,FALSE),VLOOKUP(D623,★折込地区!$A$2:$B$11,2,FALSE))</f>
        <v>T1001Yng</v>
      </c>
      <c r="X623" s="203" t="str">
        <f>CONCATENATE(申込書!$B$9," ",VLOOKUP(RIGHT(W623,3),★折込地区!$B$2:$C$10,2,FALSE),"")</f>
        <v xml:space="preserve"> 米子</v>
      </c>
      <c r="Z623" s="206">
        <f t="shared" ca="1" si="71"/>
        <v>0</v>
      </c>
      <c r="AB623" s="383">
        <f t="shared" si="72"/>
        <v>2.8</v>
      </c>
      <c r="AC623" s="203" t="str">
        <f t="shared" si="73"/>
        <v>S1001</v>
      </c>
      <c r="AD623" s="203" t="str">
        <f>VLOOKUP(AC623,★原価商品!$E$6:$F$349,2,FALSE)</f>
        <v>山陰中央/B4（折り無し）</v>
      </c>
      <c r="AE623" s="203">
        <f t="shared" ca="1" si="74"/>
        <v>0</v>
      </c>
      <c r="AF623" s="383">
        <f ca="1">IFERROR(IF(VLOOKUP(申込書!$C$32,★サイズ表記!$F$4:$H$55,3,FALSE)="切り捨て",ROUNDDOWN(L623*IF(AK623="◎",I623,J623)/100,2),IF(VLOOKUP(申込書!$C$32,★サイズ表記!$F$4:$H$55,3,FALSE)="切り上げ",ROUNDUP(L623*IF(AK623="◎",I623,J623)/100,2),ROUND(L623*IF(AK623="◎",I623,J623)/100,2))),0)</f>
        <v>2.38</v>
      </c>
      <c r="AG623" s="203">
        <f t="shared" ca="1" si="75"/>
        <v>0</v>
      </c>
      <c r="AJ623" s="460" t="str">
        <f>IFERROR(VLOOKUP(申込書!$C$30,★業種!$D$2:$E$87,2,FALSE),"")</f>
        <v>1003</v>
      </c>
      <c r="AK623" s="460" t="str">
        <f ca="1">IF(申込書!$C$36="◎",IF(OR(D623="浜坂・温泉",D623="美方・村岡",D623="香住",D623="岡山",D623="大阪"),"",IF(LEFT(F623)="D","◎",IF(AG623=0,"",IFERROR(IF(VLOOKUP(AG623,★仕入先!$A$2:$C$211,3,FALSE)=0,"","◎"),"")))),"")</f>
        <v/>
      </c>
      <c r="AL623" s="460">
        <f>申込書!$H$14</f>
        <v>0</v>
      </c>
      <c r="AM623" s="460" t="str">
        <f>申込書!$C$32</f>
        <v>B4（折り無し）</v>
      </c>
      <c r="AN623" s="460" t="str">
        <f>VLOOKUP(AM623,★サイズ表記!$D$4:$E$55,2,FALSE)</f>
        <v>1001</v>
      </c>
      <c r="AO623" s="460">
        <f>IF(C623&lt;&gt;"⑧兵庫",VLOOKUP(LEFT(F623),★新聞!$A$4:$B$12,2,FALSE),IF(LEFT(F623)&lt;&gt;"S",VLOOKUP(LEFT(F623),★新聞!$A$4:$B$12,2,FALSE),VLOOKUP("X",★新聞!$A$4:$B$12,2,FALSE)))</f>
        <v>6</v>
      </c>
      <c r="AP623" s="460" t="str">
        <f t="shared" ca="1" si="76"/>
        <v>0</v>
      </c>
      <c r="AQ623" s="460" t="str">
        <f>IF(申込書!$C$38="","",申込書!$C$38)</f>
        <v/>
      </c>
    </row>
    <row r="624" spans="1:43">
      <c r="A624" s="463">
        <f t="shared" si="77"/>
        <v>623</v>
      </c>
      <c r="B624" s="463" t="str">
        <f t="shared" si="70"/>
        <v>東部</v>
      </c>
      <c r="C624" s="464" t="s">
        <v>1018</v>
      </c>
      <c r="D624" s="464" t="s">
        <v>1603</v>
      </c>
      <c r="E624" s="464">
        <f>VLOOKUP(D624,★折込地区!$A$2:$D$10,4,FALSE)</f>
        <v>3</v>
      </c>
      <c r="F624" s="464" t="s">
        <v>498</v>
      </c>
      <c r="G624" s="464" t="str">
        <f>INDEX(★新聞!$E$4:$I$12, MATCH(LEFT(F624),★新聞!$A$4:$A$12,0), MATCH(LEFT(W624),★新聞!$E$3:$I$3,0))</f>
        <v>AM</v>
      </c>
      <c r="H624" s="475" t="s">
        <v>1103</v>
      </c>
      <c r="I624" s="464" cm="1">
        <f t="array" ref="I624">IFERROR(INDEX(★原価率!$A$2:$E$50,MATCH($C624&amp;$H624,★原価率!$A$2:$A$50&amp;★原価率!$B$2:$B$50,0),3),0)</f>
        <v>85</v>
      </c>
      <c r="J624" s="464" cm="1">
        <f t="array" ref="J624">IFERROR(INDEX(★原価率!$A$2:$E$50,MATCH($C624&amp;$H624,★原価率!$A$2:$A$50&amp;★原価率!$B$2:$B$50,0),4),0)</f>
        <v>85</v>
      </c>
      <c r="K624" s="464" cm="1">
        <f t="array" ref="K624">IFERROR(INDEX(★原価率!$A$2:$E$50,MATCH($C624&amp;$H624,★原価率!$A$2:$A$50&amp;★原価率!$B$2:$B$50,0),5),0)</f>
        <v>100</v>
      </c>
      <c r="L624" s="528">
        <f>IFERROR(VLOOKUP(W624,★商品!$A$1:$H$1231,8,FALSE),0)</f>
        <v>2.8</v>
      </c>
      <c r="M624" s="203" t="str">
        <f ca="1">CONCATENATE(VLOOKUP(B624,★営業所!$A$2:$B$5,2,FALSE),TEXT(NOW(),"yyyy"))</f>
        <v>T2023</v>
      </c>
      <c r="N624" s="203">
        <v>1</v>
      </c>
      <c r="O624" s="203">
        <v>0</v>
      </c>
      <c r="P624" s="213">
        <f>申込書!$B$6</f>
        <v>0</v>
      </c>
      <c r="Q624" s="203">
        <f>申込書!$C$34</f>
        <v>1000040</v>
      </c>
      <c r="R624" s="203">
        <v>0</v>
      </c>
      <c r="U624" s="203">
        <f>VLOOKUP(B624,★営業所!$A$2:$C$5,3,FALSE)</f>
        <v>8</v>
      </c>
      <c r="V624" s="203">
        <f>申込書!$B$9</f>
        <v>0</v>
      </c>
      <c r="W624" s="203" t="str">
        <f>CONCATENATE(VLOOKUP(B624,★営業所!$A$2:$B$5,2,FALSE),VLOOKUP(申込書!$C$32,★サイズ表記!$D$4:$E$55,2,FALSE),VLOOKUP(D624,★折込地区!$A$2:$B$11,2,FALSE))</f>
        <v>T1001Yng</v>
      </c>
      <c r="X624" s="203" t="str">
        <f>CONCATENATE(申込書!$B$9," ",VLOOKUP(RIGHT(W624,3),★折込地区!$B$2:$C$10,2,FALSE),"")</f>
        <v xml:space="preserve"> 米子</v>
      </c>
      <c r="Z624" s="206">
        <f t="shared" ca="1" si="71"/>
        <v>0</v>
      </c>
      <c r="AB624" s="383">
        <f t="shared" si="72"/>
        <v>2.8</v>
      </c>
      <c r="AC624" s="203" t="str">
        <f t="shared" si="73"/>
        <v>S1001</v>
      </c>
      <c r="AD624" s="203" t="str">
        <f>VLOOKUP(AC624,★原価商品!$E$6:$F$349,2,FALSE)</f>
        <v>山陰中央/B4（折り無し）</v>
      </c>
      <c r="AE624" s="203">
        <f t="shared" ca="1" si="74"/>
        <v>0</v>
      </c>
      <c r="AF624" s="383">
        <f ca="1">IFERROR(IF(VLOOKUP(申込書!$C$32,★サイズ表記!$F$4:$H$55,3,FALSE)="切り捨て",ROUNDDOWN(L624*IF(AK624="◎",I624,J624)/100,2),IF(VLOOKUP(申込書!$C$32,★サイズ表記!$F$4:$H$55,3,FALSE)="切り上げ",ROUNDUP(L624*IF(AK624="◎",I624,J624)/100,2),ROUND(L624*IF(AK624="◎",I624,J624)/100,2))),0)</f>
        <v>2.38</v>
      </c>
      <c r="AG624" s="203">
        <f t="shared" ca="1" si="75"/>
        <v>0</v>
      </c>
      <c r="AJ624" s="460" t="str">
        <f>IFERROR(VLOOKUP(申込書!$C$30,★業種!$D$2:$E$87,2,FALSE),"")</f>
        <v>1003</v>
      </c>
      <c r="AK624" s="460" t="str">
        <f ca="1">IF(申込書!$C$36="◎",IF(OR(D624="浜坂・温泉",D624="美方・村岡",D624="香住",D624="岡山",D624="大阪"),"",IF(LEFT(F624)="D","◎",IF(AG624=0,"",IFERROR(IF(VLOOKUP(AG624,★仕入先!$A$2:$C$211,3,FALSE)=0,"","◎"),"")))),"")</f>
        <v/>
      </c>
      <c r="AL624" s="460">
        <f>申込書!$H$14</f>
        <v>0</v>
      </c>
      <c r="AM624" s="460" t="str">
        <f>申込書!$C$32</f>
        <v>B4（折り無し）</v>
      </c>
      <c r="AN624" s="460" t="str">
        <f>VLOOKUP(AM624,★サイズ表記!$D$4:$E$55,2,FALSE)</f>
        <v>1001</v>
      </c>
      <c r="AO624" s="460">
        <f>IF(C624&lt;&gt;"⑧兵庫",VLOOKUP(LEFT(F624),★新聞!$A$4:$B$12,2,FALSE),IF(LEFT(F624)&lt;&gt;"S",VLOOKUP(LEFT(F624),★新聞!$A$4:$B$12,2,FALSE),VLOOKUP("X",★新聞!$A$4:$B$12,2,FALSE)))</f>
        <v>6</v>
      </c>
      <c r="AP624" s="460" t="str">
        <f t="shared" ca="1" si="76"/>
        <v>0</v>
      </c>
      <c r="AQ624" s="460" t="str">
        <f>IF(申込書!$C$38="","",申込書!$C$38)</f>
        <v/>
      </c>
    </row>
    <row r="625" spans="1:43">
      <c r="A625" s="463">
        <f t="shared" si="77"/>
        <v>624</v>
      </c>
      <c r="B625" s="463" t="str">
        <f t="shared" si="70"/>
        <v>東部</v>
      </c>
      <c r="C625" s="464" t="s">
        <v>1018</v>
      </c>
      <c r="D625" s="464" t="s">
        <v>1603</v>
      </c>
      <c r="E625" s="464">
        <f>VLOOKUP(D625,★折込地区!$A$2:$D$10,4,FALSE)</f>
        <v>3</v>
      </c>
      <c r="F625" s="464" t="s">
        <v>499</v>
      </c>
      <c r="G625" s="464" t="str">
        <f>INDEX(★新聞!$E$4:$I$12, MATCH(LEFT(F625),★新聞!$A$4:$A$12,0), MATCH(LEFT(W625),★新聞!$E$3:$I$3,0))</f>
        <v>AM</v>
      </c>
      <c r="H625" s="475" t="s">
        <v>1103</v>
      </c>
      <c r="I625" s="464" cm="1">
        <f t="array" ref="I625">IFERROR(INDEX(★原価率!$A$2:$E$50,MATCH($C625&amp;$H625,★原価率!$A$2:$A$50&amp;★原価率!$B$2:$B$50,0),3),0)</f>
        <v>85</v>
      </c>
      <c r="J625" s="464" cm="1">
        <f t="array" ref="J625">IFERROR(INDEX(★原価率!$A$2:$E$50,MATCH($C625&amp;$H625,★原価率!$A$2:$A$50&amp;★原価率!$B$2:$B$50,0),4),0)</f>
        <v>85</v>
      </c>
      <c r="K625" s="464" cm="1">
        <f t="array" ref="K625">IFERROR(INDEX(★原価率!$A$2:$E$50,MATCH($C625&amp;$H625,★原価率!$A$2:$A$50&amp;★原価率!$B$2:$B$50,0),5),0)</f>
        <v>100</v>
      </c>
      <c r="L625" s="528">
        <f>IFERROR(VLOOKUP(W625,★商品!$A$1:$H$1231,8,FALSE),0)</f>
        <v>2.8</v>
      </c>
      <c r="M625" s="203" t="str">
        <f ca="1">CONCATENATE(VLOOKUP(B625,★営業所!$A$2:$B$5,2,FALSE),TEXT(NOW(),"yyyy"))</f>
        <v>T2023</v>
      </c>
      <c r="N625" s="203">
        <v>1</v>
      </c>
      <c r="O625" s="203">
        <v>0</v>
      </c>
      <c r="P625" s="213">
        <f>申込書!$B$6</f>
        <v>0</v>
      </c>
      <c r="Q625" s="203">
        <f>申込書!$C$34</f>
        <v>1000040</v>
      </c>
      <c r="R625" s="203">
        <v>0</v>
      </c>
      <c r="U625" s="203">
        <f>VLOOKUP(B625,★営業所!$A$2:$C$5,3,FALSE)</f>
        <v>8</v>
      </c>
      <c r="V625" s="203">
        <f>申込書!$B$9</f>
        <v>0</v>
      </c>
      <c r="W625" s="203" t="str">
        <f>CONCATENATE(VLOOKUP(B625,★営業所!$A$2:$B$5,2,FALSE),VLOOKUP(申込書!$C$32,★サイズ表記!$D$4:$E$55,2,FALSE),VLOOKUP(D625,★折込地区!$A$2:$B$11,2,FALSE))</f>
        <v>T1001Yng</v>
      </c>
      <c r="X625" s="203" t="str">
        <f>CONCATENATE(申込書!$B$9," ",VLOOKUP(RIGHT(W625,3),★折込地区!$B$2:$C$10,2,FALSE),"")</f>
        <v xml:space="preserve"> 米子</v>
      </c>
      <c r="Z625" s="206">
        <f t="shared" ca="1" si="71"/>
        <v>0</v>
      </c>
      <c r="AB625" s="383">
        <f t="shared" si="72"/>
        <v>2.8</v>
      </c>
      <c r="AC625" s="203" t="str">
        <f t="shared" si="73"/>
        <v>S1001</v>
      </c>
      <c r="AD625" s="203" t="str">
        <f>VLOOKUP(AC625,★原価商品!$E$6:$F$349,2,FALSE)</f>
        <v>山陰中央/B4（折り無し）</v>
      </c>
      <c r="AE625" s="203">
        <f t="shared" ca="1" si="74"/>
        <v>0</v>
      </c>
      <c r="AF625" s="383">
        <f ca="1">IFERROR(IF(VLOOKUP(申込書!$C$32,★サイズ表記!$F$4:$H$55,3,FALSE)="切り捨て",ROUNDDOWN(L625*IF(AK625="◎",I625,J625)/100,2),IF(VLOOKUP(申込書!$C$32,★サイズ表記!$F$4:$H$55,3,FALSE)="切り上げ",ROUNDUP(L625*IF(AK625="◎",I625,J625)/100,2),ROUND(L625*IF(AK625="◎",I625,J625)/100,2))),0)</f>
        <v>2.38</v>
      </c>
      <c r="AG625" s="203">
        <f t="shared" ca="1" si="75"/>
        <v>0</v>
      </c>
      <c r="AJ625" s="460" t="str">
        <f>IFERROR(VLOOKUP(申込書!$C$30,★業種!$D$2:$E$87,2,FALSE),"")</f>
        <v>1003</v>
      </c>
      <c r="AK625" s="460" t="str">
        <f ca="1">IF(申込書!$C$36="◎",IF(OR(D625="浜坂・温泉",D625="美方・村岡",D625="香住",D625="岡山",D625="大阪"),"",IF(LEFT(F625)="D","◎",IF(AG625=0,"",IFERROR(IF(VLOOKUP(AG625,★仕入先!$A$2:$C$211,3,FALSE)=0,"","◎"),"")))),"")</f>
        <v/>
      </c>
      <c r="AL625" s="460">
        <f>申込書!$H$14</f>
        <v>0</v>
      </c>
      <c r="AM625" s="460" t="str">
        <f>申込書!$C$32</f>
        <v>B4（折り無し）</v>
      </c>
      <c r="AN625" s="460" t="str">
        <f>VLOOKUP(AM625,★サイズ表記!$D$4:$E$55,2,FALSE)</f>
        <v>1001</v>
      </c>
      <c r="AO625" s="460">
        <f>IF(C625&lt;&gt;"⑧兵庫",VLOOKUP(LEFT(F625),★新聞!$A$4:$B$12,2,FALSE),IF(LEFT(F625)&lt;&gt;"S",VLOOKUP(LEFT(F625),★新聞!$A$4:$B$12,2,FALSE),VLOOKUP("X",★新聞!$A$4:$B$12,2,FALSE)))</f>
        <v>6</v>
      </c>
      <c r="AP625" s="460" t="str">
        <f t="shared" ca="1" si="76"/>
        <v>0</v>
      </c>
      <c r="AQ625" s="460" t="str">
        <f>IF(申込書!$C$38="","",申込書!$C$38)</f>
        <v/>
      </c>
    </row>
    <row r="626" spans="1:43">
      <c r="A626" s="463">
        <f t="shared" si="77"/>
        <v>625</v>
      </c>
      <c r="B626" s="463" t="str">
        <f t="shared" si="70"/>
        <v>東部</v>
      </c>
      <c r="C626" s="464" t="s">
        <v>1018</v>
      </c>
      <c r="D626" s="464" t="s">
        <v>1603</v>
      </c>
      <c r="E626" s="464">
        <f>VLOOKUP(D626,★折込地区!$A$2:$D$10,4,FALSE)</f>
        <v>3</v>
      </c>
      <c r="F626" s="464" t="s">
        <v>500</v>
      </c>
      <c r="G626" s="464" t="str">
        <f>INDEX(★新聞!$E$4:$I$12, MATCH(LEFT(F626),★新聞!$A$4:$A$12,0), MATCH(LEFT(W626),★新聞!$E$3:$I$3,0))</f>
        <v>AM</v>
      </c>
      <c r="H626" s="475" t="s">
        <v>1103</v>
      </c>
      <c r="I626" s="464" cm="1">
        <f t="array" ref="I626">IFERROR(INDEX(★原価率!$A$2:$E$50,MATCH($C626&amp;$H626,★原価率!$A$2:$A$50&amp;★原価率!$B$2:$B$50,0),3),0)</f>
        <v>85</v>
      </c>
      <c r="J626" s="464" cm="1">
        <f t="array" ref="J626">IFERROR(INDEX(★原価率!$A$2:$E$50,MATCH($C626&amp;$H626,★原価率!$A$2:$A$50&amp;★原価率!$B$2:$B$50,0),4),0)</f>
        <v>85</v>
      </c>
      <c r="K626" s="464" cm="1">
        <f t="array" ref="K626">IFERROR(INDEX(★原価率!$A$2:$E$50,MATCH($C626&amp;$H626,★原価率!$A$2:$A$50&amp;★原価率!$B$2:$B$50,0),5),0)</f>
        <v>100</v>
      </c>
      <c r="L626" s="528">
        <f>IFERROR(VLOOKUP(W626,★商品!$A$1:$H$1231,8,FALSE),0)</f>
        <v>2.8</v>
      </c>
      <c r="M626" s="203" t="str">
        <f ca="1">CONCATENATE(VLOOKUP(B626,★営業所!$A$2:$B$5,2,FALSE),TEXT(NOW(),"yyyy"))</f>
        <v>T2023</v>
      </c>
      <c r="N626" s="203">
        <v>1</v>
      </c>
      <c r="O626" s="203">
        <v>0</v>
      </c>
      <c r="P626" s="213">
        <f>申込書!$B$6</f>
        <v>0</v>
      </c>
      <c r="Q626" s="203">
        <f>申込書!$C$34</f>
        <v>1000040</v>
      </c>
      <c r="R626" s="203">
        <v>0</v>
      </c>
      <c r="U626" s="203">
        <f>VLOOKUP(B626,★営業所!$A$2:$C$5,3,FALSE)</f>
        <v>8</v>
      </c>
      <c r="V626" s="203">
        <f>申込書!$B$9</f>
        <v>0</v>
      </c>
      <c r="W626" s="203" t="str">
        <f>CONCATENATE(VLOOKUP(B626,★営業所!$A$2:$B$5,2,FALSE),VLOOKUP(申込書!$C$32,★サイズ表記!$D$4:$E$55,2,FALSE),VLOOKUP(D626,★折込地区!$A$2:$B$11,2,FALSE))</f>
        <v>T1001Yng</v>
      </c>
      <c r="X626" s="203" t="str">
        <f>CONCATENATE(申込書!$B$9," ",VLOOKUP(RIGHT(W626,3),★折込地区!$B$2:$C$10,2,FALSE),"")</f>
        <v xml:space="preserve"> 米子</v>
      </c>
      <c r="Z626" s="206">
        <f t="shared" ca="1" si="71"/>
        <v>0</v>
      </c>
      <c r="AB626" s="383">
        <f t="shared" si="72"/>
        <v>2.8</v>
      </c>
      <c r="AC626" s="203" t="str">
        <f t="shared" si="73"/>
        <v>S1001</v>
      </c>
      <c r="AD626" s="203" t="str">
        <f>VLOOKUP(AC626,★原価商品!$E$6:$F$349,2,FALSE)</f>
        <v>山陰中央/B4（折り無し）</v>
      </c>
      <c r="AE626" s="203">
        <f t="shared" ca="1" si="74"/>
        <v>0</v>
      </c>
      <c r="AF626" s="383">
        <f ca="1">IFERROR(IF(VLOOKUP(申込書!$C$32,★サイズ表記!$F$4:$H$55,3,FALSE)="切り捨て",ROUNDDOWN(L626*IF(AK626="◎",I626,J626)/100,2),IF(VLOOKUP(申込書!$C$32,★サイズ表記!$F$4:$H$55,3,FALSE)="切り上げ",ROUNDUP(L626*IF(AK626="◎",I626,J626)/100,2),ROUND(L626*IF(AK626="◎",I626,J626)/100,2))),0)</f>
        <v>2.38</v>
      </c>
      <c r="AG626" s="203">
        <f t="shared" ca="1" si="75"/>
        <v>0</v>
      </c>
      <c r="AJ626" s="460" t="str">
        <f>IFERROR(VLOOKUP(申込書!$C$30,★業種!$D$2:$E$87,2,FALSE),"")</f>
        <v>1003</v>
      </c>
      <c r="AK626" s="460" t="str">
        <f ca="1">IF(申込書!$C$36="◎",IF(OR(D626="浜坂・温泉",D626="美方・村岡",D626="香住",D626="岡山",D626="大阪"),"",IF(LEFT(F626)="D","◎",IF(AG626=0,"",IFERROR(IF(VLOOKUP(AG626,★仕入先!$A$2:$C$211,3,FALSE)=0,"","◎"),"")))),"")</f>
        <v/>
      </c>
      <c r="AL626" s="460">
        <f>申込書!$H$14</f>
        <v>0</v>
      </c>
      <c r="AM626" s="460" t="str">
        <f>申込書!$C$32</f>
        <v>B4（折り無し）</v>
      </c>
      <c r="AN626" s="460" t="str">
        <f>VLOOKUP(AM626,★サイズ表記!$D$4:$E$55,2,FALSE)</f>
        <v>1001</v>
      </c>
      <c r="AO626" s="460">
        <f>IF(C626&lt;&gt;"⑧兵庫",VLOOKUP(LEFT(F626),★新聞!$A$4:$B$12,2,FALSE),IF(LEFT(F626)&lt;&gt;"S",VLOOKUP(LEFT(F626),★新聞!$A$4:$B$12,2,FALSE),VLOOKUP("X",★新聞!$A$4:$B$12,2,FALSE)))</f>
        <v>6</v>
      </c>
      <c r="AP626" s="460" t="str">
        <f t="shared" ca="1" si="76"/>
        <v>0</v>
      </c>
      <c r="AQ626" s="460" t="str">
        <f>IF(申込書!$C$38="","",申込書!$C$38)</f>
        <v/>
      </c>
    </row>
    <row r="627" spans="1:43">
      <c r="A627" s="463">
        <f t="shared" si="77"/>
        <v>626</v>
      </c>
      <c r="B627" s="463" t="str">
        <f t="shared" si="70"/>
        <v>東部</v>
      </c>
      <c r="C627" s="464" t="s">
        <v>1018</v>
      </c>
      <c r="D627" s="464" t="s">
        <v>1603</v>
      </c>
      <c r="E627" s="464">
        <f>VLOOKUP(D627,★折込地区!$A$2:$D$10,4,FALSE)</f>
        <v>3</v>
      </c>
      <c r="F627" s="464" t="s">
        <v>501</v>
      </c>
      <c r="G627" s="464" t="str">
        <f>INDEX(★新聞!$E$4:$I$12, MATCH(LEFT(F627),★新聞!$A$4:$A$12,0), MATCH(LEFT(W627),★新聞!$E$3:$I$3,0))</f>
        <v>AM</v>
      </c>
      <c r="H627" s="475" t="s">
        <v>1103</v>
      </c>
      <c r="I627" s="464" cm="1">
        <f t="array" ref="I627">IFERROR(INDEX(★原価率!$A$2:$E$50,MATCH($C627&amp;$H627,★原価率!$A$2:$A$50&amp;★原価率!$B$2:$B$50,0),3),0)</f>
        <v>85</v>
      </c>
      <c r="J627" s="464" cm="1">
        <f t="array" ref="J627">IFERROR(INDEX(★原価率!$A$2:$E$50,MATCH($C627&amp;$H627,★原価率!$A$2:$A$50&amp;★原価率!$B$2:$B$50,0),4),0)</f>
        <v>85</v>
      </c>
      <c r="K627" s="464" cm="1">
        <f t="array" ref="K627">IFERROR(INDEX(★原価率!$A$2:$E$50,MATCH($C627&amp;$H627,★原価率!$A$2:$A$50&amp;★原価率!$B$2:$B$50,0),5),0)</f>
        <v>100</v>
      </c>
      <c r="L627" s="528">
        <f>IFERROR(VLOOKUP(W627,★商品!$A$1:$H$1231,8,FALSE),0)</f>
        <v>2.8</v>
      </c>
      <c r="M627" s="203" t="str">
        <f ca="1">CONCATENATE(VLOOKUP(B627,★営業所!$A$2:$B$5,2,FALSE),TEXT(NOW(),"yyyy"))</f>
        <v>T2023</v>
      </c>
      <c r="N627" s="203">
        <v>1</v>
      </c>
      <c r="O627" s="203">
        <v>0</v>
      </c>
      <c r="P627" s="213">
        <f>申込書!$B$6</f>
        <v>0</v>
      </c>
      <c r="Q627" s="203">
        <f>申込書!$C$34</f>
        <v>1000040</v>
      </c>
      <c r="R627" s="203">
        <v>0</v>
      </c>
      <c r="U627" s="203">
        <f>VLOOKUP(B627,★営業所!$A$2:$C$5,3,FALSE)</f>
        <v>8</v>
      </c>
      <c r="V627" s="203">
        <f>申込書!$B$9</f>
        <v>0</v>
      </c>
      <c r="W627" s="203" t="str">
        <f>CONCATENATE(VLOOKUP(B627,★営業所!$A$2:$B$5,2,FALSE),VLOOKUP(申込書!$C$32,★サイズ表記!$D$4:$E$55,2,FALSE),VLOOKUP(D627,★折込地区!$A$2:$B$11,2,FALSE))</f>
        <v>T1001Yng</v>
      </c>
      <c r="X627" s="203" t="str">
        <f>CONCATENATE(申込書!$B$9," ",VLOOKUP(RIGHT(W627,3),★折込地区!$B$2:$C$10,2,FALSE),"")</f>
        <v xml:space="preserve"> 米子</v>
      </c>
      <c r="Z627" s="206">
        <f t="shared" ca="1" si="71"/>
        <v>0</v>
      </c>
      <c r="AB627" s="383">
        <f t="shared" si="72"/>
        <v>2.8</v>
      </c>
      <c r="AC627" s="203" t="str">
        <f t="shared" si="73"/>
        <v>S1001</v>
      </c>
      <c r="AD627" s="203" t="str">
        <f>VLOOKUP(AC627,★原価商品!$E$6:$F$349,2,FALSE)</f>
        <v>山陰中央/B4（折り無し）</v>
      </c>
      <c r="AE627" s="203">
        <f t="shared" ca="1" si="74"/>
        <v>0</v>
      </c>
      <c r="AF627" s="383">
        <f ca="1">IFERROR(IF(VLOOKUP(申込書!$C$32,★サイズ表記!$F$4:$H$55,3,FALSE)="切り捨て",ROUNDDOWN(L627*IF(AK627="◎",I627,J627)/100,2),IF(VLOOKUP(申込書!$C$32,★サイズ表記!$F$4:$H$55,3,FALSE)="切り上げ",ROUNDUP(L627*IF(AK627="◎",I627,J627)/100,2),ROUND(L627*IF(AK627="◎",I627,J627)/100,2))),0)</f>
        <v>2.38</v>
      </c>
      <c r="AG627" s="203">
        <f t="shared" ca="1" si="75"/>
        <v>0</v>
      </c>
      <c r="AJ627" s="460" t="str">
        <f>IFERROR(VLOOKUP(申込書!$C$30,★業種!$D$2:$E$87,2,FALSE),"")</f>
        <v>1003</v>
      </c>
      <c r="AK627" s="460" t="str">
        <f ca="1">IF(申込書!$C$36="◎",IF(OR(D627="浜坂・温泉",D627="美方・村岡",D627="香住",D627="岡山",D627="大阪"),"",IF(LEFT(F627)="D","◎",IF(AG627=0,"",IFERROR(IF(VLOOKUP(AG627,★仕入先!$A$2:$C$211,3,FALSE)=0,"","◎"),"")))),"")</f>
        <v/>
      </c>
      <c r="AL627" s="460">
        <f>申込書!$H$14</f>
        <v>0</v>
      </c>
      <c r="AM627" s="460" t="str">
        <f>申込書!$C$32</f>
        <v>B4（折り無し）</v>
      </c>
      <c r="AN627" s="460" t="str">
        <f>VLOOKUP(AM627,★サイズ表記!$D$4:$E$55,2,FALSE)</f>
        <v>1001</v>
      </c>
      <c r="AO627" s="460">
        <f>IF(C627&lt;&gt;"⑧兵庫",VLOOKUP(LEFT(F627),★新聞!$A$4:$B$12,2,FALSE),IF(LEFT(F627)&lt;&gt;"S",VLOOKUP(LEFT(F627),★新聞!$A$4:$B$12,2,FALSE),VLOOKUP("X",★新聞!$A$4:$B$12,2,FALSE)))</f>
        <v>6</v>
      </c>
      <c r="AP627" s="460" t="str">
        <f t="shared" ca="1" si="76"/>
        <v>0</v>
      </c>
      <c r="AQ627" s="460" t="str">
        <f>IF(申込書!$C$38="","",申込書!$C$38)</f>
        <v/>
      </c>
    </row>
    <row r="628" spans="1:43">
      <c r="A628" s="463">
        <f t="shared" si="77"/>
        <v>627</v>
      </c>
      <c r="B628" s="463" t="str">
        <f t="shared" si="70"/>
        <v>東部</v>
      </c>
      <c r="C628" s="464" t="s">
        <v>1018</v>
      </c>
      <c r="D628" s="464" t="s">
        <v>1603</v>
      </c>
      <c r="E628" s="464">
        <f>VLOOKUP(D628,★折込地区!$A$2:$D$10,4,FALSE)</f>
        <v>3</v>
      </c>
      <c r="F628" s="464" t="s">
        <v>502</v>
      </c>
      <c r="G628" s="464" t="str">
        <f>INDEX(★新聞!$E$4:$I$12, MATCH(LEFT(F628),★新聞!$A$4:$A$12,0), MATCH(LEFT(W628),★新聞!$E$3:$I$3,0))</f>
        <v>AM</v>
      </c>
      <c r="H628" s="475" t="s">
        <v>1103</v>
      </c>
      <c r="I628" s="464" cm="1">
        <f t="array" ref="I628">IFERROR(INDEX(★原価率!$A$2:$E$50,MATCH($C628&amp;$H628,★原価率!$A$2:$A$50&amp;★原価率!$B$2:$B$50,0),3),0)</f>
        <v>85</v>
      </c>
      <c r="J628" s="464" cm="1">
        <f t="array" ref="J628">IFERROR(INDEX(★原価率!$A$2:$E$50,MATCH($C628&amp;$H628,★原価率!$A$2:$A$50&amp;★原価率!$B$2:$B$50,0),4),0)</f>
        <v>85</v>
      </c>
      <c r="K628" s="464" cm="1">
        <f t="array" ref="K628">IFERROR(INDEX(★原価率!$A$2:$E$50,MATCH($C628&amp;$H628,★原価率!$A$2:$A$50&amp;★原価率!$B$2:$B$50,0),5),0)</f>
        <v>100</v>
      </c>
      <c r="L628" s="528">
        <f>IFERROR(VLOOKUP(W628,★商品!$A$1:$H$1231,8,FALSE),0)</f>
        <v>2.8</v>
      </c>
      <c r="M628" s="203" t="str">
        <f ca="1">CONCATENATE(VLOOKUP(B628,★営業所!$A$2:$B$5,2,FALSE),TEXT(NOW(),"yyyy"))</f>
        <v>T2023</v>
      </c>
      <c r="N628" s="203">
        <v>1</v>
      </c>
      <c r="O628" s="203">
        <v>0</v>
      </c>
      <c r="P628" s="213">
        <f>申込書!$B$6</f>
        <v>0</v>
      </c>
      <c r="Q628" s="203">
        <f>申込書!$C$34</f>
        <v>1000040</v>
      </c>
      <c r="R628" s="203">
        <v>0</v>
      </c>
      <c r="U628" s="203">
        <f>VLOOKUP(B628,★営業所!$A$2:$C$5,3,FALSE)</f>
        <v>8</v>
      </c>
      <c r="V628" s="203">
        <f>申込書!$B$9</f>
        <v>0</v>
      </c>
      <c r="W628" s="203" t="str">
        <f>CONCATENATE(VLOOKUP(B628,★営業所!$A$2:$B$5,2,FALSE),VLOOKUP(申込書!$C$32,★サイズ表記!$D$4:$E$55,2,FALSE),VLOOKUP(D628,★折込地区!$A$2:$B$11,2,FALSE))</f>
        <v>T1001Yng</v>
      </c>
      <c r="X628" s="203" t="str">
        <f>CONCATENATE(申込書!$B$9," ",VLOOKUP(RIGHT(W628,3),★折込地区!$B$2:$C$10,2,FALSE),"")</f>
        <v xml:space="preserve"> 米子</v>
      </c>
      <c r="Z628" s="206">
        <f t="shared" ca="1" si="71"/>
        <v>0</v>
      </c>
      <c r="AB628" s="383">
        <f t="shared" si="72"/>
        <v>2.8</v>
      </c>
      <c r="AC628" s="203" t="str">
        <f t="shared" si="73"/>
        <v>S1001</v>
      </c>
      <c r="AD628" s="203" t="str">
        <f>VLOOKUP(AC628,★原価商品!$E$6:$F$349,2,FALSE)</f>
        <v>山陰中央/B4（折り無し）</v>
      </c>
      <c r="AE628" s="203">
        <f t="shared" ca="1" si="74"/>
        <v>0</v>
      </c>
      <c r="AF628" s="383">
        <f ca="1">IFERROR(IF(VLOOKUP(申込書!$C$32,★サイズ表記!$F$4:$H$55,3,FALSE)="切り捨て",ROUNDDOWN(L628*IF(AK628="◎",I628,J628)/100,2),IF(VLOOKUP(申込書!$C$32,★サイズ表記!$F$4:$H$55,3,FALSE)="切り上げ",ROUNDUP(L628*IF(AK628="◎",I628,J628)/100,2),ROUND(L628*IF(AK628="◎",I628,J628)/100,2))),0)</f>
        <v>2.38</v>
      </c>
      <c r="AG628" s="203">
        <f t="shared" ca="1" si="75"/>
        <v>0</v>
      </c>
      <c r="AJ628" s="460" t="str">
        <f>IFERROR(VLOOKUP(申込書!$C$30,★業種!$D$2:$E$87,2,FALSE),"")</f>
        <v>1003</v>
      </c>
      <c r="AK628" s="460" t="str">
        <f ca="1">IF(申込書!$C$36="◎",IF(OR(D628="浜坂・温泉",D628="美方・村岡",D628="香住",D628="岡山",D628="大阪"),"",IF(LEFT(F628)="D","◎",IF(AG628=0,"",IFERROR(IF(VLOOKUP(AG628,★仕入先!$A$2:$C$211,3,FALSE)=0,"","◎"),"")))),"")</f>
        <v/>
      </c>
      <c r="AL628" s="460">
        <f>申込書!$H$14</f>
        <v>0</v>
      </c>
      <c r="AM628" s="460" t="str">
        <f>申込書!$C$32</f>
        <v>B4（折り無し）</v>
      </c>
      <c r="AN628" s="460" t="str">
        <f>VLOOKUP(AM628,★サイズ表記!$D$4:$E$55,2,FALSE)</f>
        <v>1001</v>
      </c>
      <c r="AO628" s="460">
        <f>IF(C628&lt;&gt;"⑧兵庫",VLOOKUP(LEFT(F628),★新聞!$A$4:$B$12,2,FALSE),IF(LEFT(F628)&lt;&gt;"S",VLOOKUP(LEFT(F628),★新聞!$A$4:$B$12,2,FALSE),VLOOKUP("X",★新聞!$A$4:$B$12,2,FALSE)))</f>
        <v>6</v>
      </c>
      <c r="AP628" s="460" t="str">
        <f t="shared" ca="1" si="76"/>
        <v>0</v>
      </c>
      <c r="AQ628" s="460" t="str">
        <f>IF(申込書!$C$38="","",申込書!$C$38)</f>
        <v/>
      </c>
    </row>
    <row r="629" spans="1:43">
      <c r="A629" s="463">
        <f t="shared" si="77"/>
        <v>628</v>
      </c>
      <c r="B629" s="463" t="str">
        <f t="shared" si="70"/>
        <v>東部</v>
      </c>
      <c r="C629" s="464" t="s">
        <v>1018</v>
      </c>
      <c r="D629" s="464" t="s">
        <v>1603</v>
      </c>
      <c r="E629" s="464">
        <f>VLOOKUP(D629,★折込地区!$A$2:$D$10,4,FALSE)</f>
        <v>3</v>
      </c>
      <c r="F629" s="464" t="s">
        <v>503</v>
      </c>
      <c r="G629" s="464" t="str">
        <f>INDEX(★新聞!$E$4:$I$12, MATCH(LEFT(F629),★新聞!$A$4:$A$12,0), MATCH(LEFT(W629),★新聞!$E$3:$I$3,0))</f>
        <v>AM</v>
      </c>
      <c r="H629" s="475" t="s">
        <v>1103</v>
      </c>
      <c r="I629" s="464" cm="1">
        <f t="array" ref="I629">IFERROR(INDEX(★原価率!$A$2:$E$50,MATCH($C629&amp;$H629,★原価率!$A$2:$A$50&amp;★原価率!$B$2:$B$50,0),3),0)</f>
        <v>85</v>
      </c>
      <c r="J629" s="464" cm="1">
        <f t="array" ref="J629">IFERROR(INDEX(★原価率!$A$2:$E$50,MATCH($C629&amp;$H629,★原価率!$A$2:$A$50&amp;★原価率!$B$2:$B$50,0),4),0)</f>
        <v>85</v>
      </c>
      <c r="K629" s="464" cm="1">
        <f t="array" ref="K629">IFERROR(INDEX(★原価率!$A$2:$E$50,MATCH($C629&amp;$H629,★原価率!$A$2:$A$50&amp;★原価率!$B$2:$B$50,0),5),0)</f>
        <v>100</v>
      </c>
      <c r="L629" s="528">
        <f>IFERROR(VLOOKUP(W629,★商品!$A$1:$H$1231,8,FALSE),0)</f>
        <v>2.8</v>
      </c>
      <c r="M629" s="203" t="str">
        <f ca="1">CONCATENATE(VLOOKUP(B629,★営業所!$A$2:$B$5,2,FALSE),TEXT(NOW(),"yyyy"))</f>
        <v>T2023</v>
      </c>
      <c r="N629" s="203">
        <v>1</v>
      </c>
      <c r="O629" s="203">
        <v>0</v>
      </c>
      <c r="P629" s="213">
        <f>申込書!$B$6</f>
        <v>0</v>
      </c>
      <c r="Q629" s="203">
        <f>申込書!$C$34</f>
        <v>1000040</v>
      </c>
      <c r="R629" s="203">
        <v>0</v>
      </c>
      <c r="U629" s="203">
        <f>VLOOKUP(B629,★営業所!$A$2:$C$5,3,FALSE)</f>
        <v>8</v>
      </c>
      <c r="V629" s="203">
        <f>申込書!$B$9</f>
        <v>0</v>
      </c>
      <c r="W629" s="203" t="str">
        <f>CONCATENATE(VLOOKUP(B629,★営業所!$A$2:$B$5,2,FALSE),VLOOKUP(申込書!$C$32,★サイズ表記!$D$4:$E$55,2,FALSE),VLOOKUP(D629,★折込地区!$A$2:$B$11,2,FALSE))</f>
        <v>T1001Yng</v>
      </c>
      <c r="X629" s="203" t="str">
        <f>CONCATENATE(申込書!$B$9," ",VLOOKUP(RIGHT(W629,3),★折込地区!$B$2:$C$10,2,FALSE),"")</f>
        <v xml:space="preserve"> 米子</v>
      </c>
      <c r="Z629" s="206">
        <f t="shared" ca="1" si="71"/>
        <v>0</v>
      </c>
      <c r="AB629" s="383">
        <f t="shared" si="72"/>
        <v>2.8</v>
      </c>
      <c r="AC629" s="203" t="str">
        <f t="shared" si="73"/>
        <v>S1001</v>
      </c>
      <c r="AD629" s="203" t="str">
        <f>VLOOKUP(AC629,★原価商品!$E$6:$F$349,2,FALSE)</f>
        <v>山陰中央/B4（折り無し）</v>
      </c>
      <c r="AE629" s="203">
        <f t="shared" ca="1" si="74"/>
        <v>0</v>
      </c>
      <c r="AF629" s="383">
        <f ca="1">IFERROR(IF(VLOOKUP(申込書!$C$32,★サイズ表記!$F$4:$H$55,3,FALSE)="切り捨て",ROUNDDOWN(L629*IF(AK629="◎",I629,J629)/100,2),IF(VLOOKUP(申込書!$C$32,★サイズ表記!$F$4:$H$55,3,FALSE)="切り上げ",ROUNDUP(L629*IF(AK629="◎",I629,J629)/100,2),ROUND(L629*IF(AK629="◎",I629,J629)/100,2))),0)</f>
        <v>2.38</v>
      </c>
      <c r="AG629" s="203">
        <f t="shared" ca="1" si="75"/>
        <v>0</v>
      </c>
      <c r="AJ629" s="460" t="str">
        <f>IFERROR(VLOOKUP(申込書!$C$30,★業種!$D$2:$E$87,2,FALSE),"")</f>
        <v>1003</v>
      </c>
      <c r="AK629" s="460" t="str">
        <f ca="1">IF(申込書!$C$36="◎",IF(OR(D629="浜坂・温泉",D629="美方・村岡",D629="香住",D629="岡山",D629="大阪"),"",IF(LEFT(F629)="D","◎",IF(AG629=0,"",IFERROR(IF(VLOOKUP(AG629,★仕入先!$A$2:$C$211,3,FALSE)=0,"","◎"),"")))),"")</f>
        <v/>
      </c>
      <c r="AL629" s="460">
        <f>申込書!$H$14</f>
        <v>0</v>
      </c>
      <c r="AM629" s="460" t="str">
        <f>申込書!$C$32</f>
        <v>B4（折り無し）</v>
      </c>
      <c r="AN629" s="460" t="str">
        <f>VLOOKUP(AM629,★サイズ表記!$D$4:$E$55,2,FALSE)</f>
        <v>1001</v>
      </c>
      <c r="AO629" s="460">
        <f>IF(C629&lt;&gt;"⑧兵庫",VLOOKUP(LEFT(F629),★新聞!$A$4:$B$12,2,FALSE),IF(LEFT(F629)&lt;&gt;"S",VLOOKUP(LEFT(F629),★新聞!$A$4:$B$12,2,FALSE),VLOOKUP("X",★新聞!$A$4:$B$12,2,FALSE)))</f>
        <v>6</v>
      </c>
      <c r="AP629" s="460" t="str">
        <f t="shared" ca="1" si="76"/>
        <v>0</v>
      </c>
      <c r="AQ629" s="460" t="str">
        <f>IF(申込書!$C$38="","",申込書!$C$38)</f>
        <v/>
      </c>
    </row>
    <row r="630" spans="1:43">
      <c r="A630" s="463">
        <f t="shared" si="77"/>
        <v>629</v>
      </c>
      <c r="B630" s="463" t="str">
        <f t="shared" si="70"/>
        <v>東部</v>
      </c>
      <c r="C630" s="464" t="s">
        <v>1018</v>
      </c>
      <c r="D630" s="464" t="s">
        <v>1603</v>
      </c>
      <c r="E630" s="464">
        <f>VLOOKUP(D630,★折込地区!$A$2:$D$10,4,FALSE)</f>
        <v>3</v>
      </c>
      <c r="F630" s="464" t="s">
        <v>505</v>
      </c>
      <c r="G630" s="464" t="str">
        <f>INDEX(★新聞!$E$4:$I$12, MATCH(LEFT(F630),★新聞!$A$4:$A$12,0), MATCH(LEFT(W630),★新聞!$E$3:$I$3,0))</f>
        <v>AM</v>
      </c>
      <c r="H630" s="475" t="s">
        <v>1103</v>
      </c>
      <c r="I630" s="464" cm="1">
        <f t="array" ref="I630">IFERROR(INDEX(★原価率!$A$2:$E$50,MATCH($C630&amp;$H630,★原価率!$A$2:$A$50&amp;★原価率!$B$2:$B$50,0),3),0)</f>
        <v>85</v>
      </c>
      <c r="J630" s="464" cm="1">
        <f t="array" ref="J630">IFERROR(INDEX(★原価率!$A$2:$E$50,MATCH($C630&amp;$H630,★原価率!$A$2:$A$50&amp;★原価率!$B$2:$B$50,0),4),0)</f>
        <v>85</v>
      </c>
      <c r="K630" s="464" cm="1">
        <f t="array" ref="K630">IFERROR(INDEX(★原価率!$A$2:$E$50,MATCH($C630&amp;$H630,★原価率!$A$2:$A$50&amp;★原価率!$B$2:$B$50,0),5),0)</f>
        <v>100</v>
      </c>
      <c r="L630" s="528">
        <f>IFERROR(VLOOKUP(W630,★商品!$A$1:$H$1231,8,FALSE),0)</f>
        <v>2.8</v>
      </c>
      <c r="M630" s="203" t="str">
        <f ca="1">CONCATENATE(VLOOKUP(B630,★営業所!$A$2:$B$5,2,FALSE),TEXT(NOW(),"yyyy"))</f>
        <v>T2023</v>
      </c>
      <c r="N630" s="203">
        <v>1</v>
      </c>
      <c r="O630" s="203">
        <v>0</v>
      </c>
      <c r="P630" s="213">
        <f>申込書!$B$6</f>
        <v>0</v>
      </c>
      <c r="Q630" s="203">
        <f>申込書!$C$34</f>
        <v>1000040</v>
      </c>
      <c r="R630" s="203">
        <v>0</v>
      </c>
      <c r="U630" s="203">
        <f>VLOOKUP(B630,★営業所!$A$2:$C$5,3,FALSE)</f>
        <v>8</v>
      </c>
      <c r="V630" s="203">
        <f>申込書!$B$9</f>
        <v>0</v>
      </c>
      <c r="W630" s="203" t="str">
        <f>CONCATENATE(VLOOKUP(B630,★営業所!$A$2:$B$5,2,FALSE),VLOOKUP(申込書!$C$32,★サイズ表記!$D$4:$E$55,2,FALSE),VLOOKUP(D630,★折込地区!$A$2:$B$11,2,FALSE))</f>
        <v>T1001Yng</v>
      </c>
      <c r="X630" s="203" t="str">
        <f>CONCATENATE(申込書!$B$9," ",VLOOKUP(RIGHT(W630,3),★折込地区!$B$2:$C$10,2,FALSE),"")</f>
        <v xml:space="preserve"> 米子</v>
      </c>
      <c r="Z630" s="206">
        <f t="shared" ca="1" si="71"/>
        <v>0</v>
      </c>
      <c r="AB630" s="383">
        <f t="shared" si="72"/>
        <v>2.8</v>
      </c>
      <c r="AC630" s="203" t="str">
        <f t="shared" si="73"/>
        <v>S1001</v>
      </c>
      <c r="AD630" s="203" t="str">
        <f>VLOOKUP(AC630,★原価商品!$E$6:$F$349,2,FALSE)</f>
        <v>山陰中央/B4（折り無し）</v>
      </c>
      <c r="AE630" s="203">
        <f t="shared" ca="1" si="74"/>
        <v>0</v>
      </c>
      <c r="AF630" s="383">
        <f ca="1">IFERROR(IF(VLOOKUP(申込書!$C$32,★サイズ表記!$F$4:$H$55,3,FALSE)="切り捨て",ROUNDDOWN(L630*IF(AK630="◎",I630,J630)/100,2),IF(VLOOKUP(申込書!$C$32,★サイズ表記!$F$4:$H$55,3,FALSE)="切り上げ",ROUNDUP(L630*IF(AK630="◎",I630,J630)/100,2),ROUND(L630*IF(AK630="◎",I630,J630)/100,2))),0)</f>
        <v>2.38</v>
      </c>
      <c r="AG630" s="203">
        <f t="shared" ca="1" si="75"/>
        <v>10561</v>
      </c>
      <c r="AJ630" s="460" t="str">
        <f>IFERROR(VLOOKUP(申込書!$C$30,★業種!$D$2:$E$87,2,FALSE),"")</f>
        <v>1003</v>
      </c>
      <c r="AK630" s="460" t="str">
        <f ca="1">IF(申込書!$C$36="◎",IF(OR(D630="浜坂・温泉",D630="美方・村岡",D630="香住",D630="岡山",D630="大阪"),"",IF(LEFT(F630)="D","◎",IF(AG630=0,"",IFERROR(IF(VLOOKUP(AG630,★仕入先!$A$2:$C$211,3,FALSE)=0,"","◎"),"")))),"")</f>
        <v/>
      </c>
      <c r="AL630" s="460">
        <f>申込書!$H$14</f>
        <v>0</v>
      </c>
      <c r="AM630" s="460" t="str">
        <f>申込書!$C$32</f>
        <v>B4（折り無し）</v>
      </c>
      <c r="AN630" s="460" t="str">
        <f>VLOOKUP(AM630,★サイズ表記!$D$4:$E$55,2,FALSE)</f>
        <v>1001</v>
      </c>
      <c r="AO630" s="460">
        <f>IF(C630&lt;&gt;"⑧兵庫",VLOOKUP(LEFT(F630),★新聞!$A$4:$B$12,2,FALSE),IF(LEFT(F630)&lt;&gt;"S",VLOOKUP(LEFT(F630),★新聞!$A$4:$B$12,2,FALSE),VLOOKUP("X",★新聞!$A$4:$B$12,2,FALSE)))</f>
        <v>6</v>
      </c>
      <c r="AP630" s="460" t="str">
        <f t="shared" ca="1" si="76"/>
        <v>0</v>
      </c>
      <c r="AQ630" s="460" t="str">
        <f>IF(申込書!$C$38="","",申込書!$C$38)</f>
        <v/>
      </c>
    </row>
    <row r="631" spans="1:43">
      <c r="A631" s="463">
        <f t="shared" si="77"/>
        <v>630</v>
      </c>
      <c r="B631" s="463" t="str">
        <f t="shared" si="70"/>
        <v>東部</v>
      </c>
      <c r="C631" s="464" t="s">
        <v>1018</v>
      </c>
      <c r="D631" s="464" t="s">
        <v>1603</v>
      </c>
      <c r="E631" s="464">
        <f>VLOOKUP(D631,★折込地区!$A$2:$D$10,4,FALSE)</f>
        <v>3</v>
      </c>
      <c r="F631" s="464" t="s">
        <v>506</v>
      </c>
      <c r="G631" s="464" t="str">
        <f>INDEX(★新聞!$E$4:$I$12, MATCH(LEFT(F631),★新聞!$A$4:$A$12,0), MATCH(LEFT(W631),★新聞!$E$3:$I$3,0))</f>
        <v>AM</v>
      </c>
      <c r="H631" s="475" t="s">
        <v>1103</v>
      </c>
      <c r="I631" s="464" cm="1">
        <f t="array" ref="I631">IFERROR(INDEX(★原価率!$A$2:$E$50,MATCH($C631&amp;$H631,★原価率!$A$2:$A$50&amp;★原価率!$B$2:$B$50,0),3),0)</f>
        <v>85</v>
      </c>
      <c r="J631" s="464" cm="1">
        <f t="array" ref="J631">IFERROR(INDEX(★原価率!$A$2:$E$50,MATCH($C631&amp;$H631,★原価率!$A$2:$A$50&amp;★原価率!$B$2:$B$50,0),4),0)</f>
        <v>85</v>
      </c>
      <c r="K631" s="464" cm="1">
        <f t="array" ref="K631">IFERROR(INDEX(★原価率!$A$2:$E$50,MATCH($C631&amp;$H631,★原価率!$A$2:$A$50&amp;★原価率!$B$2:$B$50,0),5),0)</f>
        <v>100</v>
      </c>
      <c r="L631" s="528">
        <f>IFERROR(VLOOKUP(W631,★商品!$A$1:$H$1231,8,FALSE),0)</f>
        <v>2.8</v>
      </c>
      <c r="M631" s="203" t="str">
        <f ca="1">CONCATENATE(VLOOKUP(B631,★営業所!$A$2:$B$5,2,FALSE),TEXT(NOW(),"yyyy"))</f>
        <v>T2023</v>
      </c>
      <c r="N631" s="203">
        <v>1</v>
      </c>
      <c r="O631" s="203">
        <v>0</v>
      </c>
      <c r="P631" s="213">
        <f>申込書!$B$6</f>
        <v>0</v>
      </c>
      <c r="Q631" s="203">
        <f>申込書!$C$34</f>
        <v>1000040</v>
      </c>
      <c r="R631" s="203">
        <v>0</v>
      </c>
      <c r="U631" s="203">
        <f>VLOOKUP(B631,★営業所!$A$2:$C$5,3,FALSE)</f>
        <v>8</v>
      </c>
      <c r="V631" s="203">
        <f>申込書!$B$9</f>
        <v>0</v>
      </c>
      <c r="W631" s="203" t="str">
        <f>CONCATENATE(VLOOKUP(B631,★営業所!$A$2:$B$5,2,FALSE),VLOOKUP(申込書!$C$32,★サイズ表記!$D$4:$E$55,2,FALSE),VLOOKUP(D631,★折込地区!$A$2:$B$11,2,FALSE))</f>
        <v>T1001Yng</v>
      </c>
      <c r="X631" s="203" t="str">
        <f>CONCATENATE(申込書!$B$9," ",VLOOKUP(RIGHT(W631,3),★折込地区!$B$2:$C$10,2,FALSE),"")</f>
        <v xml:space="preserve"> 米子</v>
      </c>
      <c r="Z631" s="206">
        <f t="shared" ca="1" si="71"/>
        <v>0</v>
      </c>
      <c r="AB631" s="383">
        <f t="shared" si="72"/>
        <v>2.8</v>
      </c>
      <c r="AC631" s="203" t="str">
        <f t="shared" si="73"/>
        <v>S1001</v>
      </c>
      <c r="AD631" s="203" t="str">
        <f>VLOOKUP(AC631,★原価商品!$E$6:$F$349,2,FALSE)</f>
        <v>山陰中央/B4（折り無し）</v>
      </c>
      <c r="AE631" s="203">
        <f t="shared" ca="1" si="74"/>
        <v>0</v>
      </c>
      <c r="AF631" s="383">
        <f ca="1">IFERROR(IF(VLOOKUP(申込書!$C$32,★サイズ表記!$F$4:$H$55,3,FALSE)="切り捨て",ROUNDDOWN(L631*IF(AK631="◎",I631,J631)/100,2),IF(VLOOKUP(申込書!$C$32,★サイズ表記!$F$4:$H$55,3,FALSE)="切り上げ",ROUNDUP(L631*IF(AK631="◎",I631,J631)/100,2),ROUND(L631*IF(AK631="◎",I631,J631)/100,2))),0)</f>
        <v>2.38</v>
      </c>
      <c r="AG631" s="203">
        <f t="shared" ca="1" si="75"/>
        <v>10561</v>
      </c>
      <c r="AJ631" s="460" t="str">
        <f>IFERROR(VLOOKUP(申込書!$C$30,★業種!$D$2:$E$87,2,FALSE),"")</f>
        <v>1003</v>
      </c>
      <c r="AK631" s="460" t="str">
        <f ca="1">IF(申込書!$C$36="◎",IF(OR(D631="浜坂・温泉",D631="美方・村岡",D631="香住",D631="岡山",D631="大阪"),"",IF(LEFT(F631)="D","◎",IF(AG631=0,"",IFERROR(IF(VLOOKUP(AG631,★仕入先!$A$2:$C$211,3,FALSE)=0,"","◎"),"")))),"")</f>
        <v/>
      </c>
      <c r="AL631" s="460">
        <f>申込書!$H$14</f>
        <v>0</v>
      </c>
      <c r="AM631" s="460" t="str">
        <f>申込書!$C$32</f>
        <v>B4（折り無し）</v>
      </c>
      <c r="AN631" s="460" t="str">
        <f>VLOOKUP(AM631,★サイズ表記!$D$4:$E$55,2,FALSE)</f>
        <v>1001</v>
      </c>
      <c r="AO631" s="460">
        <f>IF(C631&lt;&gt;"⑧兵庫",VLOOKUP(LEFT(F631),★新聞!$A$4:$B$12,2,FALSE),IF(LEFT(F631)&lt;&gt;"S",VLOOKUP(LEFT(F631),★新聞!$A$4:$B$12,2,FALSE),VLOOKUP("X",★新聞!$A$4:$B$12,2,FALSE)))</f>
        <v>6</v>
      </c>
      <c r="AP631" s="460" t="str">
        <f t="shared" ca="1" si="76"/>
        <v>0</v>
      </c>
      <c r="AQ631" s="460" t="str">
        <f>IF(申込書!$C$38="","",申込書!$C$38)</f>
        <v/>
      </c>
    </row>
    <row r="632" spans="1:43">
      <c r="A632" s="463">
        <f t="shared" si="77"/>
        <v>631</v>
      </c>
      <c r="B632" s="463" t="str">
        <f t="shared" si="70"/>
        <v>東部</v>
      </c>
      <c r="C632" s="464" t="s">
        <v>1018</v>
      </c>
      <c r="D632" s="464" t="s">
        <v>1603</v>
      </c>
      <c r="E632" s="464">
        <f>VLOOKUP(D632,★折込地区!$A$2:$D$10,4,FALSE)</f>
        <v>3</v>
      </c>
      <c r="F632" s="464" t="s">
        <v>507</v>
      </c>
      <c r="G632" s="464" t="str">
        <f>INDEX(★新聞!$E$4:$I$12, MATCH(LEFT(F632),★新聞!$A$4:$A$12,0), MATCH(LEFT(W632),★新聞!$E$3:$I$3,0))</f>
        <v>AM</v>
      </c>
      <c r="H632" s="475" t="s">
        <v>1103</v>
      </c>
      <c r="I632" s="464" cm="1">
        <f t="array" ref="I632">IFERROR(INDEX(★原価率!$A$2:$E$50,MATCH($C632&amp;$H632,★原価率!$A$2:$A$50&amp;★原価率!$B$2:$B$50,0),3),0)</f>
        <v>85</v>
      </c>
      <c r="J632" s="464" cm="1">
        <f t="array" ref="J632">IFERROR(INDEX(★原価率!$A$2:$E$50,MATCH($C632&amp;$H632,★原価率!$A$2:$A$50&amp;★原価率!$B$2:$B$50,0),4),0)</f>
        <v>85</v>
      </c>
      <c r="K632" s="464" cm="1">
        <f t="array" ref="K632">IFERROR(INDEX(★原価率!$A$2:$E$50,MATCH($C632&amp;$H632,★原価率!$A$2:$A$50&amp;★原価率!$B$2:$B$50,0),5),0)</f>
        <v>100</v>
      </c>
      <c r="L632" s="528">
        <f>IFERROR(VLOOKUP(W632,★商品!$A$1:$H$1231,8,FALSE),0)</f>
        <v>2.8</v>
      </c>
      <c r="M632" s="203" t="str">
        <f ca="1">CONCATENATE(VLOOKUP(B632,★営業所!$A$2:$B$5,2,FALSE),TEXT(NOW(),"yyyy"))</f>
        <v>T2023</v>
      </c>
      <c r="N632" s="203">
        <v>1</v>
      </c>
      <c r="O632" s="203">
        <v>0</v>
      </c>
      <c r="P632" s="213">
        <f>申込書!$B$6</f>
        <v>0</v>
      </c>
      <c r="Q632" s="203">
        <f>申込書!$C$34</f>
        <v>1000040</v>
      </c>
      <c r="R632" s="203">
        <v>0</v>
      </c>
      <c r="U632" s="203">
        <f>VLOOKUP(B632,★営業所!$A$2:$C$5,3,FALSE)</f>
        <v>8</v>
      </c>
      <c r="V632" s="203">
        <f>申込書!$B$9</f>
        <v>0</v>
      </c>
      <c r="W632" s="203" t="str">
        <f>CONCATENATE(VLOOKUP(B632,★営業所!$A$2:$B$5,2,FALSE),VLOOKUP(申込書!$C$32,★サイズ表記!$D$4:$E$55,2,FALSE),VLOOKUP(D632,★折込地区!$A$2:$B$11,2,FALSE))</f>
        <v>T1001Yng</v>
      </c>
      <c r="X632" s="203" t="str">
        <f>CONCATENATE(申込書!$B$9," ",VLOOKUP(RIGHT(W632,3),★折込地区!$B$2:$C$10,2,FALSE),"")</f>
        <v xml:space="preserve"> 米子</v>
      </c>
      <c r="Z632" s="206">
        <f t="shared" ca="1" si="71"/>
        <v>0</v>
      </c>
      <c r="AB632" s="383">
        <f t="shared" si="72"/>
        <v>2.8</v>
      </c>
      <c r="AC632" s="203" t="str">
        <f t="shared" si="73"/>
        <v>S1001</v>
      </c>
      <c r="AD632" s="203" t="str">
        <f>VLOOKUP(AC632,★原価商品!$E$6:$F$349,2,FALSE)</f>
        <v>山陰中央/B4（折り無し）</v>
      </c>
      <c r="AE632" s="203">
        <f t="shared" ca="1" si="74"/>
        <v>0</v>
      </c>
      <c r="AF632" s="383">
        <f ca="1">IFERROR(IF(VLOOKUP(申込書!$C$32,★サイズ表記!$F$4:$H$55,3,FALSE)="切り捨て",ROUNDDOWN(L632*IF(AK632="◎",I632,J632)/100,2),IF(VLOOKUP(申込書!$C$32,★サイズ表記!$F$4:$H$55,3,FALSE)="切り上げ",ROUNDUP(L632*IF(AK632="◎",I632,J632)/100,2),ROUND(L632*IF(AK632="◎",I632,J632)/100,2))),0)</f>
        <v>2.38</v>
      </c>
      <c r="AG632" s="203">
        <f t="shared" ca="1" si="75"/>
        <v>0</v>
      </c>
      <c r="AJ632" s="460" t="str">
        <f>IFERROR(VLOOKUP(申込書!$C$30,★業種!$D$2:$E$87,2,FALSE),"")</f>
        <v>1003</v>
      </c>
      <c r="AK632" s="460" t="str">
        <f ca="1">IF(申込書!$C$36="◎",IF(OR(D632="浜坂・温泉",D632="美方・村岡",D632="香住",D632="岡山",D632="大阪"),"",IF(LEFT(F632)="D","◎",IF(AG632=0,"",IFERROR(IF(VLOOKUP(AG632,★仕入先!$A$2:$C$211,3,FALSE)=0,"","◎"),"")))),"")</f>
        <v/>
      </c>
      <c r="AL632" s="460">
        <f>申込書!$H$14</f>
        <v>0</v>
      </c>
      <c r="AM632" s="460" t="str">
        <f>申込書!$C$32</f>
        <v>B4（折り無し）</v>
      </c>
      <c r="AN632" s="460" t="str">
        <f>VLOOKUP(AM632,★サイズ表記!$D$4:$E$55,2,FALSE)</f>
        <v>1001</v>
      </c>
      <c r="AO632" s="460">
        <f>IF(C632&lt;&gt;"⑧兵庫",VLOOKUP(LEFT(F632),★新聞!$A$4:$B$12,2,FALSE),IF(LEFT(F632)&lt;&gt;"S",VLOOKUP(LEFT(F632),★新聞!$A$4:$B$12,2,FALSE),VLOOKUP("X",★新聞!$A$4:$B$12,2,FALSE)))</f>
        <v>6</v>
      </c>
      <c r="AP632" s="460" t="str">
        <f t="shared" ca="1" si="76"/>
        <v>0</v>
      </c>
      <c r="AQ632" s="460" t="str">
        <f>IF(申込書!$C$38="","",申込書!$C$38)</f>
        <v/>
      </c>
    </row>
    <row r="633" spans="1:43">
      <c r="A633" s="463">
        <f t="shared" si="77"/>
        <v>632</v>
      </c>
      <c r="B633" s="463" t="str">
        <f t="shared" si="70"/>
        <v>東部</v>
      </c>
      <c r="C633" s="464" t="s">
        <v>1018</v>
      </c>
      <c r="D633" s="464" t="s">
        <v>1603</v>
      </c>
      <c r="E633" s="464">
        <f>VLOOKUP(D633,★折込地区!$A$2:$D$10,4,FALSE)</f>
        <v>3</v>
      </c>
      <c r="F633" s="464" t="s">
        <v>508</v>
      </c>
      <c r="G633" s="464" t="str">
        <f>INDEX(★新聞!$E$4:$I$12, MATCH(LEFT(F633),★新聞!$A$4:$A$12,0), MATCH(LEFT(W633),★新聞!$E$3:$I$3,0))</f>
        <v>AM</v>
      </c>
      <c r="H633" s="475" t="s">
        <v>1103</v>
      </c>
      <c r="I633" s="464" cm="1">
        <f t="array" ref="I633">IFERROR(INDEX(★原価率!$A$2:$E$50,MATCH($C633&amp;$H633,★原価率!$A$2:$A$50&amp;★原価率!$B$2:$B$50,0),3),0)</f>
        <v>85</v>
      </c>
      <c r="J633" s="464" cm="1">
        <f t="array" ref="J633">IFERROR(INDEX(★原価率!$A$2:$E$50,MATCH($C633&amp;$H633,★原価率!$A$2:$A$50&amp;★原価率!$B$2:$B$50,0),4),0)</f>
        <v>85</v>
      </c>
      <c r="K633" s="464" cm="1">
        <f t="array" ref="K633">IFERROR(INDEX(★原価率!$A$2:$E$50,MATCH($C633&amp;$H633,★原価率!$A$2:$A$50&amp;★原価率!$B$2:$B$50,0),5),0)</f>
        <v>100</v>
      </c>
      <c r="L633" s="528">
        <f>IFERROR(VLOOKUP(W633,★商品!$A$1:$H$1231,8,FALSE),0)</f>
        <v>2.8</v>
      </c>
      <c r="M633" s="203" t="str">
        <f ca="1">CONCATENATE(VLOOKUP(B633,★営業所!$A$2:$B$5,2,FALSE),TEXT(NOW(),"yyyy"))</f>
        <v>T2023</v>
      </c>
      <c r="N633" s="203">
        <v>1</v>
      </c>
      <c r="O633" s="203">
        <v>0</v>
      </c>
      <c r="P633" s="213">
        <f>申込書!$B$6</f>
        <v>0</v>
      </c>
      <c r="Q633" s="203">
        <f>申込書!$C$34</f>
        <v>1000040</v>
      </c>
      <c r="R633" s="203">
        <v>0</v>
      </c>
      <c r="U633" s="203">
        <f>VLOOKUP(B633,★営業所!$A$2:$C$5,3,FALSE)</f>
        <v>8</v>
      </c>
      <c r="V633" s="203">
        <f>申込書!$B$9</f>
        <v>0</v>
      </c>
      <c r="W633" s="203" t="str">
        <f>CONCATENATE(VLOOKUP(B633,★営業所!$A$2:$B$5,2,FALSE),VLOOKUP(申込書!$C$32,★サイズ表記!$D$4:$E$55,2,FALSE),VLOOKUP(D633,★折込地区!$A$2:$B$11,2,FALSE))</f>
        <v>T1001Yng</v>
      </c>
      <c r="X633" s="203" t="str">
        <f>CONCATENATE(申込書!$B$9," ",VLOOKUP(RIGHT(W633,3),★折込地区!$B$2:$C$10,2,FALSE),"")</f>
        <v xml:space="preserve"> 米子</v>
      </c>
      <c r="Z633" s="206">
        <f t="shared" ca="1" si="71"/>
        <v>0</v>
      </c>
      <c r="AB633" s="383">
        <f t="shared" si="72"/>
        <v>2.8</v>
      </c>
      <c r="AC633" s="203" t="str">
        <f t="shared" si="73"/>
        <v>S1001</v>
      </c>
      <c r="AD633" s="203" t="str">
        <f>VLOOKUP(AC633,★原価商品!$E$6:$F$349,2,FALSE)</f>
        <v>山陰中央/B4（折り無し）</v>
      </c>
      <c r="AE633" s="203">
        <f t="shared" ca="1" si="74"/>
        <v>0</v>
      </c>
      <c r="AF633" s="383">
        <f ca="1">IFERROR(IF(VLOOKUP(申込書!$C$32,★サイズ表記!$F$4:$H$55,3,FALSE)="切り捨て",ROUNDDOWN(L633*IF(AK633="◎",I633,J633)/100,2),IF(VLOOKUP(申込書!$C$32,★サイズ表記!$F$4:$H$55,3,FALSE)="切り上げ",ROUNDUP(L633*IF(AK633="◎",I633,J633)/100,2),ROUND(L633*IF(AK633="◎",I633,J633)/100,2))),0)</f>
        <v>2.38</v>
      </c>
      <c r="AG633" s="203">
        <f t="shared" ca="1" si="75"/>
        <v>10561</v>
      </c>
      <c r="AJ633" s="460" t="str">
        <f>IFERROR(VLOOKUP(申込書!$C$30,★業種!$D$2:$E$87,2,FALSE),"")</f>
        <v>1003</v>
      </c>
      <c r="AK633" s="460" t="str">
        <f ca="1">IF(申込書!$C$36="◎",IF(OR(D633="浜坂・温泉",D633="美方・村岡",D633="香住",D633="岡山",D633="大阪"),"",IF(LEFT(F633)="D","◎",IF(AG633=0,"",IFERROR(IF(VLOOKUP(AG633,★仕入先!$A$2:$C$211,3,FALSE)=0,"","◎"),"")))),"")</f>
        <v/>
      </c>
      <c r="AL633" s="460">
        <f>申込書!$H$14</f>
        <v>0</v>
      </c>
      <c r="AM633" s="460" t="str">
        <f>申込書!$C$32</f>
        <v>B4（折り無し）</v>
      </c>
      <c r="AN633" s="460" t="str">
        <f>VLOOKUP(AM633,★サイズ表記!$D$4:$E$55,2,FALSE)</f>
        <v>1001</v>
      </c>
      <c r="AO633" s="460">
        <f>IF(C633&lt;&gt;"⑧兵庫",VLOOKUP(LEFT(F633),★新聞!$A$4:$B$12,2,FALSE),IF(LEFT(F633)&lt;&gt;"S",VLOOKUP(LEFT(F633),★新聞!$A$4:$B$12,2,FALSE),VLOOKUP("X",★新聞!$A$4:$B$12,2,FALSE)))</f>
        <v>6</v>
      </c>
      <c r="AP633" s="460" t="str">
        <f t="shared" ca="1" si="76"/>
        <v>0</v>
      </c>
      <c r="AQ633" s="460" t="str">
        <f>IF(申込書!$C$38="","",申込書!$C$38)</f>
        <v/>
      </c>
    </row>
    <row r="634" spans="1:43">
      <c r="A634" s="463">
        <f t="shared" si="77"/>
        <v>633</v>
      </c>
      <c r="B634" s="463" t="str">
        <f t="shared" si="70"/>
        <v>東部</v>
      </c>
      <c r="C634" s="464" t="s">
        <v>1018</v>
      </c>
      <c r="D634" s="464" t="s">
        <v>1603</v>
      </c>
      <c r="E634" s="464">
        <f>VLOOKUP(D634,★折込地区!$A$2:$D$10,4,FALSE)</f>
        <v>3</v>
      </c>
      <c r="F634" s="464" t="s">
        <v>509</v>
      </c>
      <c r="G634" s="464" t="str">
        <f>INDEX(★新聞!$E$4:$I$12, MATCH(LEFT(F634),★新聞!$A$4:$A$12,0), MATCH(LEFT(W634),★新聞!$E$3:$I$3,0))</f>
        <v>AM</v>
      </c>
      <c r="H634" s="475" t="s">
        <v>1103</v>
      </c>
      <c r="I634" s="464" cm="1">
        <f t="array" ref="I634">IFERROR(INDEX(★原価率!$A$2:$E$50,MATCH($C634&amp;$H634,★原価率!$A$2:$A$50&amp;★原価率!$B$2:$B$50,0),3),0)</f>
        <v>85</v>
      </c>
      <c r="J634" s="464" cm="1">
        <f t="array" ref="J634">IFERROR(INDEX(★原価率!$A$2:$E$50,MATCH($C634&amp;$H634,★原価率!$A$2:$A$50&amp;★原価率!$B$2:$B$50,0),4),0)</f>
        <v>85</v>
      </c>
      <c r="K634" s="464" cm="1">
        <f t="array" ref="K634">IFERROR(INDEX(★原価率!$A$2:$E$50,MATCH($C634&amp;$H634,★原価率!$A$2:$A$50&amp;★原価率!$B$2:$B$50,0),5),0)</f>
        <v>100</v>
      </c>
      <c r="L634" s="528">
        <f>IFERROR(VLOOKUP(W634,★商品!$A$1:$H$1231,8,FALSE),0)</f>
        <v>2.8</v>
      </c>
      <c r="M634" s="203" t="str">
        <f ca="1">CONCATENATE(VLOOKUP(B634,★営業所!$A$2:$B$5,2,FALSE),TEXT(NOW(),"yyyy"))</f>
        <v>T2023</v>
      </c>
      <c r="N634" s="203">
        <v>1</v>
      </c>
      <c r="O634" s="203">
        <v>0</v>
      </c>
      <c r="P634" s="213">
        <f>申込書!$B$6</f>
        <v>0</v>
      </c>
      <c r="Q634" s="203">
        <f>申込書!$C$34</f>
        <v>1000040</v>
      </c>
      <c r="R634" s="203">
        <v>0</v>
      </c>
      <c r="U634" s="203">
        <f>VLOOKUP(B634,★営業所!$A$2:$C$5,3,FALSE)</f>
        <v>8</v>
      </c>
      <c r="V634" s="203">
        <f>申込書!$B$9</f>
        <v>0</v>
      </c>
      <c r="W634" s="203" t="str">
        <f>CONCATENATE(VLOOKUP(B634,★営業所!$A$2:$B$5,2,FALSE),VLOOKUP(申込書!$C$32,★サイズ表記!$D$4:$E$55,2,FALSE),VLOOKUP(D634,★折込地区!$A$2:$B$11,2,FALSE))</f>
        <v>T1001Yng</v>
      </c>
      <c r="X634" s="203" t="str">
        <f>CONCATENATE(申込書!$B$9," ",VLOOKUP(RIGHT(W634,3),★折込地区!$B$2:$C$10,2,FALSE),"")</f>
        <v xml:space="preserve"> 米子</v>
      </c>
      <c r="Z634" s="206">
        <f t="shared" ca="1" si="71"/>
        <v>0</v>
      </c>
      <c r="AB634" s="383">
        <f t="shared" si="72"/>
        <v>2.8</v>
      </c>
      <c r="AC634" s="203" t="str">
        <f t="shared" si="73"/>
        <v>S1001</v>
      </c>
      <c r="AD634" s="203" t="str">
        <f>VLOOKUP(AC634,★原価商品!$E$6:$F$349,2,FALSE)</f>
        <v>山陰中央/B4（折り無し）</v>
      </c>
      <c r="AE634" s="203">
        <f t="shared" ca="1" si="74"/>
        <v>0</v>
      </c>
      <c r="AF634" s="383">
        <f ca="1">IFERROR(IF(VLOOKUP(申込書!$C$32,★サイズ表記!$F$4:$H$55,3,FALSE)="切り捨て",ROUNDDOWN(L634*IF(AK634="◎",I634,J634)/100,2),IF(VLOOKUP(申込書!$C$32,★サイズ表記!$F$4:$H$55,3,FALSE)="切り上げ",ROUNDUP(L634*IF(AK634="◎",I634,J634)/100,2),ROUND(L634*IF(AK634="◎",I634,J634)/100,2))),0)</f>
        <v>2.38</v>
      </c>
      <c r="AG634" s="203">
        <f t="shared" ca="1" si="75"/>
        <v>0</v>
      </c>
      <c r="AJ634" s="460" t="str">
        <f>IFERROR(VLOOKUP(申込書!$C$30,★業種!$D$2:$E$87,2,FALSE),"")</f>
        <v>1003</v>
      </c>
      <c r="AK634" s="460" t="str">
        <f ca="1">IF(申込書!$C$36="◎",IF(OR(D634="浜坂・温泉",D634="美方・村岡",D634="香住",D634="岡山",D634="大阪"),"",IF(LEFT(F634)="D","◎",IF(AG634=0,"",IFERROR(IF(VLOOKUP(AG634,★仕入先!$A$2:$C$211,3,FALSE)=0,"","◎"),"")))),"")</f>
        <v/>
      </c>
      <c r="AL634" s="460">
        <f>申込書!$H$14</f>
        <v>0</v>
      </c>
      <c r="AM634" s="460" t="str">
        <f>申込書!$C$32</f>
        <v>B4（折り無し）</v>
      </c>
      <c r="AN634" s="460" t="str">
        <f>VLOOKUP(AM634,★サイズ表記!$D$4:$E$55,2,FALSE)</f>
        <v>1001</v>
      </c>
      <c r="AO634" s="460">
        <f>IF(C634&lt;&gt;"⑧兵庫",VLOOKUP(LEFT(F634),★新聞!$A$4:$B$12,2,FALSE),IF(LEFT(F634)&lt;&gt;"S",VLOOKUP(LEFT(F634),★新聞!$A$4:$B$12,2,FALSE),VLOOKUP("X",★新聞!$A$4:$B$12,2,FALSE)))</f>
        <v>6</v>
      </c>
      <c r="AP634" s="460" t="str">
        <f t="shared" ca="1" si="76"/>
        <v>0</v>
      </c>
      <c r="AQ634" s="460" t="str">
        <f>IF(申込書!$C$38="","",申込書!$C$38)</f>
        <v/>
      </c>
    </row>
    <row r="635" spans="1:43">
      <c r="A635" s="463">
        <f t="shared" si="77"/>
        <v>634</v>
      </c>
      <c r="B635" s="463" t="str">
        <f t="shared" si="70"/>
        <v>東部</v>
      </c>
      <c r="C635" s="464" t="s">
        <v>1018</v>
      </c>
      <c r="D635" s="464" t="s">
        <v>1603</v>
      </c>
      <c r="E635" s="464">
        <f>VLOOKUP(D635,★折込地区!$A$2:$D$10,4,FALSE)</f>
        <v>3</v>
      </c>
      <c r="F635" s="464" t="s">
        <v>510</v>
      </c>
      <c r="G635" s="464" t="str">
        <f>INDEX(★新聞!$E$4:$I$12, MATCH(LEFT(F635),★新聞!$A$4:$A$12,0), MATCH(LEFT(W635),★新聞!$E$3:$I$3,0))</f>
        <v>AM</v>
      </c>
      <c r="H635" s="475" t="s">
        <v>1103</v>
      </c>
      <c r="I635" s="464" cm="1">
        <f t="array" ref="I635">IFERROR(INDEX(★原価率!$A$2:$E$50,MATCH($C635&amp;$H635,★原価率!$A$2:$A$50&amp;★原価率!$B$2:$B$50,0),3),0)</f>
        <v>85</v>
      </c>
      <c r="J635" s="464" cm="1">
        <f t="array" ref="J635">IFERROR(INDEX(★原価率!$A$2:$E$50,MATCH($C635&amp;$H635,★原価率!$A$2:$A$50&amp;★原価率!$B$2:$B$50,0),4),0)</f>
        <v>85</v>
      </c>
      <c r="K635" s="464" cm="1">
        <f t="array" ref="K635">IFERROR(INDEX(★原価率!$A$2:$E$50,MATCH($C635&amp;$H635,★原価率!$A$2:$A$50&amp;★原価率!$B$2:$B$50,0),5),0)</f>
        <v>100</v>
      </c>
      <c r="L635" s="528">
        <f>IFERROR(VLOOKUP(W635,★商品!$A$1:$H$1231,8,FALSE),0)</f>
        <v>2.8</v>
      </c>
      <c r="M635" s="203" t="str">
        <f ca="1">CONCATENATE(VLOOKUP(B635,★営業所!$A$2:$B$5,2,FALSE),TEXT(NOW(),"yyyy"))</f>
        <v>T2023</v>
      </c>
      <c r="N635" s="203">
        <v>1</v>
      </c>
      <c r="O635" s="203">
        <v>0</v>
      </c>
      <c r="P635" s="213">
        <f>申込書!$B$6</f>
        <v>0</v>
      </c>
      <c r="Q635" s="203">
        <f>申込書!$C$34</f>
        <v>1000040</v>
      </c>
      <c r="R635" s="203">
        <v>0</v>
      </c>
      <c r="U635" s="203">
        <f>VLOOKUP(B635,★営業所!$A$2:$C$5,3,FALSE)</f>
        <v>8</v>
      </c>
      <c r="V635" s="203">
        <f>申込書!$B$9</f>
        <v>0</v>
      </c>
      <c r="W635" s="203" t="str">
        <f>CONCATENATE(VLOOKUP(B635,★営業所!$A$2:$B$5,2,FALSE),VLOOKUP(申込書!$C$32,★サイズ表記!$D$4:$E$55,2,FALSE),VLOOKUP(D635,★折込地区!$A$2:$B$11,2,FALSE))</f>
        <v>T1001Yng</v>
      </c>
      <c r="X635" s="203" t="str">
        <f>CONCATENATE(申込書!$B$9," ",VLOOKUP(RIGHT(W635,3),★折込地区!$B$2:$C$10,2,FALSE),"")</f>
        <v xml:space="preserve"> 米子</v>
      </c>
      <c r="Z635" s="206">
        <f t="shared" ca="1" si="71"/>
        <v>0</v>
      </c>
      <c r="AB635" s="383">
        <f t="shared" si="72"/>
        <v>2.8</v>
      </c>
      <c r="AC635" s="203" t="str">
        <f t="shared" si="73"/>
        <v>S1001</v>
      </c>
      <c r="AD635" s="203" t="str">
        <f>VLOOKUP(AC635,★原価商品!$E$6:$F$349,2,FALSE)</f>
        <v>山陰中央/B4（折り無し）</v>
      </c>
      <c r="AE635" s="203">
        <f t="shared" ca="1" si="74"/>
        <v>0</v>
      </c>
      <c r="AF635" s="383">
        <f ca="1">IFERROR(IF(VLOOKUP(申込書!$C$32,★サイズ表記!$F$4:$H$55,3,FALSE)="切り捨て",ROUNDDOWN(L635*IF(AK635="◎",I635,J635)/100,2),IF(VLOOKUP(申込書!$C$32,★サイズ表記!$F$4:$H$55,3,FALSE)="切り上げ",ROUNDUP(L635*IF(AK635="◎",I635,J635)/100,2),ROUND(L635*IF(AK635="◎",I635,J635)/100,2))),0)</f>
        <v>2.38</v>
      </c>
      <c r="AG635" s="203">
        <f t="shared" ca="1" si="75"/>
        <v>10561</v>
      </c>
      <c r="AJ635" s="460" t="str">
        <f>IFERROR(VLOOKUP(申込書!$C$30,★業種!$D$2:$E$87,2,FALSE),"")</f>
        <v>1003</v>
      </c>
      <c r="AK635" s="460" t="str">
        <f ca="1">IF(申込書!$C$36="◎",IF(OR(D635="浜坂・温泉",D635="美方・村岡",D635="香住",D635="岡山",D635="大阪"),"",IF(LEFT(F635)="D","◎",IF(AG635=0,"",IFERROR(IF(VLOOKUP(AG635,★仕入先!$A$2:$C$211,3,FALSE)=0,"","◎"),"")))),"")</f>
        <v/>
      </c>
      <c r="AL635" s="460">
        <f>申込書!$H$14</f>
        <v>0</v>
      </c>
      <c r="AM635" s="460" t="str">
        <f>申込書!$C$32</f>
        <v>B4（折り無し）</v>
      </c>
      <c r="AN635" s="460" t="str">
        <f>VLOOKUP(AM635,★サイズ表記!$D$4:$E$55,2,FALSE)</f>
        <v>1001</v>
      </c>
      <c r="AO635" s="460">
        <f>IF(C635&lt;&gt;"⑧兵庫",VLOOKUP(LEFT(F635),★新聞!$A$4:$B$12,2,FALSE),IF(LEFT(F635)&lt;&gt;"S",VLOOKUP(LEFT(F635),★新聞!$A$4:$B$12,2,FALSE),VLOOKUP("X",★新聞!$A$4:$B$12,2,FALSE)))</f>
        <v>6</v>
      </c>
      <c r="AP635" s="460" t="str">
        <f t="shared" ca="1" si="76"/>
        <v>0</v>
      </c>
      <c r="AQ635" s="460" t="str">
        <f>IF(申込書!$C$38="","",申込書!$C$38)</f>
        <v/>
      </c>
    </row>
    <row r="636" spans="1:43">
      <c r="A636" s="463">
        <f t="shared" si="77"/>
        <v>635</v>
      </c>
      <c r="B636" s="463" t="str">
        <f t="shared" si="70"/>
        <v>東部</v>
      </c>
      <c r="C636" s="464" t="s">
        <v>1018</v>
      </c>
      <c r="D636" s="464" t="s">
        <v>1603</v>
      </c>
      <c r="E636" s="464">
        <f>VLOOKUP(D636,★折込地区!$A$2:$D$10,4,FALSE)</f>
        <v>3</v>
      </c>
      <c r="F636" s="464" t="s">
        <v>511</v>
      </c>
      <c r="G636" s="464" t="str">
        <f>INDEX(★新聞!$E$4:$I$12, MATCH(LEFT(F636),★新聞!$A$4:$A$12,0), MATCH(LEFT(W636),★新聞!$E$3:$I$3,0))</f>
        <v>AM</v>
      </c>
      <c r="H636" s="475" t="s">
        <v>1103</v>
      </c>
      <c r="I636" s="464" cm="1">
        <f t="array" ref="I636">IFERROR(INDEX(★原価率!$A$2:$E$50,MATCH($C636&amp;$H636,★原価率!$A$2:$A$50&amp;★原価率!$B$2:$B$50,0),3),0)</f>
        <v>85</v>
      </c>
      <c r="J636" s="464" cm="1">
        <f t="array" ref="J636">IFERROR(INDEX(★原価率!$A$2:$E$50,MATCH($C636&amp;$H636,★原価率!$A$2:$A$50&amp;★原価率!$B$2:$B$50,0),4),0)</f>
        <v>85</v>
      </c>
      <c r="K636" s="464" cm="1">
        <f t="array" ref="K636">IFERROR(INDEX(★原価率!$A$2:$E$50,MATCH($C636&amp;$H636,★原価率!$A$2:$A$50&amp;★原価率!$B$2:$B$50,0),5),0)</f>
        <v>100</v>
      </c>
      <c r="L636" s="528">
        <f>IFERROR(VLOOKUP(W636,★商品!$A$1:$H$1231,8,FALSE),0)</f>
        <v>2.8</v>
      </c>
      <c r="M636" s="203" t="str">
        <f ca="1">CONCATENATE(VLOOKUP(B636,★営業所!$A$2:$B$5,2,FALSE),TEXT(NOW(),"yyyy"))</f>
        <v>T2023</v>
      </c>
      <c r="N636" s="203">
        <v>1</v>
      </c>
      <c r="O636" s="203">
        <v>0</v>
      </c>
      <c r="P636" s="213">
        <f>申込書!$B$6</f>
        <v>0</v>
      </c>
      <c r="Q636" s="203">
        <f>申込書!$C$34</f>
        <v>1000040</v>
      </c>
      <c r="R636" s="203">
        <v>0</v>
      </c>
      <c r="U636" s="203">
        <f>VLOOKUP(B636,★営業所!$A$2:$C$5,3,FALSE)</f>
        <v>8</v>
      </c>
      <c r="V636" s="203">
        <f>申込書!$B$9</f>
        <v>0</v>
      </c>
      <c r="W636" s="203" t="str">
        <f>CONCATENATE(VLOOKUP(B636,★営業所!$A$2:$B$5,2,FALSE),VLOOKUP(申込書!$C$32,★サイズ表記!$D$4:$E$55,2,FALSE),VLOOKUP(D636,★折込地区!$A$2:$B$11,2,FALSE))</f>
        <v>T1001Yng</v>
      </c>
      <c r="X636" s="203" t="str">
        <f>CONCATENATE(申込書!$B$9," ",VLOOKUP(RIGHT(W636,3),★折込地区!$B$2:$C$10,2,FALSE),"")</f>
        <v xml:space="preserve"> 米子</v>
      </c>
      <c r="Z636" s="206">
        <f t="shared" ca="1" si="71"/>
        <v>0</v>
      </c>
      <c r="AB636" s="383">
        <f t="shared" si="72"/>
        <v>2.8</v>
      </c>
      <c r="AC636" s="203" t="str">
        <f t="shared" si="73"/>
        <v>S1001</v>
      </c>
      <c r="AD636" s="203" t="str">
        <f>VLOOKUP(AC636,★原価商品!$E$6:$F$349,2,FALSE)</f>
        <v>山陰中央/B4（折り無し）</v>
      </c>
      <c r="AE636" s="203">
        <f t="shared" ca="1" si="74"/>
        <v>0</v>
      </c>
      <c r="AF636" s="383">
        <f ca="1">IFERROR(IF(VLOOKUP(申込書!$C$32,★サイズ表記!$F$4:$H$55,3,FALSE)="切り捨て",ROUNDDOWN(L636*IF(AK636="◎",I636,J636)/100,2),IF(VLOOKUP(申込書!$C$32,★サイズ表記!$F$4:$H$55,3,FALSE)="切り上げ",ROUNDUP(L636*IF(AK636="◎",I636,J636)/100,2),ROUND(L636*IF(AK636="◎",I636,J636)/100,2))),0)</f>
        <v>2.38</v>
      </c>
      <c r="AG636" s="203">
        <f t="shared" ca="1" si="75"/>
        <v>0</v>
      </c>
      <c r="AJ636" s="460" t="str">
        <f>IFERROR(VLOOKUP(申込書!$C$30,★業種!$D$2:$E$87,2,FALSE),"")</f>
        <v>1003</v>
      </c>
      <c r="AK636" s="460" t="str">
        <f ca="1">IF(申込書!$C$36="◎",IF(OR(D636="浜坂・温泉",D636="美方・村岡",D636="香住",D636="岡山",D636="大阪"),"",IF(LEFT(F636)="D","◎",IF(AG636=0,"",IFERROR(IF(VLOOKUP(AG636,★仕入先!$A$2:$C$211,3,FALSE)=0,"","◎"),"")))),"")</f>
        <v/>
      </c>
      <c r="AL636" s="460">
        <f>申込書!$H$14</f>
        <v>0</v>
      </c>
      <c r="AM636" s="460" t="str">
        <f>申込書!$C$32</f>
        <v>B4（折り無し）</v>
      </c>
      <c r="AN636" s="460" t="str">
        <f>VLOOKUP(AM636,★サイズ表記!$D$4:$E$55,2,FALSE)</f>
        <v>1001</v>
      </c>
      <c r="AO636" s="460">
        <f>IF(C636&lt;&gt;"⑧兵庫",VLOOKUP(LEFT(F636),★新聞!$A$4:$B$12,2,FALSE),IF(LEFT(F636)&lt;&gt;"S",VLOOKUP(LEFT(F636),★新聞!$A$4:$B$12,2,FALSE),VLOOKUP("X",★新聞!$A$4:$B$12,2,FALSE)))</f>
        <v>6</v>
      </c>
      <c r="AP636" s="460" t="str">
        <f t="shared" ca="1" si="76"/>
        <v>0</v>
      </c>
      <c r="AQ636" s="460" t="str">
        <f>IF(申込書!$C$38="","",申込書!$C$38)</f>
        <v/>
      </c>
    </row>
    <row r="637" spans="1:43">
      <c r="A637" s="463">
        <f t="shared" si="77"/>
        <v>636</v>
      </c>
      <c r="B637" s="463" t="str">
        <f t="shared" si="70"/>
        <v>東部</v>
      </c>
      <c r="C637" s="464" t="s">
        <v>1018</v>
      </c>
      <c r="D637" s="464" t="s">
        <v>1603</v>
      </c>
      <c r="E637" s="464">
        <f>VLOOKUP(D637,★折込地区!$A$2:$D$10,4,FALSE)</f>
        <v>3</v>
      </c>
      <c r="F637" s="464" t="s">
        <v>512</v>
      </c>
      <c r="G637" s="464" t="str">
        <f>INDEX(★新聞!$E$4:$I$12, MATCH(LEFT(F637),★新聞!$A$4:$A$12,0), MATCH(LEFT(W637),★新聞!$E$3:$I$3,0))</f>
        <v>AM</v>
      </c>
      <c r="H637" s="475" t="s">
        <v>1119</v>
      </c>
      <c r="I637" s="464" cm="1">
        <f t="array" ref="I637">IFERROR(INDEX(★原価率!$A$2:$E$50,MATCH($C637&amp;$H637,★原価率!$A$2:$A$50&amp;★原価率!$B$2:$B$50,0),3),0)</f>
        <v>94</v>
      </c>
      <c r="J637" s="464" cm="1">
        <f t="array" ref="J637">IFERROR(INDEX(★原価率!$A$2:$E$50,MATCH($C637&amp;$H637,★原価率!$A$2:$A$50&amp;★原価率!$B$2:$B$50,0),4),0)</f>
        <v>94</v>
      </c>
      <c r="K637" s="464" cm="1">
        <f t="array" ref="K637">IFERROR(INDEX(★原価率!$A$2:$E$50,MATCH($C637&amp;$H637,★原価率!$A$2:$A$50&amp;★原価率!$B$2:$B$50,0),5),0)</f>
        <v>100</v>
      </c>
      <c r="L637" s="528">
        <f>IFERROR(VLOOKUP(W637,★商品!$A$1:$H$1231,8,FALSE),0)</f>
        <v>2.8</v>
      </c>
      <c r="M637" s="203" t="str">
        <f ca="1">CONCATENATE(VLOOKUP(B637,★営業所!$A$2:$B$5,2,FALSE),TEXT(NOW(),"yyyy"))</f>
        <v>T2023</v>
      </c>
      <c r="N637" s="203">
        <v>1</v>
      </c>
      <c r="O637" s="203">
        <v>0</v>
      </c>
      <c r="P637" s="213">
        <f>申込書!$B$6</f>
        <v>0</v>
      </c>
      <c r="Q637" s="203">
        <f>申込書!$C$34</f>
        <v>1000040</v>
      </c>
      <c r="R637" s="203">
        <v>0</v>
      </c>
      <c r="U637" s="203">
        <f>VLOOKUP(B637,★営業所!$A$2:$C$5,3,FALSE)</f>
        <v>8</v>
      </c>
      <c r="V637" s="203">
        <f>申込書!$B$9</f>
        <v>0</v>
      </c>
      <c r="W637" s="203" t="str">
        <f>CONCATENATE(VLOOKUP(B637,★営業所!$A$2:$B$5,2,FALSE),VLOOKUP(申込書!$C$32,★サイズ表記!$D$4:$E$55,2,FALSE),VLOOKUP(D637,★折込地区!$A$2:$B$11,2,FALSE))</f>
        <v>T1001Yng</v>
      </c>
      <c r="X637" s="203" t="str">
        <f>CONCATENATE(申込書!$B$9," ",VLOOKUP(RIGHT(W637,3),★折込地区!$B$2:$C$10,2,FALSE),"")</f>
        <v xml:space="preserve"> 米子</v>
      </c>
      <c r="Z637" s="206">
        <f t="shared" ca="1" si="71"/>
        <v>0</v>
      </c>
      <c r="AB637" s="383">
        <f t="shared" si="72"/>
        <v>2.8</v>
      </c>
      <c r="AC637" s="203" t="str">
        <f t="shared" si="73"/>
        <v>S1001</v>
      </c>
      <c r="AD637" s="203" t="str">
        <f>VLOOKUP(AC637,★原価商品!$E$6:$F$349,2,FALSE)</f>
        <v>山陰中央/B4（折り無し）</v>
      </c>
      <c r="AE637" s="203">
        <f t="shared" ca="1" si="74"/>
        <v>0</v>
      </c>
      <c r="AF637" s="383">
        <f ca="1">IFERROR(IF(VLOOKUP(申込書!$C$32,★サイズ表記!$F$4:$H$55,3,FALSE)="切り捨て",ROUNDDOWN(L637*IF(AK637="◎",I637,J637)/100,2),IF(VLOOKUP(申込書!$C$32,★サイズ表記!$F$4:$H$55,3,FALSE)="切り上げ",ROUNDUP(L637*IF(AK637="◎",I637,J637)/100,2),ROUND(L637*IF(AK637="◎",I637,J637)/100,2))),0)</f>
        <v>2.63</v>
      </c>
      <c r="AG637" s="203">
        <f t="shared" ca="1" si="75"/>
        <v>10561</v>
      </c>
      <c r="AJ637" s="460" t="str">
        <f>IFERROR(VLOOKUP(申込書!$C$30,★業種!$D$2:$E$87,2,FALSE),"")</f>
        <v>1003</v>
      </c>
      <c r="AK637" s="460" t="str">
        <f ca="1">IF(申込書!$C$36="◎",IF(OR(D637="浜坂・温泉",D637="美方・村岡",D637="香住",D637="岡山",D637="大阪"),"",IF(LEFT(F637)="D","◎",IF(AG637=0,"",IFERROR(IF(VLOOKUP(AG637,★仕入先!$A$2:$C$211,3,FALSE)=0,"","◎"),"")))),"")</f>
        <v/>
      </c>
      <c r="AL637" s="460">
        <f>申込書!$H$14</f>
        <v>0</v>
      </c>
      <c r="AM637" s="460" t="str">
        <f>申込書!$C$32</f>
        <v>B4（折り無し）</v>
      </c>
      <c r="AN637" s="460" t="str">
        <f>VLOOKUP(AM637,★サイズ表記!$D$4:$E$55,2,FALSE)</f>
        <v>1001</v>
      </c>
      <c r="AO637" s="460">
        <f>IF(C637&lt;&gt;"⑧兵庫",VLOOKUP(LEFT(F637),★新聞!$A$4:$B$12,2,FALSE),IF(LEFT(F637)&lt;&gt;"S",VLOOKUP(LEFT(F637),★新聞!$A$4:$B$12,2,FALSE),VLOOKUP("X",★新聞!$A$4:$B$12,2,FALSE)))</f>
        <v>6</v>
      </c>
      <c r="AP637" s="460" t="str">
        <f t="shared" ca="1" si="76"/>
        <v>0</v>
      </c>
      <c r="AQ637" s="460" t="str">
        <f>IF(申込書!$C$38="","",申込書!$C$38)</f>
        <v/>
      </c>
    </row>
    <row r="638" spans="1:43">
      <c r="A638" s="463">
        <f t="shared" si="77"/>
        <v>637</v>
      </c>
      <c r="B638" s="463" t="str">
        <f t="shared" ref="B638:B701" si="78">$B$2</f>
        <v>東部</v>
      </c>
      <c r="C638" s="464" t="s">
        <v>1018</v>
      </c>
      <c r="D638" s="464" t="s">
        <v>1603</v>
      </c>
      <c r="E638" s="464">
        <f>VLOOKUP(D638,★折込地区!$A$2:$D$10,4,FALSE)</f>
        <v>3</v>
      </c>
      <c r="F638" s="464" t="s">
        <v>513</v>
      </c>
      <c r="G638" s="464" t="str">
        <f>INDEX(★新聞!$E$4:$I$12, MATCH(LEFT(F638),★新聞!$A$4:$A$12,0), MATCH(LEFT(W638),★新聞!$E$3:$I$3,0))</f>
        <v>AP</v>
      </c>
      <c r="H638" s="475" t="s">
        <v>1104</v>
      </c>
      <c r="I638" s="464" cm="1">
        <f t="array" ref="I638">IFERROR(INDEX(★原価率!$A$2:$E$50,MATCH($C638&amp;$H638,★原価率!$A$2:$A$50&amp;★原価率!$B$2:$B$50,0),3),0)</f>
        <v>85</v>
      </c>
      <c r="J638" s="464" cm="1">
        <f t="array" ref="J638">IFERROR(INDEX(★原価率!$A$2:$E$50,MATCH($C638&amp;$H638,★原価率!$A$2:$A$50&amp;★原価率!$B$2:$B$50,0),4),0)</f>
        <v>85</v>
      </c>
      <c r="K638" s="464" cm="1">
        <f t="array" ref="K638">IFERROR(INDEX(★原価率!$A$2:$E$50,MATCH($C638&amp;$H638,★原価率!$A$2:$A$50&amp;★原価率!$B$2:$B$50,0),5),0)</f>
        <v>100</v>
      </c>
      <c r="L638" s="528">
        <f>IFERROR(VLOOKUP(W638,★商品!$A$1:$H$1231,8,FALSE),0)</f>
        <v>2.8</v>
      </c>
      <c r="M638" s="203" t="str">
        <f ca="1">CONCATENATE(VLOOKUP(B638,★営業所!$A$2:$B$5,2,FALSE),TEXT(NOW(),"yyyy"))</f>
        <v>T2023</v>
      </c>
      <c r="N638" s="203">
        <v>1</v>
      </c>
      <c r="O638" s="203">
        <v>0</v>
      </c>
      <c r="P638" s="213">
        <f>申込書!$B$6</f>
        <v>0</v>
      </c>
      <c r="Q638" s="203">
        <f>申込書!$C$34</f>
        <v>1000040</v>
      </c>
      <c r="R638" s="203">
        <v>0</v>
      </c>
      <c r="U638" s="203">
        <f>VLOOKUP(B638,★営業所!$A$2:$C$5,3,FALSE)</f>
        <v>8</v>
      </c>
      <c r="V638" s="203">
        <f>申込書!$B$9</f>
        <v>0</v>
      </c>
      <c r="W638" s="203" t="str">
        <f>CONCATENATE(VLOOKUP(B638,★営業所!$A$2:$B$5,2,FALSE),VLOOKUP(申込書!$C$32,★サイズ表記!$D$4:$E$55,2,FALSE),VLOOKUP(D638,★折込地区!$A$2:$B$11,2,FALSE))</f>
        <v>T1001Yng</v>
      </c>
      <c r="X638" s="203" t="str">
        <f>CONCATENATE(申込書!$B$9," ",VLOOKUP(RIGHT(W638,3),★折込地区!$B$2:$C$10,2,FALSE),"")</f>
        <v xml:space="preserve"> 米子</v>
      </c>
      <c r="Z638" s="206">
        <f t="shared" ca="1" si="71"/>
        <v>0</v>
      </c>
      <c r="AB638" s="383">
        <f t="shared" si="72"/>
        <v>2.8</v>
      </c>
      <c r="AC638" s="203" t="str">
        <f t="shared" si="73"/>
        <v>V1001</v>
      </c>
      <c r="AD638" s="203" t="str">
        <f>VLOOKUP(AC638,★原価商品!$E$6:$F$349,2,FALSE)</f>
        <v>日経/B4（折り無し）</v>
      </c>
      <c r="AE638" s="203">
        <f t="shared" ca="1" si="74"/>
        <v>0</v>
      </c>
      <c r="AF638" s="383">
        <f ca="1">IFERROR(IF(VLOOKUP(申込書!$C$32,★サイズ表記!$F$4:$H$55,3,FALSE)="切り捨て",ROUNDDOWN(L638*IF(AK638="◎",I638,J638)/100,2),IF(VLOOKUP(申込書!$C$32,★サイズ表記!$F$4:$H$55,3,FALSE)="切り上げ",ROUNDUP(L638*IF(AK638="◎",I638,J638)/100,2),ROUND(L638*IF(AK638="◎",I638,J638)/100,2))),0)</f>
        <v>2.38</v>
      </c>
      <c r="AG638" s="203">
        <f t="shared" ca="1" si="75"/>
        <v>10561</v>
      </c>
      <c r="AJ638" s="460" t="str">
        <f>IFERROR(VLOOKUP(申込書!$C$30,★業種!$D$2:$E$87,2,FALSE),"")</f>
        <v>1003</v>
      </c>
      <c r="AK638" s="460" t="str">
        <f ca="1">IF(申込書!$C$36="◎",IF(OR(D638="浜坂・温泉",D638="美方・村岡",D638="香住",D638="岡山",D638="大阪"),"",IF(LEFT(F638)="D","◎",IF(AG638=0,"",IFERROR(IF(VLOOKUP(AG638,★仕入先!$A$2:$C$211,3,FALSE)=0,"","◎"),"")))),"")</f>
        <v/>
      </c>
      <c r="AL638" s="460">
        <f>申込書!$H$14</f>
        <v>0</v>
      </c>
      <c r="AM638" s="460" t="str">
        <f>申込書!$C$32</f>
        <v>B4（折り無し）</v>
      </c>
      <c r="AN638" s="460" t="str">
        <f>VLOOKUP(AM638,★サイズ表記!$D$4:$E$55,2,FALSE)</f>
        <v>1001</v>
      </c>
      <c r="AO638" s="460">
        <f>IF(C638&lt;&gt;"⑧兵庫",VLOOKUP(LEFT(F638),★新聞!$A$4:$B$12,2,FALSE),IF(LEFT(F638)&lt;&gt;"S",VLOOKUP(LEFT(F638),★新聞!$A$4:$B$12,2,FALSE),VLOOKUP("X",★新聞!$A$4:$B$12,2,FALSE)))</f>
        <v>7</v>
      </c>
      <c r="AP638" s="460" t="str">
        <f t="shared" ca="1" si="76"/>
        <v>0</v>
      </c>
      <c r="AQ638" s="460" t="str">
        <f>IF(申込書!$C$38="","",申込書!$C$38)</f>
        <v/>
      </c>
    </row>
    <row r="639" spans="1:43">
      <c r="A639" s="463">
        <f t="shared" si="77"/>
        <v>638</v>
      </c>
      <c r="B639" s="463" t="str">
        <f t="shared" si="78"/>
        <v>東部</v>
      </c>
      <c r="C639" s="464" t="s">
        <v>1018</v>
      </c>
      <c r="D639" s="464" t="s">
        <v>1603</v>
      </c>
      <c r="E639" s="464">
        <f>VLOOKUP(D639,★折込地区!$A$2:$D$10,4,FALSE)</f>
        <v>3</v>
      </c>
      <c r="F639" s="464" t="s">
        <v>514</v>
      </c>
      <c r="G639" s="464" t="str">
        <f>INDEX(★新聞!$E$4:$I$12, MATCH(LEFT(F639),★新聞!$A$4:$A$12,0), MATCH(LEFT(W639),★新聞!$E$3:$I$3,0))</f>
        <v>AP</v>
      </c>
      <c r="H639" s="475" t="s">
        <v>1104</v>
      </c>
      <c r="I639" s="464" cm="1">
        <f t="array" ref="I639">IFERROR(INDEX(★原価率!$A$2:$E$50,MATCH($C639&amp;$H639,★原価率!$A$2:$A$50&amp;★原価率!$B$2:$B$50,0),3),0)</f>
        <v>85</v>
      </c>
      <c r="J639" s="464" cm="1">
        <f t="array" ref="J639">IFERROR(INDEX(★原価率!$A$2:$E$50,MATCH($C639&amp;$H639,★原価率!$A$2:$A$50&amp;★原価率!$B$2:$B$50,0),4),0)</f>
        <v>85</v>
      </c>
      <c r="K639" s="464" cm="1">
        <f t="array" ref="K639">IFERROR(INDEX(★原価率!$A$2:$E$50,MATCH($C639&amp;$H639,★原価率!$A$2:$A$50&amp;★原価率!$B$2:$B$50,0),5),0)</f>
        <v>100</v>
      </c>
      <c r="L639" s="528">
        <f>IFERROR(VLOOKUP(W639,★商品!$A$1:$H$1231,8,FALSE),0)</f>
        <v>2.8</v>
      </c>
      <c r="M639" s="203" t="str">
        <f ca="1">CONCATENATE(VLOOKUP(B639,★営業所!$A$2:$B$5,2,FALSE),TEXT(NOW(),"yyyy"))</f>
        <v>T2023</v>
      </c>
      <c r="N639" s="203">
        <v>1</v>
      </c>
      <c r="O639" s="203">
        <v>0</v>
      </c>
      <c r="P639" s="213">
        <f>申込書!$B$6</f>
        <v>0</v>
      </c>
      <c r="Q639" s="203">
        <f>申込書!$C$34</f>
        <v>1000040</v>
      </c>
      <c r="R639" s="203">
        <v>0</v>
      </c>
      <c r="U639" s="203">
        <f>VLOOKUP(B639,★営業所!$A$2:$C$5,3,FALSE)</f>
        <v>8</v>
      </c>
      <c r="V639" s="203">
        <f>申込書!$B$9</f>
        <v>0</v>
      </c>
      <c r="W639" s="203" t="str">
        <f>CONCATENATE(VLOOKUP(B639,★営業所!$A$2:$B$5,2,FALSE),VLOOKUP(申込書!$C$32,★サイズ表記!$D$4:$E$55,2,FALSE),VLOOKUP(D639,★折込地区!$A$2:$B$11,2,FALSE))</f>
        <v>T1001Yng</v>
      </c>
      <c r="X639" s="203" t="str">
        <f>CONCATENATE(申込書!$B$9," ",VLOOKUP(RIGHT(W639,3),★折込地区!$B$2:$C$10,2,FALSE),"")</f>
        <v xml:space="preserve"> 米子</v>
      </c>
      <c r="Z639" s="206">
        <f t="shared" ca="1" si="71"/>
        <v>0</v>
      </c>
      <c r="AB639" s="383">
        <f t="shared" si="72"/>
        <v>2.8</v>
      </c>
      <c r="AC639" s="203" t="str">
        <f t="shared" si="73"/>
        <v>V1001</v>
      </c>
      <c r="AD639" s="203" t="str">
        <f>VLOOKUP(AC639,★原価商品!$E$6:$F$349,2,FALSE)</f>
        <v>日経/B4（折り無し）</v>
      </c>
      <c r="AE639" s="203">
        <f t="shared" ca="1" si="74"/>
        <v>0</v>
      </c>
      <c r="AF639" s="383">
        <f ca="1">IFERROR(IF(VLOOKUP(申込書!$C$32,★サイズ表記!$F$4:$H$55,3,FALSE)="切り捨て",ROUNDDOWN(L639*IF(AK639="◎",I639,J639)/100,2),IF(VLOOKUP(申込書!$C$32,★サイズ表記!$F$4:$H$55,3,FALSE)="切り上げ",ROUNDUP(L639*IF(AK639="◎",I639,J639)/100,2),ROUND(L639*IF(AK639="◎",I639,J639)/100,2))),0)</f>
        <v>2.38</v>
      </c>
      <c r="AG639" s="203">
        <f t="shared" ca="1" si="75"/>
        <v>10561</v>
      </c>
      <c r="AJ639" s="460" t="str">
        <f>IFERROR(VLOOKUP(申込書!$C$30,★業種!$D$2:$E$87,2,FALSE),"")</f>
        <v>1003</v>
      </c>
      <c r="AK639" s="460" t="str">
        <f ca="1">IF(申込書!$C$36="◎",IF(OR(D639="浜坂・温泉",D639="美方・村岡",D639="香住",D639="岡山",D639="大阪"),"",IF(LEFT(F639)="D","◎",IF(AG639=0,"",IFERROR(IF(VLOOKUP(AG639,★仕入先!$A$2:$C$211,3,FALSE)=0,"","◎"),"")))),"")</f>
        <v/>
      </c>
      <c r="AL639" s="460">
        <f>申込書!$H$14</f>
        <v>0</v>
      </c>
      <c r="AM639" s="460" t="str">
        <f>申込書!$C$32</f>
        <v>B4（折り無し）</v>
      </c>
      <c r="AN639" s="460" t="str">
        <f>VLOOKUP(AM639,★サイズ表記!$D$4:$E$55,2,FALSE)</f>
        <v>1001</v>
      </c>
      <c r="AO639" s="460">
        <f>IF(C639&lt;&gt;"⑧兵庫",VLOOKUP(LEFT(F639),★新聞!$A$4:$B$12,2,FALSE),IF(LEFT(F639)&lt;&gt;"S",VLOOKUP(LEFT(F639),★新聞!$A$4:$B$12,2,FALSE),VLOOKUP("X",★新聞!$A$4:$B$12,2,FALSE)))</f>
        <v>7</v>
      </c>
      <c r="AP639" s="460" t="str">
        <f t="shared" ca="1" si="76"/>
        <v>0</v>
      </c>
      <c r="AQ639" s="460" t="str">
        <f>IF(申込書!$C$38="","",申込書!$C$38)</f>
        <v/>
      </c>
    </row>
    <row r="640" spans="1:43">
      <c r="A640" s="463">
        <f t="shared" si="77"/>
        <v>639</v>
      </c>
      <c r="B640" s="463" t="str">
        <f t="shared" si="78"/>
        <v>東部</v>
      </c>
      <c r="C640" s="464" t="s">
        <v>1018</v>
      </c>
      <c r="D640" s="464" t="s">
        <v>1603</v>
      </c>
      <c r="E640" s="464">
        <f>VLOOKUP(D640,★折込地区!$A$2:$D$10,4,FALSE)</f>
        <v>3</v>
      </c>
      <c r="F640" s="464" t="s">
        <v>515</v>
      </c>
      <c r="G640" s="464" t="str">
        <f>INDEX(★新聞!$E$4:$I$12, MATCH(LEFT(F640),★新聞!$A$4:$A$12,0), MATCH(LEFT(W640),★新聞!$E$3:$I$3,0))</f>
        <v>AP</v>
      </c>
      <c r="H640" s="475" t="s">
        <v>1104</v>
      </c>
      <c r="I640" s="464" cm="1">
        <f t="array" ref="I640">IFERROR(INDEX(★原価率!$A$2:$E$50,MATCH($C640&amp;$H640,★原価率!$A$2:$A$50&amp;★原価率!$B$2:$B$50,0),3),0)</f>
        <v>85</v>
      </c>
      <c r="J640" s="464" cm="1">
        <f t="array" ref="J640">IFERROR(INDEX(★原価率!$A$2:$E$50,MATCH($C640&amp;$H640,★原価率!$A$2:$A$50&amp;★原価率!$B$2:$B$50,0),4),0)</f>
        <v>85</v>
      </c>
      <c r="K640" s="464" cm="1">
        <f t="array" ref="K640">IFERROR(INDEX(★原価率!$A$2:$E$50,MATCH($C640&amp;$H640,★原価率!$A$2:$A$50&amp;★原価率!$B$2:$B$50,0),5),0)</f>
        <v>100</v>
      </c>
      <c r="L640" s="528">
        <f>IFERROR(VLOOKUP(W640,★商品!$A$1:$H$1231,8,FALSE),0)</f>
        <v>2.8</v>
      </c>
      <c r="M640" s="203" t="str">
        <f ca="1">CONCATENATE(VLOOKUP(B640,★営業所!$A$2:$B$5,2,FALSE),TEXT(NOW(),"yyyy"))</f>
        <v>T2023</v>
      </c>
      <c r="N640" s="203">
        <v>1</v>
      </c>
      <c r="O640" s="203">
        <v>0</v>
      </c>
      <c r="P640" s="213">
        <f>申込書!$B$6</f>
        <v>0</v>
      </c>
      <c r="Q640" s="203">
        <f>申込書!$C$34</f>
        <v>1000040</v>
      </c>
      <c r="R640" s="203">
        <v>0</v>
      </c>
      <c r="U640" s="203">
        <f>VLOOKUP(B640,★営業所!$A$2:$C$5,3,FALSE)</f>
        <v>8</v>
      </c>
      <c r="V640" s="203">
        <f>申込書!$B$9</f>
        <v>0</v>
      </c>
      <c r="W640" s="203" t="str">
        <f>CONCATENATE(VLOOKUP(B640,★営業所!$A$2:$B$5,2,FALSE),VLOOKUP(申込書!$C$32,★サイズ表記!$D$4:$E$55,2,FALSE),VLOOKUP(D640,★折込地区!$A$2:$B$11,2,FALSE))</f>
        <v>T1001Yng</v>
      </c>
      <c r="X640" s="203" t="str">
        <f>CONCATENATE(申込書!$B$9," ",VLOOKUP(RIGHT(W640,3),★折込地区!$B$2:$C$10,2,FALSE),"")</f>
        <v xml:space="preserve"> 米子</v>
      </c>
      <c r="Z640" s="206">
        <f t="shared" ca="1" si="71"/>
        <v>0</v>
      </c>
      <c r="AB640" s="383">
        <f t="shared" si="72"/>
        <v>2.8</v>
      </c>
      <c r="AC640" s="203" t="str">
        <f t="shared" si="73"/>
        <v>V1001</v>
      </c>
      <c r="AD640" s="203" t="str">
        <f>VLOOKUP(AC640,★原価商品!$E$6:$F$349,2,FALSE)</f>
        <v>日経/B4（折り無し）</v>
      </c>
      <c r="AE640" s="203">
        <f t="shared" ca="1" si="74"/>
        <v>0</v>
      </c>
      <c r="AF640" s="383">
        <f ca="1">IFERROR(IF(VLOOKUP(申込書!$C$32,★サイズ表記!$F$4:$H$55,3,FALSE)="切り捨て",ROUNDDOWN(L640*IF(AK640="◎",I640,J640)/100,2),IF(VLOOKUP(申込書!$C$32,★サイズ表記!$F$4:$H$55,3,FALSE)="切り上げ",ROUNDUP(L640*IF(AK640="◎",I640,J640)/100,2),ROUND(L640*IF(AK640="◎",I640,J640)/100,2))),0)</f>
        <v>2.38</v>
      </c>
      <c r="AG640" s="203">
        <f t="shared" ca="1" si="75"/>
        <v>10561</v>
      </c>
      <c r="AJ640" s="460" t="str">
        <f>IFERROR(VLOOKUP(申込書!$C$30,★業種!$D$2:$E$87,2,FALSE),"")</f>
        <v>1003</v>
      </c>
      <c r="AK640" s="460" t="str">
        <f ca="1">IF(申込書!$C$36="◎",IF(OR(D640="浜坂・温泉",D640="美方・村岡",D640="香住",D640="岡山",D640="大阪"),"",IF(LEFT(F640)="D","◎",IF(AG640=0,"",IFERROR(IF(VLOOKUP(AG640,★仕入先!$A$2:$C$211,3,FALSE)=0,"","◎"),"")))),"")</f>
        <v/>
      </c>
      <c r="AL640" s="460">
        <f>申込書!$H$14</f>
        <v>0</v>
      </c>
      <c r="AM640" s="460" t="str">
        <f>申込書!$C$32</f>
        <v>B4（折り無し）</v>
      </c>
      <c r="AN640" s="460" t="str">
        <f>VLOOKUP(AM640,★サイズ表記!$D$4:$E$55,2,FALSE)</f>
        <v>1001</v>
      </c>
      <c r="AO640" s="460">
        <f>IF(C640&lt;&gt;"⑧兵庫",VLOOKUP(LEFT(F640),★新聞!$A$4:$B$12,2,FALSE),IF(LEFT(F640)&lt;&gt;"S",VLOOKUP(LEFT(F640),★新聞!$A$4:$B$12,2,FALSE),VLOOKUP("X",★新聞!$A$4:$B$12,2,FALSE)))</f>
        <v>7</v>
      </c>
      <c r="AP640" s="460" t="str">
        <f t="shared" ca="1" si="76"/>
        <v>0</v>
      </c>
      <c r="AQ640" s="460" t="str">
        <f>IF(申込書!$C$38="","",申込書!$C$38)</f>
        <v/>
      </c>
    </row>
    <row r="641" spans="1:43">
      <c r="A641" s="463">
        <f t="shared" si="77"/>
        <v>640</v>
      </c>
      <c r="B641" s="463" t="str">
        <f t="shared" si="78"/>
        <v>東部</v>
      </c>
      <c r="C641" s="464" t="s">
        <v>1018</v>
      </c>
      <c r="D641" s="464" t="s">
        <v>1603</v>
      </c>
      <c r="E641" s="464">
        <f>VLOOKUP(D641,★折込地区!$A$2:$D$10,4,FALSE)</f>
        <v>3</v>
      </c>
      <c r="F641" s="464" t="s">
        <v>516</v>
      </c>
      <c r="G641" s="464" t="str">
        <f>INDEX(★新聞!$E$4:$I$12, MATCH(LEFT(F641),★新聞!$A$4:$A$12,0), MATCH(LEFT(W641),★新聞!$E$3:$I$3,0))</f>
        <v>AP</v>
      </c>
      <c r="H641" s="475" t="s">
        <v>1104</v>
      </c>
      <c r="I641" s="464" cm="1">
        <f t="array" ref="I641">IFERROR(INDEX(★原価率!$A$2:$E$50,MATCH($C641&amp;$H641,★原価率!$A$2:$A$50&amp;★原価率!$B$2:$B$50,0),3),0)</f>
        <v>85</v>
      </c>
      <c r="J641" s="464" cm="1">
        <f t="array" ref="J641">IFERROR(INDEX(★原価率!$A$2:$E$50,MATCH($C641&amp;$H641,★原価率!$A$2:$A$50&amp;★原価率!$B$2:$B$50,0),4),0)</f>
        <v>85</v>
      </c>
      <c r="K641" s="464" cm="1">
        <f t="array" ref="K641">IFERROR(INDEX(★原価率!$A$2:$E$50,MATCH($C641&amp;$H641,★原価率!$A$2:$A$50&amp;★原価率!$B$2:$B$50,0),5),0)</f>
        <v>100</v>
      </c>
      <c r="L641" s="528">
        <f>IFERROR(VLOOKUP(W641,★商品!$A$1:$H$1231,8,FALSE),0)</f>
        <v>2.8</v>
      </c>
      <c r="M641" s="203" t="str">
        <f ca="1">CONCATENATE(VLOOKUP(B641,★営業所!$A$2:$B$5,2,FALSE),TEXT(NOW(),"yyyy"))</f>
        <v>T2023</v>
      </c>
      <c r="N641" s="203">
        <v>1</v>
      </c>
      <c r="O641" s="203">
        <v>0</v>
      </c>
      <c r="P641" s="213">
        <f>申込書!$B$6</f>
        <v>0</v>
      </c>
      <c r="Q641" s="203">
        <f>申込書!$C$34</f>
        <v>1000040</v>
      </c>
      <c r="R641" s="203">
        <v>0</v>
      </c>
      <c r="U641" s="203">
        <f>VLOOKUP(B641,★営業所!$A$2:$C$5,3,FALSE)</f>
        <v>8</v>
      </c>
      <c r="V641" s="203">
        <f>申込書!$B$9</f>
        <v>0</v>
      </c>
      <c r="W641" s="203" t="str">
        <f>CONCATENATE(VLOOKUP(B641,★営業所!$A$2:$B$5,2,FALSE),VLOOKUP(申込書!$C$32,★サイズ表記!$D$4:$E$55,2,FALSE),VLOOKUP(D641,★折込地区!$A$2:$B$11,2,FALSE))</f>
        <v>T1001Yng</v>
      </c>
      <c r="X641" s="203" t="str">
        <f>CONCATENATE(申込書!$B$9," ",VLOOKUP(RIGHT(W641,3),★折込地区!$B$2:$C$10,2,FALSE),"")</f>
        <v xml:space="preserve"> 米子</v>
      </c>
      <c r="Z641" s="206">
        <f t="shared" ca="1" si="71"/>
        <v>0</v>
      </c>
      <c r="AB641" s="383">
        <f t="shared" si="72"/>
        <v>2.8</v>
      </c>
      <c r="AC641" s="203" t="str">
        <f t="shared" si="73"/>
        <v>V1001</v>
      </c>
      <c r="AD641" s="203" t="str">
        <f>VLOOKUP(AC641,★原価商品!$E$6:$F$349,2,FALSE)</f>
        <v>日経/B4（折り無し）</v>
      </c>
      <c r="AE641" s="203">
        <f t="shared" ca="1" si="74"/>
        <v>0</v>
      </c>
      <c r="AF641" s="383">
        <f ca="1">IFERROR(IF(VLOOKUP(申込書!$C$32,★サイズ表記!$F$4:$H$55,3,FALSE)="切り捨て",ROUNDDOWN(L641*IF(AK641="◎",I641,J641)/100,2),IF(VLOOKUP(申込書!$C$32,★サイズ表記!$F$4:$H$55,3,FALSE)="切り上げ",ROUNDUP(L641*IF(AK641="◎",I641,J641)/100,2),ROUND(L641*IF(AK641="◎",I641,J641)/100,2))),0)</f>
        <v>2.38</v>
      </c>
      <c r="AG641" s="203">
        <f t="shared" ca="1" si="75"/>
        <v>10561</v>
      </c>
      <c r="AJ641" s="460" t="str">
        <f>IFERROR(VLOOKUP(申込書!$C$30,★業種!$D$2:$E$87,2,FALSE),"")</f>
        <v>1003</v>
      </c>
      <c r="AK641" s="460" t="str">
        <f ca="1">IF(申込書!$C$36="◎",IF(OR(D641="浜坂・温泉",D641="美方・村岡",D641="香住",D641="岡山",D641="大阪"),"",IF(LEFT(F641)="D","◎",IF(AG641=0,"",IFERROR(IF(VLOOKUP(AG641,★仕入先!$A$2:$C$211,3,FALSE)=0,"","◎"),"")))),"")</f>
        <v/>
      </c>
      <c r="AL641" s="460">
        <f>申込書!$H$14</f>
        <v>0</v>
      </c>
      <c r="AM641" s="460" t="str">
        <f>申込書!$C$32</f>
        <v>B4（折り無し）</v>
      </c>
      <c r="AN641" s="460" t="str">
        <f>VLOOKUP(AM641,★サイズ表記!$D$4:$E$55,2,FALSE)</f>
        <v>1001</v>
      </c>
      <c r="AO641" s="460">
        <f>IF(C641&lt;&gt;"⑧兵庫",VLOOKUP(LEFT(F641),★新聞!$A$4:$B$12,2,FALSE),IF(LEFT(F641)&lt;&gt;"S",VLOOKUP(LEFT(F641),★新聞!$A$4:$B$12,2,FALSE),VLOOKUP("X",★新聞!$A$4:$B$12,2,FALSE)))</f>
        <v>7</v>
      </c>
      <c r="AP641" s="460" t="str">
        <f t="shared" ca="1" si="76"/>
        <v>0</v>
      </c>
      <c r="AQ641" s="460" t="str">
        <f>IF(申込書!$C$38="","",申込書!$C$38)</f>
        <v/>
      </c>
    </row>
    <row r="642" spans="1:43">
      <c r="A642" s="463">
        <f t="shared" si="77"/>
        <v>641</v>
      </c>
      <c r="B642" s="463" t="str">
        <f t="shared" si="78"/>
        <v>東部</v>
      </c>
      <c r="C642" s="464" t="s">
        <v>1018</v>
      </c>
      <c r="D642" s="464" t="s">
        <v>1603</v>
      </c>
      <c r="E642" s="464">
        <f>VLOOKUP(D642,★折込地区!$A$2:$D$10,4,FALSE)</f>
        <v>3</v>
      </c>
      <c r="F642" s="464" t="s">
        <v>517</v>
      </c>
      <c r="G642" s="464" t="str">
        <f>INDEX(★新聞!$E$4:$I$12, MATCH(LEFT(F642),★新聞!$A$4:$A$12,0), MATCH(LEFT(W642),★新聞!$E$3:$I$3,0))</f>
        <v>AP</v>
      </c>
      <c r="H642" s="475" t="s">
        <v>1104</v>
      </c>
      <c r="I642" s="464" cm="1">
        <f t="array" ref="I642">IFERROR(INDEX(★原価率!$A$2:$E$50,MATCH($C642&amp;$H642,★原価率!$A$2:$A$50&amp;★原価率!$B$2:$B$50,0),3),0)</f>
        <v>85</v>
      </c>
      <c r="J642" s="464" cm="1">
        <f t="array" ref="J642">IFERROR(INDEX(★原価率!$A$2:$E$50,MATCH($C642&amp;$H642,★原価率!$A$2:$A$50&amp;★原価率!$B$2:$B$50,0),4),0)</f>
        <v>85</v>
      </c>
      <c r="K642" s="464" cm="1">
        <f t="array" ref="K642">IFERROR(INDEX(★原価率!$A$2:$E$50,MATCH($C642&amp;$H642,★原価率!$A$2:$A$50&amp;★原価率!$B$2:$B$50,0),5),0)</f>
        <v>100</v>
      </c>
      <c r="L642" s="528">
        <f>IFERROR(VLOOKUP(W642,★商品!$A$1:$H$1231,8,FALSE),0)</f>
        <v>2.8</v>
      </c>
      <c r="M642" s="203" t="str">
        <f ca="1">CONCATENATE(VLOOKUP(B642,★営業所!$A$2:$B$5,2,FALSE),TEXT(NOW(),"yyyy"))</f>
        <v>T2023</v>
      </c>
      <c r="N642" s="203">
        <v>1</v>
      </c>
      <c r="O642" s="203">
        <v>0</v>
      </c>
      <c r="P642" s="213">
        <f>申込書!$B$6</f>
        <v>0</v>
      </c>
      <c r="Q642" s="203">
        <f>申込書!$C$34</f>
        <v>1000040</v>
      </c>
      <c r="R642" s="203">
        <v>0</v>
      </c>
      <c r="U642" s="203">
        <f>VLOOKUP(B642,★営業所!$A$2:$C$5,3,FALSE)</f>
        <v>8</v>
      </c>
      <c r="V642" s="203">
        <f>申込書!$B$9</f>
        <v>0</v>
      </c>
      <c r="W642" s="203" t="str">
        <f>CONCATENATE(VLOOKUP(B642,★営業所!$A$2:$B$5,2,FALSE),VLOOKUP(申込書!$C$32,★サイズ表記!$D$4:$E$55,2,FALSE),VLOOKUP(D642,★折込地区!$A$2:$B$11,2,FALSE))</f>
        <v>T1001Yng</v>
      </c>
      <c r="X642" s="203" t="str">
        <f>CONCATENATE(申込書!$B$9," ",VLOOKUP(RIGHT(W642,3),★折込地区!$B$2:$C$10,2,FALSE),"")</f>
        <v xml:space="preserve"> 米子</v>
      </c>
      <c r="Z642" s="206">
        <f t="shared" ref="Z642:Z705" ca="1" si="79">SUMIFS($AE$2:$AE$977,$W$2:$W$977,W642,$AG$2:$AG$977,"&lt;&gt;0")</f>
        <v>0</v>
      </c>
      <c r="AB642" s="383">
        <f t="shared" ref="AB642:AB705" si="80">IFERROR(L642*K642/100,0)</f>
        <v>2.8</v>
      </c>
      <c r="AC642" s="203" t="str">
        <f t="shared" ref="AC642:AC705" si="81">CONCATENATE(LEFT(F642),AN642)</f>
        <v>V1001</v>
      </c>
      <c r="AD642" s="203" t="str">
        <f>VLOOKUP(AC642,★原価商品!$E$6:$F$349,2,FALSE)</f>
        <v>日経/B4（折り無し）</v>
      </c>
      <c r="AE642" s="203">
        <f t="shared" ref="AE642:AE705" ca="1" si="82">INDIRECT(C642 &amp; "!" &amp; F642)</f>
        <v>0</v>
      </c>
      <c r="AF642" s="383">
        <f ca="1">IFERROR(IF(VLOOKUP(申込書!$C$32,★サイズ表記!$F$4:$H$55,3,FALSE)="切り捨て",ROUNDDOWN(L642*IF(AK642="◎",I642,J642)/100,2),IF(VLOOKUP(申込書!$C$32,★サイズ表記!$F$4:$H$55,3,FALSE)="切り上げ",ROUNDUP(L642*IF(AK642="◎",I642,J642)/100,2),ROUND(L642*IF(AK642="◎",I642,J642)/100,2))),0)</f>
        <v>2.38</v>
      </c>
      <c r="AG642" s="203">
        <f t="shared" ref="AG642:AG705" ca="1" si="83">IFERROR(INDIRECT(C642 &amp; "!" &amp; G642 &amp; MID(F642,2,1000)),0)</f>
        <v>0</v>
      </c>
      <c r="AJ642" s="460" t="str">
        <f>IFERROR(VLOOKUP(申込書!$C$30,★業種!$D$2:$E$87,2,FALSE),"")</f>
        <v>1003</v>
      </c>
      <c r="AK642" s="460" t="str">
        <f ca="1">IF(申込書!$C$36="◎",IF(OR(D642="浜坂・温泉",D642="美方・村岡",D642="香住",D642="岡山",D642="大阪"),"",IF(LEFT(F642)="D","◎",IF(AG642=0,"",IFERROR(IF(VLOOKUP(AG642,★仕入先!$A$2:$C$211,3,FALSE)=0,"","◎"),"")))),"")</f>
        <v/>
      </c>
      <c r="AL642" s="460">
        <f>申込書!$H$14</f>
        <v>0</v>
      </c>
      <c r="AM642" s="460" t="str">
        <f>申込書!$C$32</f>
        <v>B4（折り無し）</v>
      </c>
      <c r="AN642" s="460" t="str">
        <f>VLOOKUP(AM642,★サイズ表記!$D$4:$E$55,2,FALSE)</f>
        <v>1001</v>
      </c>
      <c r="AO642" s="460">
        <f>IF(C642&lt;&gt;"⑧兵庫",VLOOKUP(LEFT(F642),★新聞!$A$4:$B$12,2,FALSE),IF(LEFT(F642)&lt;&gt;"S",VLOOKUP(LEFT(F642),★新聞!$A$4:$B$12,2,FALSE),VLOOKUP("X",★新聞!$A$4:$B$12,2,FALSE)))</f>
        <v>7</v>
      </c>
      <c r="AP642" s="460" t="str">
        <f t="shared" ref="AP642:AP705" ca="1" si="84">FIXED(SUM($AE$2:$AE$977),0,FALSE)</f>
        <v>0</v>
      </c>
      <c r="AQ642" s="460" t="str">
        <f>IF(申込書!$C$38="","",申込書!$C$38)</f>
        <v/>
      </c>
    </row>
    <row r="643" spans="1:43">
      <c r="A643" s="463">
        <f t="shared" si="77"/>
        <v>642</v>
      </c>
      <c r="B643" s="463" t="str">
        <f t="shared" si="78"/>
        <v>東部</v>
      </c>
      <c r="C643" s="464" t="s">
        <v>1018</v>
      </c>
      <c r="D643" s="464" t="s">
        <v>1603</v>
      </c>
      <c r="E643" s="464">
        <f>VLOOKUP(D643,★折込地区!$A$2:$D$10,4,FALSE)</f>
        <v>3</v>
      </c>
      <c r="F643" s="464" t="s">
        <v>518</v>
      </c>
      <c r="G643" s="464" t="str">
        <f>INDEX(★新聞!$E$4:$I$12, MATCH(LEFT(F643),★新聞!$A$4:$A$12,0), MATCH(LEFT(W643),★新聞!$E$3:$I$3,0))</f>
        <v>AP</v>
      </c>
      <c r="H643" s="475" t="s">
        <v>1104</v>
      </c>
      <c r="I643" s="464" cm="1">
        <f t="array" ref="I643">IFERROR(INDEX(★原価率!$A$2:$E$50,MATCH($C643&amp;$H643,★原価率!$A$2:$A$50&amp;★原価率!$B$2:$B$50,0),3),0)</f>
        <v>85</v>
      </c>
      <c r="J643" s="464" cm="1">
        <f t="array" ref="J643">IFERROR(INDEX(★原価率!$A$2:$E$50,MATCH($C643&amp;$H643,★原価率!$A$2:$A$50&amp;★原価率!$B$2:$B$50,0),4),0)</f>
        <v>85</v>
      </c>
      <c r="K643" s="464" cm="1">
        <f t="array" ref="K643">IFERROR(INDEX(★原価率!$A$2:$E$50,MATCH($C643&amp;$H643,★原価率!$A$2:$A$50&amp;★原価率!$B$2:$B$50,0),5),0)</f>
        <v>100</v>
      </c>
      <c r="L643" s="528">
        <f>IFERROR(VLOOKUP(W643,★商品!$A$1:$H$1231,8,FALSE),0)</f>
        <v>2.8</v>
      </c>
      <c r="M643" s="203" t="str">
        <f ca="1">CONCATENATE(VLOOKUP(B643,★営業所!$A$2:$B$5,2,FALSE),TEXT(NOW(),"yyyy"))</f>
        <v>T2023</v>
      </c>
      <c r="N643" s="203">
        <v>1</v>
      </c>
      <c r="O643" s="203">
        <v>0</v>
      </c>
      <c r="P643" s="213">
        <f>申込書!$B$6</f>
        <v>0</v>
      </c>
      <c r="Q643" s="203">
        <f>申込書!$C$34</f>
        <v>1000040</v>
      </c>
      <c r="R643" s="203">
        <v>0</v>
      </c>
      <c r="U643" s="203">
        <f>VLOOKUP(B643,★営業所!$A$2:$C$5,3,FALSE)</f>
        <v>8</v>
      </c>
      <c r="V643" s="203">
        <f>申込書!$B$9</f>
        <v>0</v>
      </c>
      <c r="W643" s="203" t="str">
        <f>CONCATENATE(VLOOKUP(B643,★営業所!$A$2:$B$5,2,FALSE),VLOOKUP(申込書!$C$32,★サイズ表記!$D$4:$E$55,2,FALSE),VLOOKUP(D643,★折込地区!$A$2:$B$11,2,FALSE))</f>
        <v>T1001Yng</v>
      </c>
      <c r="X643" s="203" t="str">
        <f>CONCATENATE(申込書!$B$9," ",VLOOKUP(RIGHT(W643,3),★折込地区!$B$2:$C$10,2,FALSE),"")</f>
        <v xml:space="preserve"> 米子</v>
      </c>
      <c r="Z643" s="206">
        <f t="shared" ca="1" si="79"/>
        <v>0</v>
      </c>
      <c r="AB643" s="383">
        <f t="shared" si="80"/>
        <v>2.8</v>
      </c>
      <c r="AC643" s="203" t="str">
        <f t="shared" si="81"/>
        <v>V1001</v>
      </c>
      <c r="AD643" s="203" t="str">
        <f>VLOOKUP(AC643,★原価商品!$E$6:$F$349,2,FALSE)</f>
        <v>日経/B4（折り無し）</v>
      </c>
      <c r="AE643" s="203">
        <f t="shared" ca="1" si="82"/>
        <v>0</v>
      </c>
      <c r="AF643" s="383">
        <f ca="1">IFERROR(IF(VLOOKUP(申込書!$C$32,★サイズ表記!$F$4:$H$55,3,FALSE)="切り捨て",ROUNDDOWN(L643*IF(AK643="◎",I643,J643)/100,2),IF(VLOOKUP(申込書!$C$32,★サイズ表記!$F$4:$H$55,3,FALSE)="切り上げ",ROUNDUP(L643*IF(AK643="◎",I643,J643)/100,2),ROUND(L643*IF(AK643="◎",I643,J643)/100,2))),0)</f>
        <v>2.38</v>
      </c>
      <c r="AG643" s="203">
        <f t="shared" ca="1" si="83"/>
        <v>0</v>
      </c>
      <c r="AJ643" s="460" t="str">
        <f>IFERROR(VLOOKUP(申込書!$C$30,★業種!$D$2:$E$87,2,FALSE),"")</f>
        <v>1003</v>
      </c>
      <c r="AK643" s="460" t="str">
        <f ca="1">IF(申込書!$C$36="◎",IF(OR(D643="浜坂・温泉",D643="美方・村岡",D643="香住",D643="岡山",D643="大阪"),"",IF(LEFT(F643)="D","◎",IF(AG643=0,"",IFERROR(IF(VLOOKUP(AG643,★仕入先!$A$2:$C$211,3,FALSE)=0,"","◎"),"")))),"")</f>
        <v/>
      </c>
      <c r="AL643" s="460">
        <f>申込書!$H$14</f>
        <v>0</v>
      </c>
      <c r="AM643" s="460" t="str">
        <f>申込書!$C$32</f>
        <v>B4（折り無し）</v>
      </c>
      <c r="AN643" s="460" t="str">
        <f>VLOOKUP(AM643,★サイズ表記!$D$4:$E$55,2,FALSE)</f>
        <v>1001</v>
      </c>
      <c r="AO643" s="460">
        <f>IF(C643&lt;&gt;"⑧兵庫",VLOOKUP(LEFT(F643),★新聞!$A$4:$B$12,2,FALSE),IF(LEFT(F643)&lt;&gt;"S",VLOOKUP(LEFT(F643),★新聞!$A$4:$B$12,2,FALSE),VLOOKUP("X",★新聞!$A$4:$B$12,2,FALSE)))</f>
        <v>7</v>
      </c>
      <c r="AP643" s="460" t="str">
        <f t="shared" ca="1" si="84"/>
        <v>0</v>
      </c>
      <c r="AQ643" s="460" t="str">
        <f>IF(申込書!$C$38="","",申込書!$C$38)</f>
        <v/>
      </c>
    </row>
    <row r="644" spans="1:43">
      <c r="A644" s="463">
        <f t="shared" ref="A644:A707" si="85">A643+1</f>
        <v>643</v>
      </c>
      <c r="B644" s="463" t="str">
        <f t="shared" si="78"/>
        <v>東部</v>
      </c>
      <c r="C644" s="464" t="s">
        <v>1018</v>
      </c>
      <c r="D644" s="464" t="s">
        <v>1603</v>
      </c>
      <c r="E644" s="464">
        <f>VLOOKUP(D644,★折込地区!$A$2:$D$10,4,FALSE)</f>
        <v>3</v>
      </c>
      <c r="F644" s="464" t="s">
        <v>519</v>
      </c>
      <c r="G644" s="464" t="str">
        <f>INDEX(★新聞!$E$4:$I$12, MATCH(LEFT(F644),★新聞!$A$4:$A$12,0), MATCH(LEFT(W644),★新聞!$E$3:$I$3,0))</f>
        <v>AP</v>
      </c>
      <c r="H644" s="475" t="s">
        <v>1104</v>
      </c>
      <c r="I644" s="464" cm="1">
        <f t="array" ref="I644">IFERROR(INDEX(★原価率!$A$2:$E$50,MATCH($C644&amp;$H644,★原価率!$A$2:$A$50&amp;★原価率!$B$2:$B$50,0),3),0)</f>
        <v>85</v>
      </c>
      <c r="J644" s="464" cm="1">
        <f t="array" ref="J644">IFERROR(INDEX(★原価率!$A$2:$E$50,MATCH($C644&amp;$H644,★原価率!$A$2:$A$50&amp;★原価率!$B$2:$B$50,0),4),0)</f>
        <v>85</v>
      </c>
      <c r="K644" s="464" cm="1">
        <f t="array" ref="K644">IFERROR(INDEX(★原価率!$A$2:$E$50,MATCH($C644&amp;$H644,★原価率!$A$2:$A$50&amp;★原価率!$B$2:$B$50,0),5),0)</f>
        <v>100</v>
      </c>
      <c r="L644" s="528">
        <f>IFERROR(VLOOKUP(W644,★商品!$A$1:$H$1231,8,FALSE),0)</f>
        <v>2.8</v>
      </c>
      <c r="M644" s="203" t="str">
        <f ca="1">CONCATENATE(VLOOKUP(B644,★営業所!$A$2:$B$5,2,FALSE),TEXT(NOW(),"yyyy"))</f>
        <v>T2023</v>
      </c>
      <c r="N644" s="203">
        <v>1</v>
      </c>
      <c r="O644" s="203">
        <v>0</v>
      </c>
      <c r="P644" s="213">
        <f>申込書!$B$6</f>
        <v>0</v>
      </c>
      <c r="Q644" s="203">
        <f>申込書!$C$34</f>
        <v>1000040</v>
      </c>
      <c r="R644" s="203">
        <v>0</v>
      </c>
      <c r="U644" s="203">
        <f>VLOOKUP(B644,★営業所!$A$2:$C$5,3,FALSE)</f>
        <v>8</v>
      </c>
      <c r="V644" s="203">
        <f>申込書!$B$9</f>
        <v>0</v>
      </c>
      <c r="W644" s="203" t="str">
        <f>CONCATENATE(VLOOKUP(B644,★営業所!$A$2:$B$5,2,FALSE),VLOOKUP(申込書!$C$32,★サイズ表記!$D$4:$E$55,2,FALSE),VLOOKUP(D644,★折込地区!$A$2:$B$11,2,FALSE))</f>
        <v>T1001Yng</v>
      </c>
      <c r="X644" s="203" t="str">
        <f>CONCATENATE(申込書!$B$9," ",VLOOKUP(RIGHT(W644,3),★折込地区!$B$2:$C$10,2,FALSE),"")</f>
        <v xml:space="preserve"> 米子</v>
      </c>
      <c r="Z644" s="206">
        <f t="shared" ca="1" si="79"/>
        <v>0</v>
      </c>
      <c r="AB644" s="383">
        <f t="shared" si="80"/>
        <v>2.8</v>
      </c>
      <c r="AC644" s="203" t="str">
        <f t="shared" si="81"/>
        <v>V1001</v>
      </c>
      <c r="AD644" s="203" t="str">
        <f>VLOOKUP(AC644,★原価商品!$E$6:$F$349,2,FALSE)</f>
        <v>日経/B4（折り無し）</v>
      </c>
      <c r="AE644" s="203">
        <f t="shared" ca="1" si="82"/>
        <v>0</v>
      </c>
      <c r="AF644" s="383">
        <f ca="1">IFERROR(IF(VLOOKUP(申込書!$C$32,★サイズ表記!$F$4:$H$55,3,FALSE)="切り捨て",ROUNDDOWN(L644*IF(AK644="◎",I644,J644)/100,2),IF(VLOOKUP(申込書!$C$32,★サイズ表記!$F$4:$H$55,3,FALSE)="切り上げ",ROUNDUP(L644*IF(AK644="◎",I644,J644)/100,2),ROUND(L644*IF(AK644="◎",I644,J644)/100,2))),0)</f>
        <v>2.38</v>
      </c>
      <c r="AG644" s="203">
        <f t="shared" ca="1" si="83"/>
        <v>0</v>
      </c>
      <c r="AJ644" s="460" t="str">
        <f>IFERROR(VLOOKUP(申込書!$C$30,★業種!$D$2:$E$87,2,FALSE),"")</f>
        <v>1003</v>
      </c>
      <c r="AK644" s="460" t="str">
        <f ca="1">IF(申込書!$C$36="◎",IF(OR(D644="浜坂・温泉",D644="美方・村岡",D644="香住",D644="岡山",D644="大阪"),"",IF(LEFT(F644)="D","◎",IF(AG644=0,"",IFERROR(IF(VLOOKUP(AG644,★仕入先!$A$2:$C$211,3,FALSE)=0,"","◎"),"")))),"")</f>
        <v/>
      </c>
      <c r="AL644" s="460">
        <f>申込書!$H$14</f>
        <v>0</v>
      </c>
      <c r="AM644" s="460" t="str">
        <f>申込書!$C$32</f>
        <v>B4（折り無し）</v>
      </c>
      <c r="AN644" s="460" t="str">
        <f>VLOOKUP(AM644,★サイズ表記!$D$4:$E$55,2,FALSE)</f>
        <v>1001</v>
      </c>
      <c r="AO644" s="460">
        <f>IF(C644&lt;&gt;"⑧兵庫",VLOOKUP(LEFT(F644),★新聞!$A$4:$B$12,2,FALSE),IF(LEFT(F644)&lt;&gt;"S",VLOOKUP(LEFT(F644),★新聞!$A$4:$B$12,2,FALSE),VLOOKUP("X",★新聞!$A$4:$B$12,2,FALSE)))</f>
        <v>7</v>
      </c>
      <c r="AP644" s="460" t="str">
        <f t="shared" ca="1" si="84"/>
        <v>0</v>
      </c>
      <c r="AQ644" s="460" t="str">
        <f>IF(申込書!$C$38="","",申込書!$C$38)</f>
        <v/>
      </c>
    </row>
    <row r="645" spans="1:43">
      <c r="A645" s="463">
        <f t="shared" si="85"/>
        <v>644</v>
      </c>
      <c r="B645" s="463" t="str">
        <f t="shared" si="78"/>
        <v>東部</v>
      </c>
      <c r="C645" s="464" t="s">
        <v>1018</v>
      </c>
      <c r="D645" s="464" t="s">
        <v>1603</v>
      </c>
      <c r="E645" s="464">
        <f>VLOOKUP(D645,★折込地区!$A$2:$D$10,4,FALSE)</f>
        <v>3</v>
      </c>
      <c r="F645" s="464" t="s">
        <v>520</v>
      </c>
      <c r="G645" s="464" t="str">
        <f>INDEX(★新聞!$E$4:$I$12, MATCH(LEFT(F645),★新聞!$A$4:$A$12,0), MATCH(LEFT(W645),★新聞!$E$3:$I$3,0))</f>
        <v>AP</v>
      </c>
      <c r="H645" s="475" t="s">
        <v>1104</v>
      </c>
      <c r="I645" s="464" cm="1">
        <f t="array" ref="I645">IFERROR(INDEX(★原価率!$A$2:$E$50,MATCH($C645&amp;$H645,★原価率!$A$2:$A$50&amp;★原価率!$B$2:$B$50,0),3),0)</f>
        <v>85</v>
      </c>
      <c r="J645" s="464" cm="1">
        <f t="array" ref="J645">IFERROR(INDEX(★原価率!$A$2:$E$50,MATCH($C645&amp;$H645,★原価率!$A$2:$A$50&amp;★原価率!$B$2:$B$50,0),4),0)</f>
        <v>85</v>
      </c>
      <c r="K645" s="464" cm="1">
        <f t="array" ref="K645">IFERROR(INDEX(★原価率!$A$2:$E$50,MATCH($C645&amp;$H645,★原価率!$A$2:$A$50&amp;★原価率!$B$2:$B$50,0),5),0)</f>
        <v>100</v>
      </c>
      <c r="L645" s="528">
        <f>IFERROR(VLOOKUP(W645,★商品!$A$1:$H$1231,8,FALSE),0)</f>
        <v>2.8</v>
      </c>
      <c r="M645" s="203" t="str">
        <f ca="1">CONCATENATE(VLOOKUP(B645,★営業所!$A$2:$B$5,2,FALSE),TEXT(NOW(),"yyyy"))</f>
        <v>T2023</v>
      </c>
      <c r="N645" s="203">
        <v>1</v>
      </c>
      <c r="O645" s="203">
        <v>0</v>
      </c>
      <c r="P645" s="213">
        <f>申込書!$B$6</f>
        <v>0</v>
      </c>
      <c r="Q645" s="203">
        <f>申込書!$C$34</f>
        <v>1000040</v>
      </c>
      <c r="R645" s="203">
        <v>0</v>
      </c>
      <c r="U645" s="203">
        <f>VLOOKUP(B645,★営業所!$A$2:$C$5,3,FALSE)</f>
        <v>8</v>
      </c>
      <c r="V645" s="203">
        <f>申込書!$B$9</f>
        <v>0</v>
      </c>
      <c r="W645" s="203" t="str">
        <f>CONCATENATE(VLOOKUP(B645,★営業所!$A$2:$B$5,2,FALSE),VLOOKUP(申込書!$C$32,★サイズ表記!$D$4:$E$55,2,FALSE),VLOOKUP(D645,★折込地区!$A$2:$B$11,2,FALSE))</f>
        <v>T1001Yng</v>
      </c>
      <c r="X645" s="203" t="str">
        <f>CONCATENATE(申込書!$B$9," ",VLOOKUP(RIGHT(W645,3),★折込地区!$B$2:$C$10,2,FALSE),"")</f>
        <v xml:space="preserve"> 米子</v>
      </c>
      <c r="Z645" s="206">
        <f t="shared" ca="1" si="79"/>
        <v>0</v>
      </c>
      <c r="AB645" s="383">
        <f t="shared" si="80"/>
        <v>2.8</v>
      </c>
      <c r="AC645" s="203" t="str">
        <f t="shared" si="81"/>
        <v>V1001</v>
      </c>
      <c r="AD645" s="203" t="str">
        <f>VLOOKUP(AC645,★原価商品!$E$6:$F$349,2,FALSE)</f>
        <v>日経/B4（折り無し）</v>
      </c>
      <c r="AE645" s="203">
        <f t="shared" ca="1" si="82"/>
        <v>0</v>
      </c>
      <c r="AF645" s="383">
        <f ca="1">IFERROR(IF(VLOOKUP(申込書!$C$32,★サイズ表記!$F$4:$H$55,3,FALSE)="切り捨て",ROUNDDOWN(L645*IF(AK645="◎",I645,J645)/100,2),IF(VLOOKUP(申込書!$C$32,★サイズ表記!$F$4:$H$55,3,FALSE)="切り上げ",ROUNDUP(L645*IF(AK645="◎",I645,J645)/100,2),ROUND(L645*IF(AK645="◎",I645,J645)/100,2))),0)</f>
        <v>2.38</v>
      </c>
      <c r="AG645" s="203">
        <f t="shared" ca="1" si="83"/>
        <v>0</v>
      </c>
      <c r="AJ645" s="460" t="str">
        <f>IFERROR(VLOOKUP(申込書!$C$30,★業種!$D$2:$E$87,2,FALSE),"")</f>
        <v>1003</v>
      </c>
      <c r="AK645" s="460" t="str">
        <f ca="1">IF(申込書!$C$36="◎",IF(OR(D645="浜坂・温泉",D645="美方・村岡",D645="香住",D645="岡山",D645="大阪"),"",IF(LEFT(F645)="D","◎",IF(AG645=0,"",IFERROR(IF(VLOOKUP(AG645,★仕入先!$A$2:$C$211,3,FALSE)=0,"","◎"),"")))),"")</f>
        <v/>
      </c>
      <c r="AL645" s="460">
        <f>申込書!$H$14</f>
        <v>0</v>
      </c>
      <c r="AM645" s="460" t="str">
        <f>申込書!$C$32</f>
        <v>B4（折り無し）</v>
      </c>
      <c r="AN645" s="460" t="str">
        <f>VLOOKUP(AM645,★サイズ表記!$D$4:$E$55,2,FALSE)</f>
        <v>1001</v>
      </c>
      <c r="AO645" s="460">
        <f>IF(C645&lt;&gt;"⑧兵庫",VLOOKUP(LEFT(F645),★新聞!$A$4:$B$12,2,FALSE),IF(LEFT(F645)&lt;&gt;"S",VLOOKUP(LEFT(F645),★新聞!$A$4:$B$12,2,FALSE),VLOOKUP("X",★新聞!$A$4:$B$12,2,FALSE)))</f>
        <v>7</v>
      </c>
      <c r="AP645" s="460" t="str">
        <f t="shared" ca="1" si="84"/>
        <v>0</v>
      </c>
      <c r="AQ645" s="460" t="str">
        <f>IF(申込書!$C$38="","",申込書!$C$38)</f>
        <v/>
      </c>
    </row>
    <row r="646" spans="1:43">
      <c r="A646" s="463">
        <f t="shared" si="85"/>
        <v>645</v>
      </c>
      <c r="B646" s="463" t="str">
        <f t="shared" si="78"/>
        <v>東部</v>
      </c>
      <c r="C646" s="464" t="s">
        <v>1018</v>
      </c>
      <c r="D646" s="464" t="s">
        <v>1603</v>
      </c>
      <c r="E646" s="464">
        <f>VLOOKUP(D646,★折込地区!$A$2:$D$10,4,FALSE)</f>
        <v>3</v>
      </c>
      <c r="F646" s="464" t="s">
        <v>521</v>
      </c>
      <c r="G646" s="464" t="str">
        <f>INDEX(★新聞!$E$4:$I$12, MATCH(LEFT(F646),★新聞!$A$4:$A$12,0), MATCH(LEFT(W646),★新聞!$E$3:$I$3,0))</f>
        <v>AP</v>
      </c>
      <c r="H646" s="475" t="s">
        <v>1104</v>
      </c>
      <c r="I646" s="464" cm="1">
        <f t="array" ref="I646">IFERROR(INDEX(★原価率!$A$2:$E$50,MATCH($C646&amp;$H646,★原価率!$A$2:$A$50&amp;★原価率!$B$2:$B$50,0),3),0)</f>
        <v>85</v>
      </c>
      <c r="J646" s="464" cm="1">
        <f t="array" ref="J646">IFERROR(INDEX(★原価率!$A$2:$E$50,MATCH($C646&amp;$H646,★原価率!$A$2:$A$50&amp;★原価率!$B$2:$B$50,0),4),0)</f>
        <v>85</v>
      </c>
      <c r="K646" s="464" cm="1">
        <f t="array" ref="K646">IFERROR(INDEX(★原価率!$A$2:$E$50,MATCH($C646&amp;$H646,★原価率!$A$2:$A$50&amp;★原価率!$B$2:$B$50,0),5),0)</f>
        <v>100</v>
      </c>
      <c r="L646" s="528">
        <f>IFERROR(VLOOKUP(W646,★商品!$A$1:$H$1231,8,FALSE),0)</f>
        <v>2.8</v>
      </c>
      <c r="M646" s="203" t="str">
        <f ca="1">CONCATENATE(VLOOKUP(B646,★営業所!$A$2:$B$5,2,FALSE),TEXT(NOW(),"yyyy"))</f>
        <v>T2023</v>
      </c>
      <c r="N646" s="203">
        <v>1</v>
      </c>
      <c r="O646" s="203">
        <v>0</v>
      </c>
      <c r="P646" s="213">
        <f>申込書!$B$6</f>
        <v>0</v>
      </c>
      <c r="Q646" s="203">
        <f>申込書!$C$34</f>
        <v>1000040</v>
      </c>
      <c r="R646" s="203">
        <v>0</v>
      </c>
      <c r="U646" s="203">
        <f>VLOOKUP(B646,★営業所!$A$2:$C$5,3,FALSE)</f>
        <v>8</v>
      </c>
      <c r="V646" s="203">
        <f>申込書!$B$9</f>
        <v>0</v>
      </c>
      <c r="W646" s="203" t="str">
        <f>CONCATENATE(VLOOKUP(B646,★営業所!$A$2:$B$5,2,FALSE),VLOOKUP(申込書!$C$32,★サイズ表記!$D$4:$E$55,2,FALSE),VLOOKUP(D646,★折込地区!$A$2:$B$11,2,FALSE))</f>
        <v>T1001Yng</v>
      </c>
      <c r="X646" s="203" t="str">
        <f>CONCATENATE(申込書!$B$9," ",VLOOKUP(RIGHT(W646,3),★折込地区!$B$2:$C$10,2,FALSE),"")</f>
        <v xml:space="preserve"> 米子</v>
      </c>
      <c r="Z646" s="206">
        <f t="shared" ca="1" si="79"/>
        <v>0</v>
      </c>
      <c r="AB646" s="383">
        <f t="shared" si="80"/>
        <v>2.8</v>
      </c>
      <c r="AC646" s="203" t="str">
        <f t="shared" si="81"/>
        <v>V1001</v>
      </c>
      <c r="AD646" s="203" t="str">
        <f>VLOOKUP(AC646,★原価商品!$E$6:$F$349,2,FALSE)</f>
        <v>日経/B4（折り無し）</v>
      </c>
      <c r="AE646" s="203">
        <f t="shared" ca="1" si="82"/>
        <v>0</v>
      </c>
      <c r="AF646" s="383">
        <f ca="1">IFERROR(IF(VLOOKUP(申込書!$C$32,★サイズ表記!$F$4:$H$55,3,FALSE)="切り捨て",ROUNDDOWN(L646*IF(AK646="◎",I646,J646)/100,2),IF(VLOOKUP(申込書!$C$32,★サイズ表記!$F$4:$H$55,3,FALSE)="切り上げ",ROUNDUP(L646*IF(AK646="◎",I646,J646)/100,2),ROUND(L646*IF(AK646="◎",I646,J646)/100,2))),0)</f>
        <v>2.38</v>
      </c>
      <c r="AG646" s="203">
        <f t="shared" ca="1" si="83"/>
        <v>0</v>
      </c>
      <c r="AJ646" s="460" t="str">
        <f>IFERROR(VLOOKUP(申込書!$C$30,★業種!$D$2:$E$87,2,FALSE),"")</f>
        <v>1003</v>
      </c>
      <c r="AK646" s="460" t="str">
        <f ca="1">IF(申込書!$C$36="◎",IF(OR(D646="浜坂・温泉",D646="美方・村岡",D646="香住",D646="岡山",D646="大阪"),"",IF(LEFT(F646)="D","◎",IF(AG646=0,"",IFERROR(IF(VLOOKUP(AG646,★仕入先!$A$2:$C$211,3,FALSE)=0,"","◎"),"")))),"")</f>
        <v/>
      </c>
      <c r="AL646" s="460">
        <f>申込書!$H$14</f>
        <v>0</v>
      </c>
      <c r="AM646" s="460" t="str">
        <f>申込書!$C$32</f>
        <v>B4（折り無し）</v>
      </c>
      <c r="AN646" s="460" t="str">
        <f>VLOOKUP(AM646,★サイズ表記!$D$4:$E$55,2,FALSE)</f>
        <v>1001</v>
      </c>
      <c r="AO646" s="460">
        <f>IF(C646&lt;&gt;"⑧兵庫",VLOOKUP(LEFT(F646),★新聞!$A$4:$B$12,2,FALSE),IF(LEFT(F646)&lt;&gt;"S",VLOOKUP(LEFT(F646),★新聞!$A$4:$B$12,2,FALSE),VLOOKUP("X",★新聞!$A$4:$B$12,2,FALSE)))</f>
        <v>7</v>
      </c>
      <c r="AP646" s="460" t="str">
        <f t="shared" ca="1" si="84"/>
        <v>0</v>
      </c>
      <c r="AQ646" s="460" t="str">
        <f>IF(申込書!$C$38="","",申込書!$C$38)</f>
        <v/>
      </c>
    </row>
    <row r="647" spans="1:43">
      <c r="A647" s="463">
        <f t="shared" si="85"/>
        <v>646</v>
      </c>
      <c r="B647" s="463" t="str">
        <f t="shared" si="78"/>
        <v>東部</v>
      </c>
      <c r="C647" s="464" t="s">
        <v>1018</v>
      </c>
      <c r="D647" s="464" t="s">
        <v>1603</v>
      </c>
      <c r="E647" s="464">
        <f>VLOOKUP(D647,★折込地区!$A$2:$D$10,4,FALSE)</f>
        <v>3</v>
      </c>
      <c r="F647" s="464" t="s">
        <v>522</v>
      </c>
      <c r="G647" s="464" t="str">
        <f>INDEX(★新聞!$E$4:$I$12, MATCH(LEFT(F647),★新聞!$A$4:$A$12,0), MATCH(LEFT(W647),★新聞!$E$3:$I$3,0))</f>
        <v>AP</v>
      </c>
      <c r="H647" s="475" t="s">
        <v>1104</v>
      </c>
      <c r="I647" s="464" cm="1">
        <f t="array" ref="I647">IFERROR(INDEX(★原価率!$A$2:$E$50,MATCH($C647&amp;$H647,★原価率!$A$2:$A$50&amp;★原価率!$B$2:$B$50,0),3),0)</f>
        <v>85</v>
      </c>
      <c r="J647" s="464" cm="1">
        <f t="array" ref="J647">IFERROR(INDEX(★原価率!$A$2:$E$50,MATCH($C647&amp;$H647,★原価率!$A$2:$A$50&amp;★原価率!$B$2:$B$50,0),4),0)</f>
        <v>85</v>
      </c>
      <c r="K647" s="464" cm="1">
        <f t="array" ref="K647">IFERROR(INDEX(★原価率!$A$2:$E$50,MATCH($C647&amp;$H647,★原価率!$A$2:$A$50&amp;★原価率!$B$2:$B$50,0),5),0)</f>
        <v>100</v>
      </c>
      <c r="L647" s="528">
        <f>IFERROR(VLOOKUP(W647,★商品!$A$1:$H$1231,8,FALSE),0)</f>
        <v>2.8</v>
      </c>
      <c r="M647" s="203" t="str">
        <f ca="1">CONCATENATE(VLOOKUP(B647,★営業所!$A$2:$B$5,2,FALSE),TEXT(NOW(),"yyyy"))</f>
        <v>T2023</v>
      </c>
      <c r="N647" s="203">
        <v>1</v>
      </c>
      <c r="O647" s="203">
        <v>0</v>
      </c>
      <c r="P647" s="213">
        <f>申込書!$B$6</f>
        <v>0</v>
      </c>
      <c r="Q647" s="203">
        <f>申込書!$C$34</f>
        <v>1000040</v>
      </c>
      <c r="R647" s="203">
        <v>0</v>
      </c>
      <c r="U647" s="203">
        <f>VLOOKUP(B647,★営業所!$A$2:$C$5,3,FALSE)</f>
        <v>8</v>
      </c>
      <c r="V647" s="203">
        <f>申込書!$B$9</f>
        <v>0</v>
      </c>
      <c r="W647" s="203" t="str">
        <f>CONCATENATE(VLOOKUP(B647,★営業所!$A$2:$B$5,2,FALSE),VLOOKUP(申込書!$C$32,★サイズ表記!$D$4:$E$55,2,FALSE),VLOOKUP(D647,★折込地区!$A$2:$B$11,2,FALSE))</f>
        <v>T1001Yng</v>
      </c>
      <c r="X647" s="203" t="str">
        <f>CONCATENATE(申込書!$B$9," ",VLOOKUP(RIGHT(W647,3),★折込地区!$B$2:$C$10,2,FALSE),"")</f>
        <v xml:space="preserve"> 米子</v>
      </c>
      <c r="Z647" s="206">
        <f t="shared" ca="1" si="79"/>
        <v>0</v>
      </c>
      <c r="AB647" s="383">
        <f t="shared" si="80"/>
        <v>2.8</v>
      </c>
      <c r="AC647" s="203" t="str">
        <f t="shared" si="81"/>
        <v>V1001</v>
      </c>
      <c r="AD647" s="203" t="str">
        <f>VLOOKUP(AC647,★原価商品!$E$6:$F$349,2,FALSE)</f>
        <v>日経/B4（折り無し）</v>
      </c>
      <c r="AE647" s="203">
        <f t="shared" ca="1" si="82"/>
        <v>0</v>
      </c>
      <c r="AF647" s="383">
        <f ca="1">IFERROR(IF(VLOOKUP(申込書!$C$32,★サイズ表記!$F$4:$H$55,3,FALSE)="切り捨て",ROUNDDOWN(L647*IF(AK647="◎",I647,J647)/100,2),IF(VLOOKUP(申込書!$C$32,★サイズ表記!$F$4:$H$55,3,FALSE)="切り上げ",ROUNDUP(L647*IF(AK647="◎",I647,J647)/100,2),ROUND(L647*IF(AK647="◎",I647,J647)/100,2))),0)</f>
        <v>2.38</v>
      </c>
      <c r="AG647" s="203">
        <f t="shared" ca="1" si="83"/>
        <v>0</v>
      </c>
      <c r="AJ647" s="460" t="str">
        <f>IFERROR(VLOOKUP(申込書!$C$30,★業種!$D$2:$E$87,2,FALSE),"")</f>
        <v>1003</v>
      </c>
      <c r="AK647" s="460" t="str">
        <f ca="1">IF(申込書!$C$36="◎",IF(OR(D647="浜坂・温泉",D647="美方・村岡",D647="香住",D647="岡山",D647="大阪"),"",IF(LEFT(F647)="D","◎",IF(AG647=0,"",IFERROR(IF(VLOOKUP(AG647,★仕入先!$A$2:$C$211,3,FALSE)=0,"","◎"),"")))),"")</f>
        <v/>
      </c>
      <c r="AL647" s="460">
        <f>申込書!$H$14</f>
        <v>0</v>
      </c>
      <c r="AM647" s="460" t="str">
        <f>申込書!$C$32</f>
        <v>B4（折り無し）</v>
      </c>
      <c r="AN647" s="460" t="str">
        <f>VLOOKUP(AM647,★サイズ表記!$D$4:$E$55,2,FALSE)</f>
        <v>1001</v>
      </c>
      <c r="AO647" s="460">
        <f>IF(C647&lt;&gt;"⑧兵庫",VLOOKUP(LEFT(F647),★新聞!$A$4:$B$12,2,FALSE),IF(LEFT(F647)&lt;&gt;"S",VLOOKUP(LEFT(F647),★新聞!$A$4:$B$12,2,FALSE),VLOOKUP("X",★新聞!$A$4:$B$12,2,FALSE)))</f>
        <v>7</v>
      </c>
      <c r="AP647" s="460" t="str">
        <f t="shared" ca="1" si="84"/>
        <v>0</v>
      </c>
      <c r="AQ647" s="460" t="str">
        <f>IF(申込書!$C$38="","",申込書!$C$38)</f>
        <v/>
      </c>
    </row>
    <row r="648" spans="1:43">
      <c r="A648" s="463">
        <f t="shared" si="85"/>
        <v>647</v>
      </c>
      <c r="B648" s="463" t="str">
        <f t="shared" si="78"/>
        <v>東部</v>
      </c>
      <c r="C648" s="464" t="s">
        <v>1018</v>
      </c>
      <c r="D648" s="464" t="s">
        <v>1603</v>
      </c>
      <c r="E648" s="464">
        <f>VLOOKUP(D648,★折込地区!$A$2:$D$10,4,FALSE)</f>
        <v>3</v>
      </c>
      <c r="F648" s="464" t="s">
        <v>523</v>
      </c>
      <c r="G648" s="464" t="str">
        <f>INDEX(★新聞!$E$4:$I$12, MATCH(LEFT(F648),★新聞!$A$4:$A$12,0), MATCH(LEFT(W648),★新聞!$E$3:$I$3,0))</f>
        <v>AP</v>
      </c>
      <c r="H648" s="475" t="s">
        <v>1104</v>
      </c>
      <c r="I648" s="464" cm="1">
        <f t="array" ref="I648">IFERROR(INDEX(★原価率!$A$2:$E$50,MATCH($C648&amp;$H648,★原価率!$A$2:$A$50&amp;★原価率!$B$2:$B$50,0),3),0)</f>
        <v>85</v>
      </c>
      <c r="J648" s="464" cm="1">
        <f t="array" ref="J648">IFERROR(INDEX(★原価率!$A$2:$E$50,MATCH($C648&amp;$H648,★原価率!$A$2:$A$50&amp;★原価率!$B$2:$B$50,0),4),0)</f>
        <v>85</v>
      </c>
      <c r="K648" s="464" cm="1">
        <f t="array" ref="K648">IFERROR(INDEX(★原価率!$A$2:$E$50,MATCH($C648&amp;$H648,★原価率!$A$2:$A$50&amp;★原価率!$B$2:$B$50,0),5),0)</f>
        <v>100</v>
      </c>
      <c r="L648" s="528">
        <f>IFERROR(VLOOKUP(W648,★商品!$A$1:$H$1231,8,FALSE),0)</f>
        <v>2.8</v>
      </c>
      <c r="M648" s="203" t="str">
        <f ca="1">CONCATENATE(VLOOKUP(B648,★営業所!$A$2:$B$5,2,FALSE),TEXT(NOW(),"yyyy"))</f>
        <v>T2023</v>
      </c>
      <c r="N648" s="203">
        <v>1</v>
      </c>
      <c r="O648" s="203">
        <v>0</v>
      </c>
      <c r="P648" s="213">
        <f>申込書!$B$6</f>
        <v>0</v>
      </c>
      <c r="Q648" s="203">
        <f>申込書!$C$34</f>
        <v>1000040</v>
      </c>
      <c r="R648" s="203">
        <v>0</v>
      </c>
      <c r="U648" s="203">
        <f>VLOOKUP(B648,★営業所!$A$2:$C$5,3,FALSE)</f>
        <v>8</v>
      </c>
      <c r="V648" s="203">
        <f>申込書!$B$9</f>
        <v>0</v>
      </c>
      <c r="W648" s="203" t="str">
        <f>CONCATENATE(VLOOKUP(B648,★営業所!$A$2:$B$5,2,FALSE),VLOOKUP(申込書!$C$32,★サイズ表記!$D$4:$E$55,2,FALSE),VLOOKUP(D648,★折込地区!$A$2:$B$11,2,FALSE))</f>
        <v>T1001Yng</v>
      </c>
      <c r="X648" s="203" t="str">
        <f>CONCATENATE(申込書!$B$9," ",VLOOKUP(RIGHT(W648,3),★折込地区!$B$2:$C$10,2,FALSE),"")</f>
        <v xml:space="preserve"> 米子</v>
      </c>
      <c r="Z648" s="206">
        <f t="shared" ca="1" si="79"/>
        <v>0</v>
      </c>
      <c r="AB648" s="383">
        <f t="shared" si="80"/>
        <v>2.8</v>
      </c>
      <c r="AC648" s="203" t="str">
        <f t="shared" si="81"/>
        <v>V1001</v>
      </c>
      <c r="AD648" s="203" t="str">
        <f>VLOOKUP(AC648,★原価商品!$E$6:$F$349,2,FALSE)</f>
        <v>日経/B4（折り無し）</v>
      </c>
      <c r="AE648" s="203">
        <f t="shared" ca="1" si="82"/>
        <v>0</v>
      </c>
      <c r="AF648" s="383">
        <f ca="1">IFERROR(IF(VLOOKUP(申込書!$C$32,★サイズ表記!$F$4:$H$55,3,FALSE)="切り捨て",ROUNDDOWN(L648*IF(AK648="◎",I648,J648)/100,2),IF(VLOOKUP(申込書!$C$32,★サイズ表記!$F$4:$H$55,3,FALSE)="切り上げ",ROUNDUP(L648*IF(AK648="◎",I648,J648)/100,2),ROUND(L648*IF(AK648="◎",I648,J648)/100,2))),0)</f>
        <v>2.38</v>
      </c>
      <c r="AG648" s="203">
        <f t="shared" ca="1" si="83"/>
        <v>0</v>
      </c>
      <c r="AJ648" s="460" t="str">
        <f>IFERROR(VLOOKUP(申込書!$C$30,★業種!$D$2:$E$87,2,FALSE),"")</f>
        <v>1003</v>
      </c>
      <c r="AK648" s="460" t="str">
        <f ca="1">IF(申込書!$C$36="◎",IF(OR(D648="浜坂・温泉",D648="美方・村岡",D648="香住",D648="岡山",D648="大阪"),"",IF(LEFT(F648)="D","◎",IF(AG648=0,"",IFERROR(IF(VLOOKUP(AG648,★仕入先!$A$2:$C$211,3,FALSE)=0,"","◎"),"")))),"")</f>
        <v/>
      </c>
      <c r="AL648" s="460">
        <f>申込書!$H$14</f>
        <v>0</v>
      </c>
      <c r="AM648" s="460" t="str">
        <f>申込書!$C$32</f>
        <v>B4（折り無し）</v>
      </c>
      <c r="AN648" s="460" t="str">
        <f>VLOOKUP(AM648,★サイズ表記!$D$4:$E$55,2,FALSE)</f>
        <v>1001</v>
      </c>
      <c r="AO648" s="460">
        <f>IF(C648&lt;&gt;"⑧兵庫",VLOOKUP(LEFT(F648),★新聞!$A$4:$B$12,2,FALSE),IF(LEFT(F648)&lt;&gt;"S",VLOOKUP(LEFT(F648),★新聞!$A$4:$B$12,2,FALSE),VLOOKUP("X",★新聞!$A$4:$B$12,2,FALSE)))</f>
        <v>7</v>
      </c>
      <c r="AP648" s="460" t="str">
        <f t="shared" ca="1" si="84"/>
        <v>0</v>
      </c>
      <c r="AQ648" s="460" t="str">
        <f>IF(申込書!$C$38="","",申込書!$C$38)</f>
        <v/>
      </c>
    </row>
    <row r="649" spans="1:43">
      <c r="A649" s="463">
        <f t="shared" si="85"/>
        <v>648</v>
      </c>
      <c r="B649" s="463" t="str">
        <f t="shared" si="78"/>
        <v>東部</v>
      </c>
      <c r="C649" s="464" t="s">
        <v>1018</v>
      </c>
      <c r="D649" s="464" t="s">
        <v>1603</v>
      </c>
      <c r="E649" s="464">
        <f>VLOOKUP(D649,★折込地区!$A$2:$D$10,4,FALSE)</f>
        <v>3</v>
      </c>
      <c r="F649" s="464" t="s">
        <v>524</v>
      </c>
      <c r="G649" s="464" t="str">
        <f>INDEX(★新聞!$E$4:$I$12, MATCH(LEFT(F649),★新聞!$A$4:$A$12,0), MATCH(LEFT(W649),★新聞!$E$3:$I$3,0))</f>
        <v>AP</v>
      </c>
      <c r="H649" s="475" t="s">
        <v>1104</v>
      </c>
      <c r="I649" s="464" cm="1">
        <f t="array" ref="I649">IFERROR(INDEX(★原価率!$A$2:$E$50,MATCH($C649&amp;$H649,★原価率!$A$2:$A$50&amp;★原価率!$B$2:$B$50,0),3),0)</f>
        <v>85</v>
      </c>
      <c r="J649" s="464" cm="1">
        <f t="array" ref="J649">IFERROR(INDEX(★原価率!$A$2:$E$50,MATCH($C649&amp;$H649,★原価率!$A$2:$A$50&amp;★原価率!$B$2:$B$50,0),4),0)</f>
        <v>85</v>
      </c>
      <c r="K649" s="464" cm="1">
        <f t="array" ref="K649">IFERROR(INDEX(★原価率!$A$2:$E$50,MATCH($C649&amp;$H649,★原価率!$A$2:$A$50&amp;★原価率!$B$2:$B$50,0),5),0)</f>
        <v>100</v>
      </c>
      <c r="L649" s="528">
        <f>IFERROR(VLOOKUP(W649,★商品!$A$1:$H$1231,8,FALSE),0)</f>
        <v>2.8</v>
      </c>
      <c r="M649" s="203" t="str">
        <f ca="1">CONCATENATE(VLOOKUP(B649,★営業所!$A$2:$B$5,2,FALSE),TEXT(NOW(),"yyyy"))</f>
        <v>T2023</v>
      </c>
      <c r="N649" s="203">
        <v>1</v>
      </c>
      <c r="O649" s="203">
        <v>0</v>
      </c>
      <c r="P649" s="213">
        <f>申込書!$B$6</f>
        <v>0</v>
      </c>
      <c r="Q649" s="203">
        <f>申込書!$C$34</f>
        <v>1000040</v>
      </c>
      <c r="R649" s="203">
        <v>0</v>
      </c>
      <c r="U649" s="203">
        <f>VLOOKUP(B649,★営業所!$A$2:$C$5,3,FALSE)</f>
        <v>8</v>
      </c>
      <c r="V649" s="203">
        <f>申込書!$B$9</f>
        <v>0</v>
      </c>
      <c r="W649" s="203" t="str">
        <f>CONCATENATE(VLOOKUP(B649,★営業所!$A$2:$B$5,2,FALSE),VLOOKUP(申込書!$C$32,★サイズ表記!$D$4:$E$55,2,FALSE),VLOOKUP(D649,★折込地区!$A$2:$B$11,2,FALSE))</f>
        <v>T1001Yng</v>
      </c>
      <c r="X649" s="203" t="str">
        <f>CONCATENATE(申込書!$B$9," ",VLOOKUP(RIGHT(W649,3),★折込地区!$B$2:$C$10,2,FALSE),"")</f>
        <v xml:space="preserve"> 米子</v>
      </c>
      <c r="Z649" s="206">
        <f t="shared" ca="1" si="79"/>
        <v>0</v>
      </c>
      <c r="AB649" s="383">
        <f t="shared" si="80"/>
        <v>2.8</v>
      </c>
      <c r="AC649" s="203" t="str">
        <f t="shared" si="81"/>
        <v>V1001</v>
      </c>
      <c r="AD649" s="203" t="str">
        <f>VLOOKUP(AC649,★原価商品!$E$6:$F$349,2,FALSE)</f>
        <v>日経/B4（折り無し）</v>
      </c>
      <c r="AE649" s="203">
        <f t="shared" ca="1" si="82"/>
        <v>0</v>
      </c>
      <c r="AF649" s="383">
        <f ca="1">IFERROR(IF(VLOOKUP(申込書!$C$32,★サイズ表記!$F$4:$H$55,3,FALSE)="切り捨て",ROUNDDOWN(L649*IF(AK649="◎",I649,J649)/100,2),IF(VLOOKUP(申込書!$C$32,★サイズ表記!$F$4:$H$55,3,FALSE)="切り上げ",ROUNDUP(L649*IF(AK649="◎",I649,J649)/100,2),ROUND(L649*IF(AK649="◎",I649,J649)/100,2))),0)</f>
        <v>2.38</v>
      </c>
      <c r="AG649" s="203">
        <f t="shared" ca="1" si="83"/>
        <v>0</v>
      </c>
      <c r="AJ649" s="460" t="str">
        <f>IFERROR(VLOOKUP(申込書!$C$30,★業種!$D$2:$E$87,2,FALSE),"")</f>
        <v>1003</v>
      </c>
      <c r="AK649" s="460" t="str">
        <f ca="1">IF(申込書!$C$36="◎",IF(OR(D649="浜坂・温泉",D649="美方・村岡",D649="香住",D649="岡山",D649="大阪"),"",IF(LEFT(F649)="D","◎",IF(AG649=0,"",IFERROR(IF(VLOOKUP(AG649,★仕入先!$A$2:$C$211,3,FALSE)=0,"","◎"),"")))),"")</f>
        <v/>
      </c>
      <c r="AL649" s="460">
        <f>申込書!$H$14</f>
        <v>0</v>
      </c>
      <c r="AM649" s="460" t="str">
        <f>申込書!$C$32</f>
        <v>B4（折り無し）</v>
      </c>
      <c r="AN649" s="460" t="str">
        <f>VLOOKUP(AM649,★サイズ表記!$D$4:$E$55,2,FALSE)</f>
        <v>1001</v>
      </c>
      <c r="AO649" s="460">
        <f>IF(C649&lt;&gt;"⑧兵庫",VLOOKUP(LEFT(F649),★新聞!$A$4:$B$12,2,FALSE),IF(LEFT(F649)&lt;&gt;"S",VLOOKUP(LEFT(F649),★新聞!$A$4:$B$12,2,FALSE),VLOOKUP("X",★新聞!$A$4:$B$12,2,FALSE)))</f>
        <v>7</v>
      </c>
      <c r="AP649" s="460" t="str">
        <f t="shared" ca="1" si="84"/>
        <v>0</v>
      </c>
      <c r="AQ649" s="460" t="str">
        <f>IF(申込書!$C$38="","",申込書!$C$38)</f>
        <v/>
      </c>
    </row>
    <row r="650" spans="1:43">
      <c r="A650" s="463">
        <f t="shared" si="85"/>
        <v>649</v>
      </c>
      <c r="B650" s="463" t="str">
        <f t="shared" si="78"/>
        <v>東部</v>
      </c>
      <c r="C650" s="464" t="s">
        <v>1018</v>
      </c>
      <c r="D650" s="464" t="s">
        <v>1603</v>
      </c>
      <c r="E650" s="464">
        <f>VLOOKUP(D650,★折込地区!$A$2:$D$10,4,FALSE)</f>
        <v>3</v>
      </c>
      <c r="F650" s="464" t="s">
        <v>525</v>
      </c>
      <c r="G650" s="464" t="str">
        <f>INDEX(★新聞!$E$4:$I$12, MATCH(LEFT(F650),★新聞!$A$4:$A$12,0), MATCH(LEFT(W650),★新聞!$E$3:$I$3,0))</f>
        <v>AP</v>
      </c>
      <c r="H650" s="475" t="s">
        <v>1104</v>
      </c>
      <c r="I650" s="464" cm="1">
        <f t="array" ref="I650">IFERROR(INDEX(★原価率!$A$2:$E$50,MATCH($C650&amp;$H650,★原価率!$A$2:$A$50&amp;★原価率!$B$2:$B$50,0),3),0)</f>
        <v>85</v>
      </c>
      <c r="J650" s="464" cm="1">
        <f t="array" ref="J650">IFERROR(INDEX(★原価率!$A$2:$E$50,MATCH($C650&amp;$H650,★原価率!$A$2:$A$50&amp;★原価率!$B$2:$B$50,0),4),0)</f>
        <v>85</v>
      </c>
      <c r="K650" s="464" cm="1">
        <f t="array" ref="K650">IFERROR(INDEX(★原価率!$A$2:$E$50,MATCH($C650&amp;$H650,★原価率!$A$2:$A$50&amp;★原価率!$B$2:$B$50,0),5),0)</f>
        <v>100</v>
      </c>
      <c r="L650" s="528">
        <f>IFERROR(VLOOKUP(W650,★商品!$A$1:$H$1231,8,FALSE),0)</f>
        <v>2.8</v>
      </c>
      <c r="M650" s="203" t="str">
        <f ca="1">CONCATENATE(VLOOKUP(B650,★営業所!$A$2:$B$5,2,FALSE),TEXT(NOW(),"yyyy"))</f>
        <v>T2023</v>
      </c>
      <c r="N650" s="203">
        <v>1</v>
      </c>
      <c r="O650" s="203">
        <v>0</v>
      </c>
      <c r="P650" s="213">
        <f>申込書!$B$6</f>
        <v>0</v>
      </c>
      <c r="Q650" s="203">
        <f>申込書!$C$34</f>
        <v>1000040</v>
      </c>
      <c r="R650" s="203">
        <v>0</v>
      </c>
      <c r="U650" s="203">
        <f>VLOOKUP(B650,★営業所!$A$2:$C$5,3,FALSE)</f>
        <v>8</v>
      </c>
      <c r="V650" s="203">
        <f>申込書!$B$9</f>
        <v>0</v>
      </c>
      <c r="W650" s="203" t="str">
        <f>CONCATENATE(VLOOKUP(B650,★営業所!$A$2:$B$5,2,FALSE),VLOOKUP(申込書!$C$32,★サイズ表記!$D$4:$E$55,2,FALSE),VLOOKUP(D650,★折込地区!$A$2:$B$11,2,FALSE))</f>
        <v>T1001Yng</v>
      </c>
      <c r="X650" s="203" t="str">
        <f>CONCATENATE(申込書!$B$9," ",VLOOKUP(RIGHT(W650,3),★折込地区!$B$2:$C$10,2,FALSE),"")</f>
        <v xml:space="preserve"> 米子</v>
      </c>
      <c r="Z650" s="206">
        <f t="shared" ca="1" si="79"/>
        <v>0</v>
      </c>
      <c r="AB650" s="383">
        <f t="shared" si="80"/>
        <v>2.8</v>
      </c>
      <c r="AC650" s="203" t="str">
        <f t="shared" si="81"/>
        <v>V1001</v>
      </c>
      <c r="AD650" s="203" t="str">
        <f>VLOOKUP(AC650,★原価商品!$E$6:$F$349,2,FALSE)</f>
        <v>日経/B4（折り無し）</v>
      </c>
      <c r="AE650" s="203">
        <f t="shared" ca="1" si="82"/>
        <v>0</v>
      </c>
      <c r="AF650" s="383">
        <f ca="1">IFERROR(IF(VLOOKUP(申込書!$C$32,★サイズ表記!$F$4:$H$55,3,FALSE)="切り捨て",ROUNDDOWN(L650*IF(AK650="◎",I650,J650)/100,2),IF(VLOOKUP(申込書!$C$32,★サイズ表記!$F$4:$H$55,3,FALSE)="切り上げ",ROUNDUP(L650*IF(AK650="◎",I650,J650)/100,2),ROUND(L650*IF(AK650="◎",I650,J650)/100,2))),0)</f>
        <v>2.38</v>
      </c>
      <c r="AG650" s="203">
        <f t="shared" ca="1" si="83"/>
        <v>0</v>
      </c>
      <c r="AJ650" s="460" t="str">
        <f>IFERROR(VLOOKUP(申込書!$C$30,★業種!$D$2:$E$87,2,FALSE),"")</f>
        <v>1003</v>
      </c>
      <c r="AK650" s="460" t="str">
        <f ca="1">IF(申込書!$C$36="◎",IF(OR(D650="浜坂・温泉",D650="美方・村岡",D650="香住",D650="岡山",D650="大阪"),"",IF(LEFT(F650)="D","◎",IF(AG650=0,"",IFERROR(IF(VLOOKUP(AG650,★仕入先!$A$2:$C$211,3,FALSE)=0,"","◎"),"")))),"")</f>
        <v/>
      </c>
      <c r="AL650" s="460">
        <f>申込書!$H$14</f>
        <v>0</v>
      </c>
      <c r="AM650" s="460" t="str">
        <f>申込書!$C$32</f>
        <v>B4（折り無し）</v>
      </c>
      <c r="AN650" s="460" t="str">
        <f>VLOOKUP(AM650,★サイズ表記!$D$4:$E$55,2,FALSE)</f>
        <v>1001</v>
      </c>
      <c r="AO650" s="460">
        <f>IF(C650&lt;&gt;"⑧兵庫",VLOOKUP(LEFT(F650),★新聞!$A$4:$B$12,2,FALSE),IF(LEFT(F650)&lt;&gt;"S",VLOOKUP(LEFT(F650),★新聞!$A$4:$B$12,2,FALSE),VLOOKUP("X",★新聞!$A$4:$B$12,2,FALSE)))</f>
        <v>7</v>
      </c>
      <c r="AP650" s="460" t="str">
        <f t="shared" ca="1" si="84"/>
        <v>0</v>
      </c>
      <c r="AQ650" s="460" t="str">
        <f>IF(申込書!$C$38="","",申込書!$C$38)</f>
        <v/>
      </c>
    </row>
    <row r="651" spans="1:43">
      <c r="A651" s="463">
        <f t="shared" si="85"/>
        <v>650</v>
      </c>
      <c r="B651" s="463" t="str">
        <f t="shared" si="78"/>
        <v>東部</v>
      </c>
      <c r="C651" s="464" t="s">
        <v>1018</v>
      </c>
      <c r="D651" s="464" t="s">
        <v>1603</v>
      </c>
      <c r="E651" s="464">
        <f>VLOOKUP(D651,★折込地区!$A$2:$D$10,4,FALSE)</f>
        <v>3</v>
      </c>
      <c r="F651" s="464" t="s">
        <v>527</v>
      </c>
      <c r="G651" s="464" t="str">
        <f>INDEX(★新聞!$E$4:$I$12, MATCH(LEFT(F651),★新聞!$A$4:$A$12,0), MATCH(LEFT(W651),★新聞!$E$3:$I$3,0))</f>
        <v>AP</v>
      </c>
      <c r="H651" s="475" t="s">
        <v>1104</v>
      </c>
      <c r="I651" s="464" cm="1">
        <f t="array" ref="I651">IFERROR(INDEX(★原価率!$A$2:$E$50,MATCH($C651&amp;$H651,★原価率!$A$2:$A$50&amp;★原価率!$B$2:$B$50,0),3),0)</f>
        <v>85</v>
      </c>
      <c r="J651" s="464" cm="1">
        <f t="array" ref="J651">IFERROR(INDEX(★原価率!$A$2:$E$50,MATCH($C651&amp;$H651,★原価率!$A$2:$A$50&amp;★原価率!$B$2:$B$50,0),4),0)</f>
        <v>85</v>
      </c>
      <c r="K651" s="464" cm="1">
        <f t="array" ref="K651">IFERROR(INDEX(★原価率!$A$2:$E$50,MATCH($C651&amp;$H651,★原価率!$A$2:$A$50&amp;★原価率!$B$2:$B$50,0),5),0)</f>
        <v>100</v>
      </c>
      <c r="L651" s="528">
        <f>IFERROR(VLOOKUP(W651,★商品!$A$1:$H$1231,8,FALSE),0)</f>
        <v>2.8</v>
      </c>
      <c r="M651" s="203" t="str">
        <f ca="1">CONCATENATE(VLOOKUP(B651,★営業所!$A$2:$B$5,2,FALSE),TEXT(NOW(),"yyyy"))</f>
        <v>T2023</v>
      </c>
      <c r="N651" s="203">
        <v>1</v>
      </c>
      <c r="O651" s="203">
        <v>0</v>
      </c>
      <c r="P651" s="213">
        <f>申込書!$B$6</f>
        <v>0</v>
      </c>
      <c r="Q651" s="203">
        <f>申込書!$C$34</f>
        <v>1000040</v>
      </c>
      <c r="R651" s="203">
        <v>0</v>
      </c>
      <c r="U651" s="203">
        <f>VLOOKUP(B651,★営業所!$A$2:$C$5,3,FALSE)</f>
        <v>8</v>
      </c>
      <c r="V651" s="203">
        <f>申込書!$B$9</f>
        <v>0</v>
      </c>
      <c r="W651" s="203" t="str">
        <f>CONCATENATE(VLOOKUP(B651,★営業所!$A$2:$B$5,2,FALSE),VLOOKUP(申込書!$C$32,★サイズ表記!$D$4:$E$55,2,FALSE),VLOOKUP(D651,★折込地区!$A$2:$B$11,2,FALSE))</f>
        <v>T1001Yng</v>
      </c>
      <c r="X651" s="203" t="str">
        <f>CONCATENATE(申込書!$B$9," ",VLOOKUP(RIGHT(W651,3),★折込地区!$B$2:$C$10,2,FALSE),"")</f>
        <v xml:space="preserve"> 米子</v>
      </c>
      <c r="Z651" s="206">
        <f t="shared" ca="1" si="79"/>
        <v>0</v>
      </c>
      <c r="AB651" s="383">
        <f t="shared" si="80"/>
        <v>2.8</v>
      </c>
      <c r="AC651" s="203" t="str">
        <f t="shared" si="81"/>
        <v>V1001</v>
      </c>
      <c r="AD651" s="203" t="str">
        <f>VLOOKUP(AC651,★原価商品!$E$6:$F$349,2,FALSE)</f>
        <v>日経/B4（折り無し）</v>
      </c>
      <c r="AE651" s="203">
        <f t="shared" ca="1" si="82"/>
        <v>0</v>
      </c>
      <c r="AF651" s="383">
        <f ca="1">IFERROR(IF(VLOOKUP(申込書!$C$32,★サイズ表記!$F$4:$H$55,3,FALSE)="切り捨て",ROUNDDOWN(L651*IF(AK651="◎",I651,J651)/100,2),IF(VLOOKUP(申込書!$C$32,★サイズ表記!$F$4:$H$55,3,FALSE)="切り上げ",ROUNDUP(L651*IF(AK651="◎",I651,J651)/100,2),ROUND(L651*IF(AK651="◎",I651,J651)/100,2))),0)</f>
        <v>2.38</v>
      </c>
      <c r="AG651" s="203">
        <f t="shared" ca="1" si="83"/>
        <v>10561</v>
      </c>
      <c r="AJ651" s="460" t="str">
        <f>IFERROR(VLOOKUP(申込書!$C$30,★業種!$D$2:$E$87,2,FALSE),"")</f>
        <v>1003</v>
      </c>
      <c r="AK651" s="460" t="str">
        <f ca="1">IF(申込書!$C$36="◎",IF(OR(D651="浜坂・温泉",D651="美方・村岡",D651="香住",D651="岡山",D651="大阪"),"",IF(LEFT(F651)="D","◎",IF(AG651=0,"",IFERROR(IF(VLOOKUP(AG651,★仕入先!$A$2:$C$211,3,FALSE)=0,"","◎"),"")))),"")</f>
        <v/>
      </c>
      <c r="AL651" s="460">
        <f>申込書!$H$14</f>
        <v>0</v>
      </c>
      <c r="AM651" s="460" t="str">
        <f>申込書!$C$32</f>
        <v>B4（折り無し）</v>
      </c>
      <c r="AN651" s="460" t="str">
        <f>VLOOKUP(AM651,★サイズ表記!$D$4:$E$55,2,FALSE)</f>
        <v>1001</v>
      </c>
      <c r="AO651" s="460">
        <f>IF(C651&lt;&gt;"⑧兵庫",VLOOKUP(LEFT(F651),★新聞!$A$4:$B$12,2,FALSE),IF(LEFT(F651)&lt;&gt;"S",VLOOKUP(LEFT(F651),★新聞!$A$4:$B$12,2,FALSE),VLOOKUP("X",★新聞!$A$4:$B$12,2,FALSE)))</f>
        <v>7</v>
      </c>
      <c r="AP651" s="460" t="str">
        <f t="shared" ca="1" si="84"/>
        <v>0</v>
      </c>
      <c r="AQ651" s="460" t="str">
        <f>IF(申込書!$C$38="","",申込書!$C$38)</f>
        <v/>
      </c>
    </row>
    <row r="652" spans="1:43">
      <c r="A652" s="463">
        <f t="shared" si="85"/>
        <v>651</v>
      </c>
      <c r="B652" s="463" t="str">
        <f t="shared" si="78"/>
        <v>東部</v>
      </c>
      <c r="C652" s="464" t="s">
        <v>1018</v>
      </c>
      <c r="D652" s="464" t="s">
        <v>1603</v>
      </c>
      <c r="E652" s="464">
        <f>VLOOKUP(D652,★折込地区!$A$2:$D$10,4,FALSE)</f>
        <v>3</v>
      </c>
      <c r="F652" s="464" t="s">
        <v>528</v>
      </c>
      <c r="G652" s="464" t="str">
        <f>INDEX(★新聞!$E$4:$I$12, MATCH(LEFT(F652),★新聞!$A$4:$A$12,0), MATCH(LEFT(W652),★新聞!$E$3:$I$3,0))</f>
        <v>AP</v>
      </c>
      <c r="H652" s="475" t="s">
        <v>1104</v>
      </c>
      <c r="I652" s="464" cm="1">
        <f t="array" ref="I652">IFERROR(INDEX(★原価率!$A$2:$E$50,MATCH($C652&amp;$H652,★原価率!$A$2:$A$50&amp;★原価率!$B$2:$B$50,0),3),0)</f>
        <v>85</v>
      </c>
      <c r="J652" s="464" cm="1">
        <f t="array" ref="J652">IFERROR(INDEX(★原価率!$A$2:$E$50,MATCH($C652&amp;$H652,★原価率!$A$2:$A$50&amp;★原価率!$B$2:$B$50,0),4),0)</f>
        <v>85</v>
      </c>
      <c r="K652" s="464" cm="1">
        <f t="array" ref="K652">IFERROR(INDEX(★原価率!$A$2:$E$50,MATCH($C652&amp;$H652,★原価率!$A$2:$A$50&amp;★原価率!$B$2:$B$50,0),5),0)</f>
        <v>100</v>
      </c>
      <c r="L652" s="528">
        <f>IFERROR(VLOOKUP(W652,★商品!$A$1:$H$1231,8,FALSE),0)</f>
        <v>2.8</v>
      </c>
      <c r="M652" s="203" t="str">
        <f ca="1">CONCATENATE(VLOOKUP(B652,★営業所!$A$2:$B$5,2,FALSE),TEXT(NOW(),"yyyy"))</f>
        <v>T2023</v>
      </c>
      <c r="N652" s="203">
        <v>1</v>
      </c>
      <c r="O652" s="203">
        <v>0</v>
      </c>
      <c r="P652" s="213">
        <f>申込書!$B$6</f>
        <v>0</v>
      </c>
      <c r="Q652" s="203">
        <f>申込書!$C$34</f>
        <v>1000040</v>
      </c>
      <c r="R652" s="203">
        <v>0</v>
      </c>
      <c r="U652" s="203">
        <f>VLOOKUP(B652,★営業所!$A$2:$C$5,3,FALSE)</f>
        <v>8</v>
      </c>
      <c r="V652" s="203">
        <f>申込書!$B$9</f>
        <v>0</v>
      </c>
      <c r="W652" s="203" t="str">
        <f>CONCATENATE(VLOOKUP(B652,★営業所!$A$2:$B$5,2,FALSE),VLOOKUP(申込書!$C$32,★サイズ表記!$D$4:$E$55,2,FALSE),VLOOKUP(D652,★折込地区!$A$2:$B$11,2,FALSE))</f>
        <v>T1001Yng</v>
      </c>
      <c r="X652" s="203" t="str">
        <f>CONCATENATE(申込書!$B$9," ",VLOOKUP(RIGHT(W652,3),★折込地区!$B$2:$C$10,2,FALSE),"")</f>
        <v xml:space="preserve"> 米子</v>
      </c>
      <c r="Z652" s="206">
        <f t="shared" ca="1" si="79"/>
        <v>0</v>
      </c>
      <c r="AB652" s="383">
        <f t="shared" si="80"/>
        <v>2.8</v>
      </c>
      <c r="AC652" s="203" t="str">
        <f t="shared" si="81"/>
        <v>V1001</v>
      </c>
      <c r="AD652" s="203" t="str">
        <f>VLOOKUP(AC652,★原価商品!$E$6:$F$349,2,FALSE)</f>
        <v>日経/B4（折り無し）</v>
      </c>
      <c r="AE652" s="203">
        <f t="shared" ca="1" si="82"/>
        <v>0</v>
      </c>
      <c r="AF652" s="383">
        <f ca="1">IFERROR(IF(VLOOKUP(申込書!$C$32,★サイズ表記!$F$4:$H$55,3,FALSE)="切り捨て",ROUNDDOWN(L652*IF(AK652="◎",I652,J652)/100,2),IF(VLOOKUP(申込書!$C$32,★サイズ表記!$F$4:$H$55,3,FALSE)="切り上げ",ROUNDUP(L652*IF(AK652="◎",I652,J652)/100,2),ROUND(L652*IF(AK652="◎",I652,J652)/100,2))),0)</f>
        <v>2.38</v>
      </c>
      <c r="AG652" s="203">
        <f t="shared" ca="1" si="83"/>
        <v>0</v>
      </c>
      <c r="AJ652" s="460" t="str">
        <f>IFERROR(VLOOKUP(申込書!$C$30,★業種!$D$2:$E$87,2,FALSE),"")</f>
        <v>1003</v>
      </c>
      <c r="AK652" s="460" t="str">
        <f ca="1">IF(申込書!$C$36="◎",IF(OR(D652="浜坂・温泉",D652="美方・村岡",D652="香住",D652="岡山",D652="大阪"),"",IF(LEFT(F652)="D","◎",IF(AG652=0,"",IFERROR(IF(VLOOKUP(AG652,★仕入先!$A$2:$C$211,3,FALSE)=0,"","◎"),"")))),"")</f>
        <v/>
      </c>
      <c r="AL652" s="460">
        <f>申込書!$H$14</f>
        <v>0</v>
      </c>
      <c r="AM652" s="460" t="str">
        <f>申込書!$C$32</f>
        <v>B4（折り無し）</v>
      </c>
      <c r="AN652" s="460" t="str">
        <f>VLOOKUP(AM652,★サイズ表記!$D$4:$E$55,2,FALSE)</f>
        <v>1001</v>
      </c>
      <c r="AO652" s="460">
        <f>IF(C652&lt;&gt;"⑧兵庫",VLOOKUP(LEFT(F652),★新聞!$A$4:$B$12,2,FALSE),IF(LEFT(F652)&lt;&gt;"S",VLOOKUP(LEFT(F652),★新聞!$A$4:$B$12,2,FALSE),VLOOKUP("X",★新聞!$A$4:$B$12,2,FALSE)))</f>
        <v>7</v>
      </c>
      <c r="AP652" s="460" t="str">
        <f t="shared" ca="1" si="84"/>
        <v>0</v>
      </c>
      <c r="AQ652" s="460" t="str">
        <f>IF(申込書!$C$38="","",申込書!$C$38)</f>
        <v/>
      </c>
    </row>
    <row r="653" spans="1:43">
      <c r="A653" s="463">
        <f t="shared" si="85"/>
        <v>652</v>
      </c>
      <c r="B653" s="463" t="str">
        <f t="shared" si="78"/>
        <v>東部</v>
      </c>
      <c r="C653" s="464" t="s">
        <v>1018</v>
      </c>
      <c r="D653" s="464" t="s">
        <v>1603</v>
      </c>
      <c r="E653" s="464">
        <f>VLOOKUP(D653,★折込地区!$A$2:$D$10,4,FALSE)</f>
        <v>3</v>
      </c>
      <c r="F653" s="464" t="s">
        <v>529</v>
      </c>
      <c r="G653" s="464" t="str">
        <f>INDEX(★新聞!$E$4:$I$12, MATCH(LEFT(F653),★新聞!$A$4:$A$12,0), MATCH(LEFT(W653),★新聞!$E$3:$I$3,0))</f>
        <v>AP</v>
      </c>
      <c r="H653" s="475" t="s">
        <v>1104</v>
      </c>
      <c r="I653" s="464" cm="1">
        <f t="array" ref="I653">IFERROR(INDEX(★原価率!$A$2:$E$50,MATCH($C653&amp;$H653,★原価率!$A$2:$A$50&amp;★原価率!$B$2:$B$50,0),3),0)</f>
        <v>85</v>
      </c>
      <c r="J653" s="464" cm="1">
        <f t="array" ref="J653">IFERROR(INDEX(★原価率!$A$2:$E$50,MATCH($C653&amp;$H653,★原価率!$A$2:$A$50&amp;★原価率!$B$2:$B$50,0),4),0)</f>
        <v>85</v>
      </c>
      <c r="K653" s="464" cm="1">
        <f t="array" ref="K653">IFERROR(INDEX(★原価率!$A$2:$E$50,MATCH($C653&amp;$H653,★原価率!$A$2:$A$50&amp;★原価率!$B$2:$B$50,0),5),0)</f>
        <v>100</v>
      </c>
      <c r="L653" s="528">
        <f>IFERROR(VLOOKUP(W653,★商品!$A$1:$H$1231,8,FALSE),0)</f>
        <v>2.8</v>
      </c>
      <c r="M653" s="203" t="str">
        <f ca="1">CONCATENATE(VLOOKUP(B653,★営業所!$A$2:$B$5,2,FALSE),TEXT(NOW(),"yyyy"))</f>
        <v>T2023</v>
      </c>
      <c r="N653" s="203">
        <v>1</v>
      </c>
      <c r="O653" s="203">
        <v>0</v>
      </c>
      <c r="P653" s="213">
        <f>申込書!$B$6</f>
        <v>0</v>
      </c>
      <c r="Q653" s="203">
        <f>申込書!$C$34</f>
        <v>1000040</v>
      </c>
      <c r="R653" s="203">
        <v>0</v>
      </c>
      <c r="U653" s="203">
        <f>VLOOKUP(B653,★営業所!$A$2:$C$5,3,FALSE)</f>
        <v>8</v>
      </c>
      <c r="V653" s="203">
        <f>申込書!$B$9</f>
        <v>0</v>
      </c>
      <c r="W653" s="203" t="str">
        <f>CONCATENATE(VLOOKUP(B653,★営業所!$A$2:$B$5,2,FALSE),VLOOKUP(申込書!$C$32,★サイズ表記!$D$4:$E$55,2,FALSE),VLOOKUP(D653,★折込地区!$A$2:$B$11,2,FALSE))</f>
        <v>T1001Yng</v>
      </c>
      <c r="X653" s="203" t="str">
        <f>CONCATENATE(申込書!$B$9," ",VLOOKUP(RIGHT(W653,3),★折込地区!$B$2:$C$10,2,FALSE),"")</f>
        <v xml:space="preserve"> 米子</v>
      </c>
      <c r="Z653" s="206">
        <f t="shared" ca="1" si="79"/>
        <v>0</v>
      </c>
      <c r="AB653" s="383">
        <f t="shared" si="80"/>
        <v>2.8</v>
      </c>
      <c r="AC653" s="203" t="str">
        <f t="shared" si="81"/>
        <v>V1001</v>
      </c>
      <c r="AD653" s="203" t="str">
        <f>VLOOKUP(AC653,★原価商品!$E$6:$F$349,2,FALSE)</f>
        <v>日経/B4（折り無し）</v>
      </c>
      <c r="AE653" s="203">
        <f t="shared" ca="1" si="82"/>
        <v>0</v>
      </c>
      <c r="AF653" s="383">
        <f ca="1">IFERROR(IF(VLOOKUP(申込書!$C$32,★サイズ表記!$F$4:$H$55,3,FALSE)="切り捨て",ROUNDDOWN(L653*IF(AK653="◎",I653,J653)/100,2),IF(VLOOKUP(申込書!$C$32,★サイズ表記!$F$4:$H$55,3,FALSE)="切り上げ",ROUNDUP(L653*IF(AK653="◎",I653,J653)/100,2),ROUND(L653*IF(AK653="◎",I653,J653)/100,2))),0)</f>
        <v>2.38</v>
      </c>
      <c r="AG653" s="203">
        <f t="shared" ca="1" si="83"/>
        <v>0</v>
      </c>
      <c r="AJ653" s="460" t="str">
        <f>IFERROR(VLOOKUP(申込書!$C$30,★業種!$D$2:$E$87,2,FALSE),"")</f>
        <v>1003</v>
      </c>
      <c r="AK653" s="460" t="str">
        <f ca="1">IF(申込書!$C$36="◎",IF(OR(D653="浜坂・温泉",D653="美方・村岡",D653="香住",D653="岡山",D653="大阪"),"",IF(LEFT(F653)="D","◎",IF(AG653=0,"",IFERROR(IF(VLOOKUP(AG653,★仕入先!$A$2:$C$211,3,FALSE)=0,"","◎"),"")))),"")</f>
        <v/>
      </c>
      <c r="AL653" s="460">
        <f>申込書!$H$14</f>
        <v>0</v>
      </c>
      <c r="AM653" s="460" t="str">
        <f>申込書!$C$32</f>
        <v>B4（折り無し）</v>
      </c>
      <c r="AN653" s="460" t="str">
        <f>VLOOKUP(AM653,★サイズ表記!$D$4:$E$55,2,FALSE)</f>
        <v>1001</v>
      </c>
      <c r="AO653" s="460">
        <f>IF(C653&lt;&gt;"⑧兵庫",VLOOKUP(LEFT(F653),★新聞!$A$4:$B$12,2,FALSE),IF(LEFT(F653)&lt;&gt;"S",VLOOKUP(LEFT(F653),★新聞!$A$4:$B$12,2,FALSE),VLOOKUP("X",★新聞!$A$4:$B$12,2,FALSE)))</f>
        <v>7</v>
      </c>
      <c r="AP653" s="460" t="str">
        <f t="shared" ca="1" si="84"/>
        <v>0</v>
      </c>
      <c r="AQ653" s="460" t="str">
        <f>IF(申込書!$C$38="","",申込書!$C$38)</f>
        <v/>
      </c>
    </row>
    <row r="654" spans="1:43">
      <c r="A654" s="463">
        <f t="shared" si="85"/>
        <v>653</v>
      </c>
      <c r="B654" s="463" t="str">
        <f t="shared" si="78"/>
        <v>東部</v>
      </c>
      <c r="C654" s="464" t="s">
        <v>1018</v>
      </c>
      <c r="D654" s="464" t="s">
        <v>1603</v>
      </c>
      <c r="E654" s="464">
        <f>VLOOKUP(D654,★折込地区!$A$2:$D$10,4,FALSE)</f>
        <v>3</v>
      </c>
      <c r="F654" s="464" t="s">
        <v>530</v>
      </c>
      <c r="G654" s="464" t="str">
        <f>INDEX(★新聞!$E$4:$I$12, MATCH(LEFT(F654),★新聞!$A$4:$A$12,0), MATCH(LEFT(W654),★新聞!$E$3:$I$3,0))</f>
        <v>AP</v>
      </c>
      <c r="H654" s="475" t="s">
        <v>1104</v>
      </c>
      <c r="I654" s="464" cm="1">
        <f t="array" ref="I654">IFERROR(INDEX(★原価率!$A$2:$E$50,MATCH($C654&amp;$H654,★原価率!$A$2:$A$50&amp;★原価率!$B$2:$B$50,0),3),0)</f>
        <v>85</v>
      </c>
      <c r="J654" s="464" cm="1">
        <f t="array" ref="J654">IFERROR(INDEX(★原価率!$A$2:$E$50,MATCH($C654&amp;$H654,★原価率!$A$2:$A$50&amp;★原価率!$B$2:$B$50,0),4),0)</f>
        <v>85</v>
      </c>
      <c r="K654" s="464" cm="1">
        <f t="array" ref="K654">IFERROR(INDEX(★原価率!$A$2:$E$50,MATCH($C654&amp;$H654,★原価率!$A$2:$A$50&amp;★原価率!$B$2:$B$50,0),5),0)</f>
        <v>100</v>
      </c>
      <c r="L654" s="528">
        <f>IFERROR(VLOOKUP(W654,★商品!$A$1:$H$1231,8,FALSE),0)</f>
        <v>2.8</v>
      </c>
      <c r="M654" s="203" t="str">
        <f ca="1">CONCATENATE(VLOOKUP(B654,★営業所!$A$2:$B$5,2,FALSE),TEXT(NOW(),"yyyy"))</f>
        <v>T2023</v>
      </c>
      <c r="N654" s="203">
        <v>1</v>
      </c>
      <c r="O654" s="203">
        <v>0</v>
      </c>
      <c r="P654" s="213">
        <f>申込書!$B$6</f>
        <v>0</v>
      </c>
      <c r="Q654" s="203">
        <f>申込書!$C$34</f>
        <v>1000040</v>
      </c>
      <c r="R654" s="203">
        <v>0</v>
      </c>
      <c r="U654" s="203">
        <f>VLOOKUP(B654,★営業所!$A$2:$C$5,3,FALSE)</f>
        <v>8</v>
      </c>
      <c r="V654" s="203">
        <f>申込書!$B$9</f>
        <v>0</v>
      </c>
      <c r="W654" s="203" t="str">
        <f>CONCATENATE(VLOOKUP(B654,★営業所!$A$2:$B$5,2,FALSE),VLOOKUP(申込書!$C$32,★サイズ表記!$D$4:$E$55,2,FALSE),VLOOKUP(D654,★折込地区!$A$2:$B$11,2,FALSE))</f>
        <v>T1001Yng</v>
      </c>
      <c r="X654" s="203" t="str">
        <f>CONCATENATE(申込書!$B$9," ",VLOOKUP(RIGHT(W654,3),★折込地区!$B$2:$C$10,2,FALSE),"")</f>
        <v xml:space="preserve"> 米子</v>
      </c>
      <c r="Z654" s="206">
        <f t="shared" ca="1" si="79"/>
        <v>0</v>
      </c>
      <c r="AB654" s="383">
        <f t="shared" si="80"/>
        <v>2.8</v>
      </c>
      <c r="AC654" s="203" t="str">
        <f t="shared" si="81"/>
        <v>V1001</v>
      </c>
      <c r="AD654" s="203" t="str">
        <f>VLOOKUP(AC654,★原価商品!$E$6:$F$349,2,FALSE)</f>
        <v>日経/B4（折り無し）</v>
      </c>
      <c r="AE654" s="203">
        <f t="shared" ca="1" si="82"/>
        <v>0</v>
      </c>
      <c r="AF654" s="383">
        <f ca="1">IFERROR(IF(VLOOKUP(申込書!$C$32,★サイズ表記!$F$4:$H$55,3,FALSE)="切り捨て",ROUNDDOWN(L654*IF(AK654="◎",I654,J654)/100,2),IF(VLOOKUP(申込書!$C$32,★サイズ表記!$F$4:$H$55,3,FALSE)="切り上げ",ROUNDUP(L654*IF(AK654="◎",I654,J654)/100,2),ROUND(L654*IF(AK654="◎",I654,J654)/100,2))),0)</f>
        <v>2.38</v>
      </c>
      <c r="AG654" s="203">
        <f t="shared" ca="1" si="83"/>
        <v>0</v>
      </c>
      <c r="AJ654" s="460" t="str">
        <f>IFERROR(VLOOKUP(申込書!$C$30,★業種!$D$2:$E$87,2,FALSE),"")</f>
        <v>1003</v>
      </c>
      <c r="AK654" s="460" t="str">
        <f ca="1">IF(申込書!$C$36="◎",IF(OR(D654="浜坂・温泉",D654="美方・村岡",D654="香住",D654="岡山",D654="大阪"),"",IF(LEFT(F654)="D","◎",IF(AG654=0,"",IFERROR(IF(VLOOKUP(AG654,★仕入先!$A$2:$C$211,3,FALSE)=0,"","◎"),"")))),"")</f>
        <v/>
      </c>
      <c r="AL654" s="460">
        <f>申込書!$H$14</f>
        <v>0</v>
      </c>
      <c r="AM654" s="460" t="str">
        <f>申込書!$C$32</f>
        <v>B4（折り無し）</v>
      </c>
      <c r="AN654" s="460" t="str">
        <f>VLOOKUP(AM654,★サイズ表記!$D$4:$E$55,2,FALSE)</f>
        <v>1001</v>
      </c>
      <c r="AO654" s="460">
        <f>IF(C654&lt;&gt;"⑧兵庫",VLOOKUP(LEFT(F654),★新聞!$A$4:$B$12,2,FALSE),IF(LEFT(F654)&lt;&gt;"S",VLOOKUP(LEFT(F654),★新聞!$A$4:$B$12,2,FALSE),VLOOKUP("X",★新聞!$A$4:$B$12,2,FALSE)))</f>
        <v>7</v>
      </c>
      <c r="AP654" s="460" t="str">
        <f t="shared" ca="1" si="84"/>
        <v>0</v>
      </c>
      <c r="AQ654" s="460" t="str">
        <f>IF(申込書!$C$38="","",申込書!$C$38)</f>
        <v/>
      </c>
    </row>
    <row r="655" spans="1:43">
      <c r="A655" s="463">
        <f t="shared" si="85"/>
        <v>654</v>
      </c>
      <c r="B655" s="463" t="str">
        <f t="shared" si="78"/>
        <v>東部</v>
      </c>
      <c r="C655" s="464" t="s">
        <v>1018</v>
      </c>
      <c r="D655" s="464" t="s">
        <v>1603</v>
      </c>
      <c r="E655" s="464">
        <f>VLOOKUP(D655,★折込地区!$A$2:$D$10,4,FALSE)</f>
        <v>3</v>
      </c>
      <c r="F655" s="464" t="s">
        <v>531</v>
      </c>
      <c r="G655" s="464" t="str">
        <f>INDEX(★新聞!$E$4:$I$12, MATCH(LEFT(F655),★新聞!$A$4:$A$12,0), MATCH(LEFT(W655),★新聞!$E$3:$I$3,0))</f>
        <v>AP</v>
      </c>
      <c r="H655" s="475" t="s">
        <v>1104</v>
      </c>
      <c r="I655" s="464" cm="1">
        <f t="array" ref="I655">IFERROR(INDEX(★原価率!$A$2:$E$50,MATCH($C655&amp;$H655,★原価率!$A$2:$A$50&amp;★原価率!$B$2:$B$50,0),3),0)</f>
        <v>85</v>
      </c>
      <c r="J655" s="464" cm="1">
        <f t="array" ref="J655">IFERROR(INDEX(★原価率!$A$2:$E$50,MATCH($C655&amp;$H655,★原価率!$A$2:$A$50&amp;★原価率!$B$2:$B$50,0),4),0)</f>
        <v>85</v>
      </c>
      <c r="K655" s="464" cm="1">
        <f t="array" ref="K655">IFERROR(INDEX(★原価率!$A$2:$E$50,MATCH($C655&amp;$H655,★原価率!$A$2:$A$50&amp;★原価率!$B$2:$B$50,0),5),0)</f>
        <v>100</v>
      </c>
      <c r="L655" s="528">
        <f>IFERROR(VLOOKUP(W655,★商品!$A$1:$H$1231,8,FALSE),0)</f>
        <v>2.8</v>
      </c>
      <c r="M655" s="203" t="str">
        <f ca="1">CONCATENATE(VLOOKUP(B655,★営業所!$A$2:$B$5,2,FALSE),TEXT(NOW(),"yyyy"))</f>
        <v>T2023</v>
      </c>
      <c r="N655" s="203">
        <v>1</v>
      </c>
      <c r="O655" s="203">
        <v>0</v>
      </c>
      <c r="P655" s="213">
        <f>申込書!$B$6</f>
        <v>0</v>
      </c>
      <c r="Q655" s="203">
        <f>申込書!$C$34</f>
        <v>1000040</v>
      </c>
      <c r="R655" s="203">
        <v>0</v>
      </c>
      <c r="U655" s="203">
        <f>VLOOKUP(B655,★営業所!$A$2:$C$5,3,FALSE)</f>
        <v>8</v>
      </c>
      <c r="V655" s="203">
        <f>申込書!$B$9</f>
        <v>0</v>
      </c>
      <c r="W655" s="203" t="str">
        <f>CONCATENATE(VLOOKUP(B655,★営業所!$A$2:$B$5,2,FALSE),VLOOKUP(申込書!$C$32,★サイズ表記!$D$4:$E$55,2,FALSE),VLOOKUP(D655,★折込地区!$A$2:$B$11,2,FALSE))</f>
        <v>T1001Yng</v>
      </c>
      <c r="X655" s="203" t="str">
        <f>CONCATENATE(申込書!$B$9," ",VLOOKUP(RIGHT(W655,3),★折込地区!$B$2:$C$10,2,FALSE),"")</f>
        <v xml:space="preserve"> 米子</v>
      </c>
      <c r="Z655" s="206">
        <f t="shared" ca="1" si="79"/>
        <v>0</v>
      </c>
      <c r="AB655" s="383">
        <f t="shared" si="80"/>
        <v>2.8</v>
      </c>
      <c r="AC655" s="203" t="str">
        <f t="shared" si="81"/>
        <v>V1001</v>
      </c>
      <c r="AD655" s="203" t="str">
        <f>VLOOKUP(AC655,★原価商品!$E$6:$F$349,2,FALSE)</f>
        <v>日経/B4（折り無し）</v>
      </c>
      <c r="AE655" s="203">
        <f t="shared" ca="1" si="82"/>
        <v>0</v>
      </c>
      <c r="AF655" s="383">
        <f ca="1">IFERROR(IF(VLOOKUP(申込書!$C$32,★サイズ表記!$F$4:$H$55,3,FALSE)="切り捨て",ROUNDDOWN(L655*IF(AK655="◎",I655,J655)/100,2),IF(VLOOKUP(申込書!$C$32,★サイズ表記!$F$4:$H$55,3,FALSE)="切り上げ",ROUNDUP(L655*IF(AK655="◎",I655,J655)/100,2),ROUND(L655*IF(AK655="◎",I655,J655)/100,2))),0)</f>
        <v>2.38</v>
      </c>
      <c r="AG655" s="203">
        <f t="shared" ca="1" si="83"/>
        <v>0</v>
      </c>
      <c r="AJ655" s="460" t="str">
        <f>IFERROR(VLOOKUP(申込書!$C$30,★業種!$D$2:$E$87,2,FALSE),"")</f>
        <v>1003</v>
      </c>
      <c r="AK655" s="460" t="str">
        <f ca="1">IF(申込書!$C$36="◎",IF(OR(D655="浜坂・温泉",D655="美方・村岡",D655="香住",D655="岡山",D655="大阪"),"",IF(LEFT(F655)="D","◎",IF(AG655=0,"",IFERROR(IF(VLOOKUP(AG655,★仕入先!$A$2:$C$211,3,FALSE)=0,"","◎"),"")))),"")</f>
        <v/>
      </c>
      <c r="AL655" s="460">
        <f>申込書!$H$14</f>
        <v>0</v>
      </c>
      <c r="AM655" s="460" t="str">
        <f>申込書!$C$32</f>
        <v>B4（折り無し）</v>
      </c>
      <c r="AN655" s="460" t="str">
        <f>VLOOKUP(AM655,★サイズ表記!$D$4:$E$55,2,FALSE)</f>
        <v>1001</v>
      </c>
      <c r="AO655" s="460">
        <f>IF(C655&lt;&gt;"⑧兵庫",VLOOKUP(LEFT(F655),★新聞!$A$4:$B$12,2,FALSE),IF(LEFT(F655)&lt;&gt;"S",VLOOKUP(LEFT(F655),★新聞!$A$4:$B$12,2,FALSE),VLOOKUP("X",★新聞!$A$4:$B$12,2,FALSE)))</f>
        <v>7</v>
      </c>
      <c r="AP655" s="460" t="str">
        <f t="shared" ca="1" si="84"/>
        <v>0</v>
      </c>
      <c r="AQ655" s="460" t="str">
        <f>IF(申込書!$C$38="","",申込書!$C$38)</f>
        <v/>
      </c>
    </row>
    <row r="656" spans="1:43">
      <c r="A656" s="463">
        <f t="shared" si="85"/>
        <v>655</v>
      </c>
      <c r="B656" s="463" t="str">
        <f t="shared" si="78"/>
        <v>東部</v>
      </c>
      <c r="C656" s="464" t="s">
        <v>1018</v>
      </c>
      <c r="D656" s="464" t="s">
        <v>1603</v>
      </c>
      <c r="E656" s="464">
        <f>VLOOKUP(D656,★折込地区!$A$2:$D$10,4,FALSE)</f>
        <v>3</v>
      </c>
      <c r="F656" s="464" t="s">
        <v>532</v>
      </c>
      <c r="G656" s="464" t="str">
        <f>INDEX(★新聞!$E$4:$I$12, MATCH(LEFT(F656),★新聞!$A$4:$A$12,0), MATCH(LEFT(W656),★新聞!$E$3:$I$3,0))</f>
        <v>AP</v>
      </c>
      <c r="H656" s="555" t="s">
        <v>1102</v>
      </c>
      <c r="I656" s="464" cm="1">
        <f t="array" ref="I656">IFERROR(INDEX(★原価率!$A$2:$E$50,MATCH($C656&amp;$H656,★原価率!$A$2:$A$50&amp;★原価率!$B$2:$B$50,0),3),0)</f>
        <v>81</v>
      </c>
      <c r="J656" s="464" cm="1">
        <f t="array" ref="J656">IFERROR(INDEX(★原価率!$A$2:$E$50,MATCH($C656&amp;$H656,★原価率!$A$2:$A$50&amp;★原価率!$B$2:$B$50,0),4),0)</f>
        <v>85</v>
      </c>
      <c r="K656" s="464" cm="1">
        <f t="array" ref="K656">IFERROR(INDEX(★原価率!$A$2:$E$50,MATCH($C656&amp;$H656,★原価率!$A$2:$A$50&amp;★原価率!$B$2:$B$50,0),5),0)</f>
        <v>100</v>
      </c>
      <c r="L656" s="528">
        <f>IFERROR(VLOOKUP(W656,★商品!$A$1:$H$1231,8,FALSE),0)</f>
        <v>2.8</v>
      </c>
      <c r="M656" s="203" t="str">
        <f ca="1">CONCATENATE(VLOOKUP(B656,★営業所!$A$2:$B$5,2,FALSE),TEXT(NOW(),"yyyy"))</f>
        <v>T2023</v>
      </c>
      <c r="N656" s="203">
        <v>1</v>
      </c>
      <c r="O656" s="203">
        <v>0</v>
      </c>
      <c r="P656" s="213">
        <f>申込書!$B$6</f>
        <v>0</v>
      </c>
      <c r="Q656" s="203">
        <f>申込書!$C$34</f>
        <v>1000040</v>
      </c>
      <c r="R656" s="203">
        <v>0</v>
      </c>
      <c r="U656" s="203">
        <f>VLOOKUP(B656,★営業所!$A$2:$C$5,3,FALSE)</f>
        <v>8</v>
      </c>
      <c r="V656" s="203">
        <f>申込書!$B$9</f>
        <v>0</v>
      </c>
      <c r="W656" s="203" t="str">
        <f>CONCATENATE(VLOOKUP(B656,★営業所!$A$2:$B$5,2,FALSE),VLOOKUP(申込書!$C$32,★サイズ表記!$D$4:$E$55,2,FALSE),VLOOKUP(D656,★折込地区!$A$2:$B$11,2,FALSE))</f>
        <v>T1001Yng</v>
      </c>
      <c r="X656" s="203" t="str">
        <f>CONCATENATE(申込書!$B$9," ",VLOOKUP(RIGHT(W656,3),★折込地区!$B$2:$C$10,2,FALSE),"")</f>
        <v xml:space="preserve"> 米子</v>
      </c>
      <c r="Z656" s="206">
        <f t="shared" ca="1" si="79"/>
        <v>0</v>
      </c>
      <c r="AB656" s="383">
        <f t="shared" si="80"/>
        <v>2.8</v>
      </c>
      <c r="AC656" s="203" t="str">
        <f t="shared" si="81"/>
        <v>V1001</v>
      </c>
      <c r="AD656" s="203" t="str">
        <f>VLOOKUP(AC656,★原価商品!$E$6:$F$349,2,FALSE)</f>
        <v>日経/B4（折り無し）</v>
      </c>
      <c r="AE656" s="203">
        <f t="shared" ca="1" si="82"/>
        <v>0</v>
      </c>
      <c r="AF656" s="383">
        <f ca="1">IFERROR(IF(VLOOKUP(申込書!$C$32,★サイズ表記!$F$4:$H$55,3,FALSE)="切り捨て",ROUNDDOWN(L656*IF(AK656="◎",I656,J656)/100,2),IF(VLOOKUP(申込書!$C$32,★サイズ表記!$F$4:$H$55,3,FALSE)="切り上げ",ROUNDUP(L656*IF(AK656="◎",I656,J656)/100,2),ROUND(L656*IF(AK656="◎",I656,J656)/100,2))),0)</f>
        <v>2.38</v>
      </c>
      <c r="AG656" s="203">
        <f t="shared" ca="1" si="83"/>
        <v>10561</v>
      </c>
      <c r="AJ656" s="460" t="str">
        <f>IFERROR(VLOOKUP(申込書!$C$30,★業種!$D$2:$E$87,2,FALSE),"")</f>
        <v>1003</v>
      </c>
      <c r="AK656" s="460" t="str">
        <f ca="1">IF(申込書!$C$36="◎",IF(OR(D656="浜坂・温泉",D656="美方・村岡",D656="香住",D656="岡山",D656="大阪"),"",IF(LEFT(F656)="D","◎",IF(AG656=0,"",IFERROR(IF(VLOOKUP(AG656,★仕入先!$A$2:$C$211,3,FALSE)=0,"","◎"),"")))),"")</f>
        <v/>
      </c>
      <c r="AL656" s="460">
        <f>申込書!$H$14</f>
        <v>0</v>
      </c>
      <c r="AM656" s="460" t="str">
        <f>申込書!$C$32</f>
        <v>B4（折り無し）</v>
      </c>
      <c r="AN656" s="460" t="str">
        <f>VLOOKUP(AM656,★サイズ表記!$D$4:$E$55,2,FALSE)</f>
        <v>1001</v>
      </c>
      <c r="AO656" s="460">
        <f>IF(C656&lt;&gt;"⑧兵庫",VLOOKUP(LEFT(F656),★新聞!$A$4:$B$12,2,FALSE),IF(LEFT(F656)&lt;&gt;"S",VLOOKUP(LEFT(F656),★新聞!$A$4:$B$12,2,FALSE),VLOOKUP("X",★新聞!$A$4:$B$12,2,FALSE)))</f>
        <v>7</v>
      </c>
      <c r="AP656" s="460" t="str">
        <f t="shared" ca="1" si="84"/>
        <v>0</v>
      </c>
      <c r="AQ656" s="460" t="str">
        <f>IF(申込書!$C$38="","",申込書!$C$38)</f>
        <v/>
      </c>
    </row>
    <row r="657" spans="1:43">
      <c r="A657" s="463">
        <f t="shared" si="85"/>
        <v>656</v>
      </c>
      <c r="B657" s="463" t="str">
        <f t="shared" si="78"/>
        <v>東部</v>
      </c>
      <c r="C657" s="464" t="s">
        <v>1018</v>
      </c>
      <c r="D657" s="464" t="s">
        <v>1603</v>
      </c>
      <c r="E657" s="464">
        <f>VLOOKUP(D657,★折込地区!$A$2:$D$10,4,FALSE)</f>
        <v>3</v>
      </c>
      <c r="F657" s="464" t="s">
        <v>533</v>
      </c>
      <c r="G657" s="464" t="str">
        <f>INDEX(★新聞!$E$4:$I$12, MATCH(LEFT(F657),★新聞!$A$4:$A$12,0), MATCH(LEFT(W657),★新聞!$E$3:$I$3,0))</f>
        <v>AP</v>
      </c>
      <c r="H657" s="555" t="s">
        <v>1102</v>
      </c>
      <c r="I657" s="464" cm="1">
        <f t="array" ref="I657">IFERROR(INDEX(★原価率!$A$2:$E$50,MATCH($C657&amp;$H657,★原価率!$A$2:$A$50&amp;★原価率!$B$2:$B$50,0),3),0)</f>
        <v>81</v>
      </c>
      <c r="J657" s="464" cm="1">
        <f t="array" ref="J657">IFERROR(INDEX(★原価率!$A$2:$E$50,MATCH($C657&amp;$H657,★原価率!$A$2:$A$50&amp;★原価率!$B$2:$B$50,0),4),0)</f>
        <v>85</v>
      </c>
      <c r="K657" s="464" cm="1">
        <f t="array" ref="K657">IFERROR(INDEX(★原価率!$A$2:$E$50,MATCH($C657&amp;$H657,★原価率!$A$2:$A$50&amp;★原価率!$B$2:$B$50,0),5),0)</f>
        <v>100</v>
      </c>
      <c r="L657" s="528">
        <f>IFERROR(VLOOKUP(W657,★商品!$A$1:$H$1231,8,FALSE),0)</f>
        <v>2.8</v>
      </c>
      <c r="M657" s="203" t="str">
        <f ca="1">CONCATENATE(VLOOKUP(B657,★営業所!$A$2:$B$5,2,FALSE),TEXT(NOW(),"yyyy"))</f>
        <v>T2023</v>
      </c>
      <c r="N657" s="203">
        <v>1</v>
      </c>
      <c r="O657" s="203">
        <v>0</v>
      </c>
      <c r="P657" s="213">
        <f>申込書!$B$6</f>
        <v>0</v>
      </c>
      <c r="Q657" s="203">
        <f>申込書!$C$34</f>
        <v>1000040</v>
      </c>
      <c r="R657" s="203">
        <v>0</v>
      </c>
      <c r="U657" s="203">
        <f>VLOOKUP(B657,★営業所!$A$2:$C$5,3,FALSE)</f>
        <v>8</v>
      </c>
      <c r="V657" s="203">
        <f>申込書!$B$9</f>
        <v>0</v>
      </c>
      <c r="W657" s="203" t="str">
        <f>CONCATENATE(VLOOKUP(B657,★営業所!$A$2:$B$5,2,FALSE),VLOOKUP(申込書!$C$32,★サイズ表記!$D$4:$E$55,2,FALSE),VLOOKUP(D657,★折込地区!$A$2:$B$11,2,FALSE))</f>
        <v>T1001Yng</v>
      </c>
      <c r="X657" s="203" t="str">
        <f>CONCATENATE(申込書!$B$9," ",VLOOKUP(RIGHT(W657,3),★折込地区!$B$2:$C$10,2,FALSE),"")</f>
        <v xml:space="preserve"> 米子</v>
      </c>
      <c r="Z657" s="206">
        <f t="shared" ca="1" si="79"/>
        <v>0</v>
      </c>
      <c r="AB657" s="383">
        <f t="shared" si="80"/>
        <v>2.8</v>
      </c>
      <c r="AC657" s="203" t="str">
        <f t="shared" si="81"/>
        <v>V1001</v>
      </c>
      <c r="AD657" s="203" t="str">
        <f>VLOOKUP(AC657,★原価商品!$E$6:$F$349,2,FALSE)</f>
        <v>日経/B4（折り無し）</v>
      </c>
      <c r="AE657" s="203">
        <f t="shared" ca="1" si="82"/>
        <v>0</v>
      </c>
      <c r="AF657" s="383">
        <f ca="1">IFERROR(IF(VLOOKUP(申込書!$C$32,★サイズ表記!$F$4:$H$55,3,FALSE)="切り捨て",ROUNDDOWN(L657*IF(AK657="◎",I657,J657)/100,2),IF(VLOOKUP(申込書!$C$32,★サイズ表記!$F$4:$H$55,3,FALSE)="切り上げ",ROUNDUP(L657*IF(AK657="◎",I657,J657)/100,2),ROUND(L657*IF(AK657="◎",I657,J657)/100,2))),0)</f>
        <v>2.38</v>
      </c>
      <c r="AG657" s="203">
        <f t="shared" ca="1" si="83"/>
        <v>10561</v>
      </c>
      <c r="AJ657" s="460" t="str">
        <f>IFERROR(VLOOKUP(申込書!$C$30,★業種!$D$2:$E$87,2,FALSE),"")</f>
        <v>1003</v>
      </c>
      <c r="AK657" s="460" t="str">
        <f ca="1">IF(申込書!$C$36="◎",IF(OR(D657="浜坂・温泉",D657="美方・村岡",D657="香住",D657="岡山",D657="大阪"),"",IF(LEFT(F657)="D","◎",IF(AG657=0,"",IFERROR(IF(VLOOKUP(AG657,★仕入先!$A$2:$C$211,3,FALSE)=0,"","◎"),"")))),"")</f>
        <v/>
      </c>
      <c r="AL657" s="460">
        <f>申込書!$H$14</f>
        <v>0</v>
      </c>
      <c r="AM657" s="460" t="str">
        <f>申込書!$C$32</f>
        <v>B4（折り無し）</v>
      </c>
      <c r="AN657" s="460" t="str">
        <f>VLOOKUP(AM657,★サイズ表記!$D$4:$E$55,2,FALSE)</f>
        <v>1001</v>
      </c>
      <c r="AO657" s="460">
        <f>IF(C657&lt;&gt;"⑧兵庫",VLOOKUP(LEFT(F657),★新聞!$A$4:$B$12,2,FALSE),IF(LEFT(F657)&lt;&gt;"S",VLOOKUP(LEFT(F657),★新聞!$A$4:$B$12,2,FALSE),VLOOKUP("X",★新聞!$A$4:$B$12,2,FALSE)))</f>
        <v>7</v>
      </c>
      <c r="AP657" s="460" t="str">
        <f t="shared" ca="1" si="84"/>
        <v>0</v>
      </c>
      <c r="AQ657" s="460" t="str">
        <f>IF(申込書!$C$38="","",申込書!$C$38)</f>
        <v/>
      </c>
    </row>
    <row r="658" spans="1:43">
      <c r="A658" s="463">
        <f t="shared" si="85"/>
        <v>657</v>
      </c>
      <c r="B658" s="463" t="str">
        <f t="shared" si="78"/>
        <v>東部</v>
      </c>
      <c r="C658" s="464" t="s">
        <v>1018</v>
      </c>
      <c r="D658" s="464" t="s">
        <v>1603</v>
      </c>
      <c r="E658" s="464">
        <f>VLOOKUP(D658,★折込地区!$A$2:$D$10,4,FALSE)</f>
        <v>3</v>
      </c>
      <c r="F658" s="464" t="s">
        <v>534</v>
      </c>
      <c r="G658" s="464" t="str">
        <f>INDEX(★新聞!$E$4:$I$12, MATCH(LEFT(F658),★新聞!$A$4:$A$12,0), MATCH(LEFT(W658),★新聞!$E$3:$I$3,0))</f>
        <v>AP</v>
      </c>
      <c r="H658" s="555" t="s">
        <v>1102</v>
      </c>
      <c r="I658" s="464" cm="1">
        <f t="array" ref="I658">IFERROR(INDEX(★原価率!$A$2:$E$50,MATCH($C658&amp;$H658,★原価率!$A$2:$A$50&amp;★原価率!$B$2:$B$50,0),3),0)</f>
        <v>81</v>
      </c>
      <c r="J658" s="464" cm="1">
        <f t="array" ref="J658">IFERROR(INDEX(★原価率!$A$2:$E$50,MATCH($C658&amp;$H658,★原価率!$A$2:$A$50&amp;★原価率!$B$2:$B$50,0),4),0)</f>
        <v>85</v>
      </c>
      <c r="K658" s="464" cm="1">
        <f t="array" ref="K658">IFERROR(INDEX(★原価率!$A$2:$E$50,MATCH($C658&amp;$H658,★原価率!$A$2:$A$50&amp;★原価率!$B$2:$B$50,0),5),0)</f>
        <v>100</v>
      </c>
      <c r="L658" s="528">
        <f>IFERROR(VLOOKUP(W658,★商品!$A$1:$H$1231,8,FALSE),0)</f>
        <v>2.8</v>
      </c>
      <c r="M658" s="203" t="str">
        <f ca="1">CONCATENATE(VLOOKUP(B658,★営業所!$A$2:$B$5,2,FALSE),TEXT(NOW(),"yyyy"))</f>
        <v>T2023</v>
      </c>
      <c r="N658" s="203">
        <v>1</v>
      </c>
      <c r="O658" s="203">
        <v>0</v>
      </c>
      <c r="P658" s="213">
        <f>申込書!$B$6</f>
        <v>0</v>
      </c>
      <c r="Q658" s="203">
        <f>申込書!$C$34</f>
        <v>1000040</v>
      </c>
      <c r="R658" s="203">
        <v>0</v>
      </c>
      <c r="U658" s="203">
        <f>VLOOKUP(B658,★営業所!$A$2:$C$5,3,FALSE)</f>
        <v>8</v>
      </c>
      <c r="V658" s="203">
        <f>申込書!$B$9</f>
        <v>0</v>
      </c>
      <c r="W658" s="203" t="str">
        <f>CONCATENATE(VLOOKUP(B658,★営業所!$A$2:$B$5,2,FALSE),VLOOKUP(申込書!$C$32,★サイズ表記!$D$4:$E$55,2,FALSE),VLOOKUP(D658,★折込地区!$A$2:$B$11,2,FALSE))</f>
        <v>T1001Yng</v>
      </c>
      <c r="X658" s="203" t="str">
        <f>CONCATENATE(申込書!$B$9," ",VLOOKUP(RIGHT(W658,3),★折込地区!$B$2:$C$10,2,FALSE),"")</f>
        <v xml:space="preserve"> 米子</v>
      </c>
      <c r="Z658" s="206">
        <f t="shared" ca="1" si="79"/>
        <v>0</v>
      </c>
      <c r="AB658" s="383">
        <f t="shared" si="80"/>
        <v>2.8</v>
      </c>
      <c r="AC658" s="203" t="str">
        <f t="shared" si="81"/>
        <v>V1001</v>
      </c>
      <c r="AD658" s="203" t="str">
        <f>VLOOKUP(AC658,★原価商品!$E$6:$F$349,2,FALSE)</f>
        <v>日経/B4（折り無し）</v>
      </c>
      <c r="AE658" s="203">
        <f t="shared" ca="1" si="82"/>
        <v>0</v>
      </c>
      <c r="AF658" s="383">
        <f ca="1">IFERROR(IF(VLOOKUP(申込書!$C$32,★サイズ表記!$F$4:$H$55,3,FALSE)="切り捨て",ROUNDDOWN(L658*IF(AK658="◎",I658,J658)/100,2),IF(VLOOKUP(申込書!$C$32,★サイズ表記!$F$4:$H$55,3,FALSE)="切り上げ",ROUNDUP(L658*IF(AK658="◎",I658,J658)/100,2),ROUND(L658*IF(AK658="◎",I658,J658)/100,2))),0)</f>
        <v>2.38</v>
      </c>
      <c r="AG658" s="203">
        <f t="shared" ca="1" si="83"/>
        <v>10561</v>
      </c>
      <c r="AJ658" s="460" t="str">
        <f>IFERROR(VLOOKUP(申込書!$C$30,★業種!$D$2:$E$87,2,FALSE),"")</f>
        <v>1003</v>
      </c>
      <c r="AK658" s="460" t="str">
        <f ca="1">IF(申込書!$C$36="◎",IF(OR(D658="浜坂・温泉",D658="美方・村岡",D658="香住",D658="岡山",D658="大阪"),"",IF(LEFT(F658)="D","◎",IF(AG658=0,"",IFERROR(IF(VLOOKUP(AG658,★仕入先!$A$2:$C$211,3,FALSE)=0,"","◎"),"")))),"")</f>
        <v/>
      </c>
      <c r="AL658" s="460">
        <f>申込書!$H$14</f>
        <v>0</v>
      </c>
      <c r="AM658" s="460" t="str">
        <f>申込書!$C$32</f>
        <v>B4（折り無し）</v>
      </c>
      <c r="AN658" s="460" t="str">
        <f>VLOOKUP(AM658,★サイズ表記!$D$4:$E$55,2,FALSE)</f>
        <v>1001</v>
      </c>
      <c r="AO658" s="460">
        <f>IF(C658&lt;&gt;"⑧兵庫",VLOOKUP(LEFT(F658),★新聞!$A$4:$B$12,2,FALSE),IF(LEFT(F658)&lt;&gt;"S",VLOOKUP(LEFT(F658),★新聞!$A$4:$B$12,2,FALSE),VLOOKUP("X",★新聞!$A$4:$B$12,2,FALSE)))</f>
        <v>7</v>
      </c>
      <c r="AP658" s="460" t="str">
        <f t="shared" ca="1" si="84"/>
        <v>0</v>
      </c>
      <c r="AQ658" s="460" t="str">
        <f>IF(申込書!$C$38="","",申込書!$C$38)</f>
        <v/>
      </c>
    </row>
    <row r="659" spans="1:43">
      <c r="A659" s="463">
        <f t="shared" si="85"/>
        <v>658</v>
      </c>
      <c r="B659" s="463" t="str">
        <f t="shared" si="78"/>
        <v>東部</v>
      </c>
      <c r="C659" s="464" t="s">
        <v>1019</v>
      </c>
      <c r="D659" s="464" t="s">
        <v>1603</v>
      </c>
      <c r="E659" s="464">
        <f>VLOOKUP(D659,★折込地区!$A$2:$D$10,4,FALSE)</f>
        <v>3</v>
      </c>
      <c r="F659" s="464" t="s">
        <v>362</v>
      </c>
      <c r="G659" s="464" t="str">
        <f>INDEX(★新聞!$E$4:$I$12, MATCH(LEFT(F659),★新聞!$A$4:$A$12,0), MATCH(LEFT(W659),★新聞!$E$3:$I$3,0))</f>
        <v>X</v>
      </c>
      <c r="H659" s="475" t="s">
        <v>1102</v>
      </c>
      <c r="I659" s="464" cm="1">
        <f t="array" ref="I659">IFERROR(INDEX(★原価率!$A$2:$E$50,MATCH($C659&amp;$H659,★原価率!$A$2:$A$50&amp;★原価率!$B$2:$B$50,0),3),0)</f>
        <v>80</v>
      </c>
      <c r="J659" s="464" cm="1">
        <f t="array" ref="J659">IFERROR(INDEX(★原価率!$A$2:$E$50,MATCH($C659&amp;$H659,★原価率!$A$2:$A$50&amp;★原価率!$B$2:$B$50,0),4),0)</f>
        <v>84</v>
      </c>
      <c r="K659" s="464" cm="1">
        <f t="array" ref="K659">IFERROR(INDEX(★原価率!$A$2:$E$50,MATCH($C659&amp;$H659,★原価率!$A$2:$A$50&amp;★原価率!$B$2:$B$50,0),5),0)</f>
        <v>100</v>
      </c>
      <c r="L659" s="528">
        <f>IFERROR(VLOOKUP(W659,★商品!$A$1:$H$1231,8,FALSE),0)</f>
        <v>2.8</v>
      </c>
      <c r="M659" s="203" t="str">
        <f ca="1">CONCATENATE(VLOOKUP(B659,★営業所!$A$2:$B$5,2,FALSE),TEXT(NOW(),"yyyy"))</f>
        <v>T2023</v>
      </c>
      <c r="N659" s="203">
        <v>1</v>
      </c>
      <c r="O659" s="203">
        <v>0</v>
      </c>
      <c r="P659" s="213">
        <f>申込書!$B$6</f>
        <v>0</v>
      </c>
      <c r="Q659" s="203">
        <f>申込書!$C$34</f>
        <v>1000040</v>
      </c>
      <c r="R659" s="203">
        <v>0</v>
      </c>
      <c r="U659" s="203">
        <f>VLOOKUP(B659,★営業所!$A$2:$C$5,3,FALSE)</f>
        <v>8</v>
      </c>
      <c r="V659" s="203">
        <f>申込書!$B$9</f>
        <v>0</v>
      </c>
      <c r="W659" s="203" t="str">
        <f>CONCATENATE(VLOOKUP(B659,★営業所!$A$2:$B$5,2,FALSE),VLOOKUP(申込書!$C$32,★サイズ表記!$D$4:$E$55,2,FALSE),VLOOKUP(D659,★折込地区!$A$2:$B$11,2,FALSE))</f>
        <v>T1001Yng</v>
      </c>
      <c r="X659" s="203" t="str">
        <f>CONCATENATE(申込書!$B$9," ",VLOOKUP(RIGHT(W659,3),★折込地区!$B$2:$C$10,2,FALSE),"")</f>
        <v xml:space="preserve"> 米子</v>
      </c>
      <c r="Z659" s="206">
        <f t="shared" ca="1" si="79"/>
        <v>0</v>
      </c>
      <c r="AB659" s="383">
        <f t="shared" si="80"/>
        <v>2.8</v>
      </c>
      <c r="AC659" s="203" t="str">
        <f t="shared" si="81"/>
        <v>D1001</v>
      </c>
      <c r="AD659" s="203" t="str">
        <f>VLOOKUP(AC659,★原価商品!$E$6:$F$349,2,FALSE)</f>
        <v>日本海/B4（折り無し）</v>
      </c>
      <c r="AE659" s="203">
        <f t="shared" ca="1" si="82"/>
        <v>0</v>
      </c>
      <c r="AF659" s="383">
        <f>IFERROR(IF(VLOOKUP(申込書!$C$32,★サイズ表記!$F$4:$H$55,3,FALSE)="切り捨て",ROUNDDOWN(L659*IF(AK659="◎",I659,J659)/100,2),IF(VLOOKUP(申込書!$C$32,★サイズ表記!$F$4:$H$55,3,FALSE)="切り上げ",ROUNDUP(L659*IF(AK659="◎",I659,J659)/100,2),ROUND(L659*IF(AK659="◎",I659,J659)/100,2))),0)</f>
        <v>2.2400000000000002</v>
      </c>
      <c r="AG659" s="203">
        <f t="shared" ca="1" si="83"/>
        <v>10561</v>
      </c>
      <c r="AJ659" s="460" t="str">
        <f>IFERROR(VLOOKUP(申込書!$C$30,★業種!$D$2:$E$87,2,FALSE),"")</f>
        <v>1003</v>
      </c>
      <c r="AK659" s="460" t="str">
        <f>IF(申込書!$C$36="◎",IF(OR(D659="浜坂・温泉",D659="美方・村岡",D659="香住",D659="岡山",D659="大阪"),"",IF(LEFT(F659)="D","◎",IF(AG659=0,"",IFERROR(IF(VLOOKUP(AG659,★仕入先!$A$2:$C$211,3,FALSE)=0,"","◎"),"")))),"")</f>
        <v>◎</v>
      </c>
      <c r="AL659" s="460">
        <f>申込書!$H$14</f>
        <v>0</v>
      </c>
      <c r="AM659" s="460" t="str">
        <f>申込書!$C$32</f>
        <v>B4（折り無し）</v>
      </c>
      <c r="AN659" s="460" t="str">
        <f>VLOOKUP(AM659,★サイズ表記!$D$4:$E$55,2,FALSE)</f>
        <v>1001</v>
      </c>
      <c r="AO659" s="460">
        <f>IF(C659&lt;&gt;"⑧兵庫",VLOOKUP(LEFT(F659),★新聞!$A$4:$B$12,2,FALSE),IF(LEFT(F659)&lt;&gt;"S",VLOOKUP(LEFT(F659),★新聞!$A$4:$B$12,2,FALSE),VLOOKUP("X",★新聞!$A$4:$B$12,2,FALSE)))</f>
        <v>1</v>
      </c>
      <c r="AP659" s="460" t="str">
        <f t="shared" ca="1" si="84"/>
        <v>0</v>
      </c>
      <c r="AQ659" s="460" t="str">
        <f>IF(申込書!$C$38="","",申込書!$C$38)</f>
        <v/>
      </c>
    </row>
    <row r="660" spans="1:43">
      <c r="A660" s="463">
        <f t="shared" si="85"/>
        <v>659</v>
      </c>
      <c r="B660" s="463" t="str">
        <f t="shared" si="78"/>
        <v>東部</v>
      </c>
      <c r="C660" s="464" t="s">
        <v>1019</v>
      </c>
      <c r="D660" s="464" t="s">
        <v>1603</v>
      </c>
      <c r="E660" s="464">
        <f>VLOOKUP(D660,★折込地区!$A$2:$D$10,4,FALSE)</f>
        <v>3</v>
      </c>
      <c r="F660" s="464" t="s">
        <v>385</v>
      </c>
      <c r="G660" s="464" t="str">
        <f>INDEX(★新聞!$E$4:$I$12, MATCH(LEFT(F660),★新聞!$A$4:$A$12,0), MATCH(LEFT(W660),★新聞!$E$3:$I$3,0))</f>
        <v>X</v>
      </c>
      <c r="H660" s="475" t="s">
        <v>1102</v>
      </c>
      <c r="I660" s="464" cm="1">
        <f t="array" ref="I660">IFERROR(INDEX(★原価率!$A$2:$E$50,MATCH($C660&amp;$H660,★原価率!$A$2:$A$50&amp;★原価率!$B$2:$B$50,0),3),0)</f>
        <v>80</v>
      </c>
      <c r="J660" s="464" cm="1">
        <f t="array" ref="J660">IFERROR(INDEX(★原価率!$A$2:$E$50,MATCH($C660&amp;$H660,★原価率!$A$2:$A$50&amp;★原価率!$B$2:$B$50,0),4),0)</f>
        <v>84</v>
      </c>
      <c r="K660" s="464" cm="1">
        <f t="array" ref="K660">IFERROR(INDEX(★原価率!$A$2:$E$50,MATCH($C660&amp;$H660,★原価率!$A$2:$A$50&amp;★原価率!$B$2:$B$50,0),5),0)</f>
        <v>100</v>
      </c>
      <c r="L660" s="528">
        <f>IFERROR(VLOOKUP(W660,★商品!$A$1:$H$1231,8,FALSE),0)</f>
        <v>2.8</v>
      </c>
      <c r="M660" s="203" t="str">
        <f ca="1">CONCATENATE(VLOOKUP(B660,★営業所!$A$2:$B$5,2,FALSE),TEXT(NOW(),"yyyy"))</f>
        <v>T2023</v>
      </c>
      <c r="N660" s="203">
        <v>1</v>
      </c>
      <c r="O660" s="203">
        <v>0</v>
      </c>
      <c r="P660" s="213">
        <f>申込書!$B$6</f>
        <v>0</v>
      </c>
      <c r="Q660" s="203">
        <f>申込書!$C$34</f>
        <v>1000040</v>
      </c>
      <c r="R660" s="203">
        <v>0</v>
      </c>
      <c r="U660" s="203">
        <f>VLOOKUP(B660,★営業所!$A$2:$C$5,3,FALSE)</f>
        <v>8</v>
      </c>
      <c r="V660" s="203">
        <f>申込書!$B$9</f>
        <v>0</v>
      </c>
      <c r="W660" s="203" t="str">
        <f>CONCATENATE(VLOOKUP(B660,★営業所!$A$2:$B$5,2,FALSE),VLOOKUP(申込書!$C$32,★サイズ表記!$D$4:$E$55,2,FALSE),VLOOKUP(D660,★折込地区!$A$2:$B$11,2,FALSE))</f>
        <v>T1001Yng</v>
      </c>
      <c r="X660" s="203" t="str">
        <f>CONCATENATE(申込書!$B$9," ",VLOOKUP(RIGHT(W660,3),★折込地区!$B$2:$C$10,2,FALSE),"")</f>
        <v xml:space="preserve"> 米子</v>
      </c>
      <c r="Z660" s="206">
        <f t="shared" ca="1" si="79"/>
        <v>0</v>
      </c>
      <c r="AB660" s="383">
        <f t="shared" si="80"/>
        <v>2.8</v>
      </c>
      <c r="AC660" s="203" t="str">
        <f t="shared" si="81"/>
        <v>D1001</v>
      </c>
      <c r="AD660" s="203" t="str">
        <f>VLOOKUP(AC660,★原価商品!$E$6:$F$349,2,FALSE)</f>
        <v>日本海/B4（折り無し）</v>
      </c>
      <c r="AE660" s="203">
        <f t="shared" ca="1" si="82"/>
        <v>0</v>
      </c>
      <c r="AF660" s="383">
        <f>IFERROR(IF(VLOOKUP(申込書!$C$32,★サイズ表記!$F$4:$H$55,3,FALSE)="切り捨て",ROUNDDOWN(L660*IF(AK660="◎",I660,J660)/100,2),IF(VLOOKUP(申込書!$C$32,★サイズ表記!$F$4:$H$55,3,FALSE)="切り上げ",ROUNDUP(L660*IF(AK660="◎",I660,J660)/100,2),ROUND(L660*IF(AK660="◎",I660,J660)/100,2))),0)</f>
        <v>2.2400000000000002</v>
      </c>
      <c r="AG660" s="203">
        <f t="shared" ca="1" si="83"/>
        <v>10561</v>
      </c>
      <c r="AJ660" s="460" t="str">
        <f>IFERROR(VLOOKUP(申込書!$C$30,★業種!$D$2:$E$87,2,FALSE),"")</f>
        <v>1003</v>
      </c>
      <c r="AK660" s="460" t="str">
        <f>IF(申込書!$C$36="◎",IF(OR(D660="浜坂・温泉",D660="美方・村岡",D660="香住",D660="岡山",D660="大阪"),"",IF(LEFT(F660)="D","◎",IF(AG660=0,"",IFERROR(IF(VLOOKUP(AG660,★仕入先!$A$2:$C$211,3,FALSE)=0,"","◎"),"")))),"")</f>
        <v>◎</v>
      </c>
      <c r="AL660" s="460">
        <f>申込書!$H$14</f>
        <v>0</v>
      </c>
      <c r="AM660" s="460" t="str">
        <f>申込書!$C$32</f>
        <v>B4（折り無し）</v>
      </c>
      <c r="AN660" s="460" t="str">
        <f>VLOOKUP(AM660,★サイズ表記!$D$4:$E$55,2,FALSE)</f>
        <v>1001</v>
      </c>
      <c r="AO660" s="460">
        <f>IF(C660&lt;&gt;"⑧兵庫",VLOOKUP(LEFT(F660),★新聞!$A$4:$B$12,2,FALSE),IF(LEFT(F660)&lt;&gt;"S",VLOOKUP(LEFT(F660),★新聞!$A$4:$B$12,2,FALSE),VLOOKUP("X",★新聞!$A$4:$B$12,2,FALSE)))</f>
        <v>1</v>
      </c>
      <c r="AP660" s="460" t="str">
        <f t="shared" ca="1" si="84"/>
        <v>0</v>
      </c>
      <c r="AQ660" s="460" t="str">
        <f>IF(申込書!$C$38="","",申込書!$C$38)</f>
        <v/>
      </c>
    </row>
    <row r="661" spans="1:43">
      <c r="A661" s="463">
        <f t="shared" si="85"/>
        <v>660</v>
      </c>
      <c r="B661" s="463" t="str">
        <f t="shared" si="78"/>
        <v>東部</v>
      </c>
      <c r="C661" s="464" t="s">
        <v>1019</v>
      </c>
      <c r="D661" s="464" t="s">
        <v>1603</v>
      </c>
      <c r="E661" s="464">
        <f>VLOOKUP(D661,★折込地区!$A$2:$D$10,4,FALSE)</f>
        <v>3</v>
      </c>
      <c r="F661" s="464" t="s">
        <v>386</v>
      </c>
      <c r="G661" s="464" t="str">
        <f>INDEX(★新聞!$E$4:$I$12, MATCH(LEFT(F661),★新聞!$A$4:$A$12,0), MATCH(LEFT(W661),★新聞!$E$3:$I$3,0))</f>
        <v>X</v>
      </c>
      <c r="H661" s="475" t="s">
        <v>1102</v>
      </c>
      <c r="I661" s="464" cm="1">
        <f t="array" ref="I661">IFERROR(INDEX(★原価率!$A$2:$E$50,MATCH($C661&amp;$H661,★原価率!$A$2:$A$50&amp;★原価率!$B$2:$B$50,0),3),0)</f>
        <v>80</v>
      </c>
      <c r="J661" s="464" cm="1">
        <f t="array" ref="J661">IFERROR(INDEX(★原価率!$A$2:$E$50,MATCH($C661&amp;$H661,★原価率!$A$2:$A$50&amp;★原価率!$B$2:$B$50,0),4),0)</f>
        <v>84</v>
      </c>
      <c r="K661" s="464" cm="1">
        <f t="array" ref="K661">IFERROR(INDEX(★原価率!$A$2:$E$50,MATCH($C661&amp;$H661,★原価率!$A$2:$A$50&amp;★原価率!$B$2:$B$50,0),5),0)</f>
        <v>100</v>
      </c>
      <c r="L661" s="528">
        <f>IFERROR(VLOOKUP(W661,★商品!$A$1:$H$1231,8,FALSE),0)</f>
        <v>2.8</v>
      </c>
      <c r="M661" s="203" t="str">
        <f ca="1">CONCATENATE(VLOOKUP(B661,★営業所!$A$2:$B$5,2,FALSE),TEXT(NOW(),"yyyy"))</f>
        <v>T2023</v>
      </c>
      <c r="N661" s="203">
        <v>1</v>
      </c>
      <c r="O661" s="203">
        <v>0</v>
      </c>
      <c r="P661" s="213">
        <f>申込書!$B$6</f>
        <v>0</v>
      </c>
      <c r="Q661" s="203">
        <f>申込書!$C$34</f>
        <v>1000040</v>
      </c>
      <c r="R661" s="203">
        <v>0</v>
      </c>
      <c r="U661" s="203">
        <f>VLOOKUP(B661,★営業所!$A$2:$C$5,3,FALSE)</f>
        <v>8</v>
      </c>
      <c r="V661" s="203">
        <f>申込書!$B$9</f>
        <v>0</v>
      </c>
      <c r="W661" s="203" t="str">
        <f>CONCATENATE(VLOOKUP(B661,★営業所!$A$2:$B$5,2,FALSE),VLOOKUP(申込書!$C$32,★サイズ表記!$D$4:$E$55,2,FALSE),VLOOKUP(D661,★折込地区!$A$2:$B$11,2,FALSE))</f>
        <v>T1001Yng</v>
      </c>
      <c r="X661" s="203" t="str">
        <f>CONCATENATE(申込書!$B$9," ",VLOOKUP(RIGHT(W661,3),★折込地区!$B$2:$C$10,2,FALSE),"")</f>
        <v xml:space="preserve"> 米子</v>
      </c>
      <c r="Z661" s="206">
        <f t="shared" ca="1" si="79"/>
        <v>0</v>
      </c>
      <c r="AB661" s="383">
        <f t="shared" si="80"/>
        <v>2.8</v>
      </c>
      <c r="AC661" s="203" t="str">
        <f t="shared" si="81"/>
        <v>D1001</v>
      </c>
      <c r="AD661" s="203" t="str">
        <f>VLOOKUP(AC661,★原価商品!$E$6:$F$349,2,FALSE)</f>
        <v>日本海/B4（折り無し）</v>
      </c>
      <c r="AE661" s="203">
        <f t="shared" ca="1" si="82"/>
        <v>0</v>
      </c>
      <c r="AF661" s="383">
        <f>IFERROR(IF(VLOOKUP(申込書!$C$32,★サイズ表記!$F$4:$H$55,3,FALSE)="切り捨て",ROUNDDOWN(L661*IF(AK661="◎",I661,J661)/100,2),IF(VLOOKUP(申込書!$C$32,★サイズ表記!$F$4:$H$55,3,FALSE)="切り上げ",ROUNDUP(L661*IF(AK661="◎",I661,J661)/100,2),ROUND(L661*IF(AK661="◎",I661,J661)/100,2))),0)</f>
        <v>2.2400000000000002</v>
      </c>
      <c r="AG661" s="203">
        <f t="shared" ca="1" si="83"/>
        <v>10561</v>
      </c>
      <c r="AJ661" s="460" t="str">
        <f>IFERROR(VLOOKUP(申込書!$C$30,★業種!$D$2:$E$87,2,FALSE),"")</f>
        <v>1003</v>
      </c>
      <c r="AK661" s="460" t="str">
        <f>IF(申込書!$C$36="◎",IF(OR(D661="浜坂・温泉",D661="美方・村岡",D661="香住",D661="岡山",D661="大阪"),"",IF(LEFT(F661)="D","◎",IF(AG661=0,"",IFERROR(IF(VLOOKUP(AG661,★仕入先!$A$2:$C$211,3,FALSE)=0,"","◎"),"")))),"")</f>
        <v>◎</v>
      </c>
      <c r="AL661" s="460">
        <f>申込書!$H$14</f>
        <v>0</v>
      </c>
      <c r="AM661" s="460" t="str">
        <f>申込書!$C$32</f>
        <v>B4（折り無し）</v>
      </c>
      <c r="AN661" s="460" t="str">
        <f>VLOOKUP(AM661,★サイズ表記!$D$4:$E$55,2,FALSE)</f>
        <v>1001</v>
      </c>
      <c r="AO661" s="460">
        <f>IF(C661&lt;&gt;"⑧兵庫",VLOOKUP(LEFT(F661),★新聞!$A$4:$B$12,2,FALSE),IF(LEFT(F661)&lt;&gt;"S",VLOOKUP(LEFT(F661),★新聞!$A$4:$B$12,2,FALSE),VLOOKUP("X",★新聞!$A$4:$B$12,2,FALSE)))</f>
        <v>1</v>
      </c>
      <c r="AP661" s="460" t="str">
        <f t="shared" ca="1" si="84"/>
        <v>0</v>
      </c>
      <c r="AQ661" s="460" t="str">
        <f>IF(申込書!$C$38="","",申込書!$C$38)</f>
        <v/>
      </c>
    </row>
    <row r="662" spans="1:43">
      <c r="A662" s="463">
        <f t="shared" si="85"/>
        <v>661</v>
      </c>
      <c r="B662" s="463" t="str">
        <f t="shared" si="78"/>
        <v>東部</v>
      </c>
      <c r="C662" s="464" t="s">
        <v>1019</v>
      </c>
      <c r="D662" s="464" t="s">
        <v>1603</v>
      </c>
      <c r="E662" s="464">
        <f>VLOOKUP(D662,★折込地区!$A$2:$D$10,4,FALSE)</f>
        <v>3</v>
      </c>
      <c r="F662" s="464" t="s">
        <v>387</v>
      </c>
      <c r="G662" s="464" t="str">
        <f>INDEX(★新聞!$E$4:$I$12, MATCH(LEFT(F662),★新聞!$A$4:$A$12,0), MATCH(LEFT(W662),★新聞!$E$3:$I$3,0))</f>
        <v>X</v>
      </c>
      <c r="H662" s="475" t="s">
        <v>1102</v>
      </c>
      <c r="I662" s="464" cm="1">
        <f t="array" ref="I662">IFERROR(INDEX(★原価率!$A$2:$E$50,MATCH($C662&amp;$H662,★原価率!$A$2:$A$50&amp;★原価率!$B$2:$B$50,0),3),0)</f>
        <v>80</v>
      </c>
      <c r="J662" s="464" cm="1">
        <f t="array" ref="J662">IFERROR(INDEX(★原価率!$A$2:$E$50,MATCH($C662&amp;$H662,★原価率!$A$2:$A$50&amp;★原価率!$B$2:$B$50,0),4),0)</f>
        <v>84</v>
      </c>
      <c r="K662" s="464" cm="1">
        <f t="array" ref="K662">IFERROR(INDEX(★原価率!$A$2:$E$50,MATCH($C662&amp;$H662,★原価率!$A$2:$A$50&amp;★原価率!$B$2:$B$50,0),5),0)</f>
        <v>100</v>
      </c>
      <c r="L662" s="528">
        <f>IFERROR(VLOOKUP(W662,★商品!$A$1:$H$1231,8,FALSE),0)</f>
        <v>2.8</v>
      </c>
      <c r="M662" s="203" t="str">
        <f ca="1">CONCATENATE(VLOOKUP(B662,★営業所!$A$2:$B$5,2,FALSE),TEXT(NOW(),"yyyy"))</f>
        <v>T2023</v>
      </c>
      <c r="N662" s="203">
        <v>1</v>
      </c>
      <c r="O662" s="203">
        <v>0</v>
      </c>
      <c r="P662" s="213">
        <f>申込書!$B$6</f>
        <v>0</v>
      </c>
      <c r="Q662" s="203">
        <f>申込書!$C$34</f>
        <v>1000040</v>
      </c>
      <c r="R662" s="203">
        <v>0</v>
      </c>
      <c r="U662" s="203">
        <f>VLOOKUP(B662,★営業所!$A$2:$C$5,3,FALSE)</f>
        <v>8</v>
      </c>
      <c r="V662" s="203">
        <f>申込書!$B$9</f>
        <v>0</v>
      </c>
      <c r="W662" s="203" t="str">
        <f>CONCATENATE(VLOOKUP(B662,★営業所!$A$2:$B$5,2,FALSE),VLOOKUP(申込書!$C$32,★サイズ表記!$D$4:$E$55,2,FALSE),VLOOKUP(D662,★折込地区!$A$2:$B$11,2,FALSE))</f>
        <v>T1001Yng</v>
      </c>
      <c r="X662" s="203" t="str">
        <f>CONCATENATE(申込書!$B$9," ",VLOOKUP(RIGHT(W662,3),★折込地区!$B$2:$C$10,2,FALSE),"")</f>
        <v xml:space="preserve"> 米子</v>
      </c>
      <c r="Z662" s="206">
        <f t="shared" ca="1" si="79"/>
        <v>0</v>
      </c>
      <c r="AB662" s="383">
        <f t="shared" si="80"/>
        <v>2.8</v>
      </c>
      <c r="AC662" s="203" t="str">
        <f t="shared" si="81"/>
        <v>D1001</v>
      </c>
      <c r="AD662" s="203" t="str">
        <f>VLOOKUP(AC662,★原価商品!$E$6:$F$349,2,FALSE)</f>
        <v>日本海/B4（折り無し）</v>
      </c>
      <c r="AE662" s="203">
        <f t="shared" ca="1" si="82"/>
        <v>0</v>
      </c>
      <c r="AF662" s="383">
        <f>IFERROR(IF(VLOOKUP(申込書!$C$32,★サイズ表記!$F$4:$H$55,3,FALSE)="切り捨て",ROUNDDOWN(L662*IF(AK662="◎",I662,J662)/100,2),IF(VLOOKUP(申込書!$C$32,★サイズ表記!$F$4:$H$55,3,FALSE)="切り上げ",ROUNDUP(L662*IF(AK662="◎",I662,J662)/100,2),ROUND(L662*IF(AK662="◎",I662,J662)/100,2))),0)</f>
        <v>2.2400000000000002</v>
      </c>
      <c r="AG662" s="203">
        <f t="shared" ca="1" si="83"/>
        <v>10561</v>
      </c>
      <c r="AJ662" s="460" t="str">
        <f>IFERROR(VLOOKUP(申込書!$C$30,★業種!$D$2:$E$87,2,FALSE),"")</f>
        <v>1003</v>
      </c>
      <c r="AK662" s="460" t="str">
        <f>IF(申込書!$C$36="◎",IF(OR(D662="浜坂・温泉",D662="美方・村岡",D662="香住",D662="岡山",D662="大阪"),"",IF(LEFT(F662)="D","◎",IF(AG662=0,"",IFERROR(IF(VLOOKUP(AG662,★仕入先!$A$2:$C$211,3,FALSE)=0,"","◎"),"")))),"")</f>
        <v>◎</v>
      </c>
      <c r="AL662" s="460">
        <f>申込書!$H$14</f>
        <v>0</v>
      </c>
      <c r="AM662" s="460" t="str">
        <f>申込書!$C$32</f>
        <v>B4（折り無し）</v>
      </c>
      <c r="AN662" s="460" t="str">
        <f>VLOOKUP(AM662,★サイズ表記!$D$4:$E$55,2,FALSE)</f>
        <v>1001</v>
      </c>
      <c r="AO662" s="460">
        <f>IF(C662&lt;&gt;"⑧兵庫",VLOOKUP(LEFT(F662),★新聞!$A$4:$B$12,2,FALSE),IF(LEFT(F662)&lt;&gt;"S",VLOOKUP(LEFT(F662),★新聞!$A$4:$B$12,2,FALSE),VLOOKUP("X",★新聞!$A$4:$B$12,2,FALSE)))</f>
        <v>1</v>
      </c>
      <c r="AP662" s="460" t="str">
        <f t="shared" ca="1" si="84"/>
        <v>0</v>
      </c>
      <c r="AQ662" s="460" t="str">
        <f>IF(申込書!$C$38="","",申込書!$C$38)</f>
        <v/>
      </c>
    </row>
    <row r="663" spans="1:43">
      <c r="A663" s="463">
        <f t="shared" si="85"/>
        <v>662</v>
      </c>
      <c r="B663" s="463" t="str">
        <f t="shared" si="78"/>
        <v>東部</v>
      </c>
      <c r="C663" s="464" t="s">
        <v>1019</v>
      </c>
      <c r="D663" s="464" t="s">
        <v>1603</v>
      </c>
      <c r="E663" s="464">
        <f>VLOOKUP(D663,★折込地区!$A$2:$D$10,4,FALSE)</f>
        <v>3</v>
      </c>
      <c r="F663" s="464" t="s">
        <v>388</v>
      </c>
      <c r="G663" s="464" t="str">
        <f>INDEX(★新聞!$E$4:$I$12, MATCH(LEFT(F663),★新聞!$A$4:$A$12,0), MATCH(LEFT(W663),★新聞!$E$3:$I$3,0))</f>
        <v>X</v>
      </c>
      <c r="H663" s="475" t="s">
        <v>1102</v>
      </c>
      <c r="I663" s="464" cm="1">
        <f t="array" ref="I663">IFERROR(INDEX(★原価率!$A$2:$E$50,MATCH($C663&amp;$H663,★原価率!$A$2:$A$50&amp;★原価率!$B$2:$B$50,0),3),0)</f>
        <v>80</v>
      </c>
      <c r="J663" s="464" cm="1">
        <f t="array" ref="J663">IFERROR(INDEX(★原価率!$A$2:$E$50,MATCH($C663&amp;$H663,★原価率!$A$2:$A$50&amp;★原価率!$B$2:$B$50,0),4),0)</f>
        <v>84</v>
      </c>
      <c r="K663" s="464" cm="1">
        <f t="array" ref="K663">IFERROR(INDEX(★原価率!$A$2:$E$50,MATCH($C663&amp;$H663,★原価率!$A$2:$A$50&amp;★原価率!$B$2:$B$50,0),5),0)</f>
        <v>100</v>
      </c>
      <c r="L663" s="528">
        <f>IFERROR(VLOOKUP(W663,★商品!$A$1:$H$1231,8,FALSE),0)</f>
        <v>2.8</v>
      </c>
      <c r="M663" s="203" t="str">
        <f ca="1">CONCATENATE(VLOOKUP(B663,★営業所!$A$2:$B$5,2,FALSE),TEXT(NOW(),"yyyy"))</f>
        <v>T2023</v>
      </c>
      <c r="N663" s="203">
        <v>1</v>
      </c>
      <c r="O663" s="203">
        <v>0</v>
      </c>
      <c r="P663" s="213">
        <f>申込書!$B$6</f>
        <v>0</v>
      </c>
      <c r="Q663" s="203">
        <f>申込書!$C$34</f>
        <v>1000040</v>
      </c>
      <c r="R663" s="203">
        <v>0</v>
      </c>
      <c r="U663" s="203">
        <f>VLOOKUP(B663,★営業所!$A$2:$C$5,3,FALSE)</f>
        <v>8</v>
      </c>
      <c r="V663" s="203">
        <f>申込書!$B$9</f>
        <v>0</v>
      </c>
      <c r="W663" s="203" t="str">
        <f>CONCATENATE(VLOOKUP(B663,★営業所!$A$2:$B$5,2,FALSE),VLOOKUP(申込書!$C$32,★サイズ表記!$D$4:$E$55,2,FALSE),VLOOKUP(D663,★折込地区!$A$2:$B$11,2,FALSE))</f>
        <v>T1001Yng</v>
      </c>
      <c r="X663" s="203" t="str">
        <f>CONCATENATE(申込書!$B$9," ",VLOOKUP(RIGHT(W663,3),★折込地区!$B$2:$C$10,2,FALSE),"")</f>
        <v xml:space="preserve"> 米子</v>
      </c>
      <c r="Z663" s="206">
        <f t="shared" ca="1" si="79"/>
        <v>0</v>
      </c>
      <c r="AB663" s="383">
        <f t="shared" si="80"/>
        <v>2.8</v>
      </c>
      <c r="AC663" s="203" t="str">
        <f t="shared" si="81"/>
        <v>D1001</v>
      </c>
      <c r="AD663" s="203" t="str">
        <f>VLOOKUP(AC663,★原価商品!$E$6:$F$349,2,FALSE)</f>
        <v>日本海/B4（折り無し）</v>
      </c>
      <c r="AE663" s="203">
        <f t="shared" ca="1" si="82"/>
        <v>0</v>
      </c>
      <c r="AF663" s="383">
        <f>IFERROR(IF(VLOOKUP(申込書!$C$32,★サイズ表記!$F$4:$H$55,3,FALSE)="切り捨て",ROUNDDOWN(L663*IF(AK663="◎",I663,J663)/100,2),IF(VLOOKUP(申込書!$C$32,★サイズ表記!$F$4:$H$55,3,FALSE)="切り上げ",ROUNDUP(L663*IF(AK663="◎",I663,J663)/100,2),ROUND(L663*IF(AK663="◎",I663,J663)/100,2))),0)</f>
        <v>2.2400000000000002</v>
      </c>
      <c r="AG663" s="203">
        <f t="shared" ca="1" si="83"/>
        <v>10561</v>
      </c>
      <c r="AJ663" s="460" t="str">
        <f>IFERROR(VLOOKUP(申込書!$C$30,★業種!$D$2:$E$87,2,FALSE),"")</f>
        <v>1003</v>
      </c>
      <c r="AK663" s="460" t="str">
        <f>IF(申込書!$C$36="◎",IF(OR(D663="浜坂・温泉",D663="美方・村岡",D663="香住",D663="岡山",D663="大阪"),"",IF(LEFT(F663)="D","◎",IF(AG663=0,"",IFERROR(IF(VLOOKUP(AG663,★仕入先!$A$2:$C$211,3,FALSE)=0,"","◎"),"")))),"")</f>
        <v>◎</v>
      </c>
      <c r="AL663" s="460">
        <f>申込書!$H$14</f>
        <v>0</v>
      </c>
      <c r="AM663" s="460" t="str">
        <f>申込書!$C$32</f>
        <v>B4（折り無し）</v>
      </c>
      <c r="AN663" s="460" t="str">
        <f>VLOOKUP(AM663,★サイズ表記!$D$4:$E$55,2,FALSE)</f>
        <v>1001</v>
      </c>
      <c r="AO663" s="460">
        <f>IF(C663&lt;&gt;"⑧兵庫",VLOOKUP(LEFT(F663),★新聞!$A$4:$B$12,2,FALSE),IF(LEFT(F663)&lt;&gt;"S",VLOOKUP(LEFT(F663),★新聞!$A$4:$B$12,2,FALSE),VLOOKUP("X",★新聞!$A$4:$B$12,2,FALSE)))</f>
        <v>1</v>
      </c>
      <c r="AP663" s="460" t="str">
        <f t="shared" ca="1" si="84"/>
        <v>0</v>
      </c>
      <c r="AQ663" s="460" t="str">
        <f>IF(申込書!$C$38="","",申込書!$C$38)</f>
        <v/>
      </c>
    </row>
    <row r="664" spans="1:43">
      <c r="A664" s="463">
        <f t="shared" si="85"/>
        <v>663</v>
      </c>
      <c r="B664" s="463" t="str">
        <f t="shared" si="78"/>
        <v>東部</v>
      </c>
      <c r="C664" s="464" t="s">
        <v>1019</v>
      </c>
      <c r="D664" s="464" t="s">
        <v>1603</v>
      </c>
      <c r="E664" s="464">
        <f>VLOOKUP(D664,★折込地区!$A$2:$D$10,4,FALSE)</f>
        <v>3</v>
      </c>
      <c r="F664" s="464" t="s">
        <v>389</v>
      </c>
      <c r="G664" s="464" t="str">
        <f>INDEX(★新聞!$E$4:$I$12, MATCH(LEFT(F664),★新聞!$A$4:$A$12,0), MATCH(LEFT(W664),★新聞!$E$3:$I$3,0))</f>
        <v>X</v>
      </c>
      <c r="H664" s="475" t="s">
        <v>1102</v>
      </c>
      <c r="I664" s="464" cm="1">
        <f t="array" ref="I664">IFERROR(INDEX(★原価率!$A$2:$E$50,MATCH($C664&amp;$H664,★原価率!$A$2:$A$50&amp;★原価率!$B$2:$B$50,0),3),0)</f>
        <v>80</v>
      </c>
      <c r="J664" s="464" cm="1">
        <f t="array" ref="J664">IFERROR(INDEX(★原価率!$A$2:$E$50,MATCH($C664&amp;$H664,★原価率!$A$2:$A$50&amp;★原価率!$B$2:$B$50,0),4),0)</f>
        <v>84</v>
      </c>
      <c r="K664" s="464" cm="1">
        <f t="array" ref="K664">IFERROR(INDEX(★原価率!$A$2:$E$50,MATCH($C664&amp;$H664,★原価率!$A$2:$A$50&amp;★原価率!$B$2:$B$50,0),5),0)</f>
        <v>100</v>
      </c>
      <c r="L664" s="528">
        <f>IFERROR(VLOOKUP(W664,★商品!$A$1:$H$1231,8,FALSE),0)</f>
        <v>2.8</v>
      </c>
      <c r="M664" s="203" t="str">
        <f ca="1">CONCATENATE(VLOOKUP(B664,★営業所!$A$2:$B$5,2,FALSE),TEXT(NOW(),"yyyy"))</f>
        <v>T2023</v>
      </c>
      <c r="N664" s="203">
        <v>1</v>
      </c>
      <c r="O664" s="203">
        <v>0</v>
      </c>
      <c r="P664" s="213">
        <f>申込書!$B$6</f>
        <v>0</v>
      </c>
      <c r="Q664" s="203">
        <f>申込書!$C$34</f>
        <v>1000040</v>
      </c>
      <c r="R664" s="203">
        <v>0</v>
      </c>
      <c r="U664" s="203">
        <f>VLOOKUP(B664,★営業所!$A$2:$C$5,3,FALSE)</f>
        <v>8</v>
      </c>
      <c r="V664" s="203">
        <f>申込書!$B$9</f>
        <v>0</v>
      </c>
      <c r="W664" s="203" t="str">
        <f>CONCATENATE(VLOOKUP(B664,★営業所!$A$2:$B$5,2,FALSE),VLOOKUP(申込書!$C$32,★サイズ表記!$D$4:$E$55,2,FALSE),VLOOKUP(D664,★折込地区!$A$2:$B$11,2,FALSE))</f>
        <v>T1001Yng</v>
      </c>
      <c r="X664" s="203" t="str">
        <f>CONCATENATE(申込書!$B$9," ",VLOOKUP(RIGHT(W664,3),★折込地区!$B$2:$C$10,2,FALSE),"")</f>
        <v xml:space="preserve"> 米子</v>
      </c>
      <c r="Z664" s="206">
        <f t="shared" ca="1" si="79"/>
        <v>0</v>
      </c>
      <c r="AB664" s="383">
        <f t="shared" si="80"/>
        <v>2.8</v>
      </c>
      <c r="AC664" s="203" t="str">
        <f t="shared" si="81"/>
        <v>D1001</v>
      </c>
      <c r="AD664" s="203" t="str">
        <f>VLOOKUP(AC664,★原価商品!$E$6:$F$349,2,FALSE)</f>
        <v>日本海/B4（折り無し）</v>
      </c>
      <c r="AE664" s="203">
        <f t="shared" ca="1" si="82"/>
        <v>0</v>
      </c>
      <c r="AF664" s="383">
        <f>IFERROR(IF(VLOOKUP(申込書!$C$32,★サイズ表記!$F$4:$H$55,3,FALSE)="切り捨て",ROUNDDOWN(L664*IF(AK664="◎",I664,J664)/100,2),IF(VLOOKUP(申込書!$C$32,★サイズ表記!$F$4:$H$55,3,FALSE)="切り上げ",ROUNDUP(L664*IF(AK664="◎",I664,J664)/100,2),ROUND(L664*IF(AK664="◎",I664,J664)/100,2))),0)</f>
        <v>2.2400000000000002</v>
      </c>
      <c r="AG664" s="203">
        <f t="shared" ca="1" si="83"/>
        <v>10561</v>
      </c>
      <c r="AJ664" s="460" t="str">
        <f>IFERROR(VLOOKUP(申込書!$C$30,★業種!$D$2:$E$87,2,FALSE),"")</f>
        <v>1003</v>
      </c>
      <c r="AK664" s="460" t="str">
        <f>IF(申込書!$C$36="◎",IF(OR(D664="浜坂・温泉",D664="美方・村岡",D664="香住",D664="岡山",D664="大阪"),"",IF(LEFT(F664)="D","◎",IF(AG664=0,"",IFERROR(IF(VLOOKUP(AG664,★仕入先!$A$2:$C$211,3,FALSE)=0,"","◎"),"")))),"")</f>
        <v>◎</v>
      </c>
      <c r="AL664" s="460">
        <f>申込書!$H$14</f>
        <v>0</v>
      </c>
      <c r="AM664" s="460" t="str">
        <f>申込書!$C$32</f>
        <v>B4（折り無し）</v>
      </c>
      <c r="AN664" s="460" t="str">
        <f>VLOOKUP(AM664,★サイズ表記!$D$4:$E$55,2,FALSE)</f>
        <v>1001</v>
      </c>
      <c r="AO664" s="460">
        <f>IF(C664&lt;&gt;"⑧兵庫",VLOOKUP(LEFT(F664),★新聞!$A$4:$B$12,2,FALSE),IF(LEFT(F664)&lt;&gt;"S",VLOOKUP(LEFT(F664),★新聞!$A$4:$B$12,2,FALSE),VLOOKUP("X",★新聞!$A$4:$B$12,2,FALSE)))</f>
        <v>1</v>
      </c>
      <c r="AP664" s="460" t="str">
        <f t="shared" ca="1" si="84"/>
        <v>0</v>
      </c>
      <c r="AQ664" s="460" t="str">
        <f>IF(申込書!$C$38="","",申込書!$C$38)</f>
        <v/>
      </c>
    </row>
    <row r="665" spans="1:43">
      <c r="A665" s="463">
        <f t="shared" si="85"/>
        <v>664</v>
      </c>
      <c r="B665" s="463" t="str">
        <f t="shared" si="78"/>
        <v>東部</v>
      </c>
      <c r="C665" s="464" t="s">
        <v>1019</v>
      </c>
      <c r="D665" s="464" t="s">
        <v>1603</v>
      </c>
      <c r="E665" s="464">
        <f>VLOOKUP(D665,★折込地区!$A$2:$D$10,4,FALSE)</f>
        <v>3</v>
      </c>
      <c r="F665" s="464" t="s">
        <v>390</v>
      </c>
      <c r="G665" s="464" t="str">
        <f>INDEX(★新聞!$E$4:$I$12, MATCH(LEFT(F665),★新聞!$A$4:$A$12,0), MATCH(LEFT(W665),★新聞!$E$3:$I$3,0))</f>
        <v>X</v>
      </c>
      <c r="H665" s="475" t="s">
        <v>1102</v>
      </c>
      <c r="I665" s="464" cm="1">
        <f t="array" ref="I665">IFERROR(INDEX(★原価率!$A$2:$E$50,MATCH($C665&amp;$H665,★原価率!$A$2:$A$50&amp;★原価率!$B$2:$B$50,0),3),0)</f>
        <v>80</v>
      </c>
      <c r="J665" s="464" cm="1">
        <f t="array" ref="J665">IFERROR(INDEX(★原価率!$A$2:$E$50,MATCH($C665&amp;$H665,★原価率!$A$2:$A$50&amp;★原価率!$B$2:$B$50,0),4),0)</f>
        <v>84</v>
      </c>
      <c r="K665" s="464" cm="1">
        <f t="array" ref="K665">IFERROR(INDEX(★原価率!$A$2:$E$50,MATCH($C665&amp;$H665,★原価率!$A$2:$A$50&amp;★原価率!$B$2:$B$50,0),5),0)</f>
        <v>100</v>
      </c>
      <c r="L665" s="528">
        <f>IFERROR(VLOOKUP(W665,★商品!$A$1:$H$1231,8,FALSE),0)</f>
        <v>2.8</v>
      </c>
      <c r="M665" s="203" t="str">
        <f ca="1">CONCATENATE(VLOOKUP(B665,★営業所!$A$2:$B$5,2,FALSE),TEXT(NOW(),"yyyy"))</f>
        <v>T2023</v>
      </c>
      <c r="N665" s="203">
        <v>1</v>
      </c>
      <c r="O665" s="203">
        <v>0</v>
      </c>
      <c r="P665" s="213">
        <f>申込書!$B$6</f>
        <v>0</v>
      </c>
      <c r="Q665" s="203">
        <f>申込書!$C$34</f>
        <v>1000040</v>
      </c>
      <c r="R665" s="203">
        <v>0</v>
      </c>
      <c r="U665" s="203">
        <f>VLOOKUP(B665,★営業所!$A$2:$C$5,3,FALSE)</f>
        <v>8</v>
      </c>
      <c r="V665" s="203">
        <f>申込書!$B$9</f>
        <v>0</v>
      </c>
      <c r="W665" s="203" t="str">
        <f>CONCATENATE(VLOOKUP(B665,★営業所!$A$2:$B$5,2,FALSE),VLOOKUP(申込書!$C$32,★サイズ表記!$D$4:$E$55,2,FALSE),VLOOKUP(D665,★折込地区!$A$2:$B$11,2,FALSE))</f>
        <v>T1001Yng</v>
      </c>
      <c r="X665" s="203" t="str">
        <f>CONCATENATE(申込書!$B$9," ",VLOOKUP(RIGHT(W665,3),★折込地区!$B$2:$C$10,2,FALSE),"")</f>
        <v xml:space="preserve"> 米子</v>
      </c>
      <c r="Z665" s="206">
        <f t="shared" ca="1" si="79"/>
        <v>0</v>
      </c>
      <c r="AB665" s="383">
        <f t="shared" si="80"/>
        <v>2.8</v>
      </c>
      <c r="AC665" s="203" t="str">
        <f t="shared" si="81"/>
        <v>D1001</v>
      </c>
      <c r="AD665" s="203" t="str">
        <f>VLOOKUP(AC665,★原価商品!$E$6:$F$349,2,FALSE)</f>
        <v>日本海/B4（折り無し）</v>
      </c>
      <c r="AE665" s="203">
        <f t="shared" ca="1" si="82"/>
        <v>0</v>
      </c>
      <c r="AF665" s="383">
        <f>IFERROR(IF(VLOOKUP(申込書!$C$32,★サイズ表記!$F$4:$H$55,3,FALSE)="切り捨て",ROUNDDOWN(L665*IF(AK665="◎",I665,J665)/100,2),IF(VLOOKUP(申込書!$C$32,★サイズ表記!$F$4:$H$55,3,FALSE)="切り上げ",ROUNDUP(L665*IF(AK665="◎",I665,J665)/100,2),ROUND(L665*IF(AK665="◎",I665,J665)/100,2))),0)</f>
        <v>2.2400000000000002</v>
      </c>
      <c r="AG665" s="203">
        <f t="shared" ca="1" si="83"/>
        <v>10561</v>
      </c>
      <c r="AJ665" s="460" t="str">
        <f>IFERROR(VLOOKUP(申込書!$C$30,★業種!$D$2:$E$87,2,FALSE),"")</f>
        <v>1003</v>
      </c>
      <c r="AK665" s="460" t="str">
        <f>IF(申込書!$C$36="◎",IF(OR(D665="浜坂・温泉",D665="美方・村岡",D665="香住",D665="岡山",D665="大阪"),"",IF(LEFT(F665)="D","◎",IF(AG665=0,"",IFERROR(IF(VLOOKUP(AG665,★仕入先!$A$2:$C$211,3,FALSE)=0,"","◎"),"")))),"")</f>
        <v>◎</v>
      </c>
      <c r="AL665" s="460">
        <f>申込書!$H$14</f>
        <v>0</v>
      </c>
      <c r="AM665" s="460" t="str">
        <f>申込書!$C$32</f>
        <v>B4（折り無し）</v>
      </c>
      <c r="AN665" s="460" t="str">
        <f>VLOOKUP(AM665,★サイズ表記!$D$4:$E$55,2,FALSE)</f>
        <v>1001</v>
      </c>
      <c r="AO665" s="460">
        <f>IF(C665&lt;&gt;"⑧兵庫",VLOOKUP(LEFT(F665),★新聞!$A$4:$B$12,2,FALSE),IF(LEFT(F665)&lt;&gt;"S",VLOOKUP(LEFT(F665),★新聞!$A$4:$B$12,2,FALSE),VLOOKUP("X",★新聞!$A$4:$B$12,2,FALSE)))</f>
        <v>1</v>
      </c>
      <c r="AP665" s="460" t="str">
        <f t="shared" ca="1" si="84"/>
        <v>0</v>
      </c>
      <c r="AQ665" s="460" t="str">
        <f>IF(申込書!$C$38="","",申込書!$C$38)</f>
        <v/>
      </c>
    </row>
    <row r="666" spans="1:43">
      <c r="A666" s="463">
        <f t="shared" si="85"/>
        <v>665</v>
      </c>
      <c r="B666" s="463" t="str">
        <f t="shared" si="78"/>
        <v>東部</v>
      </c>
      <c r="C666" s="464" t="s">
        <v>1019</v>
      </c>
      <c r="D666" s="464" t="s">
        <v>1603</v>
      </c>
      <c r="E666" s="464">
        <f>VLOOKUP(D666,★折込地区!$A$2:$D$10,4,FALSE)</f>
        <v>3</v>
      </c>
      <c r="F666" s="464" t="s">
        <v>391</v>
      </c>
      <c r="G666" s="464" t="str">
        <f>INDEX(★新聞!$E$4:$I$12, MATCH(LEFT(F666),★新聞!$A$4:$A$12,0), MATCH(LEFT(W666),★新聞!$E$3:$I$3,0))</f>
        <v>X</v>
      </c>
      <c r="H666" s="475" t="s">
        <v>1102</v>
      </c>
      <c r="I666" s="464" cm="1">
        <f t="array" ref="I666">IFERROR(INDEX(★原価率!$A$2:$E$50,MATCH($C666&amp;$H666,★原価率!$A$2:$A$50&amp;★原価率!$B$2:$B$50,0),3),0)</f>
        <v>80</v>
      </c>
      <c r="J666" s="464" cm="1">
        <f t="array" ref="J666">IFERROR(INDEX(★原価率!$A$2:$E$50,MATCH($C666&amp;$H666,★原価率!$A$2:$A$50&amp;★原価率!$B$2:$B$50,0),4),0)</f>
        <v>84</v>
      </c>
      <c r="K666" s="464" cm="1">
        <f t="array" ref="K666">IFERROR(INDEX(★原価率!$A$2:$E$50,MATCH($C666&amp;$H666,★原価率!$A$2:$A$50&amp;★原価率!$B$2:$B$50,0),5),0)</f>
        <v>100</v>
      </c>
      <c r="L666" s="528">
        <f>IFERROR(VLOOKUP(W666,★商品!$A$1:$H$1231,8,FALSE),0)</f>
        <v>2.8</v>
      </c>
      <c r="M666" s="203" t="str">
        <f ca="1">CONCATENATE(VLOOKUP(B666,★営業所!$A$2:$B$5,2,FALSE),TEXT(NOW(),"yyyy"))</f>
        <v>T2023</v>
      </c>
      <c r="N666" s="203">
        <v>1</v>
      </c>
      <c r="O666" s="203">
        <v>0</v>
      </c>
      <c r="P666" s="213">
        <f>申込書!$B$6</f>
        <v>0</v>
      </c>
      <c r="Q666" s="203">
        <f>申込書!$C$34</f>
        <v>1000040</v>
      </c>
      <c r="R666" s="203">
        <v>0</v>
      </c>
      <c r="U666" s="203">
        <f>VLOOKUP(B666,★営業所!$A$2:$C$5,3,FALSE)</f>
        <v>8</v>
      </c>
      <c r="V666" s="203">
        <f>申込書!$B$9</f>
        <v>0</v>
      </c>
      <c r="W666" s="203" t="str">
        <f>CONCATENATE(VLOOKUP(B666,★営業所!$A$2:$B$5,2,FALSE),VLOOKUP(申込書!$C$32,★サイズ表記!$D$4:$E$55,2,FALSE),VLOOKUP(D666,★折込地区!$A$2:$B$11,2,FALSE))</f>
        <v>T1001Yng</v>
      </c>
      <c r="X666" s="203" t="str">
        <f>CONCATENATE(申込書!$B$9," ",VLOOKUP(RIGHT(W666,3),★折込地区!$B$2:$C$10,2,FALSE),"")</f>
        <v xml:space="preserve"> 米子</v>
      </c>
      <c r="Z666" s="206">
        <f t="shared" ca="1" si="79"/>
        <v>0</v>
      </c>
      <c r="AB666" s="383">
        <f t="shared" si="80"/>
        <v>2.8</v>
      </c>
      <c r="AC666" s="203" t="str">
        <f t="shared" si="81"/>
        <v>D1001</v>
      </c>
      <c r="AD666" s="203" t="str">
        <f>VLOOKUP(AC666,★原価商品!$E$6:$F$349,2,FALSE)</f>
        <v>日本海/B4（折り無し）</v>
      </c>
      <c r="AE666" s="203">
        <f t="shared" ca="1" si="82"/>
        <v>0</v>
      </c>
      <c r="AF666" s="383">
        <f>IFERROR(IF(VLOOKUP(申込書!$C$32,★サイズ表記!$F$4:$H$55,3,FALSE)="切り捨て",ROUNDDOWN(L666*IF(AK666="◎",I666,J666)/100,2),IF(VLOOKUP(申込書!$C$32,★サイズ表記!$F$4:$H$55,3,FALSE)="切り上げ",ROUNDUP(L666*IF(AK666="◎",I666,J666)/100,2),ROUND(L666*IF(AK666="◎",I666,J666)/100,2))),0)</f>
        <v>2.2400000000000002</v>
      </c>
      <c r="AG666" s="203">
        <f t="shared" ca="1" si="83"/>
        <v>10561</v>
      </c>
      <c r="AJ666" s="460" t="str">
        <f>IFERROR(VLOOKUP(申込書!$C$30,★業種!$D$2:$E$87,2,FALSE),"")</f>
        <v>1003</v>
      </c>
      <c r="AK666" s="460" t="str">
        <f>IF(申込書!$C$36="◎",IF(OR(D666="浜坂・温泉",D666="美方・村岡",D666="香住",D666="岡山",D666="大阪"),"",IF(LEFT(F666)="D","◎",IF(AG666=0,"",IFERROR(IF(VLOOKUP(AG666,★仕入先!$A$2:$C$211,3,FALSE)=0,"","◎"),"")))),"")</f>
        <v>◎</v>
      </c>
      <c r="AL666" s="460">
        <f>申込書!$H$14</f>
        <v>0</v>
      </c>
      <c r="AM666" s="460" t="str">
        <f>申込書!$C$32</f>
        <v>B4（折り無し）</v>
      </c>
      <c r="AN666" s="460" t="str">
        <f>VLOOKUP(AM666,★サイズ表記!$D$4:$E$55,2,FALSE)</f>
        <v>1001</v>
      </c>
      <c r="AO666" s="460">
        <f>IF(C666&lt;&gt;"⑧兵庫",VLOOKUP(LEFT(F666),★新聞!$A$4:$B$12,2,FALSE),IF(LEFT(F666)&lt;&gt;"S",VLOOKUP(LEFT(F666),★新聞!$A$4:$B$12,2,FALSE),VLOOKUP("X",★新聞!$A$4:$B$12,2,FALSE)))</f>
        <v>1</v>
      </c>
      <c r="AP666" s="460" t="str">
        <f t="shared" ca="1" si="84"/>
        <v>0</v>
      </c>
      <c r="AQ666" s="460" t="str">
        <f>IF(申込書!$C$38="","",申込書!$C$38)</f>
        <v/>
      </c>
    </row>
    <row r="667" spans="1:43">
      <c r="A667" s="463">
        <f t="shared" si="85"/>
        <v>666</v>
      </c>
      <c r="B667" s="463" t="str">
        <f t="shared" si="78"/>
        <v>東部</v>
      </c>
      <c r="C667" s="464" t="s">
        <v>1019</v>
      </c>
      <c r="D667" s="464" t="s">
        <v>1603</v>
      </c>
      <c r="E667" s="464">
        <f>VLOOKUP(D667,★折込地区!$A$2:$D$10,4,FALSE)</f>
        <v>3</v>
      </c>
      <c r="F667" s="464" t="s">
        <v>392</v>
      </c>
      <c r="G667" s="464" t="str">
        <f>INDEX(★新聞!$E$4:$I$12, MATCH(LEFT(F667),★新聞!$A$4:$A$12,0), MATCH(LEFT(W667),★新聞!$E$3:$I$3,0))</f>
        <v>X</v>
      </c>
      <c r="H667" s="475" t="s">
        <v>1102</v>
      </c>
      <c r="I667" s="464" cm="1">
        <f t="array" ref="I667">IFERROR(INDEX(★原価率!$A$2:$E$50,MATCH($C667&amp;$H667,★原価率!$A$2:$A$50&amp;★原価率!$B$2:$B$50,0),3),0)</f>
        <v>80</v>
      </c>
      <c r="J667" s="464" cm="1">
        <f t="array" ref="J667">IFERROR(INDEX(★原価率!$A$2:$E$50,MATCH($C667&amp;$H667,★原価率!$A$2:$A$50&amp;★原価率!$B$2:$B$50,0),4),0)</f>
        <v>84</v>
      </c>
      <c r="K667" s="464" cm="1">
        <f t="array" ref="K667">IFERROR(INDEX(★原価率!$A$2:$E$50,MATCH($C667&amp;$H667,★原価率!$A$2:$A$50&amp;★原価率!$B$2:$B$50,0),5),0)</f>
        <v>100</v>
      </c>
      <c r="L667" s="528">
        <f>IFERROR(VLOOKUP(W667,★商品!$A$1:$H$1231,8,FALSE),0)</f>
        <v>2.8</v>
      </c>
      <c r="M667" s="203" t="str">
        <f ca="1">CONCATENATE(VLOOKUP(B667,★営業所!$A$2:$B$5,2,FALSE),TEXT(NOW(),"yyyy"))</f>
        <v>T2023</v>
      </c>
      <c r="N667" s="203">
        <v>1</v>
      </c>
      <c r="O667" s="203">
        <v>0</v>
      </c>
      <c r="P667" s="213">
        <f>申込書!$B$6</f>
        <v>0</v>
      </c>
      <c r="Q667" s="203">
        <f>申込書!$C$34</f>
        <v>1000040</v>
      </c>
      <c r="R667" s="203">
        <v>0</v>
      </c>
      <c r="U667" s="203">
        <f>VLOOKUP(B667,★営業所!$A$2:$C$5,3,FALSE)</f>
        <v>8</v>
      </c>
      <c r="V667" s="203">
        <f>申込書!$B$9</f>
        <v>0</v>
      </c>
      <c r="W667" s="203" t="str">
        <f>CONCATENATE(VLOOKUP(B667,★営業所!$A$2:$B$5,2,FALSE),VLOOKUP(申込書!$C$32,★サイズ表記!$D$4:$E$55,2,FALSE),VLOOKUP(D667,★折込地区!$A$2:$B$11,2,FALSE))</f>
        <v>T1001Yng</v>
      </c>
      <c r="X667" s="203" t="str">
        <f>CONCATENATE(申込書!$B$9," ",VLOOKUP(RIGHT(W667,3),★折込地区!$B$2:$C$10,2,FALSE),"")</f>
        <v xml:space="preserve"> 米子</v>
      </c>
      <c r="Z667" s="206">
        <f t="shared" ca="1" si="79"/>
        <v>0</v>
      </c>
      <c r="AB667" s="383">
        <f t="shared" si="80"/>
        <v>2.8</v>
      </c>
      <c r="AC667" s="203" t="str">
        <f t="shared" si="81"/>
        <v>D1001</v>
      </c>
      <c r="AD667" s="203" t="str">
        <f>VLOOKUP(AC667,★原価商品!$E$6:$F$349,2,FALSE)</f>
        <v>日本海/B4（折り無し）</v>
      </c>
      <c r="AE667" s="203">
        <f t="shared" ca="1" si="82"/>
        <v>0</v>
      </c>
      <c r="AF667" s="383">
        <f>IFERROR(IF(VLOOKUP(申込書!$C$32,★サイズ表記!$F$4:$H$55,3,FALSE)="切り捨て",ROUNDDOWN(L667*IF(AK667="◎",I667,J667)/100,2),IF(VLOOKUP(申込書!$C$32,★サイズ表記!$F$4:$H$55,3,FALSE)="切り上げ",ROUNDUP(L667*IF(AK667="◎",I667,J667)/100,2),ROUND(L667*IF(AK667="◎",I667,J667)/100,2))),0)</f>
        <v>2.2400000000000002</v>
      </c>
      <c r="AG667" s="203">
        <f t="shared" ca="1" si="83"/>
        <v>0</v>
      </c>
      <c r="AJ667" s="460" t="str">
        <f>IFERROR(VLOOKUP(申込書!$C$30,★業種!$D$2:$E$87,2,FALSE),"")</f>
        <v>1003</v>
      </c>
      <c r="AK667" s="460" t="str">
        <f>IF(申込書!$C$36="◎",IF(OR(D667="浜坂・温泉",D667="美方・村岡",D667="香住",D667="岡山",D667="大阪"),"",IF(LEFT(F667)="D","◎",IF(AG667=0,"",IFERROR(IF(VLOOKUP(AG667,★仕入先!$A$2:$C$211,3,FALSE)=0,"","◎"),"")))),"")</f>
        <v>◎</v>
      </c>
      <c r="AL667" s="460">
        <f>申込書!$H$14</f>
        <v>0</v>
      </c>
      <c r="AM667" s="460" t="str">
        <f>申込書!$C$32</f>
        <v>B4（折り無し）</v>
      </c>
      <c r="AN667" s="460" t="str">
        <f>VLOOKUP(AM667,★サイズ表記!$D$4:$E$55,2,FALSE)</f>
        <v>1001</v>
      </c>
      <c r="AO667" s="460">
        <f>IF(C667&lt;&gt;"⑧兵庫",VLOOKUP(LEFT(F667),★新聞!$A$4:$B$12,2,FALSE),IF(LEFT(F667)&lt;&gt;"S",VLOOKUP(LEFT(F667),★新聞!$A$4:$B$12,2,FALSE),VLOOKUP("X",★新聞!$A$4:$B$12,2,FALSE)))</f>
        <v>1</v>
      </c>
      <c r="AP667" s="460" t="str">
        <f t="shared" ca="1" si="84"/>
        <v>0</v>
      </c>
      <c r="AQ667" s="460" t="str">
        <f>IF(申込書!$C$38="","",申込書!$C$38)</f>
        <v/>
      </c>
    </row>
    <row r="668" spans="1:43">
      <c r="A668" s="463">
        <f t="shared" si="85"/>
        <v>667</v>
      </c>
      <c r="B668" s="463" t="str">
        <f t="shared" si="78"/>
        <v>東部</v>
      </c>
      <c r="C668" s="464" t="s">
        <v>1019</v>
      </c>
      <c r="D668" s="464" t="s">
        <v>1603</v>
      </c>
      <c r="E668" s="464">
        <f>VLOOKUP(D668,★折込地区!$A$2:$D$10,4,FALSE)</f>
        <v>3</v>
      </c>
      <c r="F668" s="464" t="s">
        <v>396</v>
      </c>
      <c r="G668" s="464" t="str">
        <f>INDEX(★新聞!$E$4:$I$12, MATCH(LEFT(F668),★新聞!$A$4:$A$12,0), MATCH(LEFT(W668),★新聞!$E$3:$I$3,0))</f>
        <v>X</v>
      </c>
      <c r="H668" s="475" t="s">
        <v>1102</v>
      </c>
      <c r="I668" s="464" cm="1">
        <f t="array" ref="I668">IFERROR(INDEX(★原価率!$A$2:$E$50,MATCH($C668&amp;$H668,★原価率!$A$2:$A$50&amp;★原価率!$B$2:$B$50,0),3),0)</f>
        <v>80</v>
      </c>
      <c r="J668" s="464" cm="1">
        <f t="array" ref="J668">IFERROR(INDEX(★原価率!$A$2:$E$50,MATCH($C668&amp;$H668,★原価率!$A$2:$A$50&amp;★原価率!$B$2:$B$50,0),4),0)</f>
        <v>84</v>
      </c>
      <c r="K668" s="464" cm="1">
        <f t="array" ref="K668">IFERROR(INDEX(★原価率!$A$2:$E$50,MATCH($C668&amp;$H668,★原価率!$A$2:$A$50&amp;★原価率!$B$2:$B$50,0),5),0)</f>
        <v>100</v>
      </c>
      <c r="L668" s="528">
        <f>IFERROR(VLOOKUP(W668,★商品!$A$1:$H$1231,8,FALSE),0)</f>
        <v>2.8</v>
      </c>
      <c r="M668" s="203" t="str">
        <f ca="1">CONCATENATE(VLOOKUP(B668,★営業所!$A$2:$B$5,2,FALSE),TEXT(NOW(),"yyyy"))</f>
        <v>T2023</v>
      </c>
      <c r="N668" s="203">
        <v>1</v>
      </c>
      <c r="O668" s="203">
        <v>0</v>
      </c>
      <c r="P668" s="213">
        <f>申込書!$B$6</f>
        <v>0</v>
      </c>
      <c r="Q668" s="203">
        <f>申込書!$C$34</f>
        <v>1000040</v>
      </c>
      <c r="R668" s="203">
        <v>0</v>
      </c>
      <c r="U668" s="203">
        <f>VLOOKUP(B668,★営業所!$A$2:$C$5,3,FALSE)</f>
        <v>8</v>
      </c>
      <c r="V668" s="203">
        <f>申込書!$B$9</f>
        <v>0</v>
      </c>
      <c r="W668" s="203" t="str">
        <f>CONCATENATE(VLOOKUP(B668,★営業所!$A$2:$B$5,2,FALSE),VLOOKUP(申込書!$C$32,★サイズ表記!$D$4:$E$55,2,FALSE),VLOOKUP(D668,★折込地区!$A$2:$B$11,2,FALSE))</f>
        <v>T1001Yng</v>
      </c>
      <c r="X668" s="203" t="str">
        <f>CONCATENATE(申込書!$B$9," ",VLOOKUP(RIGHT(W668,3),★折込地区!$B$2:$C$10,2,FALSE),"")</f>
        <v xml:space="preserve"> 米子</v>
      </c>
      <c r="Z668" s="206">
        <f t="shared" ca="1" si="79"/>
        <v>0</v>
      </c>
      <c r="AB668" s="383">
        <f t="shared" si="80"/>
        <v>2.8</v>
      </c>
      <c r="AC668" s="203" t="str">
        <f t="shared" si="81"/>
        <v>D1001</v>
      </c>
      <c r="AD668" s="203" t="str">
        <f>VLOOKUP(AC668,★原価商品!$E$6:$F$349,2,FALSE)</f>
        <v>日本海/B4（折り無し）</v>
      </c>
      <c r="AE668" s="203">
        <f t="shared" ca="1" si="82"/>
        <v>0</v>
      </c>
      <c r="AF668" s="383">
        <f>IFERROR(IF(VLOOKUP(申込書!$C$32,★サイズ表記!$F$4:$H$55,3,FALSE)="切り捨て",ROUNDDOWN(L668*IF(AK668="◎",I668,J668)/100,2),IF(VLOOKUP(申込書!$C$32,★サイズ表記!$F$4:$H$55,3,FALSE)="切り上げ",ROUNDUP(L668*IF(AK668="◎",I668,J668)/100,2),ROUND(L668*IF(AK668="◎",I668,J668)/100,2))),0)</f>
        <v>2.2400000000000002</v>
      </c>
      <c r="AG668" s="203">
        <f t="shared" ca="1" si="83"/>
        <v>10561</v>
      </c>
      <c r="AJ668" s="460" t="str">
        <f>IFERROR(VLOOKUP(申込書!$C$30,★業種!$D$2:$E$87,2,FALSE),"")</f>
        <v>1003</v>
      </c>
      <c r="AK668" s="460" t="str">
        <f>IF(申込書!$C$36="◎",IF(OR(D668="浜坂・温泉",D668="美方・村岡",D668="香住",D668="岡山",D668="大阪"),"",IF(LEFT(F668)="D","◎",IF(AG668=0,"",IFERROR(IF(VLOOKUP(AG668,★仕入先!$A$2:$C$211,3,FALSE)=0,"","◎"),"")))),"")</f>
        <v>◎</v>
      </c>
      <c r="AL668" s="460">
        <f>申込書!$H$14</f>
        <v>0</v>
      </c>
      <c r="AM668" s="460" t="str">
        <f>申込書!$C$32</f>
        <v>B4（折り無し）</v>
      </c>
      <c r="AN668" s="460" t="str">
        <f>VLOOKUP(AM668,★サイズ表記!$D$4:$E$55,2,FALSE)</f>
        <v>1001</v>
      </c>
      <c r="AO668" s="460">
        <f>IF(C668&lt;&gt;"⑧兵庫",VLOOKUP(LEFT(F668),★新聞!$A$4:$B$12,2,FALSE),IF(LEFT(F668)&lt;&gt;"S",VLOOKUP(LEFT(F668),★新聞!$A$4:$B$12,2,FALSE),VLOOKUP("X",★新聞!$A$4:$B$12,2,FALSE)))</f>
        <v>1</v>
      </c>
      <c r="AP668" s="460" t="str">
        <f t="shared" ca="1" si="84"/>
        <v>0</v>
      </c>
      <c r="AQ668" s="460" t="str">
        <f>IF(申込書!$C$38="","",申込書!$C$38)</f>
        <v/>
      </c>
    </row>
    <row r="669" spans="1:43">
      <c r="A669" s="463">
        <f t="shared" si="85"/>
        <v>668</v>
      </c>
      <c r="B669" s="463" t="str">
        <f t="shared" si="78"/>
        <v>東部</v>
      </c>
      <c r="C669" s="464" t="s">
        <v>1019</v>
      </c>
      <c r="D669" s="464" t="s">
        <v>1603</v>
      </c>
      <c r="E669" s="464">
        <f>VLOOKUP(D669,★折込地区!$A$2:$D$10,4,FALSE)</f>
        <v>3</v>
      </c>
      <c r="F669" s="464" t="s">
        <v>397</v>
      </c>
      <c r="G669" s="464" t="str">
        <f>INDEX(★新聞!$E$4:$I$12, MATCH(LEFT(F669),★新聞!$A$4:$A$12,0), MATCH(LEFT(W669),★新聞!$E$3:$I$3,0))</f>
        <v>X</v>
      </c>
      <c r="H669" s="475" t="s">
        <v>1102</v>
      </c>
      <c r="I669" s="464" cm="1">
        <f t="array" ref="I669">IFERROR(INDEX(★原価率!$A$2:$E$50,MATCH($C669&amp;$H669,★原価率!$A$2:$A$50&amp;★原価率!$B$2:$B$50,0),3),0)</f>
        <v>80</v>
      </c>
      <c r="J669" s="464" cm="1">
        <f t="array" ref="J669">IFERROR(INDEX(★原価率!$A$2:$E$50,MATCH($C669&amp;$H669,★原価率!$A$2:$A$50&amp;★原価率!$B$2:$B$50,0),4),0)</f>
        <v>84</v>
      </c>
      <c r="K669" s="464" cm="1">
        <f t="array" ref="K669">IFERROR(INDEX(★原価率!$A$2:$E$50,MATCH($C669&amp;$H669,★原価率!$A$2:$A$50&amp;★原価率!$B$2:$B$50,0),5),0)</f>
        <v>100</v>
      </c>
      <c r="L669" s="528">
        <f>IFERROR(VLOOKUP(W669,★商品!$A$1:$H$1231,8,FALSE),0)</f>
        <v>2.8</v>
      </c>
      <c r="M669" s="203" t="str">
        <f ca="1">CONCATENATE(VLOOKUP(B669,★営業所!$A$2:$B$5,2,FALSE),TEXT(NOW(),"yyyy"))</f>
        <v>T2023</v>
      </c>
      <c r="N669" s="203">
        <v>1</v>
      </c>
      <c r="O669" s="203">
        <v>0</v>
      </c>
      <c r="P669" s="213">
        <f>申込書!$B$6</f>
        <v>0</v>
      </c>
      <c r="Q669" s="203">
        <f>申込書!$C$34</f>
        <v>1000040</v>
      </c>
      <c r="R669" s="203">
        <v>0</v>
      </c>
      <c r="U669" s="203">
        <f>VLOOKUP(B669,★営業所!$A$2:$C$5,3,FALSE)</f>
        <v>8</v>
      </c>
      <c r="V669" s="203">
        <f>申込書!$B$9</f>
        <v>0</v>
      </c>
      <c r="W669" s="203" t="str">
        <f>CONCATENATE(VLOOKUP(B669,★営業所!$A$2:$B$5,2,FALSE),VLOOKUP(申込書!$C$32,★サイズ表記!$D$4:$E$55,2,FALSE),VLOOKUP(D669,★折込地区!$A$2:$B$11,2,FALSE))</f>
        <v>T1001Yng</v>
      </c>
      <c r="X669" s="203" t="str">
        <f>CONCATENATE(申込書!$B$9," ",VLOOKUP(RIGHT(W669,3),★折込地区!$B$2:$C$10,2,FALSE),"")</f>
        <v xml:space="preserve"> 米子</v>
      </c>
      <c r="Z669" s="206">
        <f t="shared" ca="1" si="79"/>
        <v>0</v>
      </c>
      <c r="AB669" s="383">
        <f t="shared" si="80"/>
        <v>2.8</v>
      </c>
      <c r="AC669" s="203" t="str">
        <f t="shared" si="81"/>
        <v>D1001</v>
      </c>
      <c r="AD669" s="203" t="str">
        <f>VLOOKUP(AC669,★原価商品!$E$6:$F$349,2,FALSE)</f>
        <v>日本海/B4（折り無し）</v>
      </c>
      <c r="AE669" s="203">
        <f t="shared" ca="1" si="82"/>
        <v>0</v>
      </c>
      <c r="AF669" s="383">
        <f>IFERROR(IF(VLOOKUP(申込書!$C$32,★サイズ表記!$F$4:$H$55,3,FALSE)="切り捨て",ROUNDDOWN(L669*IF(AK669="◎",I669,J669)/100,2),IF(VLOOKUP(申込書!$C$32,★サイズ表記!$F$4:$H$55,3,FALSE)="切り上げ",ROUNDUP(L669*IF(AK669="◎",I669,J669)/100,2),ROUND(L669*IF(AK669="◎",I669,J669)/100,2))),0)</f>
        <v>2.2400000000000002</v>
      </c>
      <c r="AG669" s="203">
        <f t="shared" ca="1" si="83"/>
        <v>10561</v>
      </c>
      <c r="AJ669" s="460" t="str">
        <f>IFERROR(VLOOKUP(申込書!$C$30,★業種!$D$2:$E$87,2,FALSE),"")</f>
        <v>1003</v>
      </c>
      <c r="AK669" s="460" t="str">
        <f>IF(申込書!$C$36="◎",IF(OR(D669="浜坂・温泉",D669="美方・村岡",D669="香住",D669="岡山",D669="大阪"),"",IF(LEFT(F669)="D","◎",IF(AG669=0,"",IFERROR(IF(VLOOKUP(AG669,★仕入先!$A$2:$C$211,3,FALSE)=0,"","◎"),"")))),"")</f>
        <v>◎</v>
      </c>
      <c r="AL669" s="460">
        <f>申込書!$H$14</f>
        <v>0</v>
      </c>
      <c r="AM669" s="460" t="str">
        <f>申込書!$C$32</f>
        <v>B4（折り無し）</v>
      </c>
      <c r="AN669" s="460" t="str">
        <f>VLOOKUP(AM669,★サイズ表記!$D$4:$E$55,2,FALSE)</f>
        <v>1001</v>
      </c>
      <c r="AO669" s="460">
        <f>IF(C669&lt;&gt;"⑧兵庫",VLOOKUP(LEFT(F669),★新聞!$A$4:$B$12,2,FALSE),IF(LEFT(F669)&lt;&gt;"S",VLOOKUP(LEFT(F669),★新聞!$A$4:$B$12,2,FALSE),VLOOKUP("X",★新聞!$A$4:$B$12,2,FALSE)))</f>
        <v>1</v>
      </c>
      <c r="AP669" s="460" t="str">
        <f t="shared" ca="1" si="84"/>
        <v>0</v>
      </c>
      <c r="AQ669" s="460" t="str">
        <f>IF(申込書!$C$38="","",申込書!$C$38)</f>
        <v/>
      </c>
    </row>
    <row r="670" spans="1:43">
      <c r="A670" s="463">
        <f t="shared" si="85"/>
        <v>669</v>
      </c>
      <c r="B670" s="463" t="str">
        <f t="shared" si="78"/>
        <v>東部</v>
      </c>
      <c r="C670" s="464" t="s">
        <v>1019</v>
      </c>
      <c r="D670" s="464" t="s">
        <v>1603</v>
      </c>
      <c r="E670" s="464">
        <f>VLOOKUP(D670,★折込地区!$A$2:$D$10,4,FALSE)</f>
        <v>3</v>
      </c>
      <c r="F670" s="464" t="s">
        <v>398</v>
      </c>
      <c r="G670" s="464" t="str">
        <f>INDEX(★新聞!$E$4:$I$12, MATCH(LEFT(F670),★新聞!$A$4:$A$12,0), MATCH(LEFT(W670),★新聞!$E$3:$I$3,0))</f>
        <v>X</v>
      </c>
      <c r="H670" s="475" t="s">
        <v>1102</v>
      </c>
      <c r="I670" s="464" cm="1">
        <f t="array" ref="I670">IFERROR(INDEX(★原価率!$A$2:$E$50,MATCH($C670&amp;$H670,★原価率!$A$2:$A$50&amp;★原価率!$B$2:$B$50,0),3),0)</f>
        <v>80</v>
      </c>
      <c r="J670" s="464" cm="1">
        <f t="array" ref="J670">IFERROR(INDEX(★原価率!$A$2:$E$50,MATCH($C670&amp;$H670,★原価率!$A$2:$A$50&amp;★原価率!$B$2:$B$50,0),4),0)</f>
        <v>84</v>
      </c>
      <c r="K670" s="464" cm="1">
        <f t="array" ref="K670">IFERROR(INDEX(★原価率!$A$2:$E$50,MATCH($C670&amp;$H670,★原価率!$A$2:$A$50&amp;★原価率!$B$2:$B$50,0),5),0)</f>
        <v>100</v>
      </c>
      <c r="L670" s="528">
        <f>IFERROR(VLOOKUP(W670,★商品!$A$1:$H$1231,8,FALSE),0)</f>
        <v>2.8</v>
      </c>
      <c r="M670" s="203" t="str">
        <f ca="1">CONCATENATE(VLOOKUP(B670,★営業所!$A$2:$B$5,2,FALSE),TEXT(NOW(),"yyyy"))</f>
        <v>T2023</v>
      </c>
      <c r="N670" s="203">
        <v>1</v>
      </c>
      <c r="O670" s="203">
        <v>0</v>
      </c>
      <c r="P670" s="213">
        <f>申込書!$B$6</f>
        <v>0</v>
      </c>
      <c r="Q670" s="203">
        <f>申込書!$C$34</f>
        <v>1000040</v>
      </c>
      <c r="R670" s="203">
        <v>0</v>
      </c>
      <c r="U670" s="203">
        <f>VLOOKUP(B670,★営業所!$A$2:$C$5,3,FALSE)</f>
        <v>8</v>
      </c>
      <c r="V670" s="203">
        <f>申込書!$B$9</f>
        <v>0</v>
      </c>
      <c r="W670" s="203" t="str">
        <f>CONCATENATE(VLOOKUP(B670,★営業所!$A$2:$B$5,2,FALSE),VLOOKUP(申込書!$C$32,★サイズ表記!$D$4:$E$55,2,FALSE),VLOOKUP(D670,★折込地区!$A$2:$B$11,2,FALSE))</f>
        <v>T1001Yng</v>
      </c>
      <c r="X670" s="203" t="str">
        <f>CONCATENATE(申込書!$B$9," ",VLOOKUP(RIGHT(W670,3),★折込地区!$B$2:$C$10,2,FALSE),"")</f>
        <v xml:space="preserve"> 米子</v>
      </c>
      <c r="Z670" s="206">
        <f t="shared" ca="1" si="79"/>
        <v>0</v>
      </c>
      <c r="AB670" s="383">
        <f t="shared" si="80"/>
        <v>2.8</v>
      </c>
      <c r="AC670" s="203" t="str">
        <f t="shared" si="81"/>
        <v>D1001</v>
      </c>
      <c r="AD670" s="203" t="str">
        <f>VLOOKUP(AC670,★原価商品!$E$6:$F$349,2,FALSE)</f>
        <v>日本海/B4（折り無し）</v>
      </c>
      <c r="AE670" s="203">
        <f t="shared" ca="1" si="82"/>
        <v>0</v>
      </c>
      <c r="AF670" s="383">
        <f>IFERROR(IF(VLOOKUP(申込書!$C$32,★サイズ表記!$F$4:$H$55,3,FALSE)="切り捨て",ROUNDDOWN(L670*IF(AK670="◎",I670,J670)/100,2),IF(VLOOKUP(申込書!$C$32,★サイズ表記!$F$4:$H$55,3,FALSE)="切り上げ",ROUNDUP(L670*IF(AK670="◎",I670,J670)/100,2),ROUND(L670*IF(AK670="◎",I670,J670)/100,2))),0)</f>
        <v>2.2400000000000002</v>
      </c>
      <c r="AG670" s="203">
        <f t="shared" ca="1" si="83"/>
        <v>10561</v>
      </c>
      <c r="AJ670" s="460" t="str">
        <f>IFERROR(VLOOKUP(申込書!$C$30,★業種!$D$2:$E$87,2,FALSE),"")</f>
        <v>1003</v>
      </c>
      <c r="AK670" s="460" t="str">
        <f>IF(申込書!$C$36="◎",IF(OR(D670="浜坂・温泉",D670="美方・村岡",D670="香住",D670="岡山",D670="大阪"),"",IF(LEFT(F670)="D","◎",IF(AG670=0,"",IFERROR(IF(VLOOKUP(AG670,★仕入先!$A$2:$C$211,3,FALSE)=0,"","◎"),"")))),"")</f>
        <v>◎</v>
      </c>
      <c r="AL670" s="460">
        <f>申込書!$H$14</f>
        <v>0</v>
      </c>
      <c r="AM670" s="460" t="str">
        <f>申込書!$C$32</f>
        <v>B4（折り無し）</v>
      </c>
      <c r="AN670" s="460" t="str">
        <f>VLOOKUP(AM670,★サイズ表記!$D$4:$E$55,2,FALSE)</f>
        <v>1001</v>
      </c>
      <c r="AO670" s="460">
        <f>IF(C670&lt;&gt;"⑧兵庫",VLOOKUP(LEFT(F670),★新聞!$A$4:$B$12,2,FALSE),IF(LEFT(F670)&lt;&gt;"S",VLOOKUP(LEFT(F670),★新聞!$A$4:$B$12,2,FALSE),VLOOKUP("X",★新聞!$A$4:$B$12,2,FALSE)))</f>
        <v>1</v>
      </c>
      <c r="AP670" s="460" t="str">
        <f t="shared" ca="1" si="84"/>
        <v>0</v>
      </c>
      <c r="AQ670" s="460" t="str">
        <f>IF(申込書!$C$38="","",申込書!$C$38)</f>
        <v/>
      </c>
    </row>
    <row r="671" spans="1:43">
      <c r="A671" s="463">
        <f t="shared" si="85"/>
        <v>670</v>
      </c>
      <c r="B671" s="463" t="str">
        <f t="shared" si="78"/>
        <v>東部</v>
      </c>
      <c r="C671" s="464" t="s">
        <v>1019</v>
      </c>
      <c r="D671" s="464" t="s">
        <v>1603</v>
      </c>
      <c r="E671" s="464">
        <f>VLOOKUP(D671,★折込地区!$A$2:$D$10,4,FALSE)</f>
        <v>3</v>
      </c>
      <c r="F671" s="464" t="s">
        <v>399</v>
      </c>
      <c r="G671" s="464" t="str">
        <f>INDEX(★新聞!$E$4:$I$12, MATCH(LEFT(F671),★新聞!$A$4:$A$12,0), MATCH(LEFT(W671),★新聞!$E$3:$I$3,0))</f>
        <v>X</v>
      </c>
      <c r="H671" s="475" t="s">
        <v>1102</v>
      </c>
      <c r="I671" s="464" cm="1">
        <f t="array" ref="I671">IFERROR(INDEX(★原価率!$A$2:$E$50,MATCH($C671&amp;$H671,★原価率!$A$2:$A$50&amp;★原価率!$B$2:$B$50,0),3),0)</f>
        <v>80</v>
      </c>
      <c r="J671" s="464" cm="1">
        <f t="array" ref="J671">IFERROR(INDEX(★原価率!$A$2:$E$50,MATCH($C671&amp;$H671,★原価率!$A$2:$A$50&amp;★原価率!$B$2:$B$50,0),4),0)</f>
        <v>84</v>
      </c>
      <c r="K671" s="464" cm="1">
        <f t="array" ref="K671">IFERROR(INDEX(★原価率!$A$2:$E$50,MATCH($C671&amp;$H671,★原価率!$A$2:$A$50&amp;★原価率!$B$2:$B$50,0),5),0)</f>
        <v>100</v>
      </c>
      <c r="L671" s="528">
        <f>IFERROR(VLOOKUP(W671,★商品!$A$1:$H$1231,8,FALSE),0)</f>
        <v>2.8</v>
      </c>
      <c r="M671" s="203" t="str">
        <f ca="1">CONCATENATE(VLOOKUP(B671,★営業所!$A$2:$B$5,2,FALSE),TEXT(NOW(),"yyyy"))</f>
        <v>T2023</v>
      </c>
      <c r="N671" s="203">
        <v>1</v>
      </c>
      <c r="O671" s="203">
        <v>0</v>
      </c>
      <c r="P671" s="213">
        <f>申込書!$B$6</f>
        <v>0</v>
      </c>
      <c r="Q671" s="203">
        <f>申込書!$C$34</f>
        <v>1000040</v>
      </c>
      <c r="R671" s="203">
        <v>0</v>
      </c>
      <c r="U671" s="203">
        <f>VLOOKUP(B671,★営業所!$A$2:$C$5,3,FALSE)</f>
        <v>8</v>
      </c>
      <c r="V671" s="203">
        <f>申込書!$B$9</f>
        <v>0</v>
      </c>
      <c r="W671" s="203" t="str">
        <f>CONCATENATE(VLOOKUP(B671,★営業所!$A$2:$B$5,2,FALSE),VLOOKUP(申込書!$C$32,★サイズ表記!$D$4:$E$55,2,FALSE),VLOOKUP(D671,★折込地区!$A$2:$B$11,2,FALSE))</f>
        <v>T1001Yng</v>
      </c>
      <c r="X671" s="203" t="str">
        <f>CONCATENATE(申込書!$B$9," ",VLOOKUP(RIGHT(W671,3),★折込地区!$B$2:$C$10,2,FALSE),"")</f>
        <v xml:space="preserve"> 米子</v>
      </c>
      <c r="Z671" s="206">
        <f t="shared" ca="1" si="79"/>
        <v>0</v>
      </c>
      <c r="AB671" s="383">
        <f t="shared" si="80"/>
        <v>2.8</v>
      </c>
      <c r="AC671" s="203" t="str">
        <f t="shared" si="81"/>
        <v>D1001</v>
      </c>
      <c r="AD671" s="203" t="str">
        <f>VLOOKUP(AC671,★原価商品!$E$6:$F$349,2,FALSE)</f>
        <v>日本海/B4（折り無し）</v>
      </c>
      <c r="AE671" s="203">
        <f t="shared" ca="1" si="82"/>
        <v>0</v>
      </c>
      <c r="AF671" s="383">
        <f>IFERROR(IF(VLOOKUP(申込書!$C$32,★サイズ表記!$F$4:$H$55,3,FALSE)="切り捨て",ROUNDDOWN(L671*IF(AK671="◎",I671,J671)/100,2),IF(VLOOKUP(申込書!$C$32,★サイズ表記!$F$4:$H$55,3,FALSE)="切り上げ",ROUNDUP(L671*IF(AK671="◎",I671,J671)/100,2),ROUND(L671*IF(AK671="◎",I671,J671)/100,2))),0)</f>
        <v>2.2400000000000002</v>
      </c>
      <c r="AG671" s="203">
        <f t="shared" ca="1" si="83"/>
        <v>0</v>
      </c>
      <c r="AJ671" s="460" t="str">
        <f>IFERROR(VLOOKUP(申込書!$C$30,★業種!$D$2:$E$87,2,FALSE),"")</f>
        <v>1003</v>
      </c>
      <c r="AK671" s="460" t="str">
        <f>IF(申込書!$C$36="◎",IF(OR(D671="浜坂・温泉",D671="美方・村岡",D671="香住",D671="岡山",D671="大阪"),"",IF(LEFT(F671)="D","◎",IF(AG671=0,"",IFERROR(IF(VLOOKUP(AG671,★仕入先!$A$2:$C$211,3,FALSE)=0,"","◎"),"")))),"")</f>
        <v>◎</v>
      </c>
      <c r="AL671" s="460">
        <f>申込書!$H$14</f>
        <v>0</v>
      </c>
      <c r="AM671" s="460" t="str">
        <f>申込書!$C$32</f>
        <v>B4（折り無し）</v>
      </c>
      <c r="AN671" s="460" t="str">
        <f>VLOOKUP(AM671,★サイズ表記!$D$4:$E$55,2,FALSE)</f>
        <v>1001</v>
      </c>
      <c r="AO671" s="460">
        <f>IF(C671&lt;&gt;"⑧兵庫",VLOOKUP(LEFT(F671),★新聞!$A$4:$B$12,2,FALSE),IF(LEFT(F671)&lt;&gt;"S",VLOOKUP(LEFT(F671),★新聞!$A$4:$B$12,2,FALSE),VLOOKUP("X",★新聞!$A$4:$B$12,2,FALSE)))</f>
        <v>1</v>
      </c>
      <c r="AP671" s="460" t="str">
        <f t="shared" ca="1" si="84"/>
        <v>0</v>
      </c>
      <c r="AQ671" s="460" t="str">
        <f>IF(申込書!$C$38="","",申込書!$C$38)</f>
        <v/>
      </c>
    </row>
    <row r="672" spans="1:43">
      <c r="A672" s="463">
        <f t="shared" si="85"/>
        <v>671</v>
      </c>
      <c r="B672" s="463" t="str">
        <f t="shared" si="78"/>
        <v>東部</v>
      </c>
      <c r="C672" s="464" t="s">
        <v>1019</v>
      </c>
      <c r="D672" s="464" t="s">
        <v>1603</v>
      </c>
      <c r="E672" s="464">
        <f>VLOOKUP(D672,★折込地区!$A$2:$D$10,4,FALSE)</f>
        <v>3</v>
      </c>
      <c r="F672" s="464" t="s">
        <v>400</v>
      </c>
      <c r="G672" s="464" t="str">
        <f>INDEX(★新聞!$E$4:$I$12, MATCH(LEFT(F672),★新聞!$A$4:$A$12,0), MATCH(LEFT(W672),★新聞!$E$3:$I$3,0))</f>
        <v>X</v>
      </c>
      <c r="H672" s="475" t="s">
        <v>1102</v>
      </c>
      <c r="I672" s="464" cm="1">
        <f t="array" ref="I672">IFERROR(INDEX(★原価率!$A$2:$E$50,MATCH($C672&amp;$H672,★原価率!$A$2:$A$50&amp;★原価率!$B$2:$B$50,0),3),0)</f>
        <v>80</v>
      </c>
      <c r="J672" s="464" cm="1">
        <f t="array" ref="J672">IFERROR(INDEX(★原価率!$A$2:$E$50,MATCH($C672&amp;$H672,★原価率!$A$2:$A$50&amp;★原価率!$B$2:$B$50,0),4),0)</f>
        <v>84</v>
      </c>
      <c r="K672" s="464" cm="1">
        <f t="array" ref="K672">IFERROR(INDEX(★原価率!$A$2:$E$50,MATCH($C672&amp;$H672,★原価率!$A$2:$A$50&amp;★原価率!$B$2:$B$50,0),5),0)</f>
        <v>100</v>
      </c>
      <c r="L672" s="528">
        <f>IFERROR(VLOOKUP(W672,★商品!$A$1:$H$1231,8,FALSE),0)</f>
        <v>2.8</v>
      </c>
      <c r="M672" s="203" t="str">
        <f ca="1">CONCATENATE(VLOOKUP(B672,★営業所!$A$2:$B$5,2,FALSE),TEXT(NOW(),"yyyy"))</f>
        <v>T2023</v>
      </c>
      <c r="N672" s="203">
        <v>1</v>
      </c>
      <c r="O672" s="203">
        <v>0</v>
      </c>
      <c r="P672" s="213">
        <f>申込書!$B$6</f>
        <v>0</v>
      </c>
      <c r="Q672" s="203">
        <f>申込書!$C$34</f>
        <v>1000040</v>
      </c>
      <c r="R672" s="203">
        <v>0</v>
      </c>
      <c r="U672" s="203">
        <f>VLOOKUP(B672,★営業所!$A$2:$C$5,3,FALSE)</f>
        <v>8</v>
      </c>
      <c r="V672" s="203">
        <f>申込書!$B$9</f>
        <v>0</v>
      </c>
      <c r="W672" s="203" t="str">
        <f>CONCATENATE(VLOOKUP(B672,★営業所!$A$2:$B$5,2,FALSE),VLOOKUP(申込書!$C$32,★サイズ表記!$D$4:$E$55,2,FALSE),VLOOKUP(D672,★折込地区!$A$2:$B$11,2,FALSE))</f>
        <v>T1001Yng</v>
      </c>
      <c r="X672" s="203" t="str">
        <f>CONCATENATE(申込書!$B$9," ",VLOOKUP(RIGHT(W672,3),★折込地区!$B$2:$C$10,2,FALSE),"")</f>
        <v xml:space="preserve"> 米子</v>
      </c>
      <c r="Z672" s="206">
        <f t="shared" ca="1" si="79"/>
        <v>0</v>
      </c>
      <c r="AB672" s="383">
        <f t="shared" si="80"/>
        <v>2.8</v>
      </c>
      <c r="AC672" s="203" t="str">
        <f t="shared" si="81"/>
        <v>D1001</v>
      </c>
      <c r="AD672" s="203" t="str">
        <f>VLOOKUP(AC672,★原価商品!$E$6:$F$349,2,FALSE)</f>
        <v>日本海/B4（折り無し）</v>
      </c>
      <c r="AE672" s="203">
        <f t="shared" ca="1" si="82"/>
        <v>0</v>
      </c>
      <c r="AF672" s="383">
        <f>IFERROR(IF(VLOOKUP(申込書!$C$32,★サイズ表記!$F$4:$H$55,3,FALSE)="切り捨て",ROUNDDOWN(L672*IF(AK672="◎",I672,J672)/100,2),IF(VLOOKUP(申込書!$C$32,★サイズ表記!$F$4:$H$55,3,FALSE)="切り上げ",ROUNDUP(L672*IF(AK672="◎",I672,J672)/100,2),ROUND(L672*IF(AK672="◎",I672,J672)/100,2))),0)</f>
        <v>2.2400000000000002</v>
      </c>
      <c r="AG672" s="203">
        <f t="shared" ca="1" si="83"/>
        <v>10561</v>
      </c>
      <c r="AJ672" s="460" t="str">
        <f>IFERROR(VLOOKUP(申込書!$C$30,★業種!$D$2:$E$87,2,FALSE),"")</f>
        <v>1003</v>
      </c>
      <c r="AK672" s="460" t="str">
        <f>IF(申込書!$C$36="◎",IF(OR(D672="浜坂・温泉",D672="美方・村岡",D672="香住",D672="岡山",D672="大阪"),"",IF(LEFT(F672)="D","◎",IF(AG672=0,"",IFERROR(IF(VLOOKUP(AG672,★仕入先!$A$2:$C$211,3,FALSE)=0,"","◎"),"")))),"")</f>
        <v>◎</v>
      </c>
      <c r="AL672" s="460">
        <f>申込書!$H$14</f>
        <v>0</v>
      </c>
      <c r="AM672" s="460" t="str">
        <f>申込書!$C$32</f>
        <v>B4（折り無し）</v>
      </c>
      <c r="AN672" s="460" t="str">
        <f>VLOOKUP(AM672,★サイズ表記!$D$4:$E$55,2,FALSE)</f>
        <v>1001</v>
      </c>
      <c r="AO672" s="460">
        <f>IF(C672&lt;&gt;"⑧兵庫",VLOOKUP(LEFT(F672),★新聞!$A$4:$B$12,2,FALSE),IF(LEFT(F672)&lt;&gt;"S",VLOOKUP(LEFT(F672),★新聞!$A$4:$B$12,2,FALSE),VLOOKUP("X",★新聞!$A$4:$B$12,2,FALSE)))</f>
        <v>1</v>
      </c>
      <c r="AP672" s="460" t="str">
        <f t="shared" ca="1" si="84"/>
        <v>0</v>
      </c>
      <c r="AQ672" s="460" t="str">
        <f>IF(申込書!$C$38="","",申込書!$C$38)</f>
        <v/>
      </c>
    </row>
    <row r="673" spans="1:43">
      <c r="A673" s="463">
        <f t="shared" si="85"/>
        <v>672</v>
      </c>
      <c r="B673" s="463" t="str">
        <f t="shared" si="78"/>
        <v>東部</v>
      </c>
      <c r="C673" s="464" t="s">
        <v>1019</v>
      </c>
      <c r="D673" s="464" t="s">
        <v>1603</v>
      </c>
      <c r="E673" s="464">
        <f>VLOOKUP(D673,★折込地区!$A$2:$D$10,4,FALSE)</f>
        <v>3</v>
      </c>
      <c r="F673" s="464" t="s">
        <v>401</v>
      </c>
      <c r="G673" s="464" t="str">
        <f>INDEX(★新聞!$E$4:$I$12, MATCH(LEFT(F673),★新聞!$A$4:$A$12,0), MATCH(LEFT(W673),★新聞!$E$3:$I$3,0))</f>
        <v>X</v>
      </c>
      <c r="H673" s="475" t="s">
        <v>1102</v>
      </c>
      <c r="I673" s="464" cm="1">
        <f t="array" ref="I673">IFERROR(INDEX(★原価率!$A$2:$E$50,MATCH($C673&amp;$H673,★原価率!$A$2:$A$50&amp;★原価率!$B$2:$B$50,0),3),0)</f>
        <v>80</v>
      </c>
      <c r="J673" s="464" cm="1">
        <f t="array" ref="J673">IFERROR(INDEX(★原価率!$A$2:$E$50,MATCH($C673&amp;$H673,★原価率!$A$2:$A$50&amp;★原価率!$B$2:$B$50,0),4),0)</f>
        <v>84</v>
      </c>
      <c r="K673" s="464" cm="1">
        <f t="array" ref="K673">IFERROR(INDEX(★原価率!$A$2:$E$50,MATCH($C673&amp;$H673,★原価率!$A$2:$A$50&amp;★原価率!$B$2:$B$50,0),5),0)</f>
        <v>100</v>
      </c>
      <c r="L673" s="528">
        <f>IFERROR(VLOOKUP(W673,★商品!$A$1:$H$1231,8,FALSE),0)</f>
        <v>2.8</v>
      </c>
      <c r="M673" s="203" t="str">
        <f ca="1">CONCATENATE(VLOOKUP(B673,★営業所!$A$2:$B$5,2,FALSE),TEXT(NOW(),"yyyy"))</f>
        <v>T2023</v>
      </c>
      <c r="N673" s="203">
        <v>1</v>
      </c>
      <c r="O673" s="203">
        <v>0</v>
      </c>
      <c r="P673" s="213">
        <f>申込書!$B$6</f>
        <v>0</v>
      </c>
      <c r="Q673" s="203">
        <f>申込書!$C$34</f>
        <v>1000040</v>
      </c>
      <c r="R673" s="203">
        <v>0</v>
      </c>
      <c r="U673" s="203">
        <f>VLOOKUP(B673,★営業所!$A$2:$C$5,3,FALSE)</f>
        <v>8</v>
      </c>
      <c r="V673" s="203">
        <f>申込書!$B$9</f>
        <v>0</v>
      </c>
      <c r="W673" s="203" t="str">
        <f>CONCATENATE(VLOOKUP(B673,★営業所!$A$2:$B$5,2,FALSE),VLOOKUP(申込書!$C$32,★サイズ表記!$D$4:$E$55,2,FALSE),VLOOKUP(D673,★折込地区!$A$2:$B$11,2,FALSE))</f>
        <v>T1001Yng</v>
      </c>
      <c r="X673" s="203" t="str">
        <f>CONCATENATE(申込書!$B$9," ",VLOOKUP(RIGHT(W673,3),★折込地区!$B$2:$C$10,2,FALSE),"")</f>
        <v xml:space="preserve"> 米子</v>
      </c>
      <c r="Z673" s="206">
        <f t="shared" ca="1" si="79"/>
        <v>0</v>
      </c>
      <c r="AB673" s="383">
        <f t="shared" si="80"/>
        <v>2.8</v>
      </c>
      <c r="AC673" s="203" t="str">
        <f t="shared" si="81"/>
        <v>D1001</v>
      </c>
      <c r="AD673" s="203" t="str">
        <f>VLOOKUP(AC673,★原価商品!$E$6:$F$349,2,FALSE)</f>
        <v>日本海/B4（折り無し）</v>
      </c>
      <c r="AE673" s="203">
        <f t="shared" ca="1" si="82"/>
        <v>0</v>
      </c>
      <c r="AF673" s="383">
        <f>IFERROR(IF(VLOOKUP(申込書!$C$32,★サイズ表記!$F$4:$H$55,3,FALSE)="切り捨て",ROUNDDOWN(L673*IF(AK673="◎",I673,J673)/100,2),IF(VLOOKUP(申込書!$C$32,★サイズ表記!$F$4:$H$55,3,FALSE)="切り上げ",ROUNDUP(L673*IF(AK673="◎",I673,J673)/100,2),ROUND(L673*IF(AK673="◎",I673,J673)/100,2))),0)</f>
        <v>2.2400000000000002</v>
      </c>
      <c r="AG673" s="203">
        <f t="shared" ca="1" si="83"/>
        <v>0</v>
      </c>
      <c r="AJ673" s="460" t="str">
        <f>IFERROR(VLOOKUP(申込書!$C$30,★業種!$D$2:$E$87,2,FALSE),"")</f>
        <v>1003</v>
      </c>
      <c r="AK673" s="460" t="str">
        <f>IF(申込書!$C$36="◎",IF(OR(D673="浜坂・温泉",D673="美方・村岡",D673="香住",D673="岡山",D673="大阪"),"",IF(LEFT(F673)="D","◎",IF(AG673=0,"",IFERROR(IF(VLOOKUP(AG673,★仕入先!$A$2:$C$211,3,FALSE)=0,"","◎"),"")))),"")</f>
        <v>◎</v>
      </c>
      <c r="AL673" s="460">
        <f>申込書!$H$14</f>
        <v>0</v>
      </c>
      <c r="AM673" s="460" t="str">
        <f>申込書!$C$32</f>
        <v>B4（折り無し）</v>
      </c>
      <c r="AN673" s="460" t="str">
        <f>VLOOKUP(AM673,★サイズ表記!$D$4:$E$55,2,FALSE)</f>
        <v>1001</v>
      </c>
      <c r="AO673" s="460">
        <f>IF(C673&lt;&gt;"⑧兵庫",VLOOKUP(LEFT(F673),★新聞!$A$4:$B$12,2,FALSE),IF(LEFT(F673)&lt;&gt;"S",VLOOKUP(LEFT(F673),★新聞!$A$4:$B$12,2,FALSE),VLOOKUP("X",★新聞!$A$4:$B$12,2,FALSE)))</f>
        <v>1</v>
      </c>
      <c r="AP673" s="460" t="str">
        <f t="shared" ca="1" si="84"/>
        <v>0</v>
      </c>
      <c r="AQ673" s="460" t="str">
        <f>IF(申込書!$C$38="","",申込書!$C$38)</f>
        <v/>
      </c>
    </row>
    <row r="674" spans="1:43">
      <c r="A674" s="463">
        <f t="shared" si="85"/>
        <v>673</v>
      </c>
      <c r="B674" s="463" t="str">
        <f t="shared" si="78"/>
        <v>東部</v>
      </c>
      <c r="C674" s="464" t="s">
        <v>1019</v>
      </c>
      <c r="D674" s="464" t="s">
        <v>1603</v>
      </c>
      <c r="E674" s="464">
        <f>VLOOKUP(D674,★折込地区!$A$2:$D$10,4,FALSE)</f>
        <v>3</v>
      </c>
      <c r="F674" s="464" t="s">
        <v>402</v>
      </c>
      <c r="G674" s="464" t="str">
        <f>INDEX(★新聞!$E$4:$I$12, MATCH(LEFT(F674),★新聞!$A$4:$A$12,0), MATCH(LEFT(W674),★新聞!$E$3:$I$3,0))</f>
        <v>X</v>
      </c>
      <c r="H674" s="475" t="s">
        <v>1102</v>
      </c>
      <c r="I674" s="464" cm="1">
        <f t="array" ref="I674">IFERROR(INDEX(★原価率!$A$2:$E$50,MATCH($C674&amp;$H674,★原価率!$A$2:$A$50&amp;★原価率!$B$2:$B$50,0),3),0)</f>
        <v>80</v>
      </c>
      <c r="J674" s="464" cm="1">
        <f t="array" ref="J674">IFERROR(INDEX(★原価率!$A$2:$E$50,MATCH($C674&amp;$H674,★原価率!$A$2:$A$50&amp;★原価率!$B$2:$B$50,0),4),0)</f>
        <v>84</v>
      </c>
      <c r="K674" s="464" cm="1">
        <f t="array" ref="K674">IFERROR(INDEX(★原価率!$A$2:$E$50,MATCH($C674&amp;$H674,★原価率!$A$2:$A$50&amp;★原価率!$B$2:$B$50,0),5),0)</f>
        <v>100</v>
      </c>
      <c r="L674" s="528">
        <f>IFERROR(VLOOKUP(W674,★商品!$A$1:$H$1231,8,FALSE),0)</f>
        <v>2.8</v>
      </c>
      <c r="M674" s="203" t="str">
        <f ca="1">CONCATENATE(VLOOKUP(B674,★営業所!$A$2:$B$5,2,FALSE),TEXT(NOW(),"yyyy"))</f>
        <v>T2023</v>
      </c>
      <c r="N674" s="203">
        <v>1</v>
      </c>
      <c r="O674" s="203">
        <v>0</v>
      </c>
      <c r="P674" s="213">
        <f>申込書!$B$6</f>
        <v>0</v>
      </c>
      <c r="Q674" s="203">
        <f>申込書!$C$34</f>
        <v>1000040</v>
      </c>
      <c r="R674" s="203">
        <v>0</v>
      </c>
      <c r="U674" s="203">
        <f>VLOOKUP(B674,★営業所!$A$2:$C$5,3,FALSE)</f>
        <v>8</v>
      </c>
      <c r="V674" s="203">
        <f>申込書!$B$9</f>
        <v>0</v>
      </c>
      <c r="W674" s="203" t="str">
        <f>CONCATENATE(VLOOKUP(B674,★営業所!$A$2:$B$5,2,FALSE),VLOOKUP(申込書!$C$32,★サイズ表記!$D$4:$E$55,2,FALSE),VLOOKUP(D674,★折込地区!$A$2:$B$11,2,FALSE))</f>
        <v>T1001Yng</v>
      </c>
      <c r="X674" s="203" t="str">
        <f>CONCATENATE(申込書!$B$9," ",VLOOKUP(RIGHT(W674,3),★折込地区!$B$2:$C$10,2,FALSE),"")</f>
        <v xml:space="preserve"> 米子</v>
      </c>
      <c r="Z674" s="206">
        <f t="shared" ca="1" si="79"/>
        <v>0</v>
      </c>
      <c r="AB674" s="383">
        <f t="shared" si="80"/>
        <v>2.8</v>
      </c>
      <c r="AC674" s="203" t="str">
        <f t="shared" si="81"/>
        <v>D1001</v>
      </c>
      <c r="AD674" s="203" t="str">
        <f>VLOOKUP(AC674,★原価商品!$E$6:$F$349,2,FALSE)</f>
        <v>日本海/B4（折り無し）</v>
      </c>
      <c r="AE674" s="203">
        <f t="shared" ca="1" si="82"/>
        <v>0</v>
      </c>
      <c r="AF674" s="383">
        <f>IFERROR(IF(VLOOKUP(申込書!$C$32,★サイズ表記!$F$4:$H$55,3,FALSE)="切り捨て",ROUNDDOWN(L674*IF(AK674="◎",I674,J674)/100,2),IF(VLOOKUP(申込書!$C$32,★サイズ表記!$F$4:$H$55,3,FALSE)="切り上げ",ROUNDUP(L674*IF(AK674="◎",I674,J674)/100,2),ROUND(L674*IF(AK674="◎",I674,J674)/100,2))),0)</f>
        <v>2.2400000000000002</v>
      </c>
      <c r="AG674" s="203">
        <f t="shared" ca="1" si="83"/>
        <v>10561</v>
      </c>
      <c r="AJ674" s="460" t="str">
        <f>IFERROR(VLOOKUP(申込書!$C$30,★業種!$D$2:$E$87,2,FALSE),"")</f>
        <v>1003</v>
      </c>
      <c r="AK674" s="460" t="str">
        <f>IF(申込書!$C$36="◎",IF(OR(D674="浜坂・温泉",D674="美方・村岡",D674="香住",D674="岡山",D674="大阪"),"",IF(LEFT(F674)="D","◎",IF(AG674=0,"",IFERROR(IF(VLOOKUP(AG674,★仕入先!$A$2:$C$211,3,FALSE)=0,"","◎"),"")))),"")</f>
        <v>◎</v>
      </c>
      <c r="AL674" s="460">
        <f>申込書!$H$14</f>
        <v>0</v>
      </c>
      <c r="AM674" s="460" t="str">
        <f>申込書!$C$32</f>
        <v>B4（折り無し）</v>
      </c>
      <c r="AN674" s="460" t="str">
        <f>VLOOKUP(AM674,★サイズ表記!$D$4:$E$55,2,FALSE)</f>
        <v>1001</v>
      </c>
      <c r="AO674" s="460">
        <f>IF(C674&lt;&gt;"⑧兵庫",VLOOKUP(LEFT(F674),★新聞!$A$4:$B$12,2,FALSE),IF(LEFT(F674)&lt;&gt;"S",VLOOKUP(LEFT(F674),★新聞!$A$4:$B$12,2,FALSE),VLOOKUP("X",★新聞!$A$4:$B$12,2,FALSE)))</f>
        <v>1</v>
      </c>
      <c r="AP674" s="460" t="str">
        <f t="shared" ca="1" si="84"/>
        <v>0</v>
      </c>
      <c r="AQ674" s="460" t="str">
        <f>IF(申込書!$C$38="","",申込書!$C$38)</f>
        <v/>
      </c>
    </row>
    <row r="675" spans="1:43">
      <c r="A675" s="463">
        <f t="shared" si="85"/>
        <v>674</v>
      </c>
      <c r="B675" s="463" t="str">
        <f t="shared" si="78"/>
        <v>東部</v>
      </c>
      <c r="C675" s="464" t="s">
        <v>1019</v>
      </c>
      <c r="D675" s="464" t="s">
        <v>1603</v>
      </c>
      <c r="E675" s="464">
        <f>VLOOKUP(D675,★折込地区!$A$2:$D$10,4,FALSE)</f>
        <v>3</v>
      </c>
      <c r="F675" s="464" t="s">
        <v>403</v>
      </c>
      <c r="G675" s="464" t="str">
        <f>INDEX(★新聞!$E$4:$I$12, MATCH(LEFT(F675),★新聞!$A$4:$A$12,0), MATCH(LEFT(W675),★新聞!$E$3:$I$3,0))</f>
        <v>X</v>
      </c>
      <c r="H675" s="475" t="s">
        <v>1102</v>
      </c>
      <c r="I675" s="464" cm="1">
        <f t="array" ref="I675">IFERROR(INDEX(★原価率!$A$2:$E$50,MATCH($C675&amp;$H675,★原価率!$A$2:$A$50&amp;★原価率!$B$2:$B$50,0),3),0)</f>
        <v>80</v>
      </c>
      <c r="J675" s="464" cm="1">
        <f t="array" ref="J675">IFERROR(INDEX(★原価率!$A$2:$E$50,MATCH($C675&amp;$H675,★原価率!$A$2:$A$50&amp;★原価率!$B$2:$B$50,0),4),0)</f>
        <v>84</v>
      </c>
      <c r="K675" s="464" cm="1">
        <f t="array" ref="K675">IFERROR(INDEX(★原価率!$A$2:$E$50,MATCH($C675&amp;$H675,★原価率!$A$2:$A$50&amp;★原価率!$B$2:$B$50,0),5),0)</f>
        <v>100</v>
      </c>
      <c r="L675" s="528">
        <f>IFERROR(VLOOKUP(W675,★商品!$A$1:$H$1231,8,FALSE),0)</f>
        <v>2.8</v>
      </c>
      <c r="M675" s="203" t="str">
        <f ca="1">CONCATENATE(VLOOKUP(B675,★営業所!$A$2:$B$5,2,FALSE),TEXT(NOW(),"yyyy"))</f>
        <v>T2023</v>
      </c>
      <c r="N675" s="203">
        <v>1</v>
      </c>
      <c r="O675" s="203">
        <v>0</v>
      </c>
      <c r="P675" s="213">
        <f>申込書!$B$6</f>
        <v>0</v>
      </c>
      <c r="Q675" s="203">
        <f>申込書!$C$34</f>
        <v>1000040</v>
      </c>
      <c r="R675" s="203">
        <v>0</v>
      </c>
      <c r="U675" s="203">
        <f>VLOOKUP(B675,★営業所!$A$2:$C$5,3,FALSE)</f>
        <v>8</v>
      </c>
      <c r="V675" s="203">
        <f>申込書!$B$9</f>
        <v>0</v>
      </c>
      <c r="W675" s="203" t="str">
        <f>CONCATENATE(VLOOKUP(B675,★営業所!$A$2:$B$5,2,FALSE),VLOOKUP(申込書!$C$32,★サイズ表記!$D$4:$E$55,2,FALSE),VLOOKUP(D675,★折込地区!$A$2:$B$11,2,FALSE))</f>
        <v>T1001Yng</v>
      </c>
      <c r="X675" s="203" t="str">
        <f>CONCATENATE(申込書!$B$9," ",VLOOKUP(RIGHT(W675,3),★折込地区!$B$2:$C$10,2,FALSE),"")</f>
        <v xml:space="preserve"> 米子</v>
      </c>
      <c r="Z675" s="206">
        <f t="shared" ca="1" si="79"/>
        <v>0</v>
      </c>
      <c r="AB675" s="383">
        <f t="shared" si="80"/>
        <v>2.8</v>
      </c>
      <c r="AC675" s="203" t="str">
        <f t="shared" si="81"/>
        <v>D1001</v>
      </c>
      <c r="AD675" s="203" t="str">
        <f>VLOOKUP(AC675,★原価商品!$E$6:$F$349,2,FALSE)</f>
        <v>日本海/B4（折り無し）</v>
      </c>
      <c r="AE675" s="203">
        <f t="shared" ca="1" si="82"/>
        <v>0</v>
      </c>
      <c r="AF675" s="383">
        <f>IFERROR(IF(VLOOKUP(申込書!$C$32,★サイズ表記!$F$4:$H$55,3,FALSE)="切り捨て",ROUNDDOWN(L675*IF(AK675="◎",I675,J675)/100,2),IF(VLOOKUP(申込書!$C$32,★サイズ表記!$F$4:$H$55,3,FALSE)="切り上げ",ROUNDUP(L675*IF(AK675="◎",I675,J675)/100,2),ROUND(L675*IF(AK675="◎",I675,J675)/100,2))),0)</f>
        <v>2.2400000000000002</v>
      </c>
      <c r="AG675" s="203">
        <f t="shared" ca="1" si="83"/>
        <v>10561</v>
      </c>
      <c r="AJ675" s="460" t="str">
        <f>IFERROR(VLOOKUP(申込書!$C$30,★業種!$D$2:$E$87,2,FALSE),"")</f>
        <v>1003</v>
      </c>
      <c r="AK675" s="460" t="str">
        <f>IF(申込書!$C$36="◎",IF(OR(D675="浜坂・温泉",D675="美方・村岡",D675="香住",D675="岡山",D675="大阪"),"",IF(LEFT(F675)="D","◎",IF(AG675=0,"",IFERROR(IF(VLOOKUP(AG675,★仕入先!$A$2:$C$211,3,FALSE)=0,"","◎"),"")))),"")</f>
        <v>◎</v>
      </c>
      <c r="AL675" s="460">
        <f>申込書!$H$14</f>
        <v>0</v>
      </c>
      <c r="AM675" s="460" t="str">
        <f>申込書!$C$32</f>
        <v>B4（折り無し）</v>
      </c>
      <c r="AN675" s="460" t="str">
        <f>VLOOKUP(AM675,★サイズ表記!$D$4:$E$55,2,FALSE)</f>
        <v>1001</v>
      </c>
      <c r="AO675" s="460">
        <f>IF(C675&lt;&gt;"⑧兵庫",VLOOKUP(LEFT(F675),★新聞!$A$4:$B$12,2,FALSE),IF(LEFT(F675)&lt;&gt;"S",VLOOKUP(LEFT(F675),★新聞!$A$4:$B$12,2,FALSE),VLOOKUP("X",★新聞!$A$4:$B$12,2,FALSE)))</f>
        <v>1</v>
      </c>
      <c r="AP675" s="460" t="str">
        <f t="shared" ca="1" si="84"/>
        <v>0</v>
      </c>
      <c r="AQ675" s="460" t="str">
        <f>IF(申込書!$C$38="","",申込書!$C$38)</f>
        <v/>
      </c>
    </row>
    <row r="676" spans="1:43">
      <c r="A676" s="463">
        <f t="shared" si="85"/>
        <v>675</v>
      </c>
      <c r="B676" s="463" t="str">
        <f t="shared" si="78"/>
        <v>東部</v>
      </c>
      <c r="C676" s="464" t="s">
        <v>1019</v>
      </c>
      <c r="D676" s="464" t="s">
        <v>1603</v>
      </c>
      <c r="E676" s="464">
        <f>VLOOKUP(D676,★折込地区!$A$2:$D$10,4,FALSE)</f>
        <v>3</v>
      </c>
      <c r="F676" s="464" t="s">
        <v>404</v>
      </c>
      <c r="G676" s="464" t="str">
        <f>INDEX(★新聞!$E$4:$I$12, MATCH(LEFT(F676),★新聞!$A$4:$A$12,0), MATCH(LEFT(W676),★新聞!$E$3:$I$3,0))</f>
        <v>X</v>
      </c>
      <c r="H676" s="475" t="s">
        <v>1102</v>
      </c>
      <c r="I676" s="464" cm="1">
        <f t="array" ref="I676">IFERROR(INDEX(★原価率!$A$2:$E$50,MATCH($C676&amp;$H676,★原価率!$A$2:$A$50&amp;★原価率!$B$2:$B$50,0),3),0)</f>
        <v>80</v>
      </c>
      <c r="J676" s="464" cm="1">
        <f t="array" ref="J676">IFERROR(INDEX(★原価率!$A$2:$E$50,MATCH($C676&amp;$H676,★原価率!$A$2:$A$50&amp;★原価率!$B$2:$B$50,0),4),0)</f>
        <v>84</v>
      </c>
      <c r="K676" s="464" cm="1">
        <f t="array" ref="K676">IFERROR(INDEX(★原価率!$A$2:$E$50,MATCH($C676&amp;$H676,★原価率!$A$2:$A$50&amp;★原価率!$B$2:$B$50,0),5),0)</f>
        <v>100</v>
      </c>
      <c r="L676" s="528">
        <f>IFERROR(VLOOKUP(W676,★商品!$A$1:$H$1231,8,FALSE),0)</f>
        <v>2.8</v>
      </c>
      <c r="M676" s="203" t="str">
        <f ca="1">CONCATENATE(VLOOKUP(B676,★営業所!$A$2:$B$5,2,FALSE),TEXT(NOW(),"yyyy"))</f>
        <v>T2023</v>
      </c>
      <c r="N676" s="203">
        <v>1</v>
      </c>
      <c r="O676" s="203">
        <v>0</v>
      </c>
      <c r="P676" s="213">
        <f>申込書!$B$6</f>
        <v>0</v>
      </c>
      <c r="Q676" s="203">
        <f>申込書!$C$34</f>
        <v>1000040</v>
      </c>
      <c r="R676" s="203">
        <v>0</v>
      </c>
      <c r="U676" s="203">
        <f>VLOOKUP(B676,★営業所!$A$2:$C$5,3,FALSE)</f>
        <v>8</v>
      </c>
      <c r="V676" s="203">
        <f>申込書!$B$9</f>
        <v>0</v>
      </c>
      <c r="W676" s="203" t="str">
        <f>CONCATENATE(VLOOKUP(B676,★営業所!$A$2:$B$5,2,FALSE),VLOOKUP(申込書!$C$32,★サイズ表記!$D$4:$E$55,2,FALSE),VLOOKUP(D676,★折込地区!$A$2:$B$11,2,FALSE))</f>
        <v>T1001Yng</v>
      </c>
      <c r="X676" s="203" t="str">
        <f>CONCATENATE(申込書!$B$9," ",VLOOKUP(RIGHT(W676,3),★折込地区!$B$2:$C$10,2,FALSE),"")</f>
        <v xml:space="preserve"> 米子</v>
      </c>
      <c r="Z676" s="206">
        <f t="shared" ca="1" si="79"/>
        <v>0</v>
      </c>
      <c r="AB676" s="383">
        <f t="shared" si="80"/>
        <v>2.8</v>
      </c>
      <c r="AC676" s="203" t="str">
        <f t="shared" si="81"/>
        <v>D1001</v>
      </c>
      <c r="AD676" s="203" t="str">
        <f>VLOOKUP(AC676,★原価商品!$E$6:$F$349,2,FALSE)</f>
        <v>日本海/B4（折り無し）</v>
      </c>
      <c r="AE676" s="203">
        <f t="shared" ca="1" si="82"/>
        <v>0</v>
      </c>
      <c r="AF676" s="383">
        <f>IFERROR(IF(VLOOKUP(申込書!$C$32,★サイズ表記!$F$4:$H$55,3,FALSE)="切り捨て",ROUNDDOWN(L676*IF(AK676="◎",I676,J676)/100,2),IF(VLOOKUP(申込書!$C$32,★サイズ表記!$F$4:$H$55,3,FALSE)="切り上げ",ROUNDUP(L676*IF(AK676="◎",I676,J676)/100,2),ROUND(L676*IF(AK676="◎",I676,J676)/100,2))),0)</f>
        <v>2.2400000000000002</v>
      </c>
      <c r="AG676" s="203">
        <f t="shared" ca="1" si="83"/>
        <v>10561</v>
      </c>
      <c r="AJ676" s="460" t="str">
        <f>IFERROR(VLOOKUP(申込書!$C$30,★業種!$D$2:$E$87,2,FALSE),"")</f>
        <v>1003</v>
      </c>
      <c r="AK676" s="460" t="str">
        <f>IF(申込書!$C$36="◎",IF(OR(D676="浜坂・温泉",D676="美方・村岡",D676="香住",D676="岡山",D676="大阪"),"",IF(LEFT(F676)="D","◎",IF(AG676=0,"",IFERROR(IF(VLOOKUP(AG676,★仕入先!$A$2:$C$211,3,FALSE)=0,"","◎"),"")))),"")</f>
        <v>◎</v>
      </c>
      <c r="AL676" s="460">
        <f>申込書!$H$14</f>
        <v>0</v>
      </c>
      <c r="AM676" s="460" t="str">
        <f>申込書!$C$32</f>
        <v>B4（折り無し）</v>
      </c>
      <c r="AN676" s="460" t="str">
        <f>VLOOKUP(AM676,★サイズ表記!$D$4:$E$55,2,FALSE)</f>
        <v>1001</v>
      </c>
      <c r="AO676" s="460">
        <f>IF(C676&lt;&gt;"⑧兵庫",VLOOKUP(LEFT(F676),★新聞!$A$4:$B$12,2,FALSE),IF(LEFT(F676)&lt;&gt;"S",VLOOKUP(LEFT(F676),★新聞!$A$4:$B$12,2,FALSE),VLOOKUP("X",★新聞!$A$4:$B$12,2,FALSE)))</f>
        <v>1</v>
      </c>
      <c r="AP676" s="460" t="str">
        <f t="shared" ca="1" si="84"/>
        <v>0</v>
      </c>
      <c r="AQ676" s="460" t="str">
        <f>IF(申込書!$C$38="","",申込書!$C$38)</f>
        <v/>
      </c>
    </row>
    <row r="677" spans="1:43">
      <c r="A677" s="463">
        <f t="shared" si="85"/>
        <v>676</v>
      </c>
      <c r="B677" s="463" t="str">
        <f t="shared" si="78"/>
        <v>東部</v>
      </c>
      <c r="C677" s="464" t="s">
        <v>1019</v>
      </c>
      <c r="D677" s="464" t="s">
        <v>1603</v>
      </c>
      <c r="E677" s="464">
        <f>VLOOKUP(D677,★折込地区!$A$2:$D$10,4,FALSE)</f>
        <v>3</v>
      </c>
      <c r="F677" s="464" t="s">
        <v>1140</v>
      </c>
      <c r="G677" s="464" t="str">
        <f>INDEX(★新聞!$E$4:$I$12, MATCH(LEFT(F677),★新聞!$A$4:$A$12,0), MATCH(LEFT(W677),★新聞!$E$3:$I$3,0))</f>
        <v>X</v>
      </c>
      <c r="H677" s="475" t="s">
        <v>1102</v>
      </c>
      <c r="I677" s="464" cm="1">
        <f t="array" ref="I677">IFERROR(INDEX(★原価率!$A$2:$E$50,MATCH($C677&amp;$H677,★原価率!$A$2:$A$50&amp;★原価率!$B$2:$B$50,0),3),0)</f>
        <v>80</v>
      </c>
      <c r="J677" s="464" cm="1">
        <f t="array" ref="J677">IFERROR(INDEX(★原価率!$A$2:$E$50,MATCH($C677&amp;$H677,★原価率!$A$2:$A$50&amp;★原価率!$B$2:$B$50,0),4),0)</f>
        <v>84</v>
      </c>
      <c r="K677" s="464" cm="1">
        <f t="array" ref="K677">IFERROR(INDEX(★原価率!$A$2:$E$50,MATCH($C677&amp;$H677,★原価率!$A$2:$A$50&amp;★原価率!$B$2:$B$50,0),5),0)</f>
        <v>100</v>
      </c>
      <c r="L677" s="528">
        <f>IFERROR(VLOOKUP(W677,★商品!$A$1:$H$1231,8,FALSE),0)</f>
        <v>2.8</v>
      </c>
      <c r="M677" s="203" t="str">
        <f ca="1">CONCATENATE(VLOOKUP(B677,★営業所!$A$2:$B$5,2,FALSE),TEXT(NOW(),"yyyy"))</f>
        <v>T2023</v>
      </c>
      <c r="N677" s="203">
        <v>1</v>
      </c>
      <c r="O677" s="203">
        <v>0</v>
      </c>
      <c r="P677" s="213">
        <f>申込書!$B$6</f>
        <v>0</v>
      </c>
      <c r="Q677" s="203">
        <f>申込書!$C$34</f>
        <v>1000040</v>
      </c>
      <c r="R677" s="203">
        <v>0</v>
      </c>
      <c r="U677" s="203">
        <f>VLOOKUP(B677,★営業所!$A$2:$C$5,3,FALSE)</f>
        <v>8</v>
      </c>
      <c r="V677" s="203">
        <f>申込書!$B$9</f>
        <v>0</v>
      </c>
      <c r="W677" s="203" t="str">
        <f>CONCATENATE(VLOOKUP(B677,★営業所!$A$2:$B$5,2,FALSE),VLOOKUP(申込書!$C$32,★サイズ表記!$D$4:$E$55,2,FALSE),VLOOKUP(D677,★折込地区!$A$2:$B$11,2,FALSE))</f>
        <v>T1001Yng</v>
      </c>
      <c r="X677" s="203" t="str">
        <f>CONCATENATE(申込書!$B$9," ",VLOOKUP(RIGHT(W677,3),★折込地区!$B$2:$C$10,2,FALSE),"")</f>
        <v xml:space="preserve"> 米子</v>
      </c>
      <c r="Z677" s="206">
        <f t="shared" ca="1" si="79"/>
        <v>0</v>
      </c>
      <c r="AB677" s="383">
        <f t="shared" si="80"/>
        <v>2.8</v>
      </c>
      <c r="AC677" s="203" t="str">
        <f t="shared" si="81"/>
        <v>D1001</v>
      </c>
      <c r="AD677" s="203" t="str">
        <f>VLOOKUP(AC677,★原価商品!$E$6:$F$349,2,FALSE)</f>
        <v>日本海/B4（折り無し）</v>
      </c>
      <c r="AE677" s="203">
        <f t="shared" ca="1" si="82"/>
        <v>0</v>
      </c>
      <c r="AF677" s="383">
        <f>IFERROR(IF(VLOOKUP(申込書!$C$32,★サイズ表記!$F$4:$H$55,3,FALSE)="切り捨て",ROUNDDOWN(L677*IF(AK677="◎",I677,J677)/100,2),IF(VLOOKUP(申込書!$C$32,★サイズ表記!$F$4:$H$55,3,FALSE)="切り上げ",ROUNDUP(L677*IF(AK677="◎",I677,J677)/100,2),ROUND(L677*IF(AK677="◎",I677,J677)/100,2))),0)</f>
        <v>2.2400000000000002</v>
      </c>
      <c r="AG677" s="203">
        <f t="shared" ca="1" si="83"/>
        <v>10561</v>
      </c>
      <c r="AJ677" s="460" t="str">
        <f>IFERROR(VLOOKUP(申込書!$C$30,★業種!$D$2:$E$87,2,FALSE),"")</f>
        <v>1003</v>
      </c>
      <c r="AK677" s="460" t="str">
        <f>IF(申込書!$C$36="◎",IF(OR(D677="浜坂・温泉",D677="美方・村岡",D677="香住",D677="岡山",D677="大阪"),"",IF(LEFT(F677)="D","◎",IF(AG677=0,"",IFERROR(IF(VLOOKUP(AG677,★仕入先!$A$2:$C$211,3,FALSE)=0,"","◎"),"")))),"")</f>
        <v>◎</v>
      </c>
      <c r="AL677" s="460">
        <f>申込書!$H$14</f>
        <v>0</v>
      </c>
      <c r="AM677" s="460" t="str">
        <f>申込書!$C$32</f>
        <v>B4（折り無し）</v>
      </c>
      <c r="AN677" s="460" t="str">
        <f>VLOOKUP(AM677,★サイズ表記!$D$4:$E$55,2,FALSE)</f>
        <v>1001</v>
      </c>
      <c r="AO677" s="460">
        <f>IF(C677&lt;&gt;"⑧兵庫",VLOOKUP(LEFT(F677),★新聞!$A$4:$B$12,2,FALSE),IF(LEFT(F677)&lt;&gt;"S",VLOOKUP(LEFT(F677),★新聞!$A$4:$B$12,2,FALSE),VLOOKUP("X",★新聞!$A$4:$B$12,2,FALSE)))</f>
        <v>1</v>
      </c>
      <c r="AP677" s="460" t="str">
        <f t="shared" ca="1" si="84"/>
        <v>0</v>
      </c>
      <c r="AQ677" s="460" t="str">
        <f>IF(申込書!$C$38="","",申込書!$C$38)</f>
        <v/>
      </c>
    </row>
    <row r="678" spans="1:43">
      <c r="A678" s="463">
        <f t="shared" si="85"/>
        <v>677</v>
      </c>
      <c r="B678" s="463" t="str">
        <f t="shared" si="78"/>
        <v>東部</v>
      </c>
      <c r="C678" s="464" t="s">
        <v>1019</v>
      </c>
      <c r="D678" s="464" t="s">
        <v>1603</v>
      </c>
      <c r="E678" s="464">
        <f>VLOOKUP(D678,★折込地区!$A$2:$D$10,4,FALSE)</f>
        <v>3</v>
      </c>
      <c r="F678" s="464" t="s">
        <v>364</v>
      </c>
      <c r="G678" s="464" t="str">
        <f>INDEX(★新聞!$E$4:$I$12, MATCH(LEFT(F678),★新聞!$A$4:$A$12,0), MATCH(LEFT(W678),★新聞!$E$3:$I$3,0))</f>
        <v>AA</v>
      </c>
      <c r="H678" s="555" t="s">
        <v>1102</v>
      </c>
      <c r="I678" s="464" cm="1">
        <f t="array" ref="I678">IFERROR(INDEX(★原価率!$A$2:$E$50,MATCH($C678&amp;$H678,★原価率!$A$2:$A$50&amp;★原価率!$B$2:$B$50,0),3),0)</f>
        <v>80</v>
      </c>
      <c r="J678" s="464" cm="1">
        <f t="array" ref="J678">IFERROR(INDEX(★原価率!$A$2:$E$50,MATCH($C678&amp;$H678,★原価率!$A$2:$A$50&amp;★原価率!$B$2:$B$50,0),4),0)</f>
        <v>84</v>
      </c>
      <c r="K678" s="464" cm="1">
        <f t="array" ref="K678">IFERROR(INDEX(★原価率!$A$2:$E$50,MATCH($C678&amp;$H678,★原価率!$A$2:$A$50&amp;★原価率!$B$2:$B$50,0),5),0)</f>
        <v>100</v>
      </c>
      <c r="L678" s="528">
        <f>IFERROR(VLOOKUP(W678,★商品!$A$1:$H$1231,8,FALSE),0)</f>
        <v>2.8</v>
      </c>
      <c r="M678" s="203" t="str">
        <f ca="1">CONCATENATE(VLOOKUP(B678,★営業所!$A$2:$B$5,2,FALSE),TEXT(NOW(),"yyyy"))</f>
        <v>T2023</v>
      </c>
      <c r="N678" s="203">
        <v>1</v>
      </c>
      <c r="O678" s="203">
        <v>0</v>
      </c>
      <c r="P678" s="213">
        <f>申込書!$B$6</f>
        <v>0</v>
      </c>
      <c r="Q678" s="203">
        <f>申込書!$C$34</f>
        <v>1000040</v>
      </c>
      <c r="R678" s="203">
        <v>0</v>
      </c>
      <c r="U678" s="203">
        <f>VLOOKUP(B678,★営業所!$A$2:$C$5,3,FALSE)</f>
        <v>8</v>
      </c>
      <c r="V678" s="203">
        <f>申込書!$B$9</f>
        <v>0</v>
      </c>
      <c r="W678" s="203" t="str">
        <f>CONCATENATE(VLOOKUP(B678,★営業所!$A$2:$B$5,2,FALSE),VLOOKUP(申込書!$C$32,★サイズ表記!$D$4:$E$55,2,FALSE),VLOOKUP(D678,★折込地区!$A$2:$B$11,2,FALSE))</f>
        <v>T1001Yng</v>
      </c>
      <c r="X678" s="203" t="str">
        <f>CONCATENATE(申込書!$B$9," ",VLOOKUP(RIGHT(W678,3),★折込地区!$B$2:$C$10,2,FALSE),"")</f>
        <v xml:space="preserve"> 米子</v>
      </c>
      <c r="Z678" s="206">
        <f t="shared" ca="1" si="79"/>
        <v>0</v>
      </c>
      <c r="AB678" s="383">
        <f t="shared" si="80"/>
        <v>2.8</v>
      </c>
      <c r="AC678" s="203" t="str">
        <f t="shared" si="81"/>
        <v>G1001</v>
      </c>
      <c r="AD678" s="203" t="str">
        <f>VLOOKUP(AC678,★原価商品!$E$6:$F$349,2,FALSE)</f>
        <v>朝日/B4（折り無し）</v>
      </c>
      <c r="AE678" s="203">
        <f t="shared" ca="1" si="82"/>
        <v>0</v>
      </c>
      <c r="AF678" s="383">
        <f ca="1">IFERROR(IF(VLOOKUP(申込書!$C$32,★サイズ表記!$F$4:$H$55,3,FALSE)="切り捨て",ROUNDDOWN(L678*IF(AK678="◎",I678,J678)/100,2),IF(VLOOKUP(申込書!$C$32,★サイズ表記!$F$4:$H$55,3,FALSE)="切り上げ",ROUNDUP(L678*IF(AK678="◎",I678,J678)/100,2),ROUND(L678*IF(AK678="◎",I678,J678)/100,2))),0)</f>
        <v>2.35</v>
      </c>
      <c r="AG678" s="203">
        <f t="shared" ca="1" si="83"/>
        <v>10561</v>
      </c>
      <c r="AJ678" s="460" t="str">
        <f>IFERROR(VLOOKUP(申込書!$C$30,★業種!$D$2:$E$87,2,FALSE),"")</f>
        <v>1003</v>
      </c>
      <c r="AK678" s="460" t="str">
        <f ca="1">IF(申込書!$C$36="◎",IF(OR(D678="浜坂・温泉",D678="美方・村岡",D678="香住",D678="岡山",D678="大阪"),"",IF(LEFT(F678)="D","◎",IF(AG678=0,"",IFERROR(IF(VLOOKUP(AG678,★仕入先!$A$2:$C$211,3,FALSE)=0,"","◎"),"")))),"")</f>
        <v/>
      </c>
      <c r="AL678" s="460">
        <f>申込書!$H$14</f>
        <v>0</v>
      </c>
      <c r="AM678" s="460" t="str">
        <f>申込書!$C$32</f>
        <v>B4（折り無し）</v>
      </c>
      <c r="AN678" s="460" t="str">
        <f>VLOOKUP(AM678,★サイズ表記!$D$4:$E$55,2,FALSE)</f>
        <v>1001</v>
      </c>
      <c r="AO678" s="460">
        <f>IF(C678&lt;&gt;"⑧兵庫",VLOOKUP(LEFT(F678),★新聞!$A$4:$B$12,2,FALSE),IF(LEFT(F678)&lt;&gt;"S",VLOOKUP(LEFT(F678),★新聞!$A$4:$B$12,2,FALSE),VLOOKUP("X",★新聞!$A$4:$B$12,2,FALSE)))</f>
        <v>2</v>
      </c>
      <c r="AP678" s="460" t="str">
        <f t="shared" ca="1" si="84"/>
        <v>0</v>
      </c>
      <c r="AQ678" s="460" t="str">
        <f>IF(申込書!$C$38="","",申込書!$C$38)</f>
        <v/>
      </c>
    </row>
    <row r="679" spans="1:43">
      <c r="A679" s="463">
        <f t="shared" si="85"/>
        <v>678</v>
      </c>
      <c r="B679" s="463" t="str">
        <f t="shared" si="78"/>
        <v>東部</v>
      </c>
      <c r="C679" s="464" t="s">
        <v>1019</v>
      </c>
      <c r="D679" s="464" t="s">
        <v>1603</v>
      </c>
      <c r="E679" s="464">
        <f>VLOOKUP(D679,★折込地区!$A$2:$D$10,4,FALSE)</f>
        <v>3</v>
      </c>
      <c r="F679" s="464" t="s">
        <v>406</v>
      </c>
      <c r="G679" s="464" t="str">
        <f>INDEX(★新聞!$E$4:$I$12, MATCH(LEFT(F679),★新聞!$A$4:$A$12,0), MATCH(LEFT(W679),★新聞!$E$3:$I$3,0))</f>
        <v>AA</v>
      </c>
      <c r="H679" s="555" t="s">
        <v>1102</v>
      </c>
      <c r="I679" s="464" cm="1">
        <f t="array" ref="I679">IFERROR(INDEX(★原価率!$A$2:$E$50,MATCH($C679&amp;$H679,★原価率!$A$2:$A$50&amp;★原価率!$B$2:$B$50,0),3),0)</f>
        <v>80</v>
      </c>
      <c r="J679" s="464" cm="1">
        <f t="array" ref="J679">IFERROR(INDEX(★原価率!$A$2:$E$50,MATCH($C679&amp;$H679,★原価率!$A$2:$A$50&amp;★原価率!$B$2:$B$50,0),4),0)</f>
        <v>84</v>
      </c>
      <c r="K679" s="464" cm="1">
        <f t="array" ref="K679">IFERROR(INDEX(★原価率!$A$2:$E$50,MATCH($C679&amp;$H679,★原価率!$A$2:$A$50&amp;★原価率!$B$2:$B$50,0),5),0)</f>
        <v>100</v>
      </c>
      <c r="L679" s="528">
        <f>IFERROR(VLOOKUP(W679,★商品!$A$1:$H$1231,8,FALSE),0)</f>
        <v>2.8</v>
      </c>
      <c r="M679" s="203" t="str">
        <f ca="1">CONCATENATE(VLOOKUP(B679,★営業所!$A$2:$B$5,2,FALSE),TEXT(NOW(),"yyyy"))</f>
        <v>T2023</v>
      </c>
      <c r="N679" s="203">
        <v>1</v>
      </c>
      <c r="O679" s="203">
        <v>0</v>
      </c>
      <c r="P679" s="213">
        <f>申込書!$B$6</f>
        <v>0</v>
      </c>
      <c r="Q679" s="203">
        <f>申込書!$C$34</f>
        <v>1000040</v>
      </c>
      <c r="R679" s="203">
        <v>0</v>
      </c>
      <c r="U679" s="203">
        <f>VLOOKUP(B679,★営業所!$A$2:$C$5,3,FALSE)</f>
        <v>8</v>
      </c>
      <c r="V679" s="203">
        <f>申込書!$B$9</f>
        <v>0</v>
      </c>
      <c r="W679" s="203" t="str">
        <f>CONCATENATE(VLOOKUP(B679,★営業所!$A$2:$B$5,2,FALSE),VLOOKUP(申込書!$C$32,★サイズ表記!$D$4:$E$55,2,FALSE),VLOOKUP(D679,★折込地区!$A$2:$B$11,2,FALSE))</f>
        <v>T1001Yng</v>
      </c>
      <c r="X679" s="203" t="str">
        <f>CONCATENATE(申込書!$B$9," ",VLOOKUP(RIGHT(W679,3),★折込地区!$B$2:$C$10,2,FALSE),"")</f>
        <v xml:space="preserve"> 米子</v>
      </c>
      <c r="Z679" s="206">
        <f t="shared" ca="1" si="79"/>
        <v>0</v>
      </c>
      <c r="AB679" s="383">
        <f t="shared" si="80"/>
        <v>2.8</v>
      </c>
      <c r="AC679" s="203" t="str">
        <f t="shared" si="81"/>
        <v>G1001</v>
      </c>
      <c r="AD679" s="203" t="str">
        <f>VLOOKUP(AC679,★原価商品!$E$6:$F$349,2,FALSE)</f>
        <v>朝日/B4（折り無し）</v>
      </c>
      <c r="AE679" s="203">
        <f t="shared" ca="1" si="82"/>
        <v>0</v>
      </c>
      <c r="AF679" s="383">
        <f ca="1">IFERROR(IF(VLOOKUP(申込書!$C$32,★サイズ表記!$F$4:$H$55,3,FALSE)="切り捨て",ROUNDDOWN(L679*IF(AK679="◎",I679,J679)/100,2),IF(VLOOKUP(申込書!$C$32,★サイズ表記!$F$4:$H$55,3,FALSE)="切り上げ",ROUNDUP(L679*IF(AK679="◎",I679,J679)/100,2),ROUND(L679*IF(AK679="◎",I679,J679)/100,2))),0)</f>
        <v>2.35</v>
      </c>
      <c r="AG679" s="203">
        <f t="shared" ca="1" si="83"/>
        <v>10561</v>
      </c>
      <c r="AJ679" s="460" t="str">
        <f>IFERROR(VLOOKUP(申込書!$C$30,★業種!$D$2:$E$87,2,FALSE),"")</f>
        <v>1003</v>
      </c>
      <c r="AK679" s="460" t="str">
        <f ca="1">IF(申込書!$C$36="◎",IF(OR(D679="浜坂・温泉",D679="美方・村岡",D679="香住",D679="岡山",D679="大阪"),"",IF(LEFT(F679)="D","◎",IF(AG679=0,"",IFERROR(IF(VLOOKUP(AG679,★仕入先!$A$2:$C$211,3,FALSE)=0,"","◎"),"")))),"")</f>
        <v/>
      </c>
      <c r="AL679" s="460">
        <f>申込書!$H$14</f>
        <v>0</v>
      </c>
      <c r="AM679" s="460" t="str">
        <f>申込書!$C$32</f>
        <v>B4（折り無し）</v>
      </c>
      <c r="AN679" s="460" t="str">
        <f>VLOOKUP(AM679,★サイズ表記!$D$4:$E$55,2,FALSE)</f>
        <v>1001</v>
      </c>
      <c r="AO679" s="460">
        <f>IF(C679&lt;&gt;"⑧兵庫",VLOOKUP(LEFT(F679),★新聞!$A$4:$B$12,2,FALSE),IF(LEFT(F679)&lt;&gt;"S",VLOOKUP(LEFT(F679),★新聞!$A$4:$B$12,2,FALSE),VLOOKUP("X",★新聞!$A$4:$B$12,2,FALSE)))</f>
        <v>2</v>
      </c>
      <c r="AP679" s="460" t="str">
        <f t="shared" ca="1" si="84"/>
        <v>0</v>
      </c>
      <c r="AQ679" s="460" t="str">
        <f>IF(申込書!$C$38="","",申込書!$C$38)</f>
        <v/>
      </c>
    </row>
    <row r="680" spans="1:43">
      <c r="A680" s="463">
        <f t="shared" si="85"/>
        <v>679</v>
      </c>
      <c r="B680" s="463" t="str">
        <f t="shared" si="78"/>
        <v>東部</v>
      </c>
      <c r="C680" s="464" t="s">
        <v>1019</v>
      </c>
      <c r="D680" s="464" t="s">
        <v>1603</v>
      </c>
      <c r="E680" s="464">
        <f>VLOOKUP(D680,★折込地区!$A$2:$D$10,4,FALSE)</f>
        <v>3</v>
      </c>
      <c r="F680" s="464" t="s">
        <v>407</v>
      </c>
      <c r="G680" s="464" t="str">
        <f>INDEX(★新聞!$E$4:$I$12, MATCH(LEFT(F680),★新聞!$A$4:$A$12,0), MATCH(LEFT(W680),★新聞!$E$3:$I$3,0))</f>
        <v>AA</v>
      </c>
      <c r="H680" s="555" t="s">
        <v>1102</v>
      </c>
      <c r="I680" s="464" cm="1">
        <f t="array" ref="I680">IFERROR(INDEX(★原価率!$A$2:$E$50,MATCH($C680&amp;$H680,★原価率!$A$2:$A$50&amp;★原価率!$B$2:$B$50,0),3),0)</f>
        <v>80</v>
      </c>
      <c r="J680" s="464" cm="1">
        <f t="array" ref="J680">IFERROR(INDEX(★原価率!$A$2:$E$50,MATCH($C680&amp;$H680,★原価率!$A$2:$A$50&amp;★原価率!$B$2:$B$50,0),4),0)</f>
        <v>84</v>
      </c>
      <c r="K680" s="464" cm="1">
        <f t="array" ref="K680">IFERROR(INDEX(★原価率!$A$2:$E$50,MATCH($C680&amp;$H680,★原価率!$A$2:$A$50&amp;★原価率!$B$2:$B$50,0),5),0)</f>
        <v>100</v>
      </c>
      <c r="L680" s="528">
        <f>IFERROR(VLOOKUP(W680,★商品!$A$1:$H$1231,8,FALSE),0)</f>
        <v>2.8</v>
      </c>
      <c r="M680" s="203" t="str">
        <f ca="1">CONCATENATE(VLOOKUP(B680,★営業所!$A$2:$B$5,2,FALSE),TEXT(NOW(),"yyyy"))</f>
        <v>T2023</v>
      </c>
      <c r="N680" s="203">
        <v>1</v>
      </c>
      <c r="O680" s="203">
        <v>0</v>
      </c>
      <c r="P680" s="213">
        <f>申込書!$B$6</f>
        <v>0</v>
      </c>
      <c r="Q680" s="203">
        <f>申込書!$C$34</f>
        <v>1000040</v>
      </c>
      <c r="R680" s="203">
        <v>0</v>
      </c>
      <c r="U680" s="203">
        <f>VLOOKUP(B680,★営業所!$A$2:$C$5,3,FALSE)</f>
        <v>8</v>
      </c>
      <c r="V680" s="203">
        <f>申込書!$B$9</f>
        <v>0</v>
      </c>
      <c r="W680" s="203" t="str">
        <f>CONCATENATE(VLOOKUP(B680,★営業所!$A$2:$B$5,2,FALSE),VLOOKUP(申込書!$C$32,★サイズ表記!$D$4:$E$55,2,FALSE),VLOOKUP(D680,★折込地区!$A$2:$B$11,2,FALSE))</f>
        <v>T1001Yng</v>
      </c>
      <c r="X680" s="203" t="str">
        <f>CONCATENATE(申込書!$B$9," ",VLOOKUP(RIGHT(W680,3),★折込地区!$B$2:$C$10,2,FALSE),"")</f>
        <v xml:space="preserve"> 米子</v>
      </c>
      <c r="Z680" s="206">
        <f t="shared" ca="1" si="79"/>
        <v>0</v>
      </c>
      <c r="AB680" s="383">
        <f t="shared" si="80"/>
        <v>2.8</v>
      </c>
      <c r="AC680" s="203" t="str">
        <f t="shared" si="81"/>
        <v>G1001</v>
      </c>
      <c r="AD680" s="203" t="str">
        <f>VLOOKUP(AC680,★原価商品!$E$6:$F$349,2,FALSE)</f>
        <v>朝日/B4（折り無し）</v>
      </c>
      <c r="AE680" s="203">
        <f t="shared" ca="1" si="82"/>
        <v>0</v>
      </c>
      <c r="AF680" s="383">
        <f ca="1">IFERROR(IF(VLOOKUP(申込書!$C$32,★サイズ表記!$F$4:$H$55,3,FALSE)="切り捨て",ROUNDDOWN(L680*IF(AK680="◎",I680,J680)/100,2),IF(VLOOKUP(申込書!$C$32,★サイズ表記!$F$4:$H$55,3,FALSE)="切り上げ",ROUNDUP(L680*IF(AK680="◎",I680,J680)/100,2),ROUND(L680*IF(AK680="◎",I680,J680)/100,2))),0)</f>
        <v>2.35</v>
      </c>
      <c r="AG680" s="203">
        <f t="shared" ca="1" si="83"/>
        <v>10561</v>
      </c>
      <c r="AJ680" s="460" t="str">
        <f>IFERROR(VLOOKUP(申込書!$C$30,★業種!$D$2:$E$87,2,FALSE),"")</f>
        <v>1003</v>
      </c>
      <c r="AK680" s="460" t="str">
        <f ca="1">IF(申込書!$C$36="◎",IF(OR(D680="浜坂・温泉",D680="美方・村岡",D680="香住",D680="岡山",D680="大阪"),"",IF(LEFT(F680)="D","◎",IF(AG680=0,"",IFERROR(IF(VLOOKUP(AG680,★仕入先!$A$2:$C$211,3,FALSE)=0,"","◎"),"")))),"")</f>
        <v/>
      </c>
      <c r="AL680" s="460">
        <f>申込書!$H$14</f>
        <v>0</v>
      </c>
      <c r="AM680" s="460" t="str">
        <f>申込書!$C$32</f>
        <v>B4（折り無し）</v>
      </c>
      <c r="AN680" s="460" t="str">
        <f>VLOOKUP(AM680,★サイズ表記!$D$4:$E$55,2,FALSE)</f>
        <v>1001</v>
      </c>
      <c r="AO680" s="460">
        <f>IF(C680&lt;&gt;"⑧兵庫",VLOOKUP(LEFT(F680),★新聞!$A$4:$B$12,2,FALSE),IF(LEFT(F680)&lt;&gt;"S",VLOOKUP(LEFT(F680),★新聞!$A$4:$B$12,2,FALSE),VLOOKUP("X",★新聞!$A$4:$B$12,2,FALSE)))</f>
        <v>2</v>
      </c>
      <c r="AP680" s="460" t="str">
        <f t="shared" ca="1" si="84"/>
        <v>0</v>
      </c>
      <c r="AQ680" s="460" t="str">
        <f>IF(申込書!$C$38="","",申込書!$C$38)</f>
        <v/>
      </c>
    </row>
    <row r="681" spans="1:43">
      <c r="A681" s="463">
        <f t="shared" si="85"/>
        <v>680</v>
      </c>
      <c r="B681" s="463" t="str">
        <f t="shared" si="78"/>
        <v>東部</v>
      </c>
      <c r="C681" s="464" t="s">
        <v>1019</v>
      </c>
      <c r="D681" s="464" t="s">
        <v>1603</v>
      </c>
      <c r="E681" s="464">
        <f>VLOOKUP(D681,★折込地区!$A$2:$D$10,4,FALSE)</f>
        <v>3</v>
      </c>
      <c r="F681" s="464" t="s">
        <v>408</v>
      </c>
      <c r="G681" s="464" t="str">
        <f>INDEX(★新聞!$E$4:$I$12, MATCH(LEFT(F681),★新聞!$A$4:$A$12,0), MATCH(LEFT(W681),★新聞!$E$3:$I$3,0))</f>
        <v>AA</v>
      </c>
      <c r="H681" s="555" t="s">
        <v>1102</v>
      </c>
      <c r="I681" s="464" cm="1">
        <f t="array" ref="I681">IFERROR(INDEX(★原価率!$A$2:$E$50,MATCH($C681&amp;$H681,★原価率!$A$2:$A$50&amp;★原価率!$B$2:$B$50,0),3),0)</f>
        <v>80</v>
      </c>
      <c r="J681" s="464" cm="1">
        <f t="array" ref="J681">IFERROR(INDEX(★原価率!$A$2:$E$50,MATCH($C681&amp;$H681,★原価率!$A$2:$A$50&amp;★原価率!$B$2:$B$50,0),4),0)</f>
        <v>84</v>
      </c>
      <c r="K681" s="464" cm="1">
        <f t="array" ref="K681">IFERROR(INDEX(★原価率!$A$2:$E$50,MATCH($C681&amp;$H681,★原価率!$A$2:$A$50&amp;★原価率!$B$2:$B$50,0),5),0)</f>
        <v>100</v>
      </c>
      <c r="L681" s="528">
        <f>IFERROR(VLOOKUP(W681,★商品!$A$1:$H$1231,8,FALSE),0)</f>
        <v>2.8</v>
      </c>
      <c r="M681" s="203" t="str">
        <f ca="1">CONCATENATE(VLOOKUP(B681,★営業所!$A$2:$B$5,2,FALSE),TEXT(NOW(),"yyyy"))</f>
        <v>T2023</v>
      </c>
      <c r="N681" s="203">
        <v>1</v>
      </c>
      <c r="O681" s="203">
        <v>0</v>
      </c>
      <c r="P681" s="213">
        <f>申込書!$B$6</f>
        <v>0</v>
      </c>
      <c r="Q681" s="203">
        <f>申込書!$C$34</f>
        <v>1000040</v>
      </c>
      <c r="R681" s="203">
        <v>0</v>
      </c>
      <c r="U681" s="203">
        <f>VLOOKUP(B681,★営業所!$A$2:$C$5,3,FALSE)</f>
        <v>8</v>
      </c>
      <c r="V681" s="203">
        <f>申込書!$B$9</f>
        <v>0</v>
      </c>
      <c r="W681" s="203" t="str">
        <f>CONCATENATE(VLOOKUP(B681,★営業所!$A$2:$B$5,2,FALSE),VLOOKUP(申込書!$C$32,★サイズ表記!$D$4:$E$55,2,FALSE),VLOOKUP(D681,★折込地区!$A$2:$B$11,2,FALSE))</f>
        <v>T1001Yng</v>
      </c>
      <c r="X681" s="203" t="str">
        <f>CONCATENATE(申込書!$B$9," ",VLOOKUP(RIGHT(W681,3),★折込地区!$B$2:$C$10,2,FALSE),"")</f>
        <v xml:space="preserve"> 米子</v>
      </c>
      <c r="Z681" s="206">
        <f t="shared" ca="1" si="79"/>
        <v>0</v>
      </c>
      <c r="AB681" s="383">
        <f t="shared" si="80"/>
        <v>2.8</v>
      </c>
      <c r="AC681" s="203" t="str">
        <f t="shared" si="81"/>
        <v>G1001</v>
      </c>
      <c r="AD681" s="203" t="str">
        <f>VLOOKUP(AC681,★原価商品!$E$6:$F$349,2,FALSE)</f>
        <v>朝日/B4（折り無し）</v>
      </c>
      <c r="AE681" s="203">
        <f t="shared" ca="1" si="82"/>
        <v>0</v>
      </c>
      <c r="AF681" s="383">
        <f ca="1">IFERROR(IF(VLOOKUP(申込書!$C$32,★サイズ表記!$F$4:$H$55,3,FALSE)="切り捨て",ROUNDDOWN(L681*IF(AK681="◎",I681,J681)/100,2),IF(VLOOKUP(申込書!$C$32,★サイズ表記!$F$4:$H$55,3,FALSE)="切り上げ",ROUNDUP(L681*IF(AK681="◎",I681,J681)/100,2),ROUND(L681*IF(AK681="◎",I681,J681)/100,2))),0)</f>
        <v>2.35</v>
      </c>
      <c r="AG681" s="203">
        <f t="shared" ca="1" si="83"/>
        <v>10561</v>
      </c>
      <c r="AJ681" s="460" t="str">
        <f>IFERROR(VLOOKUP(申込書!$C$30,★業種!$D$2:$E$87,2,FALSE),"")</f>
        <v>1003</v>
      </c>
      <c r="AK681" s="460" t="str">
        <f ca="1">IF(申込書!$C$36="◎",IF(OR(D681="浜坂・温泉",D681="美方・村岡",D681="香住",D681="岡山",D681="大阪"),"",IF(LEFT(F681)="D","◎",IF(AG681=0,"",IFERROR(IF(VLOOKUP(AG681,★仕入先!$A$2:$C$211,3,FALSE)=0,"","◎"),"")))),"")</f>
        <v/>
      </c>
      <c r="AL681" s="460">
        <f>申込書!$H$14</f>
        <v>0</v>
      </c>
      <c r="AM681" s="460" t="str">
        <f>申込書!$C$32</f>
        <v>B4（折り無し）</v>
      </c>
      <c r="AN681" s="460" t="str">
        <f>VLOOKUP(AM681,★サイズ表記!$D$4:$E$55,2,FALSE)</f>
        <v>1001</v>
      </c>
      <c r="AO681" s="460">
        <f>IF(C681&lt;&gt;"⑧兵庫",VLOOKUP(LEFT(F681),★新聞!$A$4:$B$12,2,FALSE),IF(LEFT(F681)&lt;&gt;"S",VLOOKUP(LEFT(F681),★新聞!$A$4:$B$12,2,FALSE),VLOOKUP("X",★新聞!$A$4:$B$12,2,FALSE)))</f>
        <v>2</v>
      </c>
      <c r="AP681" s="460" t="str">
        <f t="shared" ca="1" si="84"/>
        <v>0</v>
      </c>
      <c r="AQ681" s="460" t="str">
        <f>IF(申込書!$C$38="","",申込書!$C$38)</f>
        <v/>
      </c>
    </row>
    <row r="682" spans="1:43">
      <c r="A682" s="463">
        <f t="shared" si="85"/>
        <v>681</v>
      </c>
      <c r="B682" s="463" t="str">
        <f t="shared" si="78"/>
        <v>東部</v>
      </c>
      <c r="C682" s="464" t="s">
        <v>1019</v>
      </c>
      <c r="D682" s="464" t="s">
        <v>1603</v>
      </c>
      <c r="E682" s="464">
        <f>VLOOKUP(D682,★折込地区!$A$2:$D$10,4,FALSE)</f>
        <v>3</v>
      </c>
      <c r="F682" s="464" t="s">
        <v>409</v>
      </c>
      <c r="G682" s="464" t="str">
        <f>INDEX(★新聞!$E$4:$I$12, MATCH(LEFT(F682),★新聞!$A$4:$A$12,0), MATCH(LEFT(W682),★新聞!$E$3:$I$3,0))</f>
        <v>AA</v>
      </c>
      <c r="H682" s="475" t="s">
        <v>1104</v>
      </c>
      <c r="I682" s="464" cm="1">
        <f t="array" ref="I682">IFERROR(INDEX(★原価率!$A$2:$E$50,MATCH($C682&amp;$H682,★原価率!$A$2:$A$50&amp;★原価率!$B$2:$B$50,0),3),0)</f>
        <v>85</v>
      </c>
      <c r="J682" s="464" cm="1">
        <f t="array" ref="J682">IFERROR(INDEX(★原価率!$A$2:$E$50,MATCH($C682&amp;$H682,★原価率!$A$2:$A$50&amp;★原価率!$B$2:$B$50,0),4),0)</f>
        <v>85</v>
      </c>
      <c r="K682" s="464" cm="1">
        <f t="array" ref="K682">IFERROR(INDEX(★原価率!$A$2:$E$50,MATCH($C682&amp;$H682,★原価率!$A$2:$A$50&amp;★原価率!$B$2:$B$50,0),5),0)</f>
        <v>100</v>
      </c>
      <c r="L682" s="528">
        <f>IFERROR(VLOOKUP(W682,★商品!$A$1:$H$1231,8,FALSE),0)</f>
        <v>2.8</v>
      </c>
      <c r="M682" s="203" t="str">
        <f ca="1">CONCATENATE(VLOOKUP(B682,★営業所!$A$2:$B$5,2,FALSE),TEXT(NOW(),"yyyy"))</f>
        <v>T2023</v>
      </c>
      <c r="N682" s="203">
        <v>1</v>
      </c>
      <c r="O682" s="203">
        <v>0</v>
      </c>
      <c r="P682" s="213">
        <f>申込書!$B$6</f>
        <v>0</v>
      </c>
      <c r="Q682" s="203">
        <f>申込書!$C$34</f>
        <v>1000040</v>
      </c>
      <c r="R682" s="203">
        <v>0</v>
      </c>
      <c r="U682" s="203">
        <f>VLOOKUP(B682,★営業所!$A$2:$C$5,3,FALSE)</f>
        <v>8</v>
      </c>
      <c r="V682" s="203">
        <f>申込書!$B$9</f>
        <v>0</v>
      </c>
      <c r="W682" s="203" t="str">
        <f>CONCATENATE(VLOOKUP(B682,★営業所!$A$2:$B$5,2,FALSE),VLOOKUP(申込書!$C$32,★サイズ表記!$D$4:$E$55,2,FALSE),VLOOKUP(D682,★折込地区!$A$2:$B$11,2,FALSE))</f>
        <v>T1001Yng</v>
      </c>
      <c r="X682" s="203" t="str">
        <f>CONCATENATE(申込書!$B$9," ",VLOOKUP(RIGHT(W682,3),★折込地区!$B$2:$C$10,2,FALSE),"")</f>
        <v xml:space="preserve"> 米子</v>
      </c>
      <c r="Z682" s="206">
        <f t="shared" ca="1" si="79"/>
        <v>0</v>
      </c>
      <c r="AB682" s="383">
        <f t="shared" si="80"/>
        <v>2.8</v>
      </c>
      <c r="AC682" s="203" t="str">
        <f t="shared" si="81"/>
        <v>G1001</v>
      </c>
      <c r="AD682" s="203" t="str">
        <f>VLOOKUP(AC682,★原価商品!$E$6:$F$349,2,FALSE)</f>
        <v>朝日/B4（折り無し）</v>
      </c>
      <c r="AE682" s="203">
        <f t="shared" ca="1" si="82"/>
        <v>0</v>
      </c>
      <c r="AF682" s="383">
        <f ca="1">IFERROR(IF(VLOOKUP(申込書!$C$32,★サイズ表記!$F$4:$H$55,3,FALSE)="切り捨て",ROUNDDOWN(L682*IF(AK682="◎",I682,J682)/100,2),IF(VLOOKUP(申込書!$C$32,★サイズ表記!$F$4:$H$55,3,FALSE)="切り上げ",ROUNDUP(L682*IF(AK682="◎",I682,J682)/100,2),ROUND(L682*IF(AK682="◎",I682,J682)/100,2))),0)</f>
        <v>2.38</v>
      </c>
      <c r="AG682" s="203">
        <f t="shared" ca="1" si="83"/>
        <v>10561</v>
      </c>
      <c r="AJ682" s="460" t="str">
        <f>IFERROR(VLOOKUP(申込書!$C$30,★業種!$D$2:$E$87,2,FALSE),"")</f>
        <v>1003</v>
      </c>
      <c r="AK682" s="460" t="str">
        <f ca="1">IF(申込書!$C$36="◎",IF(OR(D682="浜坂・温泉",D682="美方・村岡",D682="香住",D682="岡山",D682="大阪"),"",IF(LEFT(F682)="D","◎",IF(AG682=0,"",IFERROR(IF(VLOOKUP(AG682,★仕入先!$A$2:$C$211,3,FALSE)=0,"","◎"),"")))),"")</f>
        <v/>
      </c>
      <c r="AL682" s="460">
        <f>申込書!$H$14</f>
        <v>0</v>
      </c>
      <c r="AM682" s="460" t="str">
        <f>申込書!$C$32</f>
        <v>B4（折り無し）</v>
      </c>
      <c r="AN682" s="460" t="str">
        <f>VLOOKUP(AM682,★サイズ表記!$D$4:$E$55,2,FALSE)</f>
        <v>1001</v>
      </c>
      <c r="AO682" s="460">
        <f>IF(C682&lt;&gt;"⑧兵庫",VLOOKUP(LEFT(F682),★新聞!$A$4:$B$12,2,FALSE),IF(LEFT(F682)&lt;&gt;"S",VLOOKUP(LEFT(F682),★新聞!$A$4:$B$12,2,FALSE),VLOOKUP("X",★新聞!$A$4:$B$12,2,FALSE)))</f>
        <v>2</v>
      </c>
      <c r="AP682" s="460" t="str">
        <f t="shared" ca="1" si="84"/>
        <v>0</v>
      </c>
      <c r="AQ682" s="460" t="str">
        <f>IF(申込書!$C$38="","",申込書!$C$38)</f>
        <v/>
      </c>
    </row>
    <row r="683" spans="1:43">
      <c r="A683" s="463">
        <f t="shared" si="85"/>
        <v>682</v>
      </c>
      <c r="B683" s="463" t="str">
        <f t="shared" si="78"/>
        <v>東部</v>
      </c>
      <c r="C683" s="464" t="s">
        <v>1019</v>
      </c>
      <c r="D683" s="464" t="s">
        <v>1603</v>
      </c>
      <c r="E683" s="464">
        <f>VLOOKUP(D683,★折込地区!$A$2:$D$10,4,FALSE)</f>
        <v>3</v>
      </c>
      <c r="F683" s="464" t="s">
        <v>410</v>
      </c>
      <c r="G683" s="464" t="str">
        <f>INDEX(★新聞!$E$4:$I$12, MATCH(LEFT(F683),★新聞!$A$4:$A$12,0), MATCH(LEFT(W683),★新聞!$E$3:$I$3,0))</f>
        <v>AA</v>
      </c>
      <c r="H683" s="475" t="s">
        <v>1104</v>
      </c>
      <c r="I683" s="464" cm="1">
        <f t="array" ref="I683">IFERROR(INDEX(★原価率!$A$2:$E$50,MATCH($C683&amp;$H683,★原価率!$A$2:$A$50&amp;★原価率!$B$2:$B$50,0),3),0)</f>
        <v>85</v>
      </c>
      <c r="J683" s="464" cm="1">
        <f t="array" ref="J683">IFERROR(INDEX(★原価率!$A$2:$E$50,MATCH($C683&amp;$H683,★原価率!$A$2:$A$50&amp;★原価率!$B$2:$B$50,0),4),0)</f>
        <v>85</v>
      </c>
      <c r="K683" s="464" cm="1">
        <f t="array" ref="K683">IFERROR(INDEX(★原価率!$A$2:$E$50,MATCH($C683&amp;$H683,★原価率!$A$2:$A$50&amp;★原価率!$B$2:$B$50,0),5),0)</f>
        <v>100</v>
      </c>
      <c r="L683" s="528">
        <f>IFERROR(VLOOKUP(W683,★商品!$A$1:$H$1231,8,FALSE),0)</f>
        <v>2.8</v>
      </c>
      <c r="M683" s="203" t="str">
        <f ca="1">CONCATENATE(VLOOKUP(B683,★営業所!$A$2:$B$5,2,FALSE),TEXT(NOW(),"yyyy"))</f>
        <v>T2023</v>
      </c>
      <c r="N683" s="203">
        <v>1</v>
      </c>
      <c r="O683" s="203">
        <v>0</v>
      </c>
      <c r="P683" s="213">
        <f>申込書!$B$6</f>
        <v>0</v>
      </c>
      <c r="Q683" s="203">
        <f>申込書!$C$34</f>
        <v>1000040</v>
      </c>
      <c r="R683" s="203">
        <v>0</v>
      </c>
      <c r="U683" s="203">
        <f>VLOOKUP(B683,★営業所!$A$2:$C$5,3,FALSE)</f>
        <v>8</v>
      </c>
      <c r="V683" s="203">
        <f>申込書!$B$9</f>
        <v>0</v>
      </c>
      <c r="W683" s="203" t="str">
        <f>CONCATENATE(VLOOKUP(B683,★営業所!$A$2:$B$5,2,FALSE),VLOOKUP(申込書!$C$32,★サイズ表記!$D$4:$E$55,2,FALSE),VLOOKUP(D683,★折込地区!$A$2:$B$11,2,FALSE))</f>
        <v>T1001Yng</v>
      </c>
      <c r="X683" s="203" t="str">
        <f>CONCATENATE(申込書!$B$9," ",VLOOKUP(RIGHT(W683,3),★折込地区!$B$2:$C$10,2,FALSE),"")</f>
        <v xml:space="preserve"> 米子</v>
      </c>
      <c r="Z683" s="206">
        <f t="shared" ca="1" si="79"/>
        <v>0</v>
      </c>
      <c r="AB683" s="383">
        <f t="shared" si="80"/>
        <v>2.8</v>
      </c>
      <c r="AC683" s="203" t="str">
        <f t="shared" si="81"/>
        <v>G1001</v>
      </c>
      <c r="AD683" s="203" t="str">
        <f>VLOOKUP(AC683,★原価商品!$E$6:$F$349,2,FALSE)</f>
        <v>朝日/B4（折り無し）</v>
      </c>
      <c r="AE683" s="203">
        <f t="shared" ca="1" si="82"/>
        <v>0</v>
      </c>
      <c r="AF683" s="383">
        <f ca="1">IFERROR(IF(VLOOKUP(申込書!$C$32,★サイズ表記!$F$4:$H$55,3,FALSE)="切り捨て",ROUNDDOWN(L683*IF(AK683="◎",I683,J683)/100,2),IF(VLOOKUP(申込書!$C$32,★サイズ表記!$F$4:$H$55,3,FALSE)="切り上げ",ROUNDUP(L683*IF(AK683="◎",I683,J683)/100,2),ROUND(L683*IF(AK683="◎",I683,J683)/100,2))),0)</f>
        <v>2.38</v>
      </c>
      <c r="AG683" s="203">
        <f t="shared" ca="1" si="83"/>
        <v>10561</v>
      </c>
      <c r="AJ683" s="460" t="str">
        <f>IFERROR(VLOOKUP(申込書!$C$30,★業種!$D$2:$E$87,2,FALSE),"")</f>
        <v>1003</v>
      </c>
      <c r="AK683" s="460" t="str">
        <f ca="1">IF(申込書!$C$36="◎",IF(OR(D683="浜坂・温泉",D683="美方・村岡",D683="香住",D683="岡山",D683="大阪"),"",IF(LEFT(F683)="D","◎",IF(AG683=0,"",IFERROR(IF(VLOOKUP(AG683,★仕入先!$A$2:$C$211,3,FALSE)=0,"","◎"),"")))),"")</f>
        <v/>
      </c>
      <c r="AL683" s="460">
        <f>申込書!$H$14</f>
        <v>0</v>
      </c>
      <c r="AM683" s="460" t="str">
        <f>申込書!$C$32</f>
        <v>B4（折り無し）</v>
      </c>
      <c r="AN683" s="460" t="str">
        <f>VLOOKUP(AM683,★サイズ表記!$D$4:$E$55,2,FALSE)</f>
        <v>1001</v>
      </c>
      <c r="AO683" s="460">
        <f>IF(C683&lt;&gt;"⑧兵庫",VLOOKUP(LEFT(F683),★新聞!$A$4:$B$12,2,FALSE),IF(LEFT(F683)&lt;&gt;"S",VLOOKUP(LEFT(F683),★新聞!$A$4:$B$12,2,FALSE),VLOOKUP("X",★新聞!$A$4:$B$12,2,FALSE)))</f>
        <v>2</v>
      </c>
      <c r="AP683" s="460" t="str">
        <f t="shared" ca="1" si="84"/>
        <v>0</v>
      </c>
      <c r="AQ683" s="460" t="str">
        <f>IF(申込書!$C$38="","",申込書!$C$38)</f>
        <v/>
      </c>
    </row>
    <row r="684" spans="1:43">
      <c r="A684" s="463">
        <f t="shared" si="85"/>
        <v>683</v>
      </c>
      <c r="B684" s="463" t="str">
        <f t="shared" si="78"/>
        <v>東部</v>
      </c>
      <c r="C684" s="464" t="s">
        <v>1019</v>
      </c>
      <c r="D684" s="464" t="s">
        <v>1603</v>
      </c>
      <c r="E684" s="464">
        <f>VLOOKUP(D684,★折込地区!$A$2:$D$10,4,FALSE)</f>
        <v>3</v>
      </c>
      <c r="F684" s="464" t="s">
        <v>411</v>
      </c>
      <c r="G684" s="464" t="str">
        <f>INDEX(★新聞!$E$4:$I$12, MATCH(LEFT(F684),★新聞!$A$4:$A$12,0), MATCH(LEFT(W684),★新聞!$E$3:$I$3,0))</f>
        <v>AA</v>
      </c>
      <c r="H684" s="555" t="s">
        <v>1102</v>
      </c>
      <c r="I684" s="464" cm="1">
        <f t="array" ref="I684">IFERROR(INDEX(★原価率!$A$2:$E$50,MATCH($C684&amp;$H684,★原価率!$A$2:$A$50&amp;★原価率!$B$2:$B$50,0),3),0)</f>
        <v>80</v>
      </c>
      <c r="J684" s="464" cm="1">
        <f t="array" ref="J684">IFERROR(INDEX(★原価率!$A$2:$E$50,MATCH($C684&amp;$H684,★原価率!$A$2:$A$50&amp;★原価率!$B$2:$B$50,0),4),0)</f>
        <v>84</v>
      </c>
      <c r="K684" s="464" cm="1">
        <f t="array" ref="K684">IFERROR(INDEX(★原価率!$A$2:$E$50,MATCH($C684&amp;$H684,★原価率!$A$2:$A$50&amp;★原価率!$B$2:$B$50,0),5),0)</f>
        <v>100</v>
      </c>
      <c r="L684" s="528">
        <f>IFERROR(VLOOKUP(W684,★商品!$A$1:$H$1231,8,FALSE),0)</f>
        <v>2.8</v>
      </c>
      <c r="M684" s="203" t="str">
        <f ca="1">CONCATENATE(VLOOKUP(B684,★営業所!$A$2:$B$5,2,FALSE),TEXT(NOW(),"yyyy"))</f>
        <v>T2023</v>
      </c>
      <c r="N684" s="203">
        <v>1</v>
      </c>
      <c r="O684" s="203">
        <v>0</v>
      </c>
      <c r="P684" s="213">
        <f>申込書!$B$6</f>
        <v>0</v>
      </c>
      <c r="Q684" s="203">
        <f>申込書!$C$34</f>
        <v>1000040</v>
      </c>
      <c r="R684" s="203">
        <v>0</v>
      </c>
      <c r="U684" s="203">
        <f>VLOOKUP(B684,★営業所!$A$2:$C$5,3,FALSE)</f>
        <v>8</v>
      </c>
      <c r="V684" s="203">
        <f>申込書!$B$9</f>
        <v>0</v>
      </c>
      <c r="W684" s="203" t="str">
        <f>CONCATENATE(VLOOKUP(B684,★営業所!$A$2:$B$5,2,FALSE),VLOOKUP(申込書!$C$32,★サイズ表記!$D$4:$E$55,2,FALSE),VLOOKUP(D684,★折込地区!$A$2:$B$11,2,FALSE))</f>
        <v>T1001Yng</v>
      </c>
      <c r="X684" s="203" t="str">
        <f>CONCATENATE(申込書!$B$9," ",VLOOKUP(RIGHT(W684,3),★折込地区!$B$2:$C$10,2,FALSE),"")</f>
        <v xml:space="preserve"> 米子</v>
      </c>
      <c r="Z684" s="206">
        <f t="shared" ca="1" si="79"/>
        <v>0</v>
      </c>
      <c r="AB684" s="383">
        <f t="shared" si="80"/>
        <v>2.8</v>
      </c>
      <c r="AC684" s="203" t="str">
        <f t="shared" si="81"/>
        <v>G1001</v>
      </c>
      <c r="AD684" s="203" t="str">
        <f>VLOOKUP(AC684,★原価商品!$E$6:$F$349,2,FALSE)</f>
        <v>朝日/B4（折り無し）</v>
      </c>
      <c r="AE684" s="203">
        <f t="shared" ca="1" si="82"/>
        <v>0</v>
      </c>
      <c r="AF684" s="383">
        <f ca="1">IFERROR(IF(VLOOKUP(申込書!$C$32,★サイズ表記!$F$4:$H$55,3,FALSE)="切り捨て",ROUNDDOWN(L684*IF(AK684="◎",I684,J684)/100,2),IF(VLOOKUP(申込書!$C$32,★サイズ表記!$F$4:$H$55,3,FALSE)="切り上げ",ROUNDUP(L684*IF(AK684="◎",I684,J684)/100,2),ROUND(L684*IF(AK684="◎",I684,J684)/100,2))),0)</f>
        <v>2.35</v>
      </c>
      <c r="AG684" s="203">
        <f t="shared" ca="1" si="83"/>
        <v>10561</v>
      </c>
      <c r="AJ684" s="460" t="str">
        <f>IFERROR(VLOOKUP(申込書!$C$30,★業種!$D$2:$E$87,2,FALSE),"")</f>
        <v>1003</v>
      </c>
      <c r="AK684" s="460" t="str">
        <f ca="1">IF(申込書!$C$36="◎",IF(OR(D684="浜坂・温泉",D684="美方・村岡",D684="香住",D684="岡山",D684="大阪"),"",IF(LEFT(F684)="D","◎",IF(AG684=0,"",IFERROR(IF(VLOOKUP(AG684,★仕入先!$A$2:$C$211,3,FALSE)=0,"","◎"),"")))),"")</f>
        <v/>
      </c>
      <c r="AL684" s="460">
        <f>申込書!$H$14</f>
        <v>0</v>
      </c>
      <c r="AM684" s="460" t="str">
        <f>申込書!$C$32</f>
        <v>B4（折り無し）</v>
      </c>
      <c r="AN684" s="460" t="str">
        <f>VLOOKUP(AM684,★サイズ表記!$D$4:$E$55,2,FALSE)</f>
        <v>1001</v>
      </c>
      <c r="AO684" s="460">
        <f>IF(C684&lt;&gt;"⑧兵庫",VLOOKUP(LEFT(F684),★新聞!$A$4:$B$12,2,FALSE),IF(LEFT(F684)&lt;&gt;"S",VLOOKUP(LEFT(F684),★新聞!$A$4:$B$12,2,FALSE),VLOOKUP("X",★新聞!$A$4:$B$12,2,FALSE)))</f>
        <v>2</v>
      </c>
      <c r="AP684" s="460" t="str">
        <f t="shared" ca="1" si="84"/>
        <v>0</v>
      </c>
      <c r="AQ684" s="460" t="str">
        <f>IF(申込書!$C$38="","",申込書!$C$38)</f>
        <v/>
      </c>
    </row>
    <row r="685" spans="1:43">
      <c r="A685" s="463">
        <f t="shared" si="85"/>
        <v>684</v>
      </c>
      <c r="B685" s="463" t="str">
        <f t="shared" si="78"/>
        <v>東部</v>
      </c>
      <c r="C685" s="464" t="s">
        <v>1019</v>
      </c>
      <c r="D685" s="464" t="s">
        <v>1603</v>
      </c>
      <c r="E685" s="464">
        <f>VLOOKUP(D685,★折込地区!$A$2:$D$10,4,FALSE)</f>
        <v>3</v>
      </c>
      <c r="F685" s="464" t="s">
        <v>412</v>
      </c>
      <c r="G685" s="464" t="str">
        <f>INDEX(★新聞!$E$4:$I$12, MATCH(LEFT(F685),★新聞!$A$4:$A$12,0), MATCH(LEFT(W685),★新聞!$E$3:$I$3,0))</f>
        <v>AA</v>
      </c>
      <c r="H685" s="555" t="s">
        <v>1102</v>
      </c>
      <c r="I685" s="464" cm="1">
        <f t="array" ref="I685">IFERROR(INDEX(★原価率!$A$2:$E$50,MATCH($C685&amp;$H685,★原価率!$A$2:$A$50&amp;★原価率!$B$2:$B$50,0),3),0)</f>
        <v>80</v>
      </c>
      <c r="J685" s="464" cm="1">
        <f t="array" ref="J685">IFERROR(INDEX(★原価率!$A$2:$E$50,MATCH($C685&amp;$H685,★原価率!$A$2:$A$50&amp;★原価率!$B$2:$B$50,0),4),0)</f>
        <v>84</v>
      </c>
      <c r="K685" s="464" cm="1">
        <f t="array" ref="K685">IFERROR(INDEX(★原価率!$A$2:$E$50,MATCH($C685&amp;$H685,★原価率!$A$2:$A$50&amp;★原価率!$B$2:$B$50,0),5),0)</f>
        <v>100</v>
      </c>
      <c r="L685" s="528">
        <f>IFERROR(VLOOKUP(W685,★商品!$A$1:$H$1231,8,FALSE),0)</f>
        <v>2.8</v>
      </c>
      <c r="M685" s="203" t="str">
        <f ca="1">CONCATENATE(VLOOKUP(B685,★営業所!$A$2:$B$5,2,FALSE),TEXT(NOW(),"yyyy"))</f>
        <v>T2023</v>
      </c>
      <c r="N685" s="203">
        <v>1</v>
      </c>
      <c r="O685" s="203">
        <v>0</v>
      </c>
      <c r="P685" s="213">
        <f>申込書!$B$6</f>
        <v>0</v>
      </c>
      <c r="Q685" s="203">
        <f>申込書!$C$34</f>
        <v>1000040</v>
      </c>
      <c r="R685" s="203">
        <v>0</v>
      </c>
      <c r="U685" s="203">
        <f>VLOOKUP(B685,★営業所!$A$2:$C$5,3,FALSE)</f>
        <v>8</v>
      </c>
      <c r="V685" s="203">
        <f>申込書!$B$9</f>
        <v>0</v>
      </c>
      <c r="W685" s="203" t="str">
        <f>CONCATENATE(VLOOKUP(B685,★営業所!$A$2:$B$5,2,FALSE),VLOOKUP(申込書!$C$32,★サイズ表記!$D$4:$E$55,2,FALSE),VLOOKUP(D685,★折込地区!$A$2:$B$11,2,FALSE))</f>
        <v>T1001Yng</v>
      </c>
      <c r="X685" s="203" t="str">
        <f>CONCATENATE(申込書!$B$9," ",VLOOKUP(RIGHT(W685,3),★折込地区!$B$2:$C$10,2,FALSE),"")</f>
        <v xml:space="preserve"> 米子</v>
      </c>
      <c r="Z685" s="206">
        <f t="shared" ca="1" si="79"/>
        <v>0</v>
      </c>
      <c r="AB685" s="383">
        <f t="shared" si="80"/>
        <v>2.8</v>
      </c>
      <c r="AC685" s="203" t="str">
        <f t="shared" si="81"/>
        <v>G1001</v>
      </c>
      <c r="AD685" s="203" t="str">
        <f>VLOOKUP(AC685,★原価商品!$E$6:$F$349,2,FALSE)</f>
        <v>朝日/B4（折り無し）</v>
      </c>
      <c r="AE685" s="203">
        <f t="shared" ca="1" si="82"/>
        <v>0</v>
      </c>
      <c r="AF685" s="383">
        <f ca="1">IFERROR(IF(VLOOKUP(申込書!$C$32,★サイズ表記!$F$4:$H$55,3,FALSE)="切り捨て",ROUNDDOWN(L685*IF(AK685="◎",I685,J685)/100,2),IF(VLOOKUP(申込書!$C$32,★サイズ表記!$F$4:$H$55,3,FALSE)="切り上げ",ROUNDUP(L685*IF(AK685="◎",I685,J685)/100,2),ROUND(L685*IF(AK685="◎",I685,J685)/100,2))),0)</f>
        <v>2.35</v>
      </c>
      <c r="AG685" s="203">
        <f t="shared" ca="1" si="83"/>
        <v>10561</v>
      </c>
      <c r="AJ685" s="460" t="str">
        <f>IFERROR(VLOOKUP(申込書!$C$30,★業種!$D$2:$E$87,2,FALSE),"")</f>
        <v>1003</v>
      </c>
      <c r="AK685" s="460" t="str">
        <f ca="1">IF(申込書!$C$36="◎",IF(OR(D685="浜坂・温泉",D685="美方・村岡",D685="香住",D685="岡山",D685="大阪"),"",IF(LEFT(F685)="D","◎",IF(AG685=0,"",IFERROR(IF(VLOOKUP(AG685,★仕入先!$A$2:$C$211,3,FALSE)=0,"","◎"),"")))),"")</f>
        <v/>
      </c>
      <c r="AL685" s="460">
        <f>申込書!$H$14</f>
        <v>0</v>
      </c>
      <c r="AM685" s="460" t="str">
        <f>申込書!$C$32</f>
        <v>B4（折り無し）</v>
      </c>
      <c r="AN685" s="460" t="str">
        <f>VLOOKUP(AM685,★サイズ表記!$D$4:$E$55,2,FALSE)</f>
        <v>1001</v>
      </c>
      <c r="AO685" s="460">
        <f>IF(C685&lt;&gt;"⑧兵庫",VLOOKUP(LEFT(F685),★新聞!$A$4:$B$12,2,FALSE),IF(LEFT(F685)&lt;&gt;"S",VLOOKUP(LEFT(F685),★新聞!$A$4:$B$12,2,FALSE),VLOOKUP("X",★新聞!$A$4:$B$12,2,FALSE)))</f>
        <v>2</v>
      </c>
      <c r="AP685" s="460" t="str">
        <f t="shared" ca="1" si="84"/>
        <v>0</v>
      </c>
      <c r="AQ685" s="460" t="str">
        <f>IF(申込書!$C$38="","",申込書!$C$38)</f>
        <v/>
      </c>
    </row>
    <row r="686" spans="1:43">
      <c r="A686" s="463">
        <f t="shared" si="85"/>
        <v>685</v>
      </c>
      <c r="B686" s="463" t="str">
        <f t="shared" si="78"/>
        <v>東部</v>
      </c>
      <c r="C686" s="464" t="s">
        <v>1019</v>
      </c>
      <c r="D686" s="464" t="s">
        <v>1603</v>
      </c>
      <c r="E686" s="464">
        <f>VLOOKUP(D686,★折込地区!$A$2:$D$10,4,FALSE)</f>
        <v>3</v>
      </c>
      <c r="F686" s="464" t="s">
        <v>413</v>
      </c>
      <c r="G686" s="464" t="str">
        <f>INDEX(★新聞!$E$4:$I$12, MATCH(LEFT(F686),★新聞!$A$4:$A$12,0), MATCH(LEFT(W686),★新聞!$E$3:$I$3,0))</f>
        <v>AA</v>
      </c>
      <c r="H686" s="475" t="s">
        <v>1104</v>
      </c>
      <c r="I686" s="464" cm="1">
        <f t="array" ref="I686">IFERROR(INDEX(★原価率!$A$2:$E$50,MATCH($C686&amp;$H686,★原価率!$A$2:$A$50&amp;★原価率!$B$2:$B$50,0),3),0)</f>
        <v>85</v>
      </c>
      <c r="J686" s="464" cm="1">
        <f t="array" ref="J686">IFERROR(INDEX(★原価率!$A$2:$E$50,MATCH($C686&amp;$H686,★原価率!$A$2:$A$50&amp;★原価率!$B$2:$B$50,0),4),0)</f>
        <v>85</v>
      </c>
      <c r="K686" s="464" cm="1">
        <f t="array" ref="K686">IFERROR(INDEX(★原価率!$A$2:$E$50,MATCH($C686&amp;$H686,★原価率!$A$2:$A$50&amp;★原価率!$B$2:$B$50,0),5),0)</f>
        <v>100</v>
      </c>
      <c r="L686" s="528">
        <f>IFERROR(VLOOKUP(W686,★商品!$A$1:$H$1231,8,FALSE),0)</f>
        <v>2.8</v>
      </c>
      <c r="M686" s="203" t="str">
        <f ca="1">CONCATENATE(VLOOKUP(B686,★営業所!$A$2:$B$5,2,FALSE),TEXT(NOW(),"yyyy"))</f>
        <v>T2023</v>
      </c>
      <c r="N686" s="203">
        <v>1</v>
      </c>
      <c r="O686" s="203">
        <v>0</v>
      </c>
      <c r="P686" s="213">
        <f>申込書!$B$6</f>
        <v>0</v>
      </c>
      <c r="Q686" s="203">
        <f>申込書!$C$34</f>
        <v>1000040</v>
      </c>
      <c r="R686" s="203">
        <v>0</v>
      </c>
      <c r="U686" s="203">
        <f>VLOOKUP(B686,★営業所!$A$2:$C$5,3,FALSE)</f>
        <v>8</v>
      </c>
      <c r="V686" s="203">
        <f>申込書!$B$9</f>
        <v>0</v>
      </c>
      <c r="W686" s="203" t="str">
        <f>CONCATENATE(VLOOKUP(B686,★営業所!$A$2:$B$5,2,FALSE),VLOOKUP(申込書!$C$32,★サイズ表記!$D$4:$E$55,2,FALSE),VLOOKUP(D686,★折込地区!$A$2:$B$11,2,FALSE))</f>
        <v>T1001Yng</v>
      </c>
      <c r="X686" s="203" t="str">
        <f>CONCATENATE(申込書!$B$9," ",VLOOKUP(RIGHT(W686,3),★折込地区!$B$2:$C$10,2,FALSE),"")</f>
        <v xml:space="preserve"> 米子</v>
      </c>
      <c r="Z686" s="206">
        <f t="shared" ca="1" si="79"/>
        <v>0</v>
      </c>
      <c r="AB686" s="383">
        <f t="shared" si="80"/>
        <v>2.8</v>
      </c>
      <c r="AC686" s="203" t="str">
        <f t="shared" si="81"/>
        <v>G1001</v>
      </c>
      <c r="AD686" s="203" t="str">
        <f>VLOOKUP(AC686,★原価商品!$E$6:$F$349,2,FALSE)</f>
        <v>朝日/B4（折り無し）</v>
      </c>
      <c r="AE686" s="203">
        <f t="shared" ca="1" si="82"/>
        <v>0</v>
      </c>
      <c r="AF686" s="383">
        <f ca="1">IFERROR(IF(VLOOKUP(申込書!$C$32,★サイズ表記!$F$4:$H$55,3,FALSE)="切り捨て",ROUNDDOWN(L686*IF(AK686="◎",I686,J686)/100,2),IF(VLOOKUP(申込書!$C$32,★サイズ表記!$F$4:$H$55,3,FALSE)="切り上げ",ROUNDUP(L686*IF(AK686="◎",I686,J686)/100,2),ROUND(L686*IF(AK686="◎",I686,J686)/100,2))),0)</f>
        <v>2.38</v>
      </c>
      <c r="AG686" s="203">
        <f t="shared" ca="1" si="83"/>
        <v>0</v>
      </c>
      <c r="AJ686" s="460" t="str">
        <f>IFERROR(VLOOKUP(申込書!$C$30,★業種!$D$2:$E$87,2,FALSE),"")</f>
        <v>1003</v>
      </c>
      <c r="AK686" s="460" t="str">
        <f ca="1">IF(申込書!$C$36="◎",IF(OR(D686="浜坂・温泉",D686="美方・村岡",D686="香住",D686="岡山",D686="大阪"),"",IF(LEFT(F686)="D","◎",IF(AG686=0,"",IFERROR(IF(VLOOKUP(AG686,★仕入先!$A$2:$C$211,3,FALSE)=0,"","◎"),"")))),"")</f>
        <v/>
      </c>
      <c r="AL686" s="460">
        <f>申込書!$H$14</f>
        <v>0</v>
      </c>
      <c r="AM686" s="460" t="str">
        <f>申込書!$C$32</f>
        <v>B4（折り無し）</v>
      </c>
      <c r="AN686" s="460" t="str">
        <f>VLOOKUP(AM686,★サイズ表記!$D$4:$E$55,2,FALSE)</f>
        <v>1001</v>
      </c>
      <c r="AO686" s="460">
        <f>IF(C686&lt;&gt;"⑧兵庫",VLOOKUP(LEFT(F686),★新聞!$A$4:$B$12,2,FALSE),IF(LEFT(F686)&lt;&gt;"S",VLOOKUP(LEFT(F686),★新聞!$A$4:$B$12,2,FALSE),VLOOKUP("X",★新聞!$A$4:$B$12,2,FALSE)))</f>
        <v>2</v>
      </c>
      <c r="AP686" s="460" t="str">
        <f t="shared" ca="1" si="84"/>
        <v>0</v>
      </c>
      <c r="AQ686" s="460" t="str">
        <f>IF(申込書!$C$38="","",申込書!$C$38)</f>
        <v/>
      </c>
    </row>
    <row r="687" spans="1:43">
      <c r="A687" s="463">
        <f t="shared" si="85"/>
        <v>686</v>
      </c>
      <c r="B687" s="463" t="str">
        <f t="shared" si="78"/>
        <v>東部</v>
      </c>
      <c r="C687" s="464" t="s">
        <v>1019</v>
      </c>
      <c r="D687" s="464" t="s">
        <v>1603</v>
      </c>
      <c r="E687" s="464">
        <f>VLOOKUP(D687,★折込地区!$A$2:$D$10,4,FALSE)</f>
        <v>3</v>
      </c>
      <c r="F687" s="464" t="s">
        <v>417</v>
      </c>
      <c r="G687" s="464" t="str">
        <f>INDEX(★新聞!$E$4:$I$12, MATCH(LEFT(F687),★新聞!$A$4:$A$12,0), MATCH(LEFT(W687),★新聞!$E$3:$I$3,0))</f>
        <v>AA</v>
      </c>
      <c r="H687" s="555" t="s">
        <v>1102</v>
      </c>
      <c r="I687" s="464" cm="1">
        <f t="array" ref="I687">IFERROR(INDEX(★原価率!$A$2:$E$50,MATCH($C687&amp;$H687,★原価率!$A$2:$A$50&amp;★原価率!$B$2:$B$50,0),3),0)</f>
        <v>80</v>
      </c>
      <c r="J687" s="464" cm="1">
        <f t="array" ref="J687">IFERROR(INDEX(★原価率!$A$2:$E$50,MATCH($C687&amp;$H687,★原価率!$A$2:$A$50&amp;★原価率!$B$2:$B$50,0),4),0)</f>
        <v>84</v>
      </c>
      <c r="K687" s="464" cm="1">
        <f t="array" ref="K687">IFERROR(INDEX(★原価率!$A$2:$E$50,MATCH($C687&amp;$H687,★原価率!$A$2:$A$50&amp;★原価率!$B$2:$B$50,0),5),0)</f>
        <v>100</v>
      </c>
      <c r="L687" s="528">
        <f>IFERROR(VLOOKUP(W687,★商品!$A$1:$H$1231,8,FALSE),0)</f>
        <v>2.8</v>
      </c>
      <c r="M687" s="203" t="str">
        <f ca="1">CONCATENATE(VLOOKUP(B687,★営業所!$A$2:$B$5,2,FALSE),TEXT(NOW(),"yyyy"))</f>
        <v>T2023</v>
      </c>
      <c r="N687" s="203">
        <v>1</v>
      </c>
      <c r="O687" s="203">
        <v>0</v>
      </c>
      <c r="P687" s="213">
        <f>申込書!$B$6</f>
        <v>0</v>
      </c>
      <c r="Q687" s="203">
        <f>申込書!$C$34</f>
        <v>1000040</v>
      </c>
      <c r="R687" s="203">
        <v>0</v>
      </c>
      <c r="U687" s="203">
        <f>VLOOKUP(B687,★営業所!$A$2:$C$5,3,FALSE)</f>
        <v>8</v>
      </c>
      <c r="V687" s="203">
        <f>申込書!$B$9</f>
        <v>0</v>
      </c>
      <c r="W687" s="203" t="str">
        <f>CONCATENATE(VLOOKUP(B687,★営業所!$A$2:$B$5,2,FALSE),VLOOKUP(申込書!$C$32,★サイズ表記!$D$4:$E$55,2,FALSE),VLOOKUP(D687,★折込地区!$A$2:$B$11,2,FALSE))</f>
        <v>T1001Yng</v>
      </c>
      <c r="X687" s="203" t="str">
        <f>CONCATENATE(申込書!$B$9," ",VLOOKUP(RIGHT(W687,3),★折込地区!$B$2:$C$10,2,FALSE),"")</f>
        <v xml:space="preserve"> 米子</v>
      </c>
      <c r="Z687" s="206">
        <f t="shared" ca="1" si="79"/>
        <v>0</v>
      </c>
      <c r="AB687" s="383">
        <f t="shared" si="80"/>
        <v>2.8</v>
      </c>
      <c r="AC687" s="203" t="str">
        <f t="shared" si="81"/>
        <v>G1001</v>
      </c>
      <c r="AD687" s="203" t="str">
        <f>VLOOKUP(AC687,★原価商品!$E$6:$F$349,2,FALSE)</f>
        <v>朝日/B4（折り無し）</v>
      </c>
      <c r="AE687" s="203">
        <f t="shared" ca="1" si="82"/>
        <v>0</v>
      </c>
      <c r="AF687" s="383">
        <f ca="1">IFERROR(IF(VLOOKUP(申込書!$C$32,★サイズ表記!$F$4:$H$55,3,FALSE)="切り捨て",ROUNDDOWN(L687*IF(AK687="◎",I687,J687)/100,2),IF(VLOOKUP(申込書!$C$32,★サイズ表記!$F$4:$H$55,3,FALSE)="切り上げ",ROUNDUP(L687*IF(AK687="◎",I687,J687)/100,2),ROUND(L687*IF(AK687="◎",I687,J687)/100,2))),0)</f>
        <v>2.35</v>
      </c>
      <c r="AG687" s="203">
        <f t="shared" ca="1" si="83"/>
        <v>10561</v>
      </c>
      <c r="AJ687" s="460" t="str">
        <f>IFERROR(VLOOKUP(申込書!$C$30,★業種!$D$2:$E$87,2,FALSE),"")</f>
        <v>1003</v>
      </c>
      <c r="AK687" s="460" t="str">
        <f ca="1">IF(申込書!$C$36="◎",IF(OR(D687="浜坂・温泉",D687="美方・村岡",D687="香住",D687="岡山",D687="大阪"),"",IF(LEFT(F687)="D","◎",IF(AG687=0,"",IFERROR(IF(VLOOKUP(AG687,★仕入先!$A$2:$C$211,3,FALSE)=0,"","◎"),"")))),"")</f>
        <v/>
      </c>
      <c r="AL687" s="460">
        <f>申込書!$H$14</f>
        <v>0</v>
      </c>
      <c r="AM687" s="460" t="str">
        <f>申込書!$C$32</f>
        <v>B4（折り無し）</v>
      </c>
      <c r="AN687" s="460" t="str">
        <f>VLOOKUP(AM687,★サイズ表記!$D$4:$E$55,2,FALSE)</f>
        <v>1001</v>
      </c>
      <c r="AO687" s="460">
        <f>IF(C687&lt;&gt;"⑧兵庫",VLOOKUP(LEFT(F687),★新聞!$A$4:$B$12,2,FALSE),IF(LEFT(F687)&lt;&gt;"S",VLOOKUP(LEFT(F687),★新聞!$A$4:$B$12,2,FALSE),VLOOKUP("X",★新聞!$A$4:$B$12,2,FALSE)))</f>
        <v>2</v>
      </c>
      <c r="AP687" s="460" t="str">
        <f t="shared" ca="1" si="84"/>
        <v>0</v>
      </c>
      <c r="AQ687" s="460" t="str">
        <f>IF(申込書!$C$38="","",申込書!$C$38)</f>
        <v/>
      </c>
    </row>
    <row r="688" spans="1:43">
      <c r="A688" s="463">
        <f t="shared" si="85"/>
        <v>687</v>
      </c>
      <c r="B688" s="463" t="str">
        <f t="shared" si="78"/>
        <v>東部</v>
      </c>
      <c r="C688" s="464" t="s">
        <v>1019</v>
      </c>
      <c r="D688" s="464" t="s">
        <v>1603</v>
      </c>
      <c r="E688" s="464">
        <f>VLOOKUP(D688,★折込地区!$A$2:$D$10,4,FALSE)</f>
        <v>3</v>
      </c>
      <c r="F688" s="464" t="s">
        <v>418</v>
      </c>
      <c r="G688" s="464" t="str">
        <f>INDEX(★新聞!$E$4:$I$12, MATCH(LEFT(F688),★新聞!$A$4:$A$12,0), MATCH(LEFT(W688),★新聞!$E$3:$I$3,0))</f>
        <v>AA</v>
      </c>
      <c r="H688" s="475" t="s">
        <v>1104</v>
      </c>
      <c r="I688" s="464" cm="1">
        <f t="array" ref="I688">IFERROR(INDEX(★原価率!$A$2:$E$50,MATCH($C688&amp;$H688,★原価率!$A$2:$A$50&amp;★原価率!$B$2:$B$50,0),3),0)</f>
        <v>85</v>
      </c>
      <c r="J688" s="464" cm="1">
        <f t="array" ref="J688">IFERROR(INDEX(★原価率!$A$2:$E$50,MATCH($C688&amp;$H688,★原価率!$A$2:$A$50&amp;★原価率!$B$2:$B$50,0),4),0)</f>
        <v>85</v>
      </c>
      <c r="K688" s="464" cm="1">
        <f t="array" ref="K688">IFERROR(INDEX(★原価率!$A$2:$E$50,MATCH($C688&amp;$H688,★原価率!$A$2:$A$50&amp;★原価率!$B$2:$B$50,0),5),0)</f>
        <v>100</v>
      </c>
      <c r="L688" s="528">
        <f>IFERROR(VLOOKUP(W688,★商品!$A$1:$H$1231,8,FALSE),0)</f>
        <v>2.8</v>
      </c>
      <c r="M688" s="203" t="str">
        <f ca="1">CONCATENATE(VLOOKUP(B688,★営業所!$A$2:$B$5,2,FALSE),TEXT(NOW(),"yyyy"))</f>
        <v>T2023</v>
      </c>
      <c r="N688" s="203">
        <v>1</v>
      </c>
      <c r="O688" s="203">
        <v>0</v>
      </c>
      <c r="P688" s="213">
        <f>申込書!$B$6</f>
        <v>0</v>
      </c>
      <c r="Q688" s="203">
        <f>申込書!$C$34</f>
        <v>1000040</v>
      </c>
      <c r="R688" s="203">
        <v>0</v>
      </c>
      <c r="U688" s="203">
        <f>VLOOKUP(B688,★営業所!$A$2:$C$5,3,FALSE)</f>
        <v>8</v>
      </c>
      <c r="V688" s="203">
        <f>申込書!$B$9</f>
        <v>0</v>
      </c>
      <c r="W688" s="203" t="str">
        <f>CONCATENATE(VLOOKUP(B688,★営業所!$A$2:$B$5,2,FALSE),VLOOKUP(申込書!$C$32,★サイズ表記!$D$4:$E$55,2,FALSE),VLOOKUP(D688,★折込地区!$A$2:$B$11,2,FALSE))</f>
        <v>T1001Yng</v>
      </c>
      <c r="X688" s="203" t="str">
        <f>CONCATENATE(申込書!$B$9," ",VLOOKUP(RIGHT(W688,3),★折込地区!$B$2:$C$10,2,FALSE),"")</f>
        <v xml:space="preserve"> 米子</v>
      </c>
      <c r="Z688" s="206">
        <f t="shared" ca="1" si="79"/>
        <v>0</v>
      </c>
      <c r="AB688" s="383">
        <f t="shared" si="80"/>
        <v>2.8</v>
      </c>
      <c r="AC688" s="203" t="str">
        <f t="shared" si="81"/>
        <v>G1001</v>
      </c>
      <c r="AD688" s="203" t="str">
        <f>VLOOKUP(AC688,★原価商品!$E$6:$F$349,2,FALSE)</f>
        <v>朝日/B4（折り無し）</v>
      </c>
      <c r="AE688" s="203">
        <f t="shared" ca="1" si="82"/>
        <v>0</v>
      </c>
      <c r="AF688" s="383">
        <f ca="1">IFERROR(IF(VLOOKUP(申込書!$C$32,★サイズ表記!$F$4:$H$55,3,FALSE)="切り捨て",ROUNDDOWN(L688*IF(AK688="◎",I688,J688)/100,2),IF(VLOOKUP(申込書!$C$32,★サイズ表記!$F$4:$H$55,3,FALSE)="切り上げ",ROUNDUP(L688*IF(AK688="◎",I688,J688)/100,2),ROUND(L688*IF(AK688="◎",I688,J688)/100,2))),0)</f>
        <v>2.38</v>
      </c>
      <c r="AG688" s="203">
        <f t="shared" ca="1" si="83"/>
        <v>10561</v>
      </c>
      <c r="AJ688" s="460" t="str">
        <f>IFERROR(VLOOKUP(申込書!$C$30,★業種!$D$2:$E$87,2,FALSE),"")</f>
        <v>1003</v>
      </c>
      <c r="AK688" s="460" t="str">
        <f ca="1">IF(申込書!$C$36="◎",IF(OR(D688="浜坂・温泉",D688="美方・村岡",D688="香住",D688="岡山",D688="大阪"),"",IF(LEFT(F688)="D","◎",IF(AG688=0,"",IFERROR(IF(VLOOKUP(AG688,★仕入先!$A$2:$C$211,3,FALSE)=0,"","◎"),"")))),"")</f>
        <v/>
      </c>
      <c r="AL688" s="460">
        <f>申込書!$H$14</f>
        <v>0</v>
      </c>
      <c r="AM688" s="460" t="str">
        <f>申込書!$C$32</f>
        <v>B4（折り無し）</v>
      </c>
      <c r="AN688" s="460" t="str">
        <f>VLOOKUP(AM688,★サイズ表記!$D$4:$E$55,2,FALSE)</f>
        <v>1001</v>
      </c>
      <c r="AO688" s="460">
        <f>IF(C688&lt;&gt;"⑧兵庫",VLOOKUP(LEFT(F688),★新聞!$A$4:$B$12,2,FALSE),IF(LEFT(F688)&lt;&gt;"S",VLOOKUP(LEFT(F688),★新聞!$A$4:$B$12,2,FALSE),VLOOKUP("X",★新聞!$A$4:$B$12,2,FALSE)))</f>
        <v>2</v>
      </c>
      <c r="AP688" s="460" t="str">
        <f t="shared" ca="1" si="84"/>
        <v>0</v>
      </c>
      <c r="AQ688" s="460" t="str">
        <f>IF(申込書!$C$38="","",申込書!$C$38)</f>
        <v/>
      </c>
    </row>
    <row r="689" spans="1:43">
      <c r="A689" s="463">
        <f t="shared" si="85"/>
        <v>688</v>
      </c>
      <c r="B689" s="463" t="str">
        <f t="shared" si="78"/>
        <v>東部</v>
      </c>
      <c r="C689" s="464" t="s">
        <v>1019</v>
      </c>
      <c r="D689" s="464" t="s">
        <v>1603</v>
      </c>
      <c r="E689" s="464">
        <f>VLOOKUP(D689,★折込地区!$A$2:$D$10,4,FALSE)</f>
        <v>3</v>
      </c>
      <c r="F689" s="464" t="s">
        <v>419</v>
      </c>
      <c r="G689" s="464" t="str">
        <f>INDEX(★新聞!$E$4:$I$12, MATCH(LEFT(F689),★新聞!$A$4:$A$12,0), MATCH(LEFT(W689),★新聞!$E$3:$I$3,0))</f>
        <v>AA</v>
      </c>
      <c r="H689" s="555" t="s">
        <v>1102</v>
      </c>
      <c r="I689" s="464" cm="1">
        <f t="array" ref="I689">IFERROR(INDEX(★原価率!$A$2:$E$50,MATCH($C689&amp;$H689,★原価率!$A$2:$A$50&amp;★原価率!$B$2:$B$50,0),3),0)</f>
        <v>80</v>
      </c>
      <c r="J689" s="464" cm="1">
        <f t="array" ref="J689">IFERROR(INDEX(★原価率!$A$2:$E$50,MATCH($C689&amp;$H689,★原価率!$A$2:$A$50&amp;★原価率!$B$2:$B$50,0),4),0)</f>
        <v>84</v>
      </c>
      <c r="K689" s="464" cm="1">
        <f t="array" ref="K689">IFERROR(INDEX(★原価率!$A$2:$E$50,MATCH($C689&amp;$H689,★原価率!$A$2:$A$50&amp;★原価率!$B$2:$B$50,0),5),0)</f>
        <v>100</v>
      </c>
      <c r="L689" s="528">
        <f>IFERROR(VLOOKUP(W689,★商品!$A$1:$H$1231,8,FALSE),0)</f>
        <v>2.8</v>
      </c>
      <c r="M689" s="203" t="str">
        <f ca="1">CONCATENATE(VLOOKUP(B689,★営業所!$A$2:$B$5,2,FALSE),TEXT(NOW(),"yyyy"))</f>
        <v>T2023</v>
      </c>
      <c r="N689" s="203">
        <v>1</v>
      </c>
      <c r="O689" s="203">
        <v>0</v>
      </c>
      <c r="P689" s="213">
        <f>申込書!$B$6</f>
        <v>0</v>
      </c>
      <c r="Q689" s="203">
        <f>申込書!$C$34</f>
        <v>1000040</v>
      </c>
      <c r="R689" s="203">
        <v>0</v>
      </c>
      <c r="U689" s="203">
        <f>VLOOKUP(B689,★営業所!$A$2:$C$5,3,FALSE)</f>
        <v>8</v>
      </c>
      <c r="V689" s="203">
        <f>申込書!$B$9</f>
        <v>0</v>
      </c>
      <c r="W689" s="203" t="str">
        <f>CONCATENATE(VLOOKUP(B689,★営業所!$A$2:$B$5,2,FALSE),VLOOKUP(申込書!$C$32,★サイズ表記!$D$4:$E$55,2,FALSE),VLOOKUP(D689,★折込地区!$A$2:$B$11,2,FALSE))</f>
        <v>T1001Yng</v>
      </c>
      <c r="X689" s="203" t="str">
        <f>CONCATENATE(申込書!$B$9," ",VLOOKUP(RIGHT(W689,3),★折込地区!$B$2:$C$10,2,FALSE),"")</f>
        <v xml:space="preserve"> 米子</v>
      </c>
      <c r="Z689" s="206">
        <f t="shared" ca="1" si="79"/>
        <v>0</v>
      </c>
      <c r="AB689" s="383">
        <f t="shared" si="80"/>
        <v>2.8</v>
      </c>
      <c r="AC689" s="203" t="str">
        <f t="shared" si="81"/>
        <v>G1001</v>
      </c>
      <c r="AD689" s="203" t="str">
        <f>VLOOKUP(AC689,★原価商品!$E$6:$F$349,2,FALSE)</f>
        <v>朝日/B4（折り無し）</v>
      </c>
      <c r="AE689" s="203">
        <f t="shared" ca="1" si="82"/>
        <v>0</v>
      </c>
      <c r="AF689" s="383">
        <f ca="1">IFERROR(IF(VLOOKUP(申込書!$C$32,★サイズ表記!$F$4:$H$55,3,FALSE)="切り捨て",ROUNDDOWN(L689*IF(AK689="◎",I689,J689)/100,2),IF(VLOOKUP(申込書!$C$32,★サイズ表記!$F$4:$H$55,3,FALSE)="切り上げ",ROUNDUP(L689*IF(AK689="◎",I689,J689)/100,2),ROUND(L689*IF(AK689="◎",I689,J689)/100,2))),0)</f>
        <v>2.35</v>
      </c>
      <c r="AG689" s="203">
        <f t="shared" ca="1" si="83"/>
        <v>10561</v>
      </c>
      <c r="AJ689" s="460" t="str">
        <f>IFERROR(VLOOKUP(申込書!$C$30,★業種!$D$2:$E$87,2,FALSE),"")</f>
        <v>1003</v>
      </c>
      <c r="AK689" s="460" t="str">
        <f ca="1">IF(申込書!$C$36="◎",IF(OR(D689="浜坂・温泉",D689="美方・村岡",D689="香住",D689="岡山",D689="大阪"),"",IF(LEFT(F689)="D","◎",IF(AG689=0,"",IFERROR(IF(VLOOKUP(AG689,★仕入先!$A$2:$C$211,3,FALSE)=0,"","◎"),"")))),"")</f>
        <v/>
      </c>
      <c r="AL689" s="460">
        <f>申込書!$H$14</f>
        <v>0</v>
      </c>
      <c r="AM689" s="460" t="str">
        <f>申込書!$C$32</f>
        <v>B4（折り無し）</v>
      </c>
      <c r="AN689" s="460" t="str">
        <f>VLOOKUP(AM689,★サイズ表記!$D$4:$E$55,2,FALSE)</f>
        <v>1001</v>
      </c>
      <c r="AO689" s="460">
        <f>IF(C689&lt;&gt;"⑧兵庫",VLOOKUP(LEFT(F689),★新聞!$A$4:$B$12,2,FALSE),IF(LEFT(F689)&lt;&gt;"S",VLOOKUP(LEFT(F689),★新聞!$A$4:$B$12,2,FALSE),VLOOKUP("X",★新聞!$A$4:$B$12,2,FALSE)))</f>
        <v>2</v>
      </c>
      <c r="AP689" s="460" t="str">
        <f t="shared" ca="1" si="84"/>
        <v>0</v>
      </c>
      <c r="AQ689" s="460" t="str">
        <f>IF(申込書!$C$38="","",申込書!$C$38)</f>
        <v/>
      </c>
    </row>
    <row r="690" spans="1:43">
      <c r="A690" s="463">
        <f t="shared" si="85"/>
        <v>689</v>
      </c>
      <c r="B690" s="463" t="str">
        <f t="shared" si="78"/>
        <v>東部</v>
      </c>
      <c r="C690" s="464" t="s">
        <v>1019</v>
      </c>
      <c r="D690" s="464" t="s">
        <v>1603</v>
      </c>
      <c r="E690" s="464">
        <f>VLOOKUP(D690,★折込地区!$A$2:$D$10,4,FALSE)</f>
        <v>3</v>
      </c>
      <c r="F690" s="464" t="s">
        <v>420</v>
      </c>
      <c r="G690" s="464" t="str">
        <f>INDEX(★新聞!$E$4:$I$12, MATCH(LEFT(F690),★新聞!$A$4:$A$12,0), MATCH(LEFT(W690),★新聞!$E$3:$I$3,0))</f>
        <v>AA</v>
      </c>
      <c r="H690" s="555" t="s">
        <v>1102</v>
      </c>
      <c r="I690" s="464" cm="1">
        <f t="array" ref="I690">IFERROR(INDEX(★原価率!$A$2:$E$50,MATCH($C690&amp;$H690,★原価率!$A$2:$A$50&amp;★原価率!$B$2:$B$50,0),3),0)</f>
        <v>80</v>
      </c>
      <c r="J690" s="464" cm="1">
        <f t="array" ref="J690">IFERROR(INDEX(★原価率!$A$2:$E$50,MATCH($C690&amp;$H690,★原価率!$A$2:$A$50&amp;★原価率!$B$2:$B$50,0),4),0)</f>
        <v>84</v>
      </c>
      <c r="K690" s="464" cm="1">
        <f t="array" ref="K690">IFERROR(INDEX(★原価率!$A$2:$E$50,MATCH($C690&amp;$H690,★原価率!$A$2:$A$50&amp;★原価率!$B$2:$B$50,0),5),0)</f>
        <v>100</v>
      </c>
      <c r="L690" s="528">
        <f>IFERROR(VLOOKUP(W690,★商品!$A$1:$H$1231,8,FALSE),0)</f>
        <v>2.8</v>
      </c>
      <c r="M690" s="203" t="str">
        <f ca="1">CONCATENATE(VLOOKUP(B690,★営業所!$A$2:$B$5,2,FALSE),TEXT(NOW(),"yyyy"))</f>
        <v>T2023</v>
      </c>
      <c r="N690" s="203">
        <v>1</v>
      </c>
      <c r="O690" s="203">
        <v>0</v>
      </c>
      <c r="P690" s="213">
        <f>申込書!$B$6</f>
        <v>0</v>
      </c>
      <c r="Q690" s="203">
        <f>申込書!$C$34</f>
        <v>1000040</v>
      </c>
      <c r="R690" s="203">
        <v>0</v>
      </c>
      <c r="U690" s="203">
        <f>VLOOKUP(B690,★営業所!$A$2:$C$5,3,FALSE)</f>
        <v>8</v>
      </c>
      <c r="V690" s="203">
        <f>申込書!$B$9</f>
        <v>0</v>
      </c>
      <c r="W690" s="203" t="str">
        <f>CONCATENATE(VLOOKUP(B690,★営業所!$A$2:$B$5,2,FALSE),VLOOKUP(申込書!$C$32,★サイズ表記!$D$4:$E$55,2,FALSE),VLOOKUP(D690,★折込地区!$A$2:$B$11,2,FALSE))</f>
        <v>T1001Yng</v>
      </c>
      <c r="X690" s="203" t="str">
        <f>CONCATENATE(申込書!$B$9," ",VLOOKUP(RIGHT(W690,3),★折込地区!$B$2:$C$10,2,FALSE),"")</f>
        <v xml:space="preserve"> 米子</v>
      </c>
      <c r="Z690" s="206">
        <f t="shared" ca="1" si="79"/>
        <v>0</v>
      </c>
      <c r="AB690" s="383">
        <f t="shared" si="80"/>
        <v>2.8</v>
      </c>
      <c r="AC690" s="203" t="str">
        <f t="shared" si="81"/>
        <v>G1001</v>
      </c>
      <c r="AD690" s="203" t="str">
        <f>VLOOKUP(AC690,★原価商品!$E$6:$F$349,2,FALSE)</f>
        <v>朝日/B4（折り無し）</v>
      </c>
      <c r="AE690" s="203">
        <f t="shared" ca="1" si="82"/>
        <v>0</v>
      </c>
      <c r="AF690" s="383">
        <f ca="1">IFERROR(IF(VLOOKUP(申込書!$C$32,★サイズ表記!$F$4:$H$55,3,FALSE)="切り捨て",ROUNDDOWN(L690*IF(AK690="◎",I690,J690)/100,2),IF(VLOOKUP(申込書!$C$32,★サイズ表記!$F$4:$H$55,3,FALSE)="切り上げ",ROUNDUP(L690*IF(AK690="◎",I690,J690)/100,2),ROUND(L690*IF(AK690="◎",I690,J690)/100,2))),0)</f>
        <v>2.35</v>
      </c>
      <c r="AG690" s="203">
        <f t="shared" ca="1" si="83"/>
        <v>10561</v>
      </c>
      <c r="AJ690" s="460" t="str">
        <f>IFERROR(VLOOKUP(申込書!$C$30,★業種!$D$2:$E$87,2,FALSE),"")</f>
        <v>1003</v>
      </c>
      <c r="AK690" s="460" t="str">
        <f ca="1">IF(申込書!$C$36="◎",IF(OR(D690="浜坂・温泉",D690="美方・村岡",D690="香住",D690="岡山",D690="大阪"),"",IF(LEFT(F690)="D","◎",IF(AG690=0,"",IFERROR(IF(VLOOKUP(AG690,★仕入先!$A$2:$C$211,3,FALSE)=0,"","◎"),"")))),"")</f>
        <v/>
      </c>
      <c r="AL690" s="460">
        <f>申込書!$H$14</f>
        <v>0</v>
      </c>
      <c r="AM690" s="460" t="str">
        <f>申込書!$C$32</f>
        <v>B4（折り無し）</v>
      </c>
      <c r="AN690" s="460" t="str">
        <f>VLOOKUP(AM690,★サイズ表記!$D$4:$E$55,2,FALSE)</f>
        <v>1001</v>
      </c>
      <c r="AO690" s="460">
        <f>IF(C690&lt;&gt;"⑧兵庫",VLOOKUP(LEFT(F690),★新聞!$A$4:$B$12,2,FALSE),IF(LEFT(F690)&lt;&gt;"S",VLOOKUP(LEFT(F690),★新聞!$A$4:$B$12,2,FALSE),VLOOKUP("X",★新聞!$A$4:$B$12,2,FALSE)))</f>
        <v>2</v>
      </c>
      <c r="AP690" s="460" t="str">
        <f t="shared" ca="1" si="84"/>
        <v>0</v>
      </c>
      <c r="AQ690" s="460" t="str">
        <f>IF(申込書!$C$38="","",申込書!$C$38)</f>
        <v/>
      </c>
    </row>
    <row r="691" spans="1:43">
      <c r="A691" s="463">
        <f t="shared" si="85"/>
        <v>690</v>
      </c>
      <c r="B691" s="463" t="str">
        <f t="shared" si="78"/>
        <v>東部</v>
      </c>
      <c r="C691" s="464" t="s">
        <v>1019</v>
      </c>
      <c r="D691" s="464" t="s">
        <v>1603</v>
      </c>
      <c r="E691" s="464">
        <f>VLOOKUP(D691,★折込地区!$A$2:$D$10,4,FALSE)</f>
        <v>3</v>
      </c>
      <c r="F691" s="464" t="s">
        <v>421</v>
      </c>
      <c r="G691" s="464" t="str">
        <f>INDEX(★新聞!$E$4:$I$12, MATCH(LEFT(F691),★新聞!$A$4:$A$12,0), MATCH(LEFT(W691),★新聞!$E$3:$I$3,0))</f>
        <v>AA</v>
      </c>
      <c r="H691" s="555" t="s">
        <v>1102</v>
      </c>
      <c r="I691" s="464" cm="1">
        <f t="array" ref="I691">IFERROR(INDEX(★原価率!$A$2:$E$50,MATCH($C691&amp;$H691,★原価率!$A$2:$A$50&amp;★原価率!$B$2:$B$50,0),3),0)</f>
        <v>80</v>
      </c>
      <c r="J691" s="464" cm="1">
        <f t="array" ref="J691">IFERROR(INDEX(★原価率!$A$2:$E$50,MATCH($C691&amp;$H691,★原価率!$A$2:$A$50&amp;★原価率!$B$2:$B$50,0),4),0)</f>
        <v>84</v>
      </c>
      <c r="K691" s="464" cm="1">
        <f t="array" ref="K691">IFERROR(INDEX(★原価率!$A$2:$E$50,MATCH($C691&amp;$H691,★原価率!$A$2:$A$50&amp;★原価率!$B$2:$B$50,0),5),0)</f>
        <v>100</v>
      </c>
      <c r="L691" s="528">
        <f>IFERROR(VLOOKUP(W691,★商品!$A$1:$H$1231,8,FALSE),0)</f>
        <v>2.8</v>
      </c>
      <c r="M691" s="203" t="str">
        <f ca="1">CONCATENATE(VLOOKUP(B691,★営業所!$A$2:$B$5,2,FALSE),TEXT(NOW(),"yyyy"))</f>
        <v>T2023</v>
      </c>
      <c r="N691" s="203">
        <v>1</v>
      </c>
      <c r="O691" s="203">
        <v>0</v>
      </c>
      <c r="P691" s="213">
        <f>申込書!$B$6</f>
        <v>0</v>
      </c>
      <c r="Q691" s="203">
        <f>申込書!$C$34</f>
        <v>1000040</v>
      </c>
      <c r="R691" s="203">
        <v>0</v>
      </c>
      <c r="U691" s="203">
        <f>VLOOKUP(B691,★営業所!$A$2:$C$5,3,FALSE)</f>
        <v>8</v>
      </c>
      <c r="V691" s="203">
        <f>申込書!$B$9</f>
        <v>0</v>
      </c>
      <c r="W691" s="203" t="str">
        <f>CONCATENATE(VLOOKUP(B691,★営業所!$A$2:$B$5,2,FALSE),VLOOKUP(申込書!$C$32,★サイズ表記!$D$4:$E$55,2,FALSE),VLOOKUP(D691,★折込地区!$A$2:$B$11,2,FALSE))</f>
        <v>T1001Yng</v>
      </c>
      <c r="X691" s="203" t="str">
        <f>CONCATENATE(申込書!$B$9," ",VLOOKUP(RIGHT(W691,3),★折込地区!$B$2:$C$10,2,FALSE),"")</f>
        <v xml:space="preserve"> 米子</v>
      </c>
      <c r="Z691" s="206">
        <f t="shared" ca="1" si="79"/>
        <v>0</v>
      </c>
      <c r="AB691" s="383">
        <f t="shared" si="80"/>
        <v>2.8</v>
      </c>
      <c r="AC691" s="203" t="str">
        <f t="shared" si="81"/>
        <v>G1001</v>
      </c>
      <c r="AD691" s="203" t="str">
        <f>VLOOKUP(AC691,★原価商品!$E$6:$F$349,2,FALSE)</f>
        <v>朝日/B4（折り無し）</v>
      </c>
      <c r="AE691" s="203">
        <f t="shared" ca="1" si="82"/>
        <v>0</v>
      </c>
      <c r="AF691" s="383">
        <f ca="1">IFERROR(IF(VLOOKUP(申込書!$C$32,★サイズ表記!$F$4:$H$55,3,FALSE)="切り捨て",ROUNDDOWN(L691*IF(AK691="◎",I691,J691)/100,2),IF(VLOOKUP(申込書!$C$32,★サイズ表記!$F$4:$H$55,3,FALSE)="切り上げ",ROUNDUP(L691*IF(AK691="◎",I691,J691)/100,2),ROUND(L691*IF(AK691="◎",I691,J691)/100,2))),0)</f>
        <v>2.35</v>
      </c>
      <c r="AG691" s="203">
        <f t="shared" ca="1" si="83"/>
        <v>10561</v>
      </c>
      <c r="AJ691" s="460" t="str">
        <f>IFERROR(VLOOKUP(申込書!$C$30,★業種!$D$2:$E$87,2,FALSE),"")</f>
        <v>1003</v>
      </c>
      <c r="AK691" s="460" t="str">
        <f ca="1">IF(申込書!$C$36="◎",IF(OR(D691="浜坂・温泉",D691="美方・村岡",D691="香住",D691="岡山",D691="大阪"),"",IF(LEFT(F691)="D","◎",IF(AG691=0,"",IFERROR(IF(VLOOKUP(AG691,★仕入先!$A$2:$C$211,3,FALSE)=0,"","◎"),"")))),"")</f>
        <v/>
      </c>
      <c r="AL691" s="460">
        <f>申込書!$H$14</f>
        <v>0</v>
      </c>
      <c r="AM691" s="460" t="str">
        <f>申込書!$C$32</f>
        <v>B4（折り無し）</v>
      </c>
      <c r="AN691" s="460" t="str">
        <f>VLOOKUP(AM691,★サイズ表記!$D$4:$E$55,2,FALSE)</f>
        <v>1001</v>
      </c>
      <c r="AO691" s="460">
        <f>IF(C691&lt;&gt;"⑧兵庫",VLOOKUP(LEFT(F691),★新聞!$A$4:$B$12,2,FALSE),IF(LEFT(F691)&lt;&gt;"S",VLOOKUP(LEFT(F691),★新聞!$A$4:$B$12,2,FALSE),VLOOKUP("X",★新聞!$A$4:$B$12,2,FALSE)))</f>
        <v>2</v>
      </c>
      <c r="AP691" s="460" t="str">
        <f t="shared" ca="1" si="84"/>
        <v>0</v>
      </c>
      <c r="AQ691" s="460" t="str">
        <f>IF(申込書!$C$38="","",申込書!$C$38)</f>
        <v/>
      </c>
    </row>
    <row r="692" spans="1:43">
      <c r="A692" s="463">
        <f t="shared" si="85"/>
        <v>691</v>
      </c>
      <c r="B692" s="463" t="str">
        <f t="shared" si="78"/>
        <v>東部</v>
      </c>
      <c r="C692" s="464" t="s">
        <v>1019</v>
      </c>
      <c r="D692" s="464" t="s">
        <v>1603</v>
      </c>
      <c r="E692" s="464">
        <f>VLOOKUP(D692,★折込地区!$A$2:$D$10,4,FALSE)</f>
        <v>3</v>
      </c>
      <c r="F692" s="464" t="s">
        <v>422</v>
      </c>
      <c r="G692" s="464" t="str">
        <f>INDEX(★新聞!$E$4:$I$12, MATCH(LEFT(F692),★新聞!$A$4:$A$12,0), MATCH(LEFT(W692),★新聞!$E$3:$I$3,0))</f>
        <v>AA</v>
      </c>
      <c r="H692" s="555" t="s">
        <v>1102</v>
      </c>
      <c r="I692" s="464" cm="1">
        <f t="array" ref="I692">IFERROR(INDEX(★原価率!$A$2:$E$50,MATCH($C692&amp;$H692,★原価率!$A$2:$A$50&amp;★原価率!$B$2:$B$50,0),3),0)</f>
        <v>80</v>
      </c>
      <c r="J692" s="464" cm="1">
        <f t="array" ref="J692">IFERROR(INDEX(★原価率!$A$2:$E$50,MATCH($C692&amp;$H692,★原価率!$A$2:$A$50&amp;★原価率!$B$2:$B$50,0),4),0)</f>
        <v>84</v>
      </c>
      <c r="K692" s="464" cm="1">
        <f t="array" ref="K692">IFERROR(INDEX(★原価率!$A$2:$E$50,MATCH($C692&amp;$H692,★原価率!$A$2:$A$50&amp;★原価率!$B$2:$B$50,0),5),0)</f>
        <v>100</v>
      </c>
      <c r="L692" s="528">
        <f>IFERROR(VLOOKUP(W692,★商品!$A$1:$H$1231,8,FALSE),0)</f>
        <v>2.8</v>
      </c>
      <c r="M692" s="203" t="str">
        <f ca="1">CONCATENATE(VLOOKUP(B692,★営業所!$A$2:$B$5,2,FALSE),TEXT(NOW(),"yyyy"))</f>
        <v>T2023</v>
      </c>
      <c r="N692" s="203">
        <v>1</v>
      </c>
      <c r="O692" s="203">
        <v>0</v>
      </c>
      <c r="P692" s="213">
        <f>申込書!$B$6</f>
        <v>0</v>
      </c>
      <c r="Q692" s="203">
        <f>申込書!$C$34</f>
        <v>1000040</v>
      </c>
      <c r="R692" s="203">
        <v>0</v>
      </c>
      <c r="U692" s="203">
        <f>VLOOKUP(B692,★営業所!$A$2:$C$5,3,FALSE)</f>
        <v>8</v>
      </c>
      <c r="V692" s="203">
        <f>申込書!$B$9</f>
        <v>0</v>
      </c>
      <c r="W692" s="203" t="str">
        <f>CONCATENATE(VLOOKUP(B692,★営業所!$A$2:$B$5,2,FALSE),VLOOKUP(申込書!$C$32,★サイズ表記!$D$4:$E$55,2,FALSE),VLOOKUP(D692,★折込地区!$A$2:$B$11,2,FALSE))</f>
        <v>T1001Yng</v>
      </c>
      <c r="X692" s="203" t="str">
        <f>CONCATENATE(申込書!$B$9," ",VLOOKUP(RIGHT(W692,3),★折込地区!$B$2:$C$10,2,FALSE),"")</f>
        <v xml:space="preserve"> 米子</v>
      </c>
      <c r="Z692" s="206">
        <f t="shared" ca="1" si="79"/>
        <v>0</v>
      </c>
      <c r="AB692" s="383">
        <f t="shared" si="80"/>
        <v>2.8</v>
      </c>
      <c r="AC692" s="203" t="str">
        <f t="shared" si="81"/>
        <v>G1001</v>
      </c>
      <c r="AD692" s="203" t="str">
        <f>VLOOKUP(AC692,★原価商品!$E$6:$F$349,2,FALSE)</f>
        <v>朝日/B4（折り無し）</v>
      </c>
      <c r="AE692" s="203">
        <f t="shared" ca="1" si="82"/>
        <v>0</v>
      </c>
      <c r="AF692" s="383">
        <f ca="1">IFERROR(IF(VLOOKUP(申込書!$C$32,★サイズ表記!$F$4:$H$55,3,FALSE)="切り捨て",ROUNDDOWN(L692*IF(AK692="◎",I692,J692)/100,2),IF(VLOOKUP(申込書!$C$32,★サイズ表記!$F$4:$H$55,3,FALSE)="切り上げ",ROUNDUP(L692*IF(AK692="◎",I692,J692)/100,2),ROUND(L692*IF(AK692="◎",I692,J692)/100,2))),0)</f>
        <v>2.35</v>
      </c>
      <c r="AG692" s="203">
        <f t="shared" ca="1" si="83"/>
        <v>10561</v>
      </c>
      <c r="AJ692" s="460" t="str">
        <f>IFERROR(VLOOKUP(申込書!$C$30,★業種!$D$2:$E$87,2,FALSE),"")</f>
        <v>1003</v>
      </c>
      <c r="AK692" s="460" t="str">
        <f ca="1">IF(申込書!$C$36="◎",IF(OR(D692="浜坂・温泉",D692="美方・村岡",D692="香住",D692="岡山",D692="大阪"),"",IF(LEFT(F692)="D","◎",IF(AG692=0,"",IFERROR(IF(VLOOKUP(AG692,★仕入先!$A$2:$C$211,3,FALSE)=0,"","◎"),"")))),"")</f>
        <v/>
      </c>
      <c r="AL692" s="460">
        <f>申込書!$H$14</f>
        <v>0</v>
      </c>
      <c r="AM692" s="460" t="str">
        <f>申込書!$C$32</f>
        <v>B4（折り無し）</v>
      </c>
      <c r="AN692" s="460" t="str">
        <f>VLOOKUP(AM692,★サイズ表記!$D$4:$E$55,2,FALSE)</f>
        <v>1001</v>
      </c>
      <c r="AO692" s="460">
        <f>IF(C692&lt;&gt;"⑧兵庫",VLOOKUP(LEFT(F692),★新聞!$A$4:$B$12,2,FALSE),IF(LEFT(F692)&lt;&gt;"S",VLOOKUP(LEFT(F692),★新聞!$A$4:$B$12,2,FALSE),VLOOKUP("X",★新聞!$A$4:$B$12,2,FALSE)))</f>
        <v>2</v>
      </c>
      <c r="AP692" s="460" t="str">
        <f t="shared" ca="1" si="84"/>
        <v>0</v>
      </c>
      <c r="AQ692" s="460" t="str">
        <f>IF(申込書!$C$38="","",申込書!$C$38)</f>
        <v/>
      </c>
    </row>
    <row r="693" spans="1:43">
      <c r="A693" s="463">
        <f t="shared" si="85"/>
        <v>692</v>
      </c>
      <c r="B693" s="463" t="str">
        <f t="shared" si="78"/>
        <v>東部</v>
      </c>
      <c r="C693" s="464" t="s">
        <v>1019</v>
      </c>
      <c r="D693" s="464" t="s">
        <v>1603</v>
      </c>
      <c r="E693" s="464">
        <f>VLOOKUP(D693,★折込地区!$A$2:$D$10,4,FALSE)</f>
        <v>3</v>
      </c>
      <c r="F693" s="464" t="s">
        <v>423</v>
      </c>
      <c r="G693" s="464" t="str">
        <f>INDEX(★新聞!$E$4:$I$12, MATCH(LEFT(F693),★新聞!$A$4:$A$12,0), MATCH(LEFT(W693),★新聞!$E$3:$I$3,0))</f>
        <v>AA</v>
      </c>
      <c r="H693" s="555" t="s">
        <v>1102</v>
      </c>
      <c r="I693" s="464" cm="1">
        <f t="array" ref="I693">IFERROR(INDEX(★原価率!$A$2:$E$50,MATCH($C693&amp;$H693,★原価率!$A$2:$A$50&amp;★原価率!$B$2:$B$50,0),3),0)</f>
        <v>80</v>
      </c>
      <c r="J693" s="464" cm="1">
        <f t="array" ref="J693">IFERROR(INDEX(★原価率!$A$2:$E$50,MATCH($C693&amp;$H693,★原価率!$A$2:$A$50&amp;★原価率!$B$2:$B$50,0),4),0)</f>
        <v>84</v>
      </c>
      <c r="K693" s="464" cm="1">
        <f t="array" ref="K693">IFERROR(INDEX(★原価率!$A$2:$E$50,MATCH($C693&amp;$H693,★原価率!$A$2:$A$50&amp;★原価率!$B$2:$B$50,0),5),0)</f>
        <v>100</v>
      </c>
      <c r="L693" s="528">
        <f>IFERROR(VLOOKUP(W693,★商品!$A$1:$H$1231,8,FALSE),0)</f>
        <v>2.8</v>
      </c>
      <c r="M693" s="203" t="str">
        <f ca="1">CONCATENATE(VLOOKUP(B693,★営業所!$A$2:$B$5,2,FALSE),TEXT(NOW(),"yyyy"))</f>
        <v>T2023</v>
      </c>
      <c r="N693" s="203">
        <v>1</v>
      </c>
      <c r="O693" s="203">
        <v>0</v>
      </c>
      <c r="P693" s="213">
        <f>申込書!$B$6</f>
        <v>0</v>
      </c>
      <c r="Q693" s="203">
        <f>申込書!$C$34</f>
        <v>1000040</v>
      </c>
      <c r="R693" s="203">
        <v>0</v>
      </c>
      <c r="U693" s="203">
        <f>VLOOKUP(B693,★営業所!$A$2:$C$5,3,FALSE)</f>
        <v>8</v>
      </c>
      <c r="V693" s="203">
        <f>申込書!$B$9</f>
        <v>0</v>
      </c>
      <c r="W693" s="203" t="str">
        <f>CONCATENATE(VLOOKUP(B693,★営業所!$A$2:$B$5,2,FALSE),VLOOKUP(申込書!$C$32,★サイズ表記!$D$4:$E$55,2,FALSE),VLOOKUP(D693,★折込地区!$A$2:$B$11,2,FALSE))</f>
        <v>T1001Yng</v>
      </c>
      <c r="X693" s="203" t="str">
        <f>CONCATENATE(申込書!$B$9," ",VLOOKUP(RIGHT(W693,3),★折込地区!$B$2:$C$10,2,FALSE),"")</f>
        <v xml:space="preserve"> 米子</v>
      </c>
      <c r="Z693" s="206">
        <f t="shared" ca="1" si="79"/>
        <v>0</v>
      </c>
      <c r="AB693" s="383">
        <f t="shared" si="80"/>
        <v>2.8</v>
      </c>
      <c r="AC693" s="203" t="str">
        <f t="shared" si="81"/>
        <v>G1001</v>
      </c>
      <c r="AD693" s="203" t="str">
        <f>VLOOKUP(AC693,★原価商品!$E$6:$F$349,2,FALSE)</f>
        <v>朝日/B4（折り無し）</v>
      </c>
      <c r="AE693" s="203">
        <f t="shared" ca="1" si="82"/>
        <v>0</v>
      </c>
      <c r="AF693" s="383">
        <f ca="1">IFERROR(IF(VLOOKUP(申込書!$C$32,★サイズ表記!$F$4:$H$55,3,FALSE)="切り捨て",ROUNDDOWN(L693*IF(AK693="◎",I693,J693)/100,2),IF(VLOOKUP(申込書!$C$32,★サイズ表記!$F$4:$H$55,3,FALSE)="切り上げ",ROUNDUP(L693*IF(AK693="◎",I693,J693)/100,2),ROUND(L693*IF(AK693="◎",I693,J693)/100,2))),0)</f>
        <v>2.35</v>
      </c>
      <c r="AG693" s="203">
        <f t="shared" ca="1" si="83"/>
        <v>10561</v>
      </c>
      <c r="AJ693" s="460" t="str">
        <f>IFERROR(VLOOKUP(申込書!$C$30,★業種!$D$2:$E$87,2,FALSE),"")</f>
        <v>1003</v>
      </c>
      <c r="AK693" s="460" t="str">
        <f ca="1">IF(申込書!$C$36="◎",IF(OR(D693="浜坂・温泉",D693="美方・村岡",D693="香住",D693="岡山",D693="大阪"),"",IF(LEFT(F693)="D","◎",IF(AG693=0,"",IFERROR(IF(VLOOKUP(AG693,★仕入先!$A$2:$C$211,3,FALSE)=0,"","◎"),"")))),"")</f>
        <v/>
      </c>
      <c r="AL693" s="460">
        <f>申込書!$H$14</f>
        <v>0</v>
      </c>
      <c r="AM693" s="460" t="str">
        <f>申込書!$C$32</f>
        <v>B4（折り無し）</v>
      </c>
      <c r="AN693" s="460" t="str">
        <f>VLOOKUP(AM693,★サイズ表記!$D$4:$E$55,2,FALSE)</f>
        <v>1001</v>
      </c>
      <c r="AO693" s="460">
        <f>IF(C693&lt;&gt;"⑧兵庫",VLOOKUP(LEFT(F693),★新聞!$A$4:$B$12,2,FALSE),IF(LEFT(F693)&lt;&gt;"S",VLOOKUP(LEFT(F693),★新聞!$A$4:$B$12,2,FALSE),VLOOKUP("X",★新聞!$A$4:$B$12,2,FALSE)))</f>
        <v>2</v>
      </c>
      <c r="AP693" s="460" t="str">
        <f t="shared" ca="1" si="84"/>
        <v>0</v>
      </c>
      <c r="AQ693" s="460" t="str">
        <f>IF(申込書!$C$38="","",申込書!$C$38)</f>
        <v/>
      </c>
    </row>
    <row r="694" spans="1:43">
      <c r="A694" s="463">
        <f t="shared" si="85"/>
        <v>693</v>
      </c>
      <c r="B694" s="463" t="str">
        <f t="shared" si="78"/>
        <v>東部</v>
      </c>
      <c r="C694" s="464" t="s">
        <v>1019</v>
      </c>
      <c r="D694" s="464" t="s">
        <v>1603</v>
      </c>
      <c r="E694" s="464">
        <f>VLOOKUP(D694,★折込地区!$A$2:$D$10,4,FALSE)</f>
        <v>3</v>
      </c>
      <c r="F694" s="464" t="s">
        <v>424</v>
      </c>
      <c r="G694" s="464" t="str">
        <f>INDEX(★新聞!$E$4:$I$12, MATCH(LEFT(F694),★新聞!$A$4:$A$12,0), MATCH(LEFT(W694),★新聞!$E$3:$I$3,0))</f>
        <v>AA</v>
      </c>
      <c r="H694" s="475" t="s">
        <v>1104</v>
      </c>
      <c r="I694" s="464" cm="1">
        <f t="array" ref="I694">IFERROR(INDEX(★原価率!$A$2:$E$50,MATCH($C694&amp;$H694,★原価率!$A$2:$A$50&amp;★原価率!$B$2:$B$50,0),3),0)</f>
        <v>85</v>
      </c>
      <c r="J694" s="464" cm="1">
        <f t="array" ref="J694">IFERROR(INDEX(★原価率!$A$2:$E$50,MATCH($C694&amp;$H694,★原価率!$A$2:$A$50&amp;★原価率!$B$2:$B$50,0),4),0)</f>
        <v>85</v>
      </c>
      <c r="K694" s="464" cm="1">
        <f t="array" ref="K694">IFERROR(INDEX(★原価率!$A$2:$E$50,MATCH($C694&amp;$H694,★原価率!$A$2:$A$50&amp;★原価率!$B$2:$B$50,0),5),0)</f>
        <v>100</v>
      </c>
      <c r="L694" s="528">
        <f>IFERROR(VLOOKUP(W694,★商品!$A$1:$H$1231,8,FALSE),0)</f>
        <v>2.8</v>
      </c>
      <c r="M694" s="203" t="str">
        <f ca="1">CONCATENATE(VLOOKUP(B694,★営業所!$A$2:$B$5,2,FALSE),TEXT(NOW(),"yyyy"))</f>
        <v>T2023</v>
      </c>
      <c r="N694" s="203">
        <v>1</v>
      </c>
      <c r="O694" s="203">
        <v>0</v>
      </c>
      <c r="P694" s="213">
        <f>申込書!$B$6</f>
        <v>0</v>
      </c>
      <c r="Q694" s="203">
        <f>申込書!$C$34</f>
        <v>1000040</v>
      </c>
      <c r="R694" s="203">
        <v>0</v>
      </c>
      <c r="U694" s="203">
        <f>VLOOKUP(B694,★営業所!$A$2:$C$5,3,FALSE)</f>
        <v>8</v>
      </c>
      <c r="V694" s="203">
        <f>申込書!$B$9</f>
        <v>0</v>
      </c>
      <c r="W694" s="203" t="str">
        <f>CONCATENATE(VLOOKUP(B694,★営業所!$A$2:$B$5,2,FALSE),VLOOKUP(申込書!$C$32,★サイズ表記!$D$4:$E$55,2,FALSE),VLOOKUP(D694,★折込地区!$A$2:$B$11,2,FALSE))</f>
        <v>T1001Yng</v>
      </c>
      <c r="X694" s="203" t="str">
        <f>CONCATENATE(申込書!$B$9," ",VLOOKUP(RIGHT(W694,3),★折込地区!$B$2:$C$10,2,FALSE),"")</f>
        <v xml:space="preserve"> 米子</v>
      </c>
      <c r="Z694" s="206">
        <f t="shared" ca="1" si="79"/>
        <v>0</v>
      </c>
      <c r="AB694" s="383">
        <f t="shared" si="80"/>
        <v>2.8</v>
      </c>
      <c r="AC694" s="203" t="str">
        <f t="shared" si="81"/>
        <v>G1001</v>
      </c>
      <c r="AD694" s="203" t="str">
        <f>VLOOKUP(AC694,★原価商品!$E$6:$F$349,2,FALSE)</f>
        <v>朝日/B4（折り無し）</v>
      </c>
      <c r="AE694" s="203">
        <f t="shared" ca="1" si="82"/>
        <v>0</v>
      </c>
      <c r="AF694" s="383">
        <f ca="1">IFERROR(IF(VLOOKUP(申込書!$C$32,★サイズ表記!$F$4:$H$55,3,FALSE)="切り捨て",ROUNDDOWN(L694*IF(AK694="◎",I694,J694)/100,2),IF(VLOOKUP(申込書!$C$32,★サイズ表記!$F$4:$H$55,3,FALSE)="切り上げ",ROUNDUP(L694*IF(AK694="◎",I694,J694)/100,2),ROUND(L694*IF(AK694="◎",I694,J694)/100,2))),0)</f>
        <v>2.38</v>
      </c>
      <c r="AG694" s="203">
        <f t="shared" ca="1" si="83"/>
        <v>0</v>
      </c>
      <c r="AJ694" s="460" t="str">
        <f>IFERROR(VLOOKUP(申込書!$C$30,★業種!$D$2:$E$87,2,FALSE),"")</f>
        <v>1003</v>
      </c>
      <c r="AK694" s="460" t="str">
        <f ca="1">IF(申込書!$C$36="◎",IF(OR(D694="浜坂・温泉",D694="美方・村岡",D694="香住",D694="岡山",D694="大阪"),"",IF(LEFT(F694)="D","◎",IF(AG694=0,"",IFERROR(IF(VLOOKUP(AG694,★仕入先!$A$2:$C$211,3,FALSE)=0,"","◎"),"")))),"")</f>
        <v/>
      </c>
      <c r="AL694" s="460">
        <f>申込書!$H$14</f>
        <v>0</v>
      </c>
      <c r="AM694" s="460" t="str">
        <f>申込書!$C$32</f>
        <v>B4（折り無し）</v>
      </c>
      <c r="AN694" s="460" t="str">
        <f>VLOOKUP(AM694,★サイズ表記!$D$4:$E$55,2,FALSE)</f>
        <v>1001</v>
      </c>
      <c r="AO694" s="460">
        <f>IF(C694&lt;&gt;"⑧兵庫",VLOOKUP(LEFT(F694),★新聞!$A$4:$B$12,2,FALSE),IF(LEFT(F694)&lt;&gt;"S",VLOOKUP(LEFT(F694),★新聞!$A$4:$B$12,2,FALSE),VLOOKUP("X",★新聞!$A$4:$B$12,2,FALSE)))</f>
        <v>2</v>
      </c>
      <c r="AP694" s="460" t="str">
        <f t="shared" ca="1" si="84"/>
        <v>0</v>
      </c>
      <c r="AQ694" s="460" t="str">
        <f>IF(申込書!$C$38="","",申込書!$C$38)</f>
        <v/>
      </c>
    </row>
    <row r="695" spans="1:43">
      <c r="A695" s="463">
        <f t="shared" si="85"/>
        <v>694</v>
      </c>
      <c r="B695" s="463" t="str">
        <f t="shared" si="78"/>
        <v>東部</v>
      </c>
      <c r="C695" s="464" t="s">
        <v>1019</v>
      </c>
      <c r="D695" s="464" t="s">
        <v>1603</v>
      </c>
      <c r="E695" s="464">
        <f>VLOOKUP(D695,★折込地区!$A$2:$D$10,4,FALSE)</f>
        <v>3</v>
      </c>
      <c r="F695" s="464" t="s">
        <v>425</v>
      </c>
      <c r="G695" s="464" t="str">
        <f>INDEX(★新聞!$E$4:$I$12, MATCH(LEFT(F695),★新聞!$A$4:$A$12,0), MATCH(LEFT(W695),★新聞!$E$3:$I$3,0))</f>
        <v>AA</v>
      </c>
      <c r="H695" s="475" t="s">
        <v>1104</v>
      </c>
      <c r="I695" s="464" cm="1">
        <f t="array" ref="I695">IFERROR(INDEX(★原価率!$A$2:$E$50,MATCH($C695&amp;$H695,★原価率!$A$2:$A$50&amp;★原価率!$B$2:$B$50,0),3),0)</f>
        <v>85</v>
      </c>
      <c r="J695" s="464" cm="1">
        <f t="array" ref="J695">IFERROR(INDEX(★原価率!$A$2:$E$50,MATCH($C695&amp;$H695,★原価率!$A$2:$A$50&amp;★原価率!$B$2:$B$50,0),4),0)</f>
        <v>85</v>
      </c>
      <c r="K695" s="464" cm="1">
        <f t="array" ref="K695">IFERROR(INDEX(★原価率!$A$2:$E$50,MATCH($C695&amp;$H695,★原価率!$A$2:$A$50&amp;★原価率!$B$2:$B$50,0),5),0)</f>
        <v>100</v>
      </c>
      <c r="L695" s="528">
        <f>IFERROR(VLOOKUP(W695,★商品!$A$1:$H$1231,8,FALSE),0)</f>
        <v>2.8</v>
      </c>
      <c r="M695" s="203" t="str">
        <f ca="1">CONCATENATE(VLOOKUP(B695,★営業所!$A$2:$B$5,2,FALSE),TEXT(NOW(),"yyyy"))</f>
        <v>T2023</v>
      </c>
      <c r="N695" s="203">
        <v>1</v>
      </c>
      <c r="O695" s="203">
        <v>0</v>
      </c>
      <c r="P695" s="213">
        <f>申込書!$B$6</f>
        <v>0</v>
      </c>
      <c r="Q695" s="203">
        <f>申込書!$C$34</f>
        <v>1000040</v>
      </c>
      <c r="R695" s="203">
        <v>0</v>
      </c>
      <c r="U695" s="203">
        <f>VLOOKUP(B695,★営業所!$A$2:$C$5,3,FALSE)</f>
        <v>8</v>
      </c>
      <c r="V695" s="203">
        <f>申込書!$B$9</f>
        <v>0</v>
      </c>
      <c r="W695" s="203" t="str">
        <f>CONCATENATE(VLOOKUP(B695,★営業所!$A$2:$B$5,2,FALSE),VLOOKUP(申込書!$C$32,★サイズ表記!$D$4:$E$55,2,FALSE),VLOOKUP(D695,★折込地区!$A$2:$B$11,2,FALSE))</f>
        <v>T1001Yng</v>
      </c>
      <c r="X695" s="203" t="str">
        <f>CONCATENATE(申込書!$B$9," ",VLOOKUP(RIGHT(W695,3),★折込地区!$B$2:$C$10,2,FALSE),"")</f>
        <v xml:space="preserve"> 米子</v>
      </c>
      <c r="Z695" s="206">
        <f t="shared" ca="1" si="79"/>
        <v>0</v>
      </c>
      <c r="AB695" s="383">
        <f t="shared" si="80"/>
        <v>2.8</v>
      </c>
      <c r="AC695" s="203" t="str">
        <f t="shared" si="81"/>
        <v>G1001</v>
      </c>
      <c r="AD695" s="203" t="str">
        <f>VLOOKUP(AC695,★原価商品!$E$6:$F$349,2,FALSE)</f>
        <v>朝日/B4（折り無し）</v>
      </c>
      <c r="AE695" s="203">
        <f t="shared" ca="1" si="82"/>
        <v>0</v>
      </c>
      <c r="AF695" s="383">
        <f ca="1">IFERROR(IF(VLOOKUP(申込書!$C$32,★サイズ表記!$F$4:$H$55,3,FALSE)="切り捨て",ROUNDDOWN(L695*IF(AK695="◎",I695,J695)/100,2),IF(VLOOKUP(申込書!$C$32,★サイズ表記!$F$4:$H$55,3,FALSE)="切り上げ",ROUNDUP(L695*IF(AK695="◎",I695,J695)/100,2),ROUND(L695*IF(AK695="◎",I695,J695)/100,2))),0)</f>
        <v>2.38</v>
      </c>
      <c r="AG695" s="203">
        <f t="shared" ca="1" si="83"/>
        <v>0</v>
      </c>
      <c r="AJ695" s="460" t="str">
        <f>IFERROR(VLOOKUP(申込書!$C$30,★業種!$D$2:$E$87,2,FALSE),"")</f>
        <v>1003</v>
      </c>
      <c r="AK695" s="460" t="str">
        <f ca="1">IF(申込書!$C$36="◎",IF(OR(D695="浜坂・温泉",D695="美方・村岡",D695="香住",D695="岡山",D695="大阪"),"",IF(LEFT(F695)="D","◎",IF(AG695=0,"",IFERROR(IF(VLOOKUP(AG695,★仕入先!$A$2:$C$211,3,FALSE)=0,"","◎"),"")))),"")</f>
        <v/>
      </c>
      <c r="AL695" s="460">
        <f>申込書!$H$14</f>
        <v>0</v>
      </c>
      <c r="AM695" s="460" t="str">
        <f>申込書!$C$32</f>
        <v>B4（折り無し）</v>
      </c>
      <c r="AN695" s="460" t="str">
        <f>VLOOKUP(AM695,★サイズ表記!$D$4:$E$55,2,FALSE)</f>
        <v>1001</v>
      </c>
      <c r="AO695" s="460">
        <f>IF(C695&lt;&gt;"⑧兵庫",VLOOKUP(LEFT(F695),★新聞!$A$4:$B$12,2,FALSE),IF(LEFT(F695)&lt;&gt;"S",VLOOKUP(LEFT(F695),★新聞!$A$4:$B$12,2,FALSE),VLOOKUP("X",★新聞!$A$4:$B$12,2,FALSE)))</f>
        <v>2</v>
      </c>
      <c r="AP695" s="460" t="str">
        <f t="shared" ca="1" si="84"/>
        <v>0</v>
      </c>
      <c r="AQ695" s="460" t="str">
        <f>IF(申込書!$C$38="","",申込書!$C$38)</f>
        <v/>
      </c>
    </row>
    <row r="696" spans="1:43">
      <c r="A696" s="463">
        <f t="shared" si="85"/>
        <v>695</v>
      </c>
      <c r="B696" s="463" t="str">
        <f t="shared" si="78"/>
        <v>東部</v>
      </c>
      <c r="C696" s="464" t="s">
        <v>1019</v>
      </c>
      <c r="D696" s="464" t="s">
        <v>1603</v>
      </c>
      <c r="E696" s="464">
        <f>VLOOKUP(D696,★折込地区!$A$2:$D$10,4,FALSE)</f>
        <v>3</v>
      </c>
      <c r="F696" s="464" t="s">
        <v>1141</v>
      </c>
      <c r="G696" s="464" t="str">
        <f>INDEX(★新聞!$E$4:$I$12, MATCH(LEFT(F696),★新聞!$A$4:$A$12,0), MATCH(LEFT(W696),★新聞!$E$3:$I$3,0))</f>
        <v>AA</v>
      </c>
      <c r="H696" s="475" t="s">
        <v>1104</v>
      </c>
      <c r="I696" s="464" cm="1">
        <f t="array" ref="I696">IFERROR(INDEX(★原価率!$A$2:$E$50,MATCH($C696&amp;$H696,★原価率!$A$2:$A$50&amp;★原価率!$B$2:$B$50,0),3),0)</f>
        <v>85</v>
      </c>
      <c r="J696" s="464" cm="1">
        <f t="array" ref="J696">IFERROR(INDEX(★原価率!$A$2:$E$50,MATCH($C696&amp;$H696,★原価率!$A$2:$A$50&amp;★原価率!$B$2:$B$50,0),4),0)</f>
        <v>85</v>
      </c>
      <c r="K696" s="464" cm="1">
        <f t="array" ref="K696">IFERROR(INDEX(★原価率!$A$2:$E$50,MATCH($C696&amp;$H696,★原価率!$A$2:$A$50&amp;★原価率!$B$2:$B$50,0),5),0)</f>
        <v>100</v>
      </c>
      <c r="L696" s="528">
        <f>IFERROR(VLOOKUP(W696,★商品!$A$1:$H$1231,8,FALSE),0)</f>
        <v>2.8</v>
      </c>
      <c r="M696" s="203" t="str">
        <f ca="1">CONCATENATE(VLOOKUP(B696,★営業所!$A$2:$B$5,2,FALSE),TEXT(NOW(),"yyyy"))</f>
        <v>T2023</v>
      </c>
      <c r="N696" s="203">
        <v>1</v>
      </c>
      <c r="O696" s="203">
        <v>0</v>
      </c>
      <c r="P696" s="213">
        <f>申込書!$B$6</f>
        <v>0</v>
      </c>
      <c r="Q696" s="203">
        <f>申込書!$C$34</f>
        <v>1000040</v>
      </c>
      <c r="R696" s="203">
        <v>0</v>
      </c>
      <c r="U696" s="203">
        <f>VLOOKUP(B696,★営業所!$A$2:$C$5,3,FALSE)</f>
        <v>8</v>
      </c>
      <c r="V696" s="203">
        <f>申込書!$B$9</f>
        <v>0</v>
      </c>
      <c r="W696" s="203" t="str">
        <f>CONCATENATE(VLOOKUP(B696,★営業所!$A$2:$B$5,2,FALSE),VLOOKUP(申込書!$C$32,★サイズ表記!$D$4:$E$55,2,FALSE),VLOOKUP(D696,★折込地区!$A$2:$B$11,2,FALSE))</f>
        <v>T1001Yng</v>
      </c>
      <c r="X696" s="203" t="str">
        <f>CONCATENATE(申込書!$B$9," ",VLOOKUP(RIGHT(W696,3),★折込地区!$B$2:$C$10,2,FALSE),"")</f>
        <v xml:space="preserve"> 米子</v>
      </c>
      <c r="Z696" s="206">
        <f t="shared" ca="1" si="79"/>
        <v>0</v>
      </c>
      <c r="AB696" s="383">
        <f t="shared" si="80"/>
        <v>2.8</v>
      </c>
      <c r="AC696" s="203" t="str">
        <f t="shared" si="81"/>
        <v>G1001</v>
      </c>
      <c r="AD696" s="203" t="str">
        <f>VLOOKUP(AC696,★原価商品!$E$6:$F$349,2,FALSE)</f>
        <v>朝日/B4（折り無し）</v>
      </c>
      <c r="AE696" s="203">
        <f t="shared" ca="1" si="82"/>
        <v>0</v>
      </c>
      <c r="AF696" s="383">
        <f ca="1">IFERROR(IF(VLOOKUP(申込書!$C$32,★サイズ表記!$F$4:$H$55,3,FALSE)="切り捨て",ROUNDDOWN(L696*IF(AK696="◎",I696,J696)/100,2),IF(VLOOKUP(申込書!$C$32,★サイズ表記!$F$4:$H$55,3,FALSE)="切り上げ",ROUNDUP(L696*IF(AK696="◎",I696,J696)/100,2),ROUND(L696*IF(AK696="◎",I696,J696)/100,2))),0)</f>
        <v>2.38</v>
      </c>
      <c r="AG696" s="203">
        <f t="shared" ca="1" si="83"/>
        <v>10561</v>
      </c>
      <c r="AJ696" s="460" t="str">
        <f>IFERROR(VLOOKUP(申込書!$C$30,★業種!$D$2:$E$87,2,FALSE),"")</f>
        <v>1003</v>
      </c>
      <c r="AK696" s="460" t="str">
        <f ca="1">IF(申込書!$C$36="◎",IF(OR(D696="浜坂・温泉",D696="美方・村岡",D696="香住",D696="岡山",D696="大阪"),"",IF(LEFT(F696)="D","◎",IF(AG696=0,"",IFERROR(IF(VLOOKUP(AG696,★仕入先!$A$2:$C$211,3,FALSE)=0,"","◎"),"")))),"")</f>
        <v/>
      </c>
      <c r="AL696" s="460">
        <f>申込書!$H$14</f>
        <v>0</v>
      </c>
      <c r="AM696" s="460" t="str">
        <f>申込書!$C$32</f>
        <v>B4（折り無し）</v>
      </c>
      <c r="AN696" s="460" t="str">
        <f>VLOOKUP(AM696,★サイズ表記!$D$4:$E$55,2,FALSE)</f>
        <v>1001</v>
      </c>
      <c r="AO696" s="460">
        <f>IF(C696&lt;&gt;"⑧兵庫",VLOOKUP(LEFT(F696),★新聞!$A$4:$B$12,2,FALSE),IF(LEFT(F696)&lt;&gt;"S",VLOOKUP(LEFT(F696),★新聞!$A$4:$B$12,2,FALSE),VLOOKUP("X",★新聞!$A$4:$B$12,2,FALSE)))</f>
        <v>2</v>
      </c>
      <c r="AP696" s="460" t="str">
        <f t="shared" ca="1" si="84"/>
        <v>0</v>
      </c>
      <c r="AQ696" s="460" t="str">
        <f>IF(申込書!$C$38="","",申込書!$C$38)</f>
        <v/>
      </c>
    </row>
    <row r="697" spans="1:43">
      <c r="A697" s="463">
        <f t="shared" si="85"/>
        <v>696</v>
      </c>
      <c r="B697" s="463" t="str">
        <f t="shared" si="78"/>
        <v>東部</v>
      </c>
      <c r="C697" s="464" t="s">
        <v>1019</v>
      </c>
      <c r="D697" s="464" t="s">
        <v>1603</v>
      </c>
      <c r="E697" s="464">
        <f>VLOOKUP(D697,★折込地区!$A$2:$D$10,4,FALSE)</f>
        <v>3</v>
      </c>
      <c r="F697" s="464" t="s">
        <v>384</v>
      </c>
      <c r="G697" s="464" t="str">
        <f>INDEX(★新聞!$E$4:$I$12, MATCH(LEFT(F697),★新聞!$A$4:$A$12,0), MATCH(LEFT(W697),★新聞!$E$3:$I$3,0))</f>
        <v>AD</v>
      </c>
      <c r="H697" s="475" t="s">
        <v>1104</v>
      </c>
      <c r="I697" s="464" cm="1">
        <f t="array" ref="I697">IFERROR(INDEX(★原価率!$A$2:$E$50,MATCH($C697&amp;$H697,★原価率!$A$2:$A$50&amp;★原価率!$B$2:$B$50,0),3),0)</f>
        <v>85</v>
      </c>
      <c r="J697" s="464" cm="1">
        <f t="array" ref="J697">IFERROR(INDEX(★原価率!$A$2:$E$50,MATCH($C697&amp;$H697,★原価率!$A$2:$A$50&amp;★原価率!$B$2:$B$50,0),4),0)</f>
        <v>85</v>
      </c>
      <c r="K697" s="464" cm="1">
        <f t="array" ref="K697">IFERROR(INDEX(★原価率!$A$2:$E$50,MATCH($C697&amp;$H697,★原価率!$A$2:$A$50&amp;★原価率!$B$2:$B$50,0),5),0)</f>
        <v>100</v>
      </c>
      <c r="L697" s="528">
        <f>IFERROR(VLOOKUP(W697,★商品!$A$1:$H$1231,8,FALSE),0)</f>
        <v>2.8</v>
      </c>
      <c r="M697" s="203" t="str">
        <f ca="1">CONCATENATE(VLOOKUP(B697,★営業所!$A$2:$B$5,2,FALSE),TEXT(NOW(),"yyyy"))</f>
        <v>T2023</v>
      </c>
      <c r="N697" s="203">
        <v>1</v>
      </c>
      <c r="O697" s="203">
        <v>0</v>
      </c>
      <c r="P697" s="213">
        <f>申込書!$B$6</f>
        <v>0</v>
      </c>
      <c r="Q697" s="203">
        <f>申込書!$C$34</f>
        <v>1000040</v>
      </c>
      <c r="R697" s="203">
        <v>0</v>
      </c>
      <c r="U697" s="203">
        <f>VLOOKUP(B697,★営業所!$A$2:$C$5,3,FALSE)</f>
        <v>8</v>
      </c>
      <c r="V697" s="203">
        <f>申込書!$B$9</f>
        <v>0</v>
      </c>
      <c r="W697" s="203" t="str">
        <f>CONCATENATE(VLOOKUP(B697,★営業所!$A$2:$B$5,2,FALSE),VLOOKUP(申込書!$C$32,★サイズ表記!$D$4:$E$55,2,FALSE),VLOOKUP(D697,★折込地区!$A$2:$B$11,2,FALSE))</f>
        <v>T1001Yng</v>
      </c>
      <c r="X697" s="203" t="str">
        <f>CONCATENATE(申込書!$B$9," ",VLOOKUP(RIGHT(W697,3),★折込地区!$B$2:$C$10,2,FALSE),"")</f>
        <v xml:space="preserve"> 米子</v>
      </c>
      <c r="Z697" s="206">
        <f t="shared" ca="1" si="79"/>
        <v>0</v>
      </c>
      <c r="AB697" s="383">
        <f t="shared" si="80"/>
        <v>2.8</v>
      </c>
      <c r="AC697" s="203" t="str">
        <f t="shared" si="81"/>
        <v>J1001</v>
      </c>
      <c r="AD697" s="203" t="str">
        <f>VLOOKUP(AC697,★原価商品!$E$6:$F$349,2,FALSE)</f>
        <v>読売/B4（折り無し）</v>
      </c>
      <c r="AE697" s="203">
        <f t="shared" ca="1" si="82"/>
        <v>0</v>
      </c>
      <c r="AF697" s="383">
        <f ca="1">IFERROR(IF(VLOOKUP(申込書!$C$32,★サイズ表記!$F$4:$H$55,3,FALSE)="切り捨て",ROUNDDOWN(L697*IF(AK697="◎",I697,J697)/100,2),IF(VLOOKUP(申込書!$C$32,★サイズ表記!$F$4:$H$55,3,FALSE)="切り上げ",ROUNDUP(L697*IF(AK697="◎",I697,J697)/100,2),ROUND(L697*IF(AK697="◎",I697,J697)/100,2))),0)</f>
        <v>2.38</v>
      </c>
      <c r="AG697" s="203">
        <f t="shared" ca="1" si="83"/>
        <v>10561</v>
      </c>
      <c r="AJ697" s="460" t="str">
        <f>IFERROR(VLOOKUP(申込書!$C$30,★業種!$D$2:$E$87,2,FALSE),"")</f>
        <v>1003</v>
      </c>
      <c r="AK697" s="460" t="str">
        <f ca="1">IF(申込書!$C$36="◎",IF(OR(D697="浜坂・温泉",D697="美方・村岡",D697="香住",D697="岡山",D697="大阪"),"",IF(LEFT(F697)="D","◎",IF(AG697=0,"",IFERROR(IF(VLOOKUP(AG697,★仕入先!$A$2:$C$211,3,FALSE)=0,"","◎"),"")))),"")</f>
        <v/>
      </c>
      <c r="AL697" s="460">
        <f>申込書!$H$14</f>
        <v>0</v>
      </c>
      <c r="AM697" s="460" t="str">
        <f>申込書!$C$32</f>
        <v>B4（折り無し）</v>
      </c>
      <c r="AN697" s="460" t="str">
        <f>VLOOKUP(AM697,★サイズ表記!$D$4:$E$55,2,FALSE)</f>
        <v>1001</v>
      </c>
      <c r="AO697" s="460">
        <f>IF(C697&lt;&gt;"⑧兵庫",VLOOKUP(LEFT(F697),★新聞!$A$4:$B$12,2,FALSE),IF(LEFT(F697)&lt;&gt;"S",VLOOKUP(LEFT(F697),★新聞!$A$4:$B$12,2,FALSE),VLOOKUP("X",★新聞!$A$4:$B$12,2,FALSE)))</f>
        <v>3</v>
      </c>
      <c r="AP697" s="460" t="str">
        <f t="shared" ca="1" si="84"/>
        <v>0</v>
      </c>
      <c r="AQ697" s="460" t="str">
        <f>IF(申込書!$C$38="","",申込書!$C$38)</f>
        <v/>
      </c>
    </row>
    <row r="698" spans="1:43">
      <c r="A698" s="463">
        <f t="shared" si="85"/>
        <v>697</v>
      </c>
      <c r="B698" s="463" t="str">
        <f t="shared" si="78"/>
        <v>東部</v>
      </c>
      <c r="C698" s="464" t="s">
        <v>1019</v>
      </c>
      <c r="D698" s="464" t="s">
        <v>1603</v>
      </c>
      <c r="E698" s="464">
        <f>VLOOKUP(D698,★折込地区!$A$2:$D$10,4,FALSE)</f>
        <v>3</v>
      </c>
      <c r="F698" s="464" t="s">
        <v>427</v>
      </c>
      <c r="G698" s="464" t="str">
        <f>INDEX(★新聞!$E$4:$I$12, MATCH(LEFT(F698),★新聞!$A$4:$A$12,0), MATCH(LEFT(W698),★新聞!$E$3:$I$3,0))</f>
        <v>AD</v>
      </c>
      <c r="H698" s="475" t="s">
        <v>1104</v>
      </c>
      <c r="I698" s="464" cm="1">
        <f t="array" ref="I698">IFERROR(INDEX(★原価率!$A$2:$E$50,MATCH($C698&amp;$H698,★原価率!$A$2:$A$50&amp;★原価率!$B$2:$B$50,0),3),0)</f>
        <v>85</v>
      </c>
      <c r="J698" s="464" cm="1">
        <f t="array" ref="J698">IFERROR(INDEX(★原価率!$A$2:$E$50,MATCH($C698&amp;$H698,★原価率!$A$2:$A$50&amp;★原価率!$B$2:$B$50,0),4),0)</f>
        <v>85</v>
      </c>
      <c r="K698" s="464" cm="1">
        <f t="array" ref="K698">IFERROR(INDEX(★原価率!$A$2:$E$50,MATCH($C698&amp;$H698,★原価率!$A$2:$A$50&amp;★原価率!$B$2:$B$50,0),5),0)</f>
        <v>100</v>
      </c>
      <c r="L698" s="528">
        <f>IFERROR(VLOOKUP(W698,★商品!$A$1:$H$1231,8,FALSE),0)</f>
        <v>2.8</v>
      </c>
      <c r="M698" s="203" t="str">
        <f ca="1">CONCATENATE(VLOOKUP(B698,★営業所!$A$2:$B$5,2,FALSE),TEXT(NOW(),"yyyy"))</f>
        <v>T2023</v>
      </c>
      <c r="N698" s="203">
        <v>1</v>
      </c>
      <c r="O698" s="203">
        <v>0</v>
      </c>
      <c r="P698" s="213">
        <f>申込書!$B$6</f>
        <v>0</v>
      </c>
      <c r="Q698" s="203">
        <f>申込書!$C$34</f>
        <v>1000040</v>
      </c>
      <c r="R698" s="203">
        <v>0</v>
      </c>
      <c r="U698" s="203">
        <f>VLOOKUP(B698,★営業所!$A$2:$C$5,3,FALSE)</f>
        <v>8</v>
      </c>
      <c r="V698" s="203">
        <f>申込書!$B$9</f>
        <v>0</v>
      </c>
      <c r="W698" s="203" t="str">
        <f>CONCATENATE(VLOOKUP(B698,★営業所!$A$2:$B$5,2,FALSE),VLOOKUP(申込書!$C$32,★サイズ表記!$D$4:$E$55,2,FALSE),VLOOKUP(D698,★折込地区!$A$2:$B$11,2,FALSE))</f>
        <v>T1001Yng</v>
      </c>
      <c r="X698" s="203" t="str">
        <f>CONCATENATE(申込書!$B$9," ",VLOOKUP(RIGHT(W698,3),★折込地区!$B$2:$C$10,2,FALSE),"")</f>
        <v xml:space="preserve"> 米子</v>
      </c>
      <c r="Z698" s="206">
        <f t="shared" ca="1" si="79"/>
        <v>0</v>
      </c>
      <c r="AB698" s="383">
        <f t="shared" si="80"/>
        <v>2.8</v>
      </c>
      <c r="AC698" s="203" t="str">
        <f t="shared" si="81"/>
        <v>J1001</v>
      </c>
      <c r="AD698" s="203" t="str">
        <f>VLOOKUP(AC698,★原価商品!$E$6:$F$349,2,FALSE)</f>
        <v>読売/B4（折り無し）</v>
      </c>
      <c r="AE698" s="203">
        <f t="shared" ca="1" si="82"/>
        <v>0</v>
      </c>
      <c r="AF698" s="383">
        <f ca="1">IFERROR(IF(VLOOKUP(申込書!$C$32,★サイズ表記!$F$4:$H$55,3,FALSE)="切り捨て",ROUNDDOWN(L698*IF(AK698="◎",I698,J698)/100,2),IF(VLOOKUP(申込書!$C$32,★サイズ表記!$F$4:$H$55,3,FALSE)="切り上げ",ROUNDUP(L698*IF(AK698="◎",I698,J698)/100,2),ROUND(L698*IF(AK698="◎",I698,J698)/100,2))),0)</f>
        <v>2.38</v>
      </c>
      <c r="AG698" s="203">
        <f t="shared" ca="1" si="83"/>
        <v>10561</v>
      </c>
      <c r="AJ698" s="460" t="str">
        <f>IFERROR(VLOOKUP(申込書!$C$30,★業種!$D$2:$E$87,2,FALSE),"")</f>
        <v>1003</v>
      </c>
      <c r="AK698" s="460" t="str">
        <f ca="1">IF(申込書!$C$36="◎",IF(OR(D698="浜坂・温泉",D698="美方・村岡",D698="香住",D698="岡山",D698="大阪"),"",IF(LEFT(F698)="D","◎",IF(AG698=0,"",IFERROR(IF(VLOOKUP(AG698,★仕入先!$A$2:$C$211,3,FALSE)=0,"","◎"),"")))),"")</f>
        <v/>
      </c>
      <c r="AL698" s="460">
        <f>申込書!$H$14</f>
        <v>0</v>
      </c>
      <c r="AM698" s="460" t="str">
        <f>申込書!$C$32</f>
        <v>B4（折り無し）</v>
      </c>
      <c r="AN698" s="460" t="str">
        <f>VLOOKUP(AM698,★サイズ表記!$D$4:$E$55,2,FALSE)</f>
        <v>1001</v>
      </c>
      <c r="AO698" s="460">
        <f>IF(C698&lt;&gt;"⑧兵庫",VLOOKUP(LEFT(F698),★新聞!$A$4:$B$12,2,FALSE),IF(LEFT(F698)&lt;&gt;"S",VLOOKUP(LEFT(F698),★新聞!$A$4:$B$12,2,FALSE),VLOOKUP("X",★新聞!$A$4:$B$12,2,FALSE)))</f>
        <v>3</v>
      </c>
      <c r="AP698" s="460" t="str">
        <f t="shared" ca="1" si="84"/>
        <v>0</v>
      </c>
      <c r="AQ698" s="460" t="str">
        <f>IF(申込書!$C$38="","",申込書!$C$38)</f>
        <v/>
      </c>
    </row>
    <row r="699" spans="1:43">
      <c r="A699" s="463">
        <f t="shared" si="85"/>
        <v>698</v>
      </c>
      <c r="B699" s="463" t="str">
        <f t="shared" si="78"/>
        <v>東部</v>
      </c>
      <c r="C699" s="464" t="s">
        <v>1019</v>
      </c>
      <c r="D699" s="464" t="s">
        <v>1603</v>
      </c>
      <c r="E699" s="464">
        <f>VLOOKUP(D699,★折込地区!$A$2:$D$10,4,FALSE)</f>
        <v>3</v>
      </c>
      <c r="F699" s="464" t="s">
        <v>428</v>
      </c>
      <c r="G699" s="464" t="str">
        <f>INDEX(★新聞!$E$4:$I$12, MATCH(LEFT(F699),★新聞!$A$4:$A$12,0), MATCH(LEFT(W699),★新聞!$E$3:$I$3,0))</f>
        <v>AD</v>
      </c>
      <c r="H699" s="475" t="s">
        <v>1104</v>
      </c>
      <c r="I699" s="464" cm="1">
        <f t="array" ref="I699">IFERROR(INDEX(★原価率!$A$2:$E$50,MATCH($C699&amp;$H699,★原価率!$A$2:$A$50&amp;★原価率!$B$2:$B$50,0),3),0)</f>
        <v>85</v>
      </c>
      <c r="J699" s="464" cm="1">
        <f t="array" ref="J699">IFERROR(INDEX(★原価率!$A$2:$E$50,MATCH($C699&amp;$H699,★原価率!$A$2:$A$50&amp;★原価率!$B$2:$B$50,0),4),0)</f>
        <v>85</v>
      </c>
      <c r="K699" s="464" cm="1">
        <f t="array" ref="K699">IFERROR(INDEX(★原価率!$A$2:$E$50,MATCH($C699&amp;$H699,★原価率!$A$2:$A$50&amp;★原価率!$B$2:$B$50,0),5),0)</f>
        <v>100</v>
      </c>
      <c r="L699" s="528">
        <f>IFERROR(VLOOKUP(W699,★商品!$A$1:$H$1231,8,FALSE),0)</f>
        <v>2.8</v>
      </c>
      <c r="M699" s="203" t="str">
        <f ca="1">CONCATENATE(VLOOKUP(B699,★営業所!$A$2:$B$5,2,FALSE),TEXT(NOW(),"yyyy"))</f>
        <v>T2023</v>
      </c>
      <c r="N699" s="203">
        <v>1</v>
      </c>
      <c r="O699" s="203">
        <v>0</v>
      </c>
      <c r="P699" s="213">
        <f>申込書!$B$6</f>
        <v>0</v>
      </c>
      <c r="Q699" s="203">
        <f>申込書!$C$34</f>
        <v>1000040</v>
      </c>
      <c r="R699" s="203">
        <v>0</v>
      </c>
      <c r="U699" s="203">
        <f>VLOOKUP(B699,★営業所!$A$2:$C$5,3,FALSE)</f>
        <v>8</v>
      </c>
      <c r="V699" s="203">
        <f>申込書!$B$9</f>
        <v>0</v>
      </c>
      <c r="W699" s="203" t="str">
        <f>CONCATENATE(VLOOKUP(B699,★営業所!$A$2:$B$5,2,FALSE),VLOOKUP(申込書!$C$32,★サイズ表記!$D$4:$E$55,2,FALSE),VLOOKUP(D699,★折込地区!$A$2:$B$11,2,FALSE))</f>
        <v>T1001Yng</v>
      </c>
      <c r="X699" s="203" t="str">
        <f>CONCATENATE(申込書!$B$9," ",VLOOKUP(RIGHT(W699,3),★折込地区!$B$2:$C$10,2,FALSE),"")</f>
        <v xml:space="preserve"> 米子</v>
      </c>
      <c r="Z699" s="206">
        <f t="shared" ca="1" si="79"/>
        <v>0</v>
      </c>
      <c r="AB699" s="383">
        <f t="shared" si="80"/>
        <v>2.8</v>
      </c>
      <c r="AC699" s="203" t="str">
        <f t="shared" si="81"/>
        <v>J1001</v>
      </c>
      <c r="AD699" s="203" t="str">
        <f>VLOOKUP(AC699,★原価商品!$E$6:$F$349,2,FALSE)</f>
        <v>読売/B4（折り無し）</v>
      </c>
      <c r="AE699" s="203">
        <f t="shared" ca="1" si="82"/>
        <v>0</v>
      </c>
      <c r="AF699" s="383">
        <f ca="1">IFERROR(IF(VLOOKUP(申込書!$C$32,★サイズ表記!$F$4:$H$55,3,FALSE)="切り捨て",ROUNDDOWN(L699*IF(AK699="◎",I699,J699)/100,2),IF(VLOOKUP(申込書!$C$32,★サイズ表記!$F$4:$H$55,3,FALSE)="切り上げ",ROUNDUP(L699*IF(AK699="◎",I699,J699)/100,2),ROUND(L699*IF(AK699="◎",I699,J699)/100,2))),0)</f>
        <v>2.38</v>
      </c>
      <c r="AG699" s="203">
        <f t="shared" ca="1" si="83"/>
        <v>10561</v>
      </c>
      <c r="AJ699" s="460" t="str">
        <f>IFERROR(VLOOKUP(申込書!$C$30,★業種!$D$2:$E$87,2,FALSE),"")</f>
        <v>1003</v>
      </c>
      <c r="AK699" s="460" t="str">
        <f ca="1">IF(申込書!$C$36="◎",IF(OR(D699="浜坂・温泉",D699="美方・村岡",D699="香住",D699="岡山",D699="大阪"),"",IF(LEFT(F699)="D","◎",IF(AG699=0,"",IFERROR(IF(VLOOKUP(AG699,★仕入先!$A$2:$C$211,3,FALSE)=0,"","◎"),"")))),"")</f>
        <v/>
      </c>
      <c r="AL699" s="460">
        <f>申込書!$H$14</f>
        <v>0</v>
      </c>
      <c r="AM699" s="460" t="str">
        <f>申込書!$C$32</f>
        <v>B4（折り無し）</v>
      </c>
      <c r="AN699" s="460" t="str">
        <f>VLOOKUP(AM699,★サイズ表記!$D$4:$E$55,2,FALSE)</f>
        <v>1001</v>
      </c>
      <c r="AO699" s="460">
        <f>IF(C699&lt;&gt;"⑧兵庫",VLOOKUP(LEFT(F699),★新聞!$A$4:$B$12,2,FALSE),IF(LEFT(F699)&lt;&gt;"S",VLOOKUP(LEFT(F699),★新聞!$A$4:$B$12,2,FALSE),VLOOKUP("X",★新聞!$A$4:$B$12,2,FALSE)))</f>
        <v>3</v>
      </c>
      <c r="AP699" s="460" t="str">
        <f t="shared" ca="1" si="84"/>
        <v>0</v>
      </c>
      <c r="AQ699" s="460" t="str">
        <f>IF(申込書!$C$38="","",申込書!$C$38)</f>
        <v/>
      </c>
    </row>
    <row r="700" spans="1:43">
      <c r="A700" s="463">
        <f t="shared" si="85"/>
        <v>699</v>
      </c>
      <c r="B700" s="463" t="str">
        <f t="shared" si="78"/>
        <v>東部</v>
      </c>
      <c r="C700" s="464" t="s">
        <v>1019</v>
      </c>
      <c r="D700" s="464" t="s">
        <v>1603</v>
      </c>
      <c r="E700" s="464">
        <f>VLOOKUP(D700,★折込地区!$A$2:$D$10,4,FALSE)</f>
        <v>3</v>
      </c>
      <c r="F700" s="464" t="s">
        <v>429</v>
      </c>
      <c r="G700" s="464" t="str">
        <f>INDEX(★新聞!$E$4:$I$12, MATCH(LEFT(F700),★新聞!$A$4:$A$12,0), MATCH(LEFT(W700),★新聞!$E$3:$I$3,0))</f>
        <v>AD</v>
      </c>
      <c r="H700" s="475" t="s">
        <v>1104</v>
      </c>
      <c r="I700" s="464" cm="1">
        <f t="array" ref="I700">IFERROR(INDEX(★原価率!$A$2:$E$50,MATCH($C700&amp;$H700,★原価率!$A$2:$A$50&amp;★原価率!$B$2:$B$50,0),3),0)</f>
        <v>85</v>
      </c>
      <c r="J700" s="464" cm="1">
        <f t="array" ref="J700">IFERROR(INDEX(★原価率!$A$2:$E$50,MATCH($C700&amp;$H700,★原価率!$A$2:$A$50&amp;★原価率!$B$2:$B$50,0),4),0)</f>
        <v>85</v>
      </c>
      <c r="K700" s="464" cm="1">
        <f t="array" ref="K700">IFERROR(INDEX(★原価率!$A$2:$E$50,MATCH($C700&amp;$H700,★原価率!$A$2:$A$50&amp;★原価率!$B$2:$B$50,0),5),0)</f>
        <v>100</v>
      </c>
      <c r="L700" s="528">
        <f>IFERROR(VLOOKUP(W700,★商品!$A$1:$H$1231,8,FALSE),0)</f>
        <v>2.8</v>
      </c>
      <c r="M700" s="203" t="str">
        <f ca="1">CONCATENATE(VLOOKUP(B700,★営業所!$A$2:$B$5,2,FALSE),TEXT(NOW(),"yyyy"))</f>
        <v>T2023</v>
      </c>
      <c r="N700" s="203">
        <v>1</v>
      </c>
      <c r="O700" s="203">
        <v>0</v>
      </c>
      <c r="P700" s="213">
        <f>申込書!$B$6</f>
        <v>0</v>
      </c>
      <c r="Q700" s="203">
        <f>申込書!$C$34</f>
        <v>1000040</v>
      </c>
      <c r="R700" s="203">
        <v>0</v>
      </c>
      <c r="U700" s="203">
        <f>VLOOKUP(B700,★営業所!$A$2:$C$5,3,FALSE)</f>
        <v>8</v>
      </c>
      <c r="V700" s="203">
        <f>申込書!$B$9</f>
        <v>0</v>
      </c>
      <c r="W700" s="203" t="str">
        <f>CONCATENATE(VLOOKUP(B700,★営業所!$A$2:$B$5,2,FALSE),VLOOKUP(申込書!$C$32,★サイズ表記!$D$4:$E$55,2,FALSE),VLOOKUP(D700,★折込地区!$A$2:$B$11,2,FALSE))</f>
        <v>T1001Yng</v>
      </c>
      <c r="X700" s="203" t="str">
        <f>CONCATENATE(申込書!$B$9," ",VLOOKUP(RIGHT(W700,3),★折込地区!$B$2:$C$10,2,FALSE),"")</f>
        <v xml:space="preserve"> 米子</v>
      </c>
      <c r="Z700" s="206">
        <f t="shared" ca="1" si="79"/>
        <v>0</v>
      </c>
      <c r="AB700" s="383">
        <f t="shared" si="80"/>
        <v>2.8</v>
      </c>
      <c r="AC700" s="203" t="str">
        <f t="shared" si="81"/>
        <v>J1001</v>
      </c>
      <c r="AD700" s="203" t="str">
        <f>VLOOKUP(AC700,★原価商品!$E$6:$F$349,2,FALSE)</f>
        <v>読売/B4（折り無し）</v>
      </c>
      <c r="AE700" s="203">
        <f t="shared" ca="1" si="82"/>
        <v>0</v>
      </c>
      <c r="AF700" s="383">
        <f ca="1">IFERROR(IF(VLOOKUP(申込書!$C$32,★サイズ表記!$F$4:$H$55,3,FALSE)="切り捨て",ROUNDDOWN(L700*IF(AK700="◎",I700,J700)/100,2),IF(VLOOKUP(申込書!$C$32,★サイズ表記!$F$4:$H$55,3,FALSE)="切り上げ",ROUNDUP(L700*IF(AK700="◎",I700,J700)/100,2),ROUND(L700*IF(AK700="◎",I700,J700)/100,2))),0)</f>
        <v>2.38</v>
      </c>
      <c r="AG700" s="203">
        <f t="shared" ca="1" si="83"/>
        <v>10561</v>
      </c>
      <c r="AJ700" s="460" t="str">
        <f>IFERROR(VLOOKUP(申込書!$C$30,★業種!$D$2:$E$87,2,FALSE),"")</f>
        <v>1003</v>
      </c>
      <c r="AK700" s="460" t="str">
        <f ca="1">IF(申込書!$C$36="◎",IF(OR(D700="浜坂・温泉",D700="美方・村岡",D700="香住",D700="岡山",D700="大阪"),"",IF(LEFT(F700)="D","◎",IF(AG700=0,"",IFERROR(IF(VLOOKUP(AG700,★仕入先!$A$2:$C$211,3,FALSE)=0,"","◎"),"")))),"")</f>
        <v/>
      </c>
      <c r="AL700" s="460">
        <f>申込書!$H$14</f>
        <v>0</v>
      </c>
      <c r="AM700" s="460" t="str">
        <f>申込書!$C$32</f>
        <v>B4（折り無し）</v>
      </c>
      <c r="AN700" s="460" t="str">
        <f>VLOOKUP(AM700,★サイズ表記!$D$4:$E$55,2,FALSE)</f>
        <v>1001</v>
      </c>
      <c r="AO700" s="460">
        <f>IF(C700&lt;&gt;"⑧兵庫",VLOOKUP(LEFT(F700),★新聞!$A$4:$B$12,2,FALSE),IF(LEFT(F700)&lt;&gt;"S",VLOOKUP(LEFT(F700),★新聞!$A$4:$B$12,2,FALSE),VLOOKUP("X",★新聞!$A$4:$B$12,2,FALSE)))</f>
        <v>3</v>
      </c>
      <c r="AP700" s="460" t="str">
        <f t="shared" ca="1" si="84"/>
        <v>0</v>
      </c>
      <c r="AQ700" s="460" t="str">
        <f>IF(申込書!$C$38="","",申込書!$C$38)</f>
        <v/>
      </c>
    </row>
    <row r="701" spans="1:43">
      <c r="A701" s="463">
        <f t="shared" si="85"/>
        <v>700</v>
      </c>
      <c r="B701" s="463" t="str">
        <f t="shared" si="78"/>
        <v>東部</v>
      </c>
      <c r="C701" s="464" t="s">
        <v>1019</v>
      </c>
      <c r="D701" s="464" t="s">
        <v>1603</v>
      </c>
      <c r="E701" s="464">
        <f>VLOOKUP(D701,★折込地区!$A$2:$D$10,4,FALSE)</f>
        <v>3</v>
      </c>
      <c r="F701" s="464" t="s">
        <v>430</v>
      </c>
      <c r="G701" s="464" t="str">
        <f>INDEX(★新聞!$E$4:$I$12, MATCH(LEFT(F701),★新聞!$A$4:$A$12,0), MATCH(LEFT(W701),★新聞!$E$3:$I$3,0))</f>
        <v>AD</v>
      </c>
      <c r="H701" s="475" t="s">
        <v>1104</v>
      </c>
      <c r="I701" s="464" cm="1">
        <f t="array" ref="I701">IFERROR(INDEX(★原価率!$A$2:$E$50,MATCH($C701&amp;$H701,★原価率!$A$2:$A$50&amp;★原価率!$B$2:$B$50,0),3),0)</f>
        <v>85</v>
      </c>
      <c r="J701" s="464" cm="1">
        <f t="array" ref="J701">IFERROR(INDEX(★原価率!$A$2:$E$50,MATCH($C701&amp;$H701,★原価率!$A$2:$A$50&amp;★原価率!$B$2:$B$50,0),4),0)</f>
        <v>85</v>
      </c>
      <c r="K701" s="464" cm="1">
        <f t="array" ref="K701">IFERROR(INDEX(★原価率!$A$2:$E$50,MATCH($C701&amp;$H701,★原価率!$A$2:$A$50&amp;★原価率!$B$2:$B$50,0),5),0)</f>
        <v>100</v>
      </c>
      <c r="L701" s="528">
        <f>IFERROR(VLOOKUP(W701,★商品!$A$1:$H$1231,8,FALSE),0)</f>
        <v>2.8</v>
      </c>
      <c r="M701" s="203" t="str">
        <f ca="1">CONCATENATE(VLOOKUP(B701,★営業所!$A$2:$B$5,2,FALSE),TEXT(NOW(),"yyyy"))</f>
        <v>T2023</v>
      </c>
      <c r="N701" s="203">
        <v>1</v>
      </c>
      <c r="O701" s="203">
        <v>0</v>
      </c>
      <c r="P701" s="213">
        <f>申込書!$B$6</f>
        <v>0</v>
      </c>
      <c r="Q701" s="203">
        <f>申込書!$C$34</f>
        <v>1000040</v>
      </c>
      <c r="R701" s="203">
        <v>0</v>
      </c>
      <c r="U701" s="203">
        <f>VLOOKUP(B701,★営業所!$A$2:$C$5,3,FALSE)</f>
        <v>8</v>
      </c>
      <c r="V701" s="203">
        <f>申込書!$B$9</f>
        <v>0</v>
      </c>
      <c r="W701" s="203" t="str">
        <f>CONCATENATE(VLOOKUP(B701,★営業所!$A$2:$B$5,2,FALSE),VLOOKUP(申込書!$C$32,★サイズ表記!$D$4:$E$55,2,FALSE),VLOOKUP(D701,★折込地区!$A$2:$B$11,2,FALSE))</f>
        <v>T1001Yng</v>
      </c>
      <c r="X701" s="203" t="str">
        <f>CONCATENATE(申込書!$B$9," ",VLOOKUP(RIGHT(W701,3),★折込地区!$B$2:$C$10,2,FALSE),"")</f>
        <v xml:space="preserve"> 米子</v>
      </c>
      <c r="Z701" s="206">
        <f t="shared" ca="1" si="79"/>
        <v>0</v>
      </c>
      <c r="AB701" s="383">
        <f t="shared" si="80"/>
        <v>2.8</v>
      </c>
      <c r="AC701" s="203" t="str">
        <f t="shared" si="81"/>
        <v>J1001</v>
      </c>
      <c r="AD701" s="203" t="str">
        <f>VLOOKUP(AC701,★原価商品!$E$6:$F$349,2,FALSE)</f>
        <v>読売/B4（折り無し）</v>
      </c>
      <c r="AE701" s="203">
        <f t="shared" ca="1" si="82"/>
        <v>0</v>
      </c>
      <c r="AF701" s="383">
        <f ca="1">IFERROR(IF(VLOOKUP(申込書!$C$32,★サイズ表記!$F$4:$H$55,3,FALSE)="切り捨て",ROUNDDOWN(L701*IF(AK701="◎",I701,J701)/100,2),IF(VLOOKUP(申込書!$C$32,★サイズ表記!$F$4:$H$55,3,FALSE)="切り上げ",ROUNDUP(L701*IF(AK701="◎",I701,J701)/100,2),ROUND(L701*IF(AK701="◎",I701,J701)/100,2))),0)</f>
        <v>2.38</v>
      </c>
      <c r="AG701" s="203">
        <f t="shared" ca="1" si="83"/>
        <v>10561</v>
      </c>
      <c r="AJ701" s="460" t="str">
        <f>IFERROR(VLOOKUP(申込書!$C$30,★業種!$D$2:$E$87,2,FALSE),"")</f>
        <v>1003</v>
      </c>
      <c r="AK701" s="460" t="str">
        <f ca="1">IF(申込書!$C$36="◎",IF(OR(D701="浜坂・温泉",D701="美方・村岡",D701="香住",D701="岡山",D701="大阪"),"",IF(LEFT(F701)="D","◎",IF(AG701=0,"",IFERROR(IF(VLOOKUP(AG701,★仕入先!$A$2:$C$211,3,FALSE)=0,"","◎"),"")))),"")</f>
        <v/>
      </c>
      <c r="AL701" s="460">
        <f>申込書!$H$14</f>
        <v>0</v>
      </c>
      <c r="AM701" s="460" t="str">
        <f>申込書!$C$32</f>
        <v>B4（折り無し）</v>
      </c>
      <c r="AN701" s="460" t="str">
        <f>VLOOKUP(AM701,★サイズ表記!$D$4:$E$55,2,FALSE)</f>
        <v>1001</v>
      </c>
      <c r="AO701" s="460">
        <f>IF(C701&lt;&gt;"⑧兵庫",VLOOKUP(LEFT(F701),★新聞!$A$4:$B$12,2,FALSE),IF(LEFT(F701)&lt;&gt;"S",VLOOKUP(LEFT(F701),★新聞!$A$4:$B$12,2,FALSE),VLOOKUP("X",★新聞!$A$4:$B$12,2,FALSE)))</f>
        <v>3</v>
      </c>
      <c r="AP701" s="460" t="str">
        <f t="shared" ca="1" si="84"/>
        <v>0</v>
      </c>
      <c r="AQ701" s="460" t="str">
        <f>IF(申込書!$C$38="","",申込書!$C$38)</f>
        <v/>
      </c>
    </row>
    <row r="702" spans="1:43">
      <c r="A702" s="463">
        <f t="shared" si="85"/>
        <v>701</v>
      </c>
      <c r="B702" s="463" t="str">
        <f t="shared" ref="B702:B765" si="86">$B$2</f>
        <v>東部</v>
      </c>
      <c r="C702" s="464" t="s">
        <v>1019</v>
      </c>
      <c r="D702" s="464" t="s">
        <v>1603</v>
      </c>
      <c r="E702" s="464">
        <f>VLOOKUP(D702,★折込地区!$A$2:$D$10,4,FALSE)</f>
        <v>3</v>
      </c>
      <c r="F702" s="464" t="s">
        <v>431</v>
      </c>
      <c r="G702" s="464" t="str">
        <f>INDEX(★新聞!$E$4:$I$12, MATCH(LEFT(F702),★新聞!$A$4:$A$12,0), MATCH(LEFT(W702),★新聞!$E$3:$I$3,0))</f>
        <v>AD</v>
      </c>
      <c r="H702" s="475" t="s">
        <v>1104</v>
      </c>
      <c r="I702" s="464" cm="1">
        <f t="array" ref="I702">IFERROR(INDEX(★原価率!$A$2:$E$50,MATCH($C702&amp;$H702,★原価率!$A$2:$A$50&amp;★原価率!$B$2:$B$50,0),3),0)</f>
        <v>85</v>
      </c>
      <c r="J702" s="464" cm="1">
        <f t="array" ref="J702">IFERROR(INDEX(★原価率!$A$2:$E$50,MATCH($C702&amp;$H702,★原価率!$A$2:$A$50&amp;★原価率!$B$2:$B$50,0),4),0)</f>
        <v>85</v>
      </c>
      <c r="K702" s="464" cm="1">
        <f t="array" ref="K702">IFERROR(INDEX(★原価率!$A$2:$E$50,MATCH($C702&amp;$H702,★原価率!$A$2:$A$50&amp;★原価率!$B$2:$B$50,0),5),0)</f>
        <v>100</v>
      </c>
      <c r="L702" s="528">
        <f>IFERROR(VLOOKUP(W702,★商品!$A$1:$H$1231,8,FALSE),0)</f>
        <v>2.8</v>
      </c>
      <c r="M702" s="203" t="str">
        <f ca="1">CONCATENATE(VLOOKUP(B702,★営業所!$A$2:$B$5,2,FALSE),TEXT(NOW(),"yyyy"))</f>
        <v>T2023</v>
      </c>
      <c r="N702" s="203">
        <v>1</v>
      </c>
      <c r="O702" s="203">
        <v>0</v>
      </c>
      <c r="P702" s="213">
        <f>申込書!$B$6</f>
        <v>0</v>
      </c>
      <c r="Q702" s="203">
        <f>申込書!$C$34</f>
        <v>1000040</v>
      </c>
      <c r="R702" s="203">
        <v>0</v>
      </c>
      <c r="U702" s="203">
        <f>VLOOKUP(B702,★営業所!$A$2:$C$5,3,FALSE)</f>
        <v>8</v>
      </c>
      <c r="V702" s="203">
        <f>申込書!$B$9</f>
        <v>0</v>
      </c>
      <c r="W702" s="203" t="str">
        <f>CONCATENATE(VLOOKUP(B702,★営業所!$A$2:$B$5,2,FALSE),VLOOKUP(申込書!$C$32,★サイズ表記!$D$4:$E$55,2,FALSE),VLOOKUP(D702,★折込地区!$A$2:$B$11,2,FALSE))</f>
        <v>T1001Yng</v>
      </c>
      <c r="X702" s="203" t="str">
        <f>CONCATENATE(申込書!$B$9," ",VLOOKUP(RIGHT(W702,3),★折込地区!$B$2:$C$10,2,FALSE),"")</f>
        <v xml:space="preserve"> 米子</v>
      </c>
      <c r="Z702" s="206">
        <f t="shared" ca="1" si="79"/>
        <v>0</v>
      </c>
      <c r="AB702" s="383">
        <f t="shared" si="80"/>
        <v>2.8</v>
      </c>
      <c r="AC702" s="203" t="str">
        <f t="shared" si="81"/>
        <v>J1001</v>
      </c>
      <c r="AD702" s="203" t="str">
        <f>VLOOKUP(AC702,★原価商品!$E$6:$F$349,2,FALSE)</f>
        <v>読売/B4（折り無し）</v>
      </c>
      <c r="AE702" s="203">
        <f t="shared" ca="1" si="82"/>
        <v>0</v>
      </c>
      <c r="AF702" s="383">
        <f ca="1">IFERROR(IF(VLOOKUP(申込書!$C$32,★サイズ表記!$F$4:$H$55,3,FALSE)="切り捨て",ROUNDDOWN(L702*IF(AK702="◎",I702,J702)/100,2),IF(VLOOKUP(申込書!$C$32,★サイズ表記!$F$4:$H$55,3,FALSE)="切り上げ",ROUNDUP(L702*IF(AK702="◎",I702,J702)/100,2),ROUND(L702*IF(AK702="◎",I702,J702)/100,2))),0)</f>
        <v>2.38</v>
      </c>
      <c r="AG702" s="203">
        <f t="shared" ca="1" si="83"/>
        <v>10561</v>
      </c>
      <c r="AJ702" s="460" t="str">
        <f>IFERROR(VLOOKUP(申込書!$C$30,★業種!$D$2:$E$87,2,FALSE),"")</f>
        <v>1003</v>
      </c>
      <c r="AK702" s="460" t="str">
        <f ca="1">IF(申込書!$C$36="◎",IF(OR(D702="浜坂・温泉",D702="美方・村岡",D702="香住",D702="岡山",D702="大阪"),"",IF(LEFT(F702)="D","◎",IF(AG702=0,"",IFERROR(IF(VLOOKUP(AG702,★仕入先!$A$2:$C$211,3,FALSE)=0,"","◎"),"")))),"")</f>
        <v/>
      </c>
      <c r="AL702" s="460">
        <f>申込書!$H$14</f>
        <v>0</v>
      </c>
      <c r="AM702" s="460" t="str">
        <f>申込書!$C$32</f>
        <v>B4（折り無し）</v>
      </c>
      <c r="AN702" s="460" t="str">
        <f>VLOOKUP(AM702,★サイズ表記!$D$4:$E$55,2,FALSE)</f>
        <v>1001</v>
      </c>
      <c r="AO702" s="460">
        <f>IF(C702&lt;&gt;"⑧兵庫",VLOOKUP(LEFT(F702),★新聞!$A$4:$B$12,2,FALSE),IF(LEFT(F702)&lt;&gt;"S",VLOOKUP(LEFT(F702),★新聞!$A$4:$B$12,2,FALSE),VLOOKUP("X",★新聞!$A$4:$B$12,2,FALSE)))</f>
        <v>3</v>
      </c>
      <c r="AP702" s="460" t="str">
        <f t="shared" ca="1" si="84"/>
        <v>0</v>
      </c>
      <c r="AQ702" s="460" t="str">
        <f>IF(申込書!$C$38="","",申込書!$C$38)</f>
        <v/>
      </c>
    </row>
    <row r="703" spans="1:43">
      <c r="A703" s="463">
        <f t="shared" si="85"/>
        <v>702</v>
      </c>
      <c r="B703" s="463" t="str">
        <f t="shared" si="86"/>
        <v>東部</v>
      </c>
      <c r="C703" s="464" t="s">
        <v>1019</v>
      </c>
      <c r="D703" s="464" t="s">
        <v>1603</v>
      </c>
      <c r="E703" s="464">
        <f>VLOOKUP(D703,★折込地区!$A$2:$D$10,4,FALSE)</f>
        <v>3</v>
      </c>
      <c r="F703" s="464" t="s">
        <v>432</v>
      </c>
      <c r="G703" s="464" t="str">
        <f>INDEX(★新聞!$E$4:$I$12, MATCH(LEFT(F703),★新聞!$A$4:$A$12,0), MATCH(LEFT(W703),★新聞!$E$3:$I$3,0))</f>
        <v>AD</v>
      </c>
      <c r="H703" s="555" t="s">
        <v>1102</v>
      </c>
      <c r="I703" s="464" cm="1">
        <f t="array" ref="I703">IFERROR(INDEX(★原価率!$A$2:$E$50,MATCH($C703&amp;$H703,★原価率!$A$2:$A$50&amp;★原価率!$B$2:$B$50,0),3),0)</f>
        <v>80</v>
      </c>
      <c r="J703" s="464" cm="1">
        <f t="array" ref="J703">IFERROR(INDEX(★原価率!$A$2:$E$50,MATCH($C703&amp;$H703,★原価率!$A$2:$A$50&amp;★原価率!$B$2:$B$50,0),4),0)</f>
        <v>84</v>
      </c>
      <c r="K703" s="464" cm="1">
        <f t="array" ref="K703">IFERROR(INDEX(★原価率!$A$2:$E$50,MATCH($C703&amp;$H703,★原価率!$A$2:$A$50&amp;★原価率!$B$2:$B$50,0),5),0)</f>
        <v>100</v>
      </c>
      <c r="L703" s="528">
        <f>IFERROR(VLOOKUP(W703,★商品!$A$1:$H$1231,8,FALSE),0)</f>
        <v>2.8</v>
      </c>
      <c r="M703" s="203" t="str">
        <f ca="1">CONCATENATE(VLOOKUP(B703,★営業所!$A$2:$B$5,2,FALSE),TEXT(NOW(),"yyyy"))</f>
        <v>T2023</v>
      </c>
      <c r="N703" s="203">
        <v>1</v>
      </c>
      <c r="O703" s="203">
        <v>0</v>
      </c>
      <c r="P703" s="213">
        <f>申込書!$B$6</f>
        <v>0</v>
      </c>
      <c r="Q703" s="203">
        <f>申込書!$C$34</f>
        <v>1000040</v>
      </c>
      <c r="R703" s="203">
        <v>0</v>
      </c>
      <c r="U703" s="203">
        <f>VLOOKUP(B703,★営業所!$A$2:$C$5,3,FALSE)</f>
        <v>8</v>
      </c>
      <c r="V703" s="203">
        <f>申込書!$B$9</f>
        <v>0</v>
      </c>
      <c r="W703" s="203" t="str">
        <f>CONCATENATE(VLOOKUP(B703,★営業所!$A$2:$B$5,2,FALSE),VLOOKUP(申込書!$C$32,★サイズ表記!$D$4:$E$55,2,FALSE),VLOOKUP(D703,★折込地区!$A$2:$B$11,2,FALSE))</f>
        <v>T1001Yng</v>
      </c>
      <c r="X703" s="203" t="str">
        <f>CONCATENATE(申込書!$B$9," ",VLOOKUP(RIGHT(W703,3),★折込地区!$B$2:$C$10,2,FALSE),"")</f>
        <v xml:space="preserve"> 米子</v>
      </c>
      <c r="Z703" s="206">
        <f t="shared" ca="1" si="79"/>
        <v>0</v>
      </c>
      <c r="AB703" s="383">
        <f t="shared" si="80"/>
        <v>2.8</v>
      </c>
      <c r="AC703" s="203" t="str">
        <f t="shared" si="81"/>
        <v>J1001</v>
      </c>
      <c r="AD703" s="203" t="str">
        <f>VLOOKUP(AC703,★原価商品!$E$6:$F$349,2,FALSE)</f>
        <v>読売/B4（折り無し）</v>
      </c>
      <c r="AE703" s="203">
        <f t="shared" ca="1" si="82"/>
        <v>0</v>
      </c>
      <c r="AF703" s="383">
        <f ca="1">IFERROR(IF(VLOOKUP(申込書!$C$32,★サイズ表記!$F$4:$H$55,3,FALSE)="切り捨て",ROUNDDOWN(L703*IF(AK703="◎",I703,J703)/100,2),IF(VLOOKUP(申込書!$C$32,★サイズ表記!$F$4:$H$55,3,FALSE)="切り上げ",ROUNDUP(L703*IF(AK703="◎",I703,J703)/100,2),ROUND(L703*IF(AK703="◎",I703,J703)/100,2))),0)</f>
        <v>2.35</v>
      </c>
      <c r="AG703" s="203">
        <f t="shared" ca="1" si="83"/>
        <v>10561</v>
      </c>
      <c r="AJ703" s="460" t="str">
        <f>IFERROR(VLOOKUP(申込書!$C$30,★業種!$D$2:$E$87,2,FALSE),"")</f>
        <v>1003</v>
      </c>
      <c r="AK703" s="460" t="str">
        <f ca="1">IF(申込書!$C$36="◎",IF(OR(D703="浜坂・温泉",D703="美方・村岡",D703="香住",D703="岡山",D703="大阪"),"",IF(LEFT(F703)="D","◎",IF(AG703=0,"",IFERROR(IF(VLOOKUP(AG703,★仕入先!$A$2:$C$211,3,FALSE)=0,"","◎"),"")))),"")</f>
        <v/>
      </c>
      <c r="AL703" s="460">
        <f>申込書!$H$14</f>
        <v>0</v>
      </c>
      <c r="AM703" s="460" t="str">
        <f>申込書!$C$32</f>
        <v>B4（折り無し）</v>
      </c>
      <c r="AN703" s="460" t="str">
        <f>VLOOKUP(AM703,★サイズ表記!$D$4:$E$55,2,FALSE)</f>
        <v>1001</v>
      </c>
      <c r="AO703" s="460">
        <f>IF(C703&lt;&gt;"⑧兵庫",VLOOKUP(LEFT(F703),★新聞!$A$4:$B$12,2,FALSE),IF(LEFT(F703)&lt;&gt;"S",VLOOKUP(LEFT(F703),★新聞!$A$4:$B$12,2,FALSE),VLOOKUP("X",★新聞!$A$4:$B$12,2,FALSE)))</f>
        <v>3</v>
      </c>
      <c r="AP703" s="460" t="str">
        <f t="shared" ca="1" si="84"/>
        <v>0</v>
      </c>
      <c r="AQ703" s="460" t="str">
        <f>IF(申込書!$C$38="","",申込書!$C$38)</f>
        <v/>
      </c>
    </row>
    <row r="704" spans="1:43">
      <c r="A704" s="463">
        <f t="shared" si="85"/>
        <v>703</v>
      </c>
      <c r="B704" s="463" t="str">
        <f t="shared" si="86"/>
        <v>東部</v>
      </c>
      <c r="C704" s="464" t="s">
        <v>1019</v>
      </c>
      <c r="D704" s="464" t="s">
        <v>1603</v>
      </c>
      <c r="E704" s="464">
        <f>VLOOKUP(D704,★折込地区!$A$2:$D$10,4,FALSE)</f>
        <v>3</v>
      </c>
      <c r="F704" s="464" t="s">
        <v>433</v>
      </c>
      <c r="G704" s="464" t="str">
        <f>INDEX(★新聞!$E$4:$I$12, MATCH(LEFT(F704),★新聞!$A$4:$A$12,0), MATCH(LEFT(W704),★新聞!$E$3:$I$3,0))</f>
        <v>AD</v>
      </c>
      <c r="H704" s="555" t="s">
        <v>1102</v>
      </c>
      <c r="I704" s="464" cm="1">
        <f t="array" ref="I704">IFERROR(INDEX(★原価率!$A$2:$E$50,MATCH($C704&amp;$H704,★原価率!$A$2:$A$50&amp;★原価率!$B$2:$B$50,0),3),0)</f>
        <v>80</v>
      </c>
      <c r="J704" s="464" cm="1">
        <f t="array" ref="J704">IFERROR(INDEX(★原価率!$A$2:$E$50,MATCH($C704&amp;$H704,★原価率!$A$2:$A$50&amp;★原価率!$B$2:$B$50,0),4),0)</f>
        <v>84</v>
      </c>
      <c r="K704" s="464" cm="1">
        <f t="array" ref="K704">IFERROR(INDEX(★原価率!$A$2:$E$50,MATCH($C704&amp;$H704,★原価率!$A$2:$A$50&amp;★原価率!$B$2:$B$50,0),5),0)</f>
        <v>100</v>
      </c>
      <c r="L704" s="528">
        <f>IFERROR(VLOOKUP(W704,★商品!$A$1:$H$1231,8,FALSE),0)</f>
        <v>2.8</v>
      </c>
      <c r="M704" s="203" t="str">
        <f ca="1">CONCATENATE(VLOOKUP(B704,★営業所!$A$2:$B$5,2,FALSE),TEXT(NOW(),"yyyy"))</f>
        <v>T2023</v>
      </c>
      <c r="N704" s="203">
        <v>1</v>
      </c>
      <c r="O704" s="203">
        <v>0</v>
      </c>
      <c r="P704" s="213">
        <f>申込書!$B$6</f>
        <v>0</v>
      </c>
      <c r="Q704" s="203">
        <f>申込書!$C$34</f>
        <v>1000040</v>
      </c>
      <c r="R704" s="203">
        <v>0</v>
      </c>
      <c r="U704" s="203">
        <f>VLOOKUP(B704,★営業所!$A$2:$C$5,3,FALSE)</f>
        <v>8</v>
      </c>
      <c r="V704" s="203">
        <f>申込書!$B$9</f>
        <v>0</v>
      </c>
      <c r="W704" s="203" t="str">
        <f>CONCATENATE(VLOOKUP(B704,★営業所!$A$2:$B$5,2,FALSE),VLOOKUP(申込書!$C$32,★サイズ表記!$D$4:$E$55,2,FALSE),VLOOKUP(D704,★折込地区!$A$2:$B$11,2,FALSE))</f>
        <v>T1001Yng</v>
      </c>
      <c r="X704" s="203" t="str">
        <f>CONCATENATE(申込書!$B$9," ",VLOOKUP(RIGHT(W704,3),★折込地区!$B$2:$C$10,2,FALSE),"")</f>
        <v xml:space="preserve"> 米子</v>
      </c>
      <c r="Z704" s="206">
        <f t="shared" ca="1" si="79"/>
        <v>0</v>
      </c>
      <c r="AB704" s="383">
        <f t="shared" si="80"/>
        <v>2.8</v>
      </c>
      <c r="AC704" s="203" t="str">
        <f t="shared" si="81"/>
        <v>J1001</v>
      </c>
      <c r="AD704" s="203" t="str">
        <f>VLOOKUP(AC704,★原価商品!$E$6:$F$349,2,FALSE)</f>
        <v>読売/B4（折り無し）</v>
      </c>
      <c r="AE704" s="203">
        <f t="shared" ca="1" si="82"/>
        <v>0</v>
      </c>
      <c r="AF704" s="383">
        <f ca="1">IFERROR(IF(VLOOKUP(申込書!$C$32,★サイズ表記!$F$4:$H$55,3,FALSE)="切り捨て",ROUNDDOWN(L704*IF(AK704="◎",I704,J704)/100,2),IF(VLOOKUP(申込書!$C$32,★サイズ表記!$F$4:$H$55,3,FALSE)="切り上げ",ROUNDUP(L704*IF(AK704="◎",I704,J704)/100,2),ROUND(L704*IF(AK704="◎",I704,J704)/100,2))),0)</f>
        <v>2.35</v>
      </c>
      <c r="AG704" s="203">
        <f t="shared" ca="1" si="83"/>
        <v>10561</v>
      </c>
      <c r="AJ704" s="460" t="str">
        <f>IFERROR(VLOOKUP(申込書!$C$30,★業種!$D$2:$E$87,2,FALSE),"")</f>
        <v>1003</v>
      </c>
      <c r="AK704" s="460" t="str">
        <f ca="1">IF(申込書!$C$36="◎",IF(OR(D704="浜坂・温泉",D704="美方・村岡",D704="香住",D704="岡山",D704="大阪"),"",IF(LEFT(F704)="D","◎",IF(AG704=0,"",IFERROR(IF(VLOOKUP(AG704,★仕入先!$A$2:$C$211,3,FALSE)=0,"","◎"),"")))),"")</f>
        <v/>
      </c>
      <c r="AL704" s="460">
        <f>申込書!$H$14</f>
        <v>0</v>
      </c>
      <c r="AM704" s="460" t="str">
        <f>申込書!$C$32</f>
        <v>B4（折り無し）</v>
      </c>
      <c r="AN704" s="460" t="str">
        <f>VLOOKUP(AM704,★サイズ表記!$D$4:$E$55,2,FALSE)</f>
        <v>1001</v>
      </c>
      <c r="AO704" s="460">
        <f>IF(C704&lt;&gt;"⑧兵庫",VLOOKUP(LEFT(F704),★新聞!$A$4:$B$12,2,FALSE),IF(LEFT(F704)&lt;&gt;"S",VLOOKUP(LEFT(F704),★新聞!$A$4:$B$12,2,FALSE),VLOOKUP("X",★新聞!$A$4:$B$12,2,FALSE)))</f>
        <v>3</v>
      </c>
      <c r="AP704" s="460" t="str">
        <f t="shared" ca="1" si="84"/>
        <v>0</v>
      </c>
      <c r="AQ704" s="460" t="str">
        <f>IF(申込書!$C$38="","",申込書!$C$38)</f>
        <v/>
      </c>
    </row>
    <row r="705" spans="1:43">
      <c r="A705" s="463">
        <f t="shared" si="85"/>
        <v>704</v>
      </c>
      <c r="B705" s="463" t="str">
        <f t="shared" si="86"/>
        <v>東部</v>
      </c>
      <c r="C705" s="464" t="s">
        <v>1019</v>
      </c>
      <c r="D705" s="464" t="s">
        <v>1603</v>
      </c>
      <c r="E705" s="464">
        <f>VLOOKUP(D705,★折込地区!$A$2:$D$10,4,FALSE)</f>
        <v>3</v>
      </c>
      <c r="F705" s="464" t="s">
        <v>434</v>
      </c>
      <c r="G705" s="464" t="str">
        <f>INDEX(★新聞!$E$4:$I$12, MATCH(LEFT(F705),★新聞!$A$4:$A$12,0), MATCH(LEFT(W705),★新聞!$E$3:$I$3,0))</f>
        <v>AD</v>
      </c>
      <c r="H705" s="475" t="s">
        <v>1104</v>
      </c>
      <c r="I705" s="464" cm="1">
        <f t="array" ref="I705">IFERROR(INDEX(★原価率!$A$2:$E$50,MATCH($C705&amp;$H705,★原価率!$A$2:$A$50&amp;★原価率!$B$2:$B$50,0),3),0)</f>
        <v>85</v>
      </c>
      <c r="J705" s="464" cm="1">
        <f t="array" ref="J705">IFERROR(INDEX(★原価率!$A$2:$E$50,MATCH($C705&amp;$H705,★原価率!$A$2:$A$50&amp;★原価率!$B$2:$B$50,0),4),0)</f>
        <v>85</v>
      </c>
      <c r="K705" s="464" cm="1">
        <f t="array" ref="K705">IFERROR(INDEX(★原価率!$A$2:$E$50,MATCH($C705&amp;$H705,★原価率!$A$2:$A$50&amp;★原価率!$B$2:$B$50,0),5),0)</f>
        <v>100</v>
      </c>
      <c r="L705" s="528">
        <f>IFERROR(VLOOKUP(W705,★商品!$A$1:$H$1231,8,FALSE),0)</f>
        <v>2.8</v>
      </c>
      <c r="M705" s="203" t="str">
        <f ca="1">CONCATENATE(VLOOKUP(B705,★営業所!$A$2:$B$5,2,FALSE),TEXT(NOW(),"yyyy"))</f>
        <v>T2023</v>
      </c>
      <c r="N705" s="203">
        <v>1</v>
      </c>
      <c r="O705" s="203">
        <v>0</v>
      </c>
      <c r="P705" s="213">
        <f>申込書!$B$6</f>
        <v>0</v>
      </c>
      <c r="Q705" s="203">
        <f>申込書!$C$34</f>
        <v>1000040</v>
      </c>
      <c r="R705" s="203">
        <v>0</v>
      </c>
      <c r="U705" s="203">
        <f>VLOOKUP(B705,★営業所!$A$2:$C$5,3,FALSE)</f>
        <v>8</v>
      </c>
      <c r="V705" s="203">
        <f>申込書!$B$9</f>
        <v>0</v>
      </c>
      <c r="W705" s="203" t="str">
        <f>CONCATENATE(VLOOKUP(B705,★営業所!$A$2:$B$5,2,FALSE),VLOOKUP(申込書!$C$32,★サイズ表記!$D$4:$E$55,2,FALSE),VLOOKUP(D705,★折込地区!$A$2:$B$11,2,FALSE))</f>
        <v>T1001Yng</v>
      </c>
      <c r="X705" s="203" t="str">
        <f>CONCATENATE(申込書!$B$9," ",VLOOKUP(RIGHT(W705,3),★折込地区!$B$2:$C$10,2,FALSE),"")</f>
        <v xml:space="preserve"> 米子</v>
      </c>
      <c r="Z705" s="206">
        <f t="shared" ca="1" si="79"/>
        <v>0</v>
      </c>
      <c r="AB705" s="383">
        <f t="shared" si="80"/>
        <v>2.8</v>
      </c>
      <c r="AC705" s="203" t="str">
        <f t="shared" si="81"/>
        <v>J1001</v>
      </c>
      <c r="AD705" s="203" t="str">
        <f>VLOOKUP(AC705,★原価商品!$E$6:$F$349,2,FALSE)</f>
        <v>読売/B4（折り無し）</v>
      </c>
      <c r="AE705" s="203">
        <f t="shared" ca="1" si="82"/>
        <v>0</v>
      </c>
      <c r="AF705" s="383">
        <f ca="1">IFERROR(IF(VLOOKUP(申込書!$C$32,★サイズ表記!$F$4:$H$55,3,FALSE)="切り捨て",ROUNDDOWN(L705*IF(AK705="◎",I705,J705)/100,2),IF(VLOOKUP(申込書!$C$32,★サイズ表記!$F$4:$H$55,3,FALSE)="切り上げ",ROUNDUP(L705*IF(AK705="◎",I705,J705)/100,2),ROUND(L705*IF(AK705="◎",I705,J705)/100,2))),0)</f>
        <v>2.38</v>
      </c>
      <c r="AG705" s="203">
        <f t="shared" ca="1" si="83"/>
        <v>0</v>
      </c>
      <c r="AJ705" s="460" t="str">
        <f>IFERROR(VLOOKUP(申込書!$C$30,★業種!$D$2:$E$87,2,FALSE),"")</f>
        <v>1003</v>
      </c>
      <c r="AK705" s="460" t="str">
        <f ca="1">IF(申込書!$C$36="◎",IF(OR(D705="浜坂・温泉",D705="美方・村岡",D705="香住",D705="岡山",D705="大阪"),"",IF(LEFT(F705)="D","◎",IF(AG705=0,"",IFERROR(IF(VLOOKUP(AG705,★仕入先!$A$2:$C$211,3,FALSE)=0,"","◎"),"")))),"")</f>
        <v/>
      </c>
      <c r="AL705" s="460">
        <f>申込書!$H$14</f>
        <v>0</v>
      </c>
      <c r="AM705" s="460" t="str">
        <f>申込書!$C$32</f>
        <v>B4（折り無し）</v>
      </c>
      <c r="AN705" s="460" t="str">
        <f>VLOOKUP(AM705,★サイズ表記!$D$4:$E$55,2,FALSE)</f>
        <v>1001</v>
      </c>
      <c r="AO705" s="460">
        <f>IF(C705&lt;&gt;"⑧兵庫",VLOOKUP(LEFT(F705),★新聞!$A$4:$B$12,2,FALSE),IF(LEFT(F705)&lt;&gt;"S",VLOOKUP(LEFT(F705),★新聞!$A$4:$B$12,2,FALSE),VLOOKUP("X",★新聞!$A$4:$B$12,2,FALSE)))</f>
        <v>3</v>
      </c>
      <c r="AP705" s="460" t="str">
        <f t="shared" ca="1" si="84"/>
        <v>0</v>
      </c>
      <c r="AQ705" s="460" t="str">
        <f>IF(申込書!$C$38="","",申込書!$C$38)</f>
        <v/>
      </c>
    </row>
    <row r="706" spans="1:43">
      <c r="A706" s="463">
        <f t="shared" si="85"/>
        <v>705</v>
      </c>
      <c r="B706" s="463" t="str">
        <f t="shared" si="86"/>
        <v>東部</v>
      </c>
      <c r="C706" s="464" t="s">
        <v>1019</v>
      </c>
      <c r="D706" s="464" t="s">
        <v>1603</v>
      </c>
      <c r="E706" s="464">
        <f>VLOOKUP(D706,★折込地区!$A$2:$D$10,4,FALSE)</f>
        <v>3</v>
      </c>
      <c r="F706" s="464" t="s">
        <v>438</v>
      </c>
      <c r="G706" s="464" t="str">
        <f>INDEX(★新聞!$E$4:$I$12, MATCH(LEFT(F706),★新聞!$A$4:$A$12,0), MATCH(LEFT(W706),★新聞!$E$3:$I$3,0))</f>
        <v>AD</v>
      </c>
      <c r="H706" s="555" t="s">
        <v>1102</v>
      </c>
      <c r="I706" s="464" cm="1">
        <f t="array" ref="I706">IFERROR(INDEX(★原価率!$A$2:$E$50,MATCH($C706&amp;$H706,★原価率!$A$2:$A$50&amp;★原価率!$B$2:$B$50,0),3),0)</f>
        <v>80</v>
      </c>
      <c r="J706" s="464" cm="1">
        <f t="array" ref="J706">IFERROR(INDEX(★原価率!$A$2:$E$50,MATCH($C706&amp;$H706,★原価率!$A$2:$A$50&amp;★原価率!$B$2:$B$50,0),4),0)</f>
        <v>84</v>
      </c>
      <c r="K706" s="464" cm="1">
        <f t="array" ref="K706">IFERROR(INDEX(★原価率!$A$2:$E$50,MATCH($C706&amp;$H706,★原価率!$A$2:$A$50&amp;★原価率!$B$2:$B$50,0),5),0)</f>
        <v>100</v>
      </c>
      <c r="L706" s="528">
        <f>IFERROR(VLOOKUP(W706,★商品!$A$1:$H$1231,8,FALSE),0)</f>
        <v>2.8</v>
      </c>
      <c r="M706" s="203" t="str">
        <f ca="1">CONCATENATE(VLOOKUP(B706,★営業所!$A$2:$B$5,2,FALSE),TEXT(NOW(),"yyyy"))</f>
        <v>T2023</v>
      </c>
      <c r="N706" s="203">
        <v>1</v>
      </c>
      <c r="O706" s="203">
        <v>0</v>
      </c>
      <c r="P706" s="213">
        <f>申込書!$B$6</f>
        <v>0</v>
      </c>
      <c r="Q706" s="203">
        <f>申込書!$C$34</f>
        <v>1000040</v>
      </c>
      <c r="R706" s="203">
        <v>0</v>
      </c>
      <c r="U706" s="203">
        <f>VLOOKUP(B706,★営業所!$A$2:$C$5,3,FALSE)</f>
        <v>8</v>
      </c>
      <c r="V706" s="203">
        <f>申込書!$B$9</f>
        <v>0</v>
      </c>
      <c r="W706" s="203" t="str">
        <f>CONCATENATE(VLOOKUP(B706,★営業所!$A$2:$B$5,2,FALSE),VLOOKUP(申込書!$C$32,★サイズ表記!$D$4:$E$55,2,FALSE),VLOOKUP(D706,★折込地区!$A$2:$B$11,2,FALSE))</f>
        <v>T1001Yng</v>
      </c>
      <c r="X706" s="203" t="str">
        <f>CONCATENATE(申込書!$B$9," ",VLOOKUP(RIGHT(W706,3),★折込地区!$B$2:$C$10,2,FALSE),"")</f>
        <v xml:space="preserve"> 米子</v>
      </c>
      <c r="Z706" s="206">
        <f t="shared" ref="Z706:Z769" ca="1" si="87">SUMIFS($AE$2:$AE$977,$W$2:$W$977,W706,$AG$2:$AG$977,"&lt;&gt;0")</f>
        <v>0</v>
      </c>
      <c r="AB706" s="383">
        <f t="shared" ref="AB706:AB769" si="88">IFERROR(L706*K706/100,0)</f>
        <v>2.8</v>
      </c>
      <c r="AC706" s="203" t="str">
        <f t="shared" ref="AC706:AC769" si="89">CONCATENATE(LEFT(F706),AN706)</f>
        <v>J1001</v>
      </c>
      <c r="AD706" s="203" t="str">
        <f>VLOOKUP(AC706,★原価商品!$E$6:$F$349,2,FALSE)</f>
        <v>読売/B4（折り無し）</v>
      </c>
      <c r="AE706" s="203">
        <f t="shared" ref="AE706:AE769" ca="1" si="90">INDIRECT(C706 &amp; "!" &amp; F706)</f>
        <v>0</v>
      </c>
      <c r="AF706" s="383">
        <f ca="1">IFERROR(IF(VLOOKUP(申込書!$C$32,★サイズ表記!$F$4:$H$55,3,FALSE)="切り捨て",ROUNDDOWN(L706*IF(AK706="◎",I706,J706)/100,2),IF(VLOOKUP(申込書!$C$32,★サイズ表記!$F$4:$H$55,3,FALSE)="切り上げ",ROUNDUP(L706*IF(AK706="◎",I706,J706)/100,2),ROUND(L706*IF(AK706="◎",I706,J706)/100,2))),0)</f>
        <v>2.35</v>
      </c>
      <c r="AG706" s="203">
        <f t="shared" ref="AG706:AG769" ca="1" si="91">IFERROR(INDIRECT(C706 &amp; "!" &amp; G706 &amp; MID(F706,2,1000)),0)</f>
        <v>10561</v>
      </c>
      <c r="AJ706" s="460" t="str">
        <f>IFERROR(VLOOKUP(申込書!$C$30,★業種!$D$2:$E$87,2,FALSE),"")</f>
        <v>1003</v>
      </c>
      <c r="AK706" s="460" t="str">
        <f ca="1">IF(申込書!$C$36="◎",IF(OR(D706="浜坂・温泉",D706="美方・村岡",D706="香住",D706="岡山",D706="大阪"),"",IF(LEFT(F706)="D","◎",IF(AG706=0,"",IFERROR(IF(VLOOKUP(AG706,★仕入先!$A$2:$C$211,3,FALSE)=0,"","◎"),"")))),"")</f>
        <v/>
      </c>
      <c r="AL706" s="460">
        <f>申込書!$H$14</f>
        <v>0</v>
      </c>
      <c r="AM706" s="460" t="str">
        <f>申込書!$C$32</f>
        <v>B4（折り無し）</v>
      </c>
      <c r="AN706" s="460" t="str">
        <f>VLOOKUP(AM706,★サイズ表記!$D$4:$E$55,2,FALSE)</f>
        <v>1001</v>
      </c>
      <c r="AO706" s="460">
        <f>IF(C706&lt;&gt;"⑧兵庫",VLOOKUP(LEFT(F706),★新聞!$A$4:$B$12,2,FALSE),IF(LEFT(F706)&lt;&gt;"S",VLOOKUP(LEFT(F706),★新聞!$A$4:$B$12,2,FALSE),VLOOKUP("X",★新聞!$A$4:$B$12,2,FALSE)))</f>
        <v>3</v>
      </c>
      <c r="AP706" s="460" t="str">
        <f t="shared" ref="AP706:AP769" ca="1" si="92">FIXED(SUM($AE$2:$AE$977),0,FALSE)</f>
        <v>0</v>
      </c>
      <c r="AQ706" s="460" t="str">
        <f>IF(申込書!$C$38="","",申込書!$C$38)</f>
        <v/>
      </c>
    </row>
    <row r="707" spans="1:43">
      <c r="A707" s="463">
        <f t="shared" si="85"/>
        <v>706</v>
      </c>
      <c r="B707" s="463" t="str">
        <f t="shared" si="86"/>
        <v>東部</v>
      </c>
      <c r="C707" s="464" t="s">
        <v>1019</v>
      </c>
      <c r="D707" s="464" t="s">
        <v>1603</v>
      </c>
      <c r="E707" s="464">
        <f>VLOOKUP(D707,★折込地区!$A$2:$D$10,4,FALSE)</f>
        <v>3</v>
      </c>
      <c r="F707" s="464" t="s">
        <v>439</v>
      </c>
      <c r="G707" s="464" t="str">
        <f>INDEX(★新聞!$E$4:$I$12, MATCH(LEFT(F707),★新聞!$A$4:$A$12,0), MATCH(LEFT(W707),★新聞!$E$3:$I$3,0))</f>
        <v>AD</v>
      </c>
      <c r="H707" s="475" t="s">
        <v>1104</v>
      </c>
      <c r="I707" s="464" cm="1">
        <f t="array" ref="I707">IFERROR(INDEX(★原価率!$A$2:$E$50,MATCH($C707&amp;$H707,★原価率!$A$2:$A$50&amp;★原価率!$B$2:$B$50,0),3),0)</f>
        <v>85</v>
      </c>
      <c r="J707" s="464" cm="1">
        <f t="array" ref="J707">IFERROR(INDEX(★原価率!$A$2:$E$50,MATCH($C707&amp;$H707,★原価率!$A$2:$A$50&amp;★原価率!$B$2:$B$50,0),4),0)</f>
        <v>85</v>
      </c>
      <c r="K707" s="464" cm="1">
        <f t="array" ref="K707">IFERROR(INDEX(★原価率!$A$2:$E$50,MATCH($C707&amp;$H707,★原価率!$A$2:$A$50&amp;★原価率!$B$2:$B$50,0),5),0)</f>
        <v>100</v>
      </c>
      <c r="L707" s="528">
        <f>IFERROR(VLOOKUP(W707,★商品!$A$1:$H$1231,8,FALSE),0)</f>
        <v>2.8</v>
      </c>
      <c r="M707" s="203" t="str">
        <f ca="1">CONCATENATE(VLOOKUP(B707,★営業所!$A$2:$B$5,2,FALSE),TEXT(NOW(),"yyyy"))</f>
        <v>T2023</v>
      </c>
      <c r="N707" s="203">
        <v>1</v>
      </c>
      <c r="O707" s="203">
        <v>0</v>
      </c>
      <c r="P707" s="213">
        <f>申込書!$B$6</f>
        <v>0</v>
      </c>
      <c r="Q707" s="203">
        <f>申込書!$C$34</f>
        <v>1000040</v>
      </c>
      <c r="R707" s="203">
        <v>0</v>
      </c>
      <c r="U707" s="203">
        <f>VLOOKUP(B707,★営業所!$A$2:$C$5,3,FALSE)</f>
        <v>8</v>
      </c>
      <c r="V707" s="203">
        <f>申込書!$B$9</f>
        <v>0</v>
      </c>
      <c r="W707" s="203" t="str">
        <f>CONCATENATE(VLOOKUP(B707,★営業所!$A$2:$B$5,2,FALSE),VLOOKUP(申込書!$C$32,★サイズ表記!$D$4:$E$55,2,FALSE),VLOOKUP(D707,★折込地区!$A$2:$B$11,2,FALSE))</f>
        <v>T1001Yng</v>
      </c>
      <c r="X707" s="203" t="str">
        <f>CONCATENATE(申込書!$B$9," ",VLOOKUP(RIGHT(W707,3),★折込地区!$B$2:$C$10,2,FALSE),"")</f>
        <v xml:space="preserve"> 米子</v>
      </c>
      <c r="Z707" s="206">
        <f t="shared" ca="1" si="87"/>
        <v>0</v>
      </c>
      <c r="AB707" s="383">
        <f t="shared" si="88"/>
        <v>2.8</v>
      </c>
      <c r="AC707" s="203" t="str">
        <f t="shared" si="89"/>
        <v>J1001</v>
      </c>
      <c r="AD707" s="203" t="str">
        <f>VLOOKUP(AC707,★原価商品!$E$6:$F$349,2,FALSE)</f>
        <v>読売/B4（折り無し）</v>
      </c>
      <c r="AE707" s="203">
        <f t="shared" ca="1" si="90"/>
        <v>0</v>
      </c>
      <c r="AF707" s="383">
        <f ca="1">IFERROR(IF(VLOOKUP(申込書!$C$32,★サイズ表記!$F$4:$H$55,3,FALSE)="切り捨て",ROUNDDOWN(L707*IF(AK707="◎",I707,J707)/100,2),IF(VLOOKUP(申込書!$C$32,★サイズ表記!$F$4:$H$55,3,FALSE)="切り上げ",ROUNDUP(L707*IF(AK707="◎",I707,J707)/100,2),ROUND(L707*IF(AK707="◎",I707,J707)/100,2))),0)</f>
        <v>2.38</v>
      </c>
      <c r="AG707" s="203">
        <f t="shared" ca="1" si="91"/>
        <v>10561</v>
      </c>
      <c r="AJ707" s="460" t="str">
        <f>IFERROR(VLOOKUP(申込書!$C$30,★業種!$D$2:$E$87,2,FALSE),"")</f>
        <v>1003</v>
      </c>
      <c r="AK707" s="460" t="str">
        <f ca="1">IF(申込書!$C$36="◎",IF(OR(D707="浜坂・温泉",D707="美方・村岡",D707="香住",D707="岡山",D707="大阪"),"",IF(LEFT(F707)="D","◎",IF(AG707=0,"",IFERROR(IF(VLOOKUP(AG707,★仕入先!$A$2:$C$211,3,FALSE)=0,"","◎"),"")))),"")</f>
        <v/>
      </c>
      <c r="AL707" s="460">
        <f>申込書!$H$14</f>
        <v>0</v>
      </c>
      <c r="AM707" s="460" t="str">
        <f>申込書!$C$32</f>
        <v>B4（折り無し）</v>
      </c>
      <c r="AN707" s="460" t="str">
        <f>VLOOKUP(AM707,★サイズ表記!$D$4:$E$55,2,FALSE)</f>
        <v>1001</v>
      </c>
      <c r="AO707" s="460">
        <f>IF(C707&lt;&gt;"⑧兵庫",VLOOKUP(LEFT(F707),★新聞!$A$4:$B$12,2,FALSE),IF(LEFT(F707)&lt;&gt;"S",VLOOKUP(LEFT(F707),★新聞!$A$4:$B$12,2,FALSE),VLOOKUP("X",★新聞!$A$4:$B$12,2,FALSE)))</f>
        <v>3</v>
      </c>
      <c r="AP707" s="460" t="str">
        <f t="shared" ca="1" si="92"/>
        <v>0</v>
      </c>
      <c r="AQ707" s="460" t="str">
        <f>IF(申込書!$C$38="","",申込書!$C$38)</f>
        <v/>
      </c>
    </row>
    <row r="708" spans="1:43">
      <c r="A708" s="463">
        <f t="shared" ref="A708:A771" si="93">A707+1</f>
        <v>707</v>
      </c>
      <c r="B708" s="463" t="str">
        <f t="shared" si="86"/>
        <v>東部</v>
      </c>
      <c r="C708" s="464" t="s">
        <v>1019</v>
      </c>
      <c r="D708" s="464" t="s">
        <v>1603</v>
      </c>
      <c r="E708" s="464">
        <f>VLOOKUP(D708,★折込地区!$A$2:$D$10,4,FALSE)</f>
        <v>3</v>
      </c>
      <c r="F708" s="464" t="s">
        <v>440</v>
      </c>
      <c r="G708" s="464" t="str">
        <f>INDEX(★新聞!$E$4:$I$12, MATCH(LEFT(F708),★新聞!$A$4:$A$12,0), MATCH(LEFT(W708),★新聞!$E$3:$I$3,0))</f>
        <v>AD</v>
      </c>
      <c r="H708" s="475" t="s">
        <v>1104</v>
      </c>
      <c r="I708" s="464" cm="1">
        <f t="array" ref="I708">IFERROR(INDEX(★原価率!$A$2:$E$50,MATCH($C708&amp;$H708,★原価率!$A$2:$A$50&amp;★原価率!$B$2:$B$50,0),3),0)</f>
        <v>85</v>
      </c>
      <c r="J708" s="464" cm="1">
        <f t="array" ref="J708">IFERROR(INDEX(★原価率!$A$2:$E$50,MATCH($C708&amp;$H708,★原価率!$A$2:$A$50&amp;★原価率!$B$2:$B$50,0),4),0)</f>
        <v>85</v>
      </c>
      <c r="K708" s="464" cm="1">
        <f t="array" ref="K708">IFERROR(INDEX(★原価率!$A$2:$E$50,MATCH($C708&amp;$H708,★原価率!$A$2:$A$50&amp;★原価率!$B$2:$B$50,0),5),0)</f>
        <v>100</v>
      </c>
      <c r="L708" s="528">
        <f>IFERROR(VLOOKUP(W708,★商品!$A$1:$H$1231,8,FALSE),0)</f>
        <v>2.8</v>
      </c>
      <c r="M708" s="203" t="str">
        <f ca="1">CONCATENATE(VLOOKUP(B708,★営業所!$A$2:$B$5,2,FALSE),TEXT(NOW(),"yyyy"))</f>
        <v>T2023</v>
      </c>
      <c r="N708" s="203">
        <v>1</v>
      </c>
      <c r="O708" s="203">
        <v>0</v>
      </c>
      <c r="P708" s="213">
        <f>申込書!$B$6</f>
        <v>0</v>
      </c>
      <c r="Q708" s="203">
        <f>申込書!$C$34</f>
        <v>1000040</v>
      </c>
      <c r="R708" s="203">
        <v>0</v>
      </c>
      <c r="U708" s="203">
        <f>VLOOKUP(B708,★営業所!$A$2:$C$5,3,FALSE)</f>
        <v>8</v>
      </c>
      <c r="V708" s="203">
        <f>申込書!$B$9</f>
        <v>0</v>
      </c>
      <c r="W708" s="203" t="str">
        <f>CONCATENATE(VLOOKUP(B708,★営業所!$A$2:$B$5,2,FALSE),VLOOKUP(申込書!$C$32,★サイズ表記!$D$4:$E$55,2,FALSE),VLOOKUP(D708,★折込地区!$A$2:$B$11,2,FALSE))</f>
        <v>T1001Yng</v>
      </c>
      <c r="X708" s="203" t="str">
        <f>CONCATENATE(申込書!$B$9," ",VLOOKUP(RIGHT(W708,3),★折込地区!$B$2:$C$10,2,FALSE),"")</f>
        <v xml:space="preserve"> 米子</v>
      </c>
      <c r="Z708" s="206">
        <f t="shared" ca="1" si="87"/>
        <v>0</v>
      </c>
      <c r="AB708" s="383">
        <f t="shared" si="88"/>
        <v>2.8</v>
      </c>
      <c r="AC708" s="203" t="str">
        <f t="shared" si="89"/>
        <v>J1001</v>
      </c>
      <c r="AD708" s="203" t="str">
        <f>VLOOKUP(AC708,★原価商品!$E$6:$F$349,2,FALSE)</f>
        <v>読売/B4（折り無し）</v>
      </c>
      <c r="AE708" s="203">
        <f t="shared" ca="1" si="90"/>
        <v>0</v>
      </c>
      <c r="AF708" s="383">
        <f ca="1">IFERROR(IF(VLOOKUP(申込書!$C$32,★サイズ表記!$F$4:$H$55,3,FALSE)="切り捨て",ROUNDDOWN(L708*IF(AK708="◎",I708,J708)/100,2),IF(VLOOKUP(申込書!$C$32,★サイズ表記!$F$4:$H$55,3,FALSE)="切り上げ",ROUNDUP(L708*IF(AK708="◎",I708,J708)/100,2),ROUND(L708*IF(AK708="◎",I708,J708)/100,2))),0)</f>
        <v>2.38</v>
      </c>
      <c r="AG708" s="203">
        <f t="shared" ca="1" si="91"/>
        <v>10561</v>
      </c>
      <c r="AJ708" s="460" t="str">
        <f>IFERROR(VLOOKUP(申込書!$C$30,★業種!$D$2:$E$87,2,FALSE),"")</f>
        <v>1003</v>
      </c>
      <c r="AK708" s="460" t="str">
        <f ca="1">IF(申込書!$C$36="◎",IF(OR(D708="浜坂・温泉",D708="美方・村岡",D708="香住",D708="岡山",D708="大阪"),"",IF(LEFT(F708)="D","◎",IF(AG708=0,"",IFERROR(IF(VLOOKUP(AG708,★仕入先!$A$2:$C$211,3,FALSE)=0,"","◎"),"")))),"")</f>
        <v/>
      </c>
      <c r="AL708" s="460">
        <f>申込書!$H$14</f>
        <v>0</v>
      </c>
      <c r="AM708" s="460" t="str">
        <f>申込書!$C$32</f>
        <v>B4（折り無し）</v>
      </c>
      <c r="AN708" s="460" t="str">
        <f>VLOOKUP(AM708,★サイズ表記!$D$4:$E$55,2,FALSE)</f>
        <v>1001</v>
      </c>
      <c r="AO708" s="460">
        <f>IF(C708&lt;&gt;"⑧兵庫",VLOOKUP(LEFT(F708),★新聞!$A$4:$B$12,2,FALSE),IF(LEFT(F708)&lt;&gt;"S",VLOOKUP(LEFT(F708),★新聞!$A$4:$B$12,2,FALSE),VLOOKUP("X",★新聞!$A$4:$B$12,2,FALSE)))</f>
        <v>3</v>
      </c>
      <c r="AP708" s="460" t="str">
        <f t="shared" ca="1" si="92"/>
        <v>0</v>
      </c>
      <c r="AQ708" s="460" t="str">
        <f>IF(申込書!$C$38="","",申込書!$C$38)</f>
        <v/>
      </c>
    </row>
    <row r="709" spans="1:43">
      <c r="A709" s="463">
        <f t="shared" si="93"/>
        <v>708</v>
      </c>
      <c r="B709" s="463" t="str">
        <f t="shared" si="86"/>
        <v>東部</v>
      </c>
      <c r="C709" s="464" t="s">
        <v>1019</v>
      </c>
      <c r="D709" s="464" t="s">
        <v>1603</v>
      </c>
      <c r="E709" s="464">
        <f>VLOOKUP(D709,★折込地区!$A$2:$D$10,4,FALSE)</f>
        <v>3</v>
      </c>
      <c r="F709" s="464" t="s">
        <v>441</v>
      </c>
      <c r="G709" s="464" t="str">
        <f>INDEX(★新聞!$E$4:$I$12, MATCH(LEFT(F709),★新聞!$A$4:$A$12,0), MATCH(LEFT(W709),★新聞!$E$3:$I$3,0))</f>
        <v>AD</v>
      </c>
      <c r="H709" s="475" t="s">
        <v>1104</v>
      </c>
      <c r="I709" s="464" cm="1">
        <f t="array" ref="I709">IFERROR(INDEX(★原価率!$A$2:$E$50,MATCH($C709&amp;$H709,★原価率!$A$2:$A$50&amp;★原価率!$B$2:$B$50,0),3),0)</f>
        <v>85</v>
      </c>
      <c r="J709" s="464" cm="1">
        <f t="array" ref="J709">IFERROR(INDEX(★原価率!$A$2:$E$50,MATCH($C709&amp;$H709,★原価率!$A$2:$A$50&amp;★原価率!$B$2:$B$50,0),4),0)</f>
        <v>85</v>
      </c>
      <c r="K709" s="464" cm="1">
        <f t="array" ref="K709">IFERROR(INDEX(★原価率!$A$2:$E$50,MATCH($C709&amp;$H709,★原価率!$A$2:$A$50&amp;★原価率!$B$2:$B$50,0),5),0)</f>
        <v>100</v>
      </c>
      <c r="L709" s="528">
        <f>IFERROR(VLOOKUP(W709,★商品!$A$1:$H$1231,8,FALSE),0)</f>
        <v>2.8</v>
      </c>
      <c r="M709" s="203" t="str">
        <f ca="1">CONCATENATE(VLOOKUP(B709,★営業所!$A$2:$B$5,2,FALSE),TEXT(NOW(),"yyyy"))</f>
        <v>T2023</v>
      </c>
      <c r="N709" s="203">
        <v>1</v>
      </c>
      <c r="O709" s="203">
        <v>0</v>
      </c>
      <c r="P709" s="213">
        <f>申込書!$B$6</f>
        <v>0</v>
      </c>
      <c r="Q709" s="203">
        <f>申込書!$C$34</f>
        <v>1000040</v>
      </c>
      <c r="R709" s="203">
        <v>0</v>
      </c>
      <c r="U709" s="203">
        <f>VLOOKUP(B709,★営業所!$A$2:$C$5,3,FALSE)</f>
        <v>8</v>
      </c>
      <c r="V709" s="203">
        <f>申込書!$B$9</f>
        <v>0</v>
      </c>
      <c r="W709" s="203" t="str">
        <f>CONCATENATE(VLOOKUP(B709,★営業所!$A$2:$B$5,2,FALSE),VLOOKUP(申込書!$C$32,★サイズ表記!$D$4:$E$55,2,FALSE),VLOOKUP(D709,★折込地区!$A$2:$B$11,2,FALSE))</f>
        <v>T1001Yng</v>
      </c>
      <c r="X709" s="203" t="str">
        <f>CONCATENATE(申込書!$B$9," ",VLOOKUP(RIGHT(W709,3),★折込地区!$B$2:$C$10,2,FALSE),"")</f>
        <v xml:space="preserve"> 米子</v>
      </c>
      <c r="Z709" s="206">
        <f t="shared" ca="1" si="87"/>
        <v>0</v>
      </c>
      <c r="AB709" s="383">
        <f t="shared" si="88"/>
        <v>2.8</v>
      </c>
      <c r="AC709" s="203" t="str">
        <f t="shared" si="89"/>
        <v>J1001</v>
      </c>
      <c r="AD709" s="203" t="str">
        <f>VLOOKUP(AC709,★原価商品!$E$6:$F$349,2,FALSE)</f>
        <v>読売/B4（折り無し）</v>
      </c>
      <c r="AE709" s="203">
        <f t="shared" ca="1" si="90"/>
        <v>0</v>
      </c>
      <c r="AF709" s="383">
        <f ca="1">IFERROR(IF(VLOOKUP(申込書!$C$32,★サイズ表記!$F$4:$H$55,3,FALSE)="切り捨て",ROUNDDOWN(L709*IF(AK709="◎",I709,J709)/100,2),IF(VLOOKUP(申込書!$C$32,★サイズ表記!$F$4:$H$55,3,FALSE)="切り上げ",ROUNDUP(L709*IF(AK709="◎",I709,J709)/100,2),ROUND(L709*IF(AK709="◎",I709,J709)/100,2))),0)</f>
        <v>2.38</v>
      </c>
      <c r="AG709" s="203">
        <f t="shared" ca="1" si="91"/>
        <v>10561</v>
      </c>
      <c r="AJ709" s="460" t="str">
        <f>IFERROR(VLOOKUP(申込書!$C$30,★業種!$D$2:$E$87,2,FALSE),"")</f>
        <v>1003</v>
      </c>
      <c r="AK709" s="460" t="str">
        <f ca="1">IF(申込書!$C$36="◎",IF(OR(D709="浜坂・温泉",D709="美方・村岡",D709="香住",D709="岡山",D709="大阪"),"",IF(LEFT(F709)="D","◎",IF(AG709=0,"",IFERROR(IF(VLOOKUP(AG709,★仕入先!$A$2:$C$211,3,FALSE)=0,"","◎"),"")))),"")</f>
        <v/>
      </c>
      <c r="AL709" s="460">
        <f>申込書!$H$14</f>
        <v>0</v>
      </c>
      <c r="AM709" s="460" t="str">
        <f>申込書!$C$32</f>
        <v>B4（折り無し）</v>
      </c>
      <c r="AN709" s="460" t="str">
        <f>VLOOKUP(AM709,★サイズ表記!$D$4:$E$55,2,FALSE)</f>
        <v>1001</v>
      </c>
      <c r="AO709" s="460">
        <f>IF(C709&lt;&gt;"⑧兵庫",VLOOKUP(LEFT(F709),★新聞!$A$4:$B$12,2,FALSE),IF(LEFT(F709)&lt;&gt;"S",VLOOKUP(LEFT(F709),★新聞!$A$4:$B$12,2,FALSE),VLOOKUP("X",★新聞!$A$4:$B$12,2,FALSE)))</f>
        <v>3</v>
      </c>
      <c r="AP709" s="460" t="str">
        <f t="shared" ca="1" si="92"/>
        <v>0</v>
      </c>
      <c r="AQ709" s="460" t="str">
        <f>IF(申込書!$C$38="","",申込書!$C$38)</f>
        <v/>
      </c>
    </row>
    <row r="710" spans="1:43">
      <c r="A710" s="463">
        <f t="shared" si="93"/>
        <v>709</v>
      </c>
      <c r="B710" s="463" t="str">
        <f t="shared" si="86"/>
        <v>東部</v>
      </c>
      <c r="C710" s="464" t="s">
        <v>1019</v>
      </c>
      <c r="D710" s="464" t="s">
        <v>1603</v>
      </c>
      <c r="E710" s="464">
        <f>VLOOKUP(D710,★折込地区!$A$2:$D$10,4,FALSE)</f>
        <v>3</v>
      </c>
      <c r="F710" s="464" t="s">
        <v>442</v>
      </c>
      <c r="G710" s="464" t="str">
        <f>INDEX(★新聞!$E$4:$I$12, MATCH(LEFT(F710),★新聞!$A$4:$A$12,0), MATCH(LEFT(W710),★新聞!$E$3:$I$3,0))</f>
        <v>AD</v>
      </c>
      <c r="H710" s="475" t="s">
        <v>1104</v>
      </c>
      <c r="I710" s="464" cm="1">
        <f t="array" ref="I710">IFERROR(INDEX(★原価率!$A$2:$E$50,MATCH($C710&amp;$H710,★原価率!$A$2:$A$50&amp;★原価率!$B$2:$B$50,0),3),0)</f>
        <v>85</v>
      </c>
      <c r="J710" s="464" cm="1">
        <f t="array" ref="J710">IFERROR(INDEX(★原価率!$A$2:$E$50,MATCH($C710&amp;$H710,★原価率!$A$2:$A$50&amp;★原価率!$B$2:$B$50,0),4),0)</f>
        <v>85</v>
      </c>
      <c r="K710" s="464" cm="1">
        <f t="array" ref="K710">IFERROR(INDEX(★原価率!$A$2:$E$50,MATCH($C710&amp;$H710,★原価率!$A$2:$A$50&amp;★原価率!$B$2:$B$50,0),5),0)</f>
        <v>100</v>
      </c>
      <c r="L710" s="528">
        <f>IFERROR(VLOOKUP(W710,★商品!$A$1:$H$1231,8,FALSE),0)</f>
        <v>2.8</v>
      </c>
      <c r="M710" s="203" t="str">
        <f ca="1">CONCATENATE(VLOOKUP(B710,★営業所!$A$2:$B$5,2,FALSE),TEXT(NOW(),"yyyy"))</f>
        <v>T2023</v>
      </c>
      <c r="N710" s="203">
        <v>1</v>
      </c>
      <c r="O710" s="203">
        <v>0</v>
      </c>
      <c r="P710" s="213">
        <f>申込書!$B$6</f>
        <v>0</v>
      </c>
      <c r="Q710" s="203">
        <f>申込書!$C$34</f>
        <v>1000040</v>
      </c>
      <c r="R710" s="203">
        <v>0</v>
      </c>
      <c r="U710" s="203">
        <f>VLOOKUP(B710,★営業所!$A$2:$C$5,3,FALSE)</f>
        <v>8</v>
      </c>
      <c r="V710" s="203">
        <f>申込書!$B$9</f>
        <v>0</v>
      </c>
      <c r="W710" s="203" t="str">
        <f>CONCATENATE(VLOOKUP(B710,★営業所!$A$2:$B$5,2,FALSE),VLOOKUP(申込書!$C$32,★サイズ表記!$D$4:$E$55,2,FALSE),VLOOKUP(D710,★折込地区!$A$2:$B$11,2,FALSE))</f>
        <v>T1001Yng</v>
      </c>
      <c r="X710" s="203" t="str">
        <f>CONCATENATE(申込書!$B$9," ",VLOOKUP(RIGHT(W710,3),★折込地区!$B$2:$C$10,2,FALSE),"")</f>
        <v xml:space="preserve"> 米子</v>
      </c>
      <c r="Z710" s="206">
        <f t="shared" ca="1" si="87"/>
        <v>0</v>
      </c>
      <c r="AB710" s="383">
        <f t="shared" si="88"/>
        <v>2.8</v>
      </c>
      <c r="AC710" s="203" t="str">
        <f t="shared" si="89"/>
        <v>J1001</v>
      </c>
      <c r="AD710" s="203" t="str">
        <f>VLOOKUP(AC710,★原価商品!$E$6:$F$349,2,FALSE)</f>
        <v>読売/B4（折り無し）</v>
      </c>
      <c r="AE710" s="203">
        <f t="shared" ca="1" si="90"/>
        <v>0</v>
      </c>
      <c r="AF710" s="383">
        <f ca="1">IFERROR(IF(VLOOKUP(申込書!$C$32,★サイズ表記!$F$4:$H$55,3,FALSE)="切り捨て",ROUNDDOWN(L710*IF(AK710="◎",I710,J710)/100,2),IF(VLOOKUP(申込書!$C$32,★サイズ表記!$F$4:$H$55,3,FALSE)="切り上げ",ROUNDUP(L710*IF(AK710="◎",I710,J710)/100,2),ROUND(L710*IF(AK710="◎",I710,J710)/100,2))),0)</f>
        <v>2.38</v>
      </c>
      <c r="AG710" s="203">
        <f t="shared" ca="1" si="91"/>
        <v>10561</v>
      </c>
      <c r="AJ710" s="460" t="str">
        <f>IFERROR(VLOOKUP(申込書!$C$30,★業種!$D$2:$E$87,2,FALSE),"")</f>
        <v>1003</v>
      </c>
      <c r="AK710" s="460" t="str">
        <f ca="1">IF(申込書!$C$36="◎",IF(OR(D710="浜坂・温泉",D710="美方・村岡",D710="香住",D710="岡山",D710="大阪"),"",IF(LEFT(F710)="D","◎",IF(AG710=0,"",IFERROR(IF(VLOOKUP(AG710,★仕入先!$A$2:$C$211,3,FALSE)=0,"","◎"),"")))),"")</f>
        <v/>
      </c>
      <c r="AL710" s="460">
        <f>申込書!$H$14</f>
        <v>0</v>
      </c>
      <c r="AM710" s="460" t="str">
        <f>申込書!$C$32</f>
        <v>B4（折り無し）</v>
      </c>
      <c r="AN710" s="460" t="str">
        <f>VLOOKUP(AM710,★サイズ表記!$D$4:$E$55,2,FALSE)</f>
        <v>1001</v>
      </c>
      <c r="AO710" s="460">
        <f>IF(C710&lt;&gt;"⑧兵庫",VLOOKUP(LEFT(F710),★新聞!$A$4:$B$12,2,FALSE),IF(LEFT(F710)&lt;&gt;"S",VLOOKUP(LEFT(F710),★新聞!$A$4:$B$12,2,FALSE),VLOOKUP("X",★新聞!$A$4:$B$12,2,FALSE)))</f>
        <v>3</v>
      </c>
      <c r="AP710" s="460" t="str">
        <f t="shared" ca="1" si="92"/>
        <v>0</v>
      </c>
      <c r="AQ710" s="460" t="str">
        <f>IF(申込書!$C$38="","",申込書!$C$38)</f>
        <v/>
      </c>
    </row>
    <row r="711" spans="1:43">
      <c r="A711" s="463">
        <f t="shared" si="93"/>
        <v>710</v>
      </c>
      <c r="B711" s="463" t="str">
        <f t="shared" si="86"/>
        <v>東部</v>
      </c>
      <c r="C711" s="464" t="s">
        <v>1019</v>
      </c>
      <c r="D711" s="464" t="s">
        <v>1603</v>
      </c>
      <c r="E711" s="464">
        <f>VLOOKUP(D711,★折込地区!$A$2:$D$10,4,FALSE)</f>
        <v>3</v>
      </c>
      <c r="F711" s="464" t="s">
        <v>443</v>
      </c>
      <c r="G711" s="464" t="str">
        <f>INDEX(★新聞!$E$4:$I$12, MATCH(LEFT(F711),★新聞!$A$4:$A$12,0), MATCH(LEFT(W711),★新聞!$E$3:$I$3,0))</f>
        <v>AD</v>
      </c>
      <c r="H711" s="475" t="s">
        <v>1104</v>
      </c>
      <c r="I711" s="464" cm="1">
        <f t="array" ref="I711">IFERROR(INDEX(★原価率!$A$2:$E$50,MATCH($C711&amp;$H711,★原価率!$A$2:$A$50&amp;★原価率!$B$2:$B$50,0),3),0)</f>
        <v>85</v>
      </c>
      <c r="J711" s="464" cm="1">
        <f t="array" ref="J711">IFERROR(INDEX(★原価率!$A$2:$E$50,MATCH($C711&amp;$H711,★原価率!$A$2:$A$50&amp;★原価率!$B$2:$B$50,0),4),0)</f>
        <v>85</v>
      </c>
      <c r="K711" s="464" cm="1">
        <f t="array" ref="K711">IFERROR(INDEX(★原価率!$A$2:$E$50,MATCH($C711&amp;$H711,★原価率!$A$2:$A$50&amp;★原価率!$B$2:$B$50,0),5),0)</f>
        <v>100</v>
      </c>
      <c r="L711" s="528">
        <f>IFERROR(VLOOKUP(W711,★商品!$A$1:$H$1231,8,FALSE),0)</f>
        <v>2.8</v>
      </c>
      <c r="M711" s="203" t="str">
        <f ca="1">CONCATENATE(VLOOKUP(B711,★営業所!$A$2:$B$5,2,FALSE),TEXT(NOW(),"yyyy"))</f>
        <v>T2023</v>
      </c>
      <c r="N711" s="203">
        <v>1</v>
      </c>
      <c r="O711" s="203">
        <v>0</v>
      </c>
      <c r="P711" s="213">
        <f>申込書!$B$6</f>
        <v>0</v>
      </c>
      <c r="Q711" s="203">
        <f>申込書!$C$34</f>
        <v>1000040</v>
      </c>
      <c r="R711" s="203">
        <v>0</v>
      </c>
      <c r="U711" s="203">
        <f>VLOOKUP(B711,★営業所!$A$2:$C$5,3,FALSE)</f>
        <v>8</v>
      </c>
      <c r="V711" s="203">
        <f>申込書!$B$9</f>
        <v>0</v>
      </c>
      <c r="W711" s="203" t="str">
        <f>CONCATENATE(VLOOKUP(B711,★営業所!$A$2:$B$5,2,FALSE),VLOOKUP(申込書!$C$32,★サイズ表記!$D$4:$E$55,2,FALSE),VLOOKUP(D711,★折込地区!$A$2:$B$11,2,FALSE))</f>
        <v>T1001Yng</v>
      </c>
      <c r="X711" s="203" t="str">
        <f>CONCATENATE(申込書!$B$9," ",VLOOKUP(RIGHT(W711,3),★折込地区!$B$2:$C$10,2,FALSE),"")</f>
        <v xml:space="preserve"> 米子</v>
      </c>
      <c r="Z711" s="206">
        <f t="shared" ca="1" si="87"/>
        <v>0</v>
      </c>
      <c r="AB711" s="383">
        <f t="shared" si="88"/>
        <v>2.8</v>
      </c>
      <c r="AC711" s="203" t="str">
        <f t="shared" si="89"/>
        <v>J1001</v>
      </c>
      <c r="AD711" s="203" t="str">
        <f>VLOOKUP(AC711,★原価商品!$E$6:$F$349,2,FALSE)</f>
        <v>読売/B4（折り無し）</v>
      </c>
      <c r="AE711" s="203">
        <f t="shared" ca="1" si="90"/>
        <v>0</v>
      </c>
      <c r="AF711" s="383">
        <f ca="1">IFERROR(IF(VLOOKUP(申込書!$C$32,★サイズ表記!$F$4:$H$55,3,FALSE)="切り捨て",ROUNDDOWN(L711*IF(AK711="◎",I711,J711)/100,2),IF(VLOOKUP(申込書!$C$32,★サイズ表記!$F$4:$H$55,3,FALSE)="切り上げ",ROUNDUP(L711*IF(AK711="◎",I711,J711)/100,2),ROUND(L711*IF(AK711="◎",I711,J711)/100,2))),0)</f>
        <v>2.38</v>
      </c>
      <c r="AG711" s="203">
        <f t="shared" ca="1" si="91"/>
        <v>10561</v>
      </c>
      <c r="AJ711" s="460" t="str">
        <f>IFERROR(VLOOKUP(申込書!$C$30,★業種!$D$2:$E$87,2,FALSE),"")</f>
        <v>1003</v>
      </c>
      <c r="AK711" s="460" t="str">
        <f ca="1">IF(申込書!$C$36="◎",IF(OR(D711="浜坂・温泉",D711="美方・村岡",D711="香住",D711="岡山",D711="大阪"),"",IF(LEFT(F711)="D","◎",IF(AG711=0,"",IFERROR(IF(VLOOKUP(AG711,★仕入先!$A$2:$C$211,3,FALSE)=0,"","◎"),"")))),"")</f>
        <v/>
      </c>
      <c r="AL711" s="460">
        <f>申込書!$H$14</f>
        <v>0</v>
      </c>
      <c r="AM711" s="460" t="str">
        <f>申込書!$C$32</f>
        <v>B4（折り無し）</v>
      </c>
      <c r="AN711" s="460" t="str">
        <f>VLOOKUP(AM711,★サイズ表記!$D$4:$E$55,2,FALSE)</f>
        <v>1001</v>
      </c>
      <c r="AO711" s="460">
        <f>IF(C711&lt;&gt;"⑧兵庫",VLOOKUP(LEFT(F711),★新聞!$A$4:$B$12,2,FALSE),IF(LEFT(F711)&lt;&gt;"S",VLOOKUP(LEFT(F711),★新聞!$A$4:$B$12,2,FALSE),VLOOKUP("X",★新聞!$A$4:$B$12,2,FALSE)))</f>
        <v>3</v>
      </c>
      <c r="AP711" s="460" t="str">
        <f t="shared" ca="1" si="92"/>
        <v>0</v>
      </c>
      <c r="AQ711" s="460" t="str">
        <f>IF(申込書!$C$38="","",申込書!$C$38)</f>
        <v/>
      </c>
    </row>
    <row r="712" spans="1:43">
      <c r="A712" s="463">
        <f t="shared" si="93"/>
        <v>711</v>
      </c>
      <c r="B712" s="463" t="str">
        <f t="shared" si="86"/>
        <v>東部</v>
      </c>
      <c r="C712" s="464" t="s">
        <v>1019</v>
      </c>
      <c r="D712" s="464" t="s">
        <v>1603</v>
      </c>
      <c r="E712" s="464">
        <f>VLOOKUP(D712,★折込地区!$A$2:$D$10,4,FALSE)</f>
        <v>3</v>
      </c>
      <c r="F712" s="464" t="s">
        <v>444</v>
      </c>
      <c r="G712" s="464" t="str">
        <f>INDEX(★新聞!$E$4:$I$12, MATCH(LEFT(F712),★新聞!$A$4:$A$12,0), MATCH(LEFT(W712),★新聞!$E$3:$I$3,0))</f>
        <v>AD</v>
      </c>
      <c r="H712" s="555" t="s">
        <v>1102</v>
      </c>
      <c r="I712" s="464" cm="1">
        <f t="array" ref="I712">IFERROR(INDEX(★原価率!$A$2:$E$50,MATCH($C712&amp;$H712,★原価率!$A$2:$A$50&amp;★原価率!$B$2:$B$50,0),3),0)</f>
        <v>80</v>
      </c>
      <c r="J712" s="464" cm="1">
        <f t="array" ref="J712">IFERROR(INDEX(★原価率!$A$2:$E$50,MATCH($C712&amp;$H712,★原価率!$A$2:$A$50&amp;★原価率!$B$2:$B$50,0),4),0)</f>
        <v>84</v>
      </c>
      <c r="K712" s="464" cm="1">
        <f t="array" ref="K712">IFERROR(INDEX(★原価率!$A$2:$E$50,MATCH($C712&amp;$H712,★原価率!$A$2:$A$50&amp;★原価率!$B$2:$B$50,0),5),0)</f>
        <v>100</v>
      </c>
      <c r="L712" s="528">
        <f>IFERROR(VLOOKUP(W712,★商品!$A$1:$H$1231,8,FALSE),0)</f>
        <v>2.8</v>
      </c>
      <c r="M712" s="203" t="str">
        <f ca="1">CONCATENATE(VLOOKUP(B712,★営業所!$A$2:$B$5,2,FALSE),TEXT(NOW(),"yyyy"))</f>
        <v>T2023</v>
      </c>
      <c r="N712" s="203">
        <v>1</v>
      </c>
      <c r="O712" s="203">
        <v>0</v>
      </c>
      <c r="P712" s="213">
        <f>申込書!$B$6</f>
        <v>0</v>
      </c>
      <c r="Q712" s="203">
        <f>申込書!$C$34</f>
        <v>1000040</v>
      </c>
      <c r="R712" s="203">
        <v>0</v>
      </c>
      <c r="U712" s="203">
        <f>VLOOKUP(B712,★営業所!$A$2:$C$5,3,FALSE)</f>
        <v>8</v>
      </c>
      <c r="V712" s="203">
        <f>申込書!$B$9</f>
        <v>0</v>
      </c>
      <c r="W712" s="203" t="str">
        <f>CONCATENATE(VLOOKUP(B712,★営業所!$A$2:$B$5,2,FALSE),VLOOKUP(申込書!$C$32,★サイズ表記!$D$4:$E$55,2,FALSE),VLOOKUP(D712,★折込地区!$A$2:$B$11,2,FALSE))</f>
        <v>T1001Yng</v>
      </c>
      <c r="X712" s="203" t="str">
        <f>CONCATENATE(申込書!$B$9," ",VLOOKUP(RIGHT(W712,3),★折込地区!$B$2:$C$10,2,FALSE),"")</f>
        <v xml:space="preserve"> 米子</v>
      </c>
      <c r="Z712" s="206">
        <f t="shared" ca="1" si="87"/>
        <v>0</v>
      </c>
      <c r="AB712" s="383">
        <f t="shared" si="88"/>
        <v>2.8</v>
      </c>
      <c r="AC712" s="203" t="str">
        <f t="shared" si="89"/>
        <v>J1001</v>
      </c>
      <c r="AD712" s="203" t="str">
        <f>VLOOKUP(AC712,★原価商品!$E$6:$F$349,2,FALSE)</f>
        <v>読売/B4（折り無し）</v>
      </c>
      <c r="AE712" s="203">
        <f t="shared" ca="1" si="90"/>
        <v>0</v>
      </c>
      <c r="AF712" s="383">
        <f ca="1">IFERROR(IF(VLOOKUP(申込書!$C$32,★サイズ表記!$F$4:$H$55,3,FALSE)="切り捨て",ROUNDDOWN(L712*IF(AK712="◎",I712,J712)/100,2),IF(VLOOKUP(申込書!$C$32,★サイズ表記!$F$4:$H$55,3,FALSE)="切り上げ",ROUNDUP(L712*IF(AK712="◎",I712,J712)/100,2),ROUND(L712*IF(AK712="◎",I712,J712)/100,2))),0)</f>
        <v>2.35</v>
      </c>
      <c r="AG712" s="203">
        <f t="shared" ca="1" si="91"/>
        <v>10561</v>
      </c>
      <c r="AJ712" s="460" t="str">
        <f>IFERROR(VLOOKUP(申込書!$C$30,★業種!$D$2:$E$87,2,FALSE),"")</f>
        <v>1003</v>
      </c>
      <c r="AK712" s="460" t="str">
        <f ca="1">IF(申込書!$C$36="◎",IF(OR(D712="浜坂・温泉",D712="美方・村岡",D712="香住",D712="岡山",D712="大阪"),"",IF(LEFT(F712)="D","◎",IF(AG712=0,"",IFERROR(IF(VLOOKUP(AG712,★仕入先!$A$2:$C$211,3,FALSE)=0,"","◎"),"")))),"")</f>
        <v/>
      </c>
      <c r="AL712" s="460">
        <f>申込書!$H$14</f>
        <v>0</v>
      </c>
      <c r="AM712" s="460" t="str">
        <f>申込書!$C$32</f>
        <v>B4（折り無し）</v>
      </c>
      <c r="AN712" s="460" t="str">
        <f>VLOOKUP(AM712,★サイズ表記!$D$4:$E$55,2,FALSE)</f>
        <v>1001</v>
      </c>
      <c r="AO712" s="460">
        <f>IF(C712&lt;&gt;"⑧兵庫",VLOOKUP(LEFT(F712),★新聞!$A$4:$B$12,2,FALSE),IF(LEFT(F712)&lt;&gt;"S",VLOOKUP(LEFT(F712),★新聞!$A$4:$B$12,2,FALSE),VLOOKUP("X",★新聞!$A$4:$B$12,2,FALSE)))</f>
        <v>3</v>
      </c>
      <c r="AP712" s="460" t="str">
        <f t="shared" ca="1" si="92"/>
        <v>0</v>
      </c>
      <c r="AQ712" s="460" t="str">
        <f>IF(申込書!$C$38="","",申込書!$C$38)</f>
        <v/>
      </c>
    </row>
    <row r="713" spans="1:43">
      <c r="A713" s="463">
        <f t="shared" si="93"/>
        <v>712</v>
      </c>
      <c r="B713" s="463" t="str">
        <f t="shared" si="86"/>
        <v>東部</v>
      </c>
      <c r="C713" s="464" t="s">
        <v>1019</v>
      </c>
      <c r="D713" s="464" t="s">
        <v>1603</v>
      </c>
      <c r="E713" s="464">
        <f>VLOOKUP(D713,★折込地区!$A$2:$D$10,4,FALSE)</f>
        <v>3</v>
      </c>
      <c r="F713" s="464" t="s">
        <v>445</v>
      </c>
      <c r="G713" s="464" t="str">
        <f>INDEX(★新聞!$E$4:$I$12, MATCH(LEFT(F713),★新聞!$A$4:$A$12,0), MATCH(LEFT(W713),★新聞!$E$3:$I$3,0))</f>
        <v>AD</v>
      </c>
      <c r="H713" s="475" t="s">
        <v>1104</v>
      </c>
      <c r="I713" s="464" cm="1">
        <f t="array" ref="I713">IFERROR(INDEX(★原価率!$A$2:$E$50,MATCH($C713&amp;$H713,★原価率!$A$2:$A$50&amp;★原価率!$B$2:$B$50,0),3),0)</f>
        <v>85</v>
      </c>
      <c r="J713" s="464" cm="1">
        <f t="array" ref="J713">IFERROR(INDEX(★原価率!$A$2:$E$50,MATCH($C713&amp;$H713,★原価率!$A$2:$A$50&amp;★原価率!$B$2:$B$50,0),4),0)</f>
        <v>85</v>
      </c>
      <c r="K713" s="464" cm="1">
        <f t="array" ref="K713">IFERROR(INDEX(★原価率!$A$2:$E$50,MATCH($C713&amp;$H713,★原価率!$A$2:$A$50&amp;★原価率!$B$2:$B$50,0),5),0)</f>
        <v>100</v>
      </c>
      <c r="L713" s="528">
        <f>IFERROR(VLOOKUP(W713,★商品!$A$1:$H$1231,8,FALSE),0)</f>
        <v>2.8</v>
      </c>
      <c r="M713" s="203" t="str">
        <f ca="1">CONCATENATE(VLOOKUP(B713,★営業所!$A$2:$B$5,2,FALSE),TEXT(NOW(),"yyyy"))</f>
        <v>T2023</v>
      </c>
      <c r="N713" s="203">
        <v>1</v>
      </c>
      <c r="O713" s="203">
        <v>0</v>
      </c>
      <c r="P713" s="213">
        <f>申込書!$B$6</f>
        <v>0</v>
      </c>
      <c r="Q713" s="203">
        <f>申込書!$C$34</f>
        <v>1000040</v>
      </c>
      <c r="R713" s="203">
        <v>0</v>
      </c>
      <c r="U713" s="203">
        <f>VLOOKUP(B713,★営業所!$A$2:$C$5,3,FALSE)</f>
        <v>8</v>
      </c>
      <c r="V713" s="203">
        <f>申込書!$B$9</f>
        <v>0</v>
      </c>
      <c r="W713" s="203" t="str">
        <f>CONCATENATE(VLOOKUP(B713,★営業所!$A$2:$B$5,2,FALSE),VLOOKUP(申込書!$C$32,★サイズ表記!$D$4:$E$55,2,FALSE),VLOOKUP(D713,★折込地区!$A$2:$B$11,2,FALSE))</f>
        <v>T1001Yng</v>
      </c>
      <c r="X713" s="203" t="str">
        <f>CONCATENATE(申込書!$B$9," ",VLOOKUP(RIGHT(W713,3),★折込地区!$B$2:$C$10,2,FALSE),"")</f>
        <v xml:space="preserve"> 米子</v>
      </c>
      <c r="Z713" s="206">
        <f t="shared" ca="1" si="87"/>
        <v>0</v>
      </c>
      <c r="AB713" s="383">
        <f t="shared" si="88"/>
        <v>2.8</v>
      </c>
      <c r="AC713" s="203" t="str">
        <f t="shared" si="89"/>
        <v>J1001</v>
      </c>
      <c r="AD713" s="203" t="str">
        <f>VLOOKUP(AC713,★原価商品!$E$6:$F$349,2,FALSE)</f>
        <v>読売/B4（折り無し）</v>
      </c>
      <c r="AE713" s="203">
        <f t="shared" ca="1" si="90"/>
        <v>0</v>
      </c>
      <c r="AF713" s="383">
        <f ca="1">IFERROR(IF(VLOOKUP(申込書!$C$32,★サイズ表記!$F$4:$H$55,3,FALSE)="切り捨て",ROUNDDOWN(L713*IF(AK713="◎",I713,J713)/100,2),IF(VLOOKUP(申込書!$C$32,★サイズ表記!$F$4:$H$55,3,FALSE)="切り上げ",ROUNDUP(L713*IF(AK713="◎",I713,J713)/100,2),ROUND(L713*IF(AK713="◎",I713,J713)/100,2))),0)</f>
        <v>2.38</v>
      </c>
      <c r="AG713" s="203">
        <f t="shared" ca="1" si="91"/>
        <v>0</v>
      </c>
      <c r="AJ713" s="460" t="str">
        <f>IFERROR(VLOOKUP(申込書!$C$30,★業種!$D$2:$E$87,2,FALSE),"")</f>
        <v>1003</v>
      </c>
      <c r="AK713" s="460" t="str">
        <f ca="1">IF(申込書!$C$36="◎",IF(OR(D713="浜坂・温泉",D713="美方・村岡",D713="香住",D713="岡山",D713="大阪"),"",IF(LEFT(F713)="D","◎",IF(AG713=0,"",IFERROR(IF(VLOOKUP(AG713,★仕入先!$A$2:$C$211,3,FALSE)=0,"","◎"),"")))),"")</f>
        <v/>
      </c>
      <c r="AL713" s="460">
        <f>申込書!$H$14</f>
        <v>0</v>
      </c>
      <c r="AM713" s="460" t="str">
        <f>申込書!$C$32</f>
        <v>B4（折り無し）</v>
      </c>
      <c r="AN713" s="460" t="str">
        <f>VLOOKUP(AM713,★サイズ表記!$D$4:$E$55,2,FALSE)</f>
        <v>1001</v>
      </c>
      <c r="AO713" s="460">
        <f>IF(C713&lt;&gt;"⑧兵庫",VLOOKUP(LEFT(F713),★新聞!$A$4:$B$12,2,FALSE),IF(LEFT(F713)&lt;&gt;"S",VLOOKUP(LEFT(F713),★新聞!$A$4:$B$12,2,FALSE),VLOOKUP("X",★新聞!$A$4:$B$12,2,FALSE)))</f>
        <v>3</v>
      </c>
      <c r="AP713" s="460" t="str">
        <f t="shared" ca="1" si="92"/>
        <v>0</v>
      </c>
      <c r="AQ713" s="460" t="str">
        <f>IF(申込書!$C$38="","",申込書!$C$38)</f>
        <v/>
      </c>
    </row>
    <row r="714" spans="1:43">
      <c r="A714" s="463">
        <f t="shared" si="93"/>
        <v>713</v>
      </c>
      <c r="B714" s="463" t="str">
        <f t="shared" si="86"/>
        <v>東部</v>
      </c>
      <c r="C714" s="464" t="s">
        <v>1019</v>
      </c>
      <c r="D714" s="464" t="s">
        <v>1603</v>
      </c>
      <c r="E714" s="464">
        <f>VLOOKUP(D714,★折込地区!$A$2:$D$10,4,FALSE)</f>
        <v>3</v>
      </c>
      <c r="F714" s="464" t="s">
        <v>446</v>
      </c>
      <c r="G714" s="464" t="str">
        <f>INDEX(★新聞!$E$4:$I$12, MATCH(LEFT(F714),★新聞!$A$4:$A$12,0), MATCH(LEFT(W714),★新聞!$E$3:$I$3,0))</f>
        <v>AD</v>
      </c>
      <c r="H714" s="475" t="s">
        <v>1104</v>
      </c>
      <c r="I714" s="464" cm="1">
        <f t="array" ref="I714">IFERROR(INDEX(★原価率!$A$2:$E$50,MATCH($C714&amp;$H714,★原価率!$A$2:$A$50&amp;★原価率!$B$2:$B$50,0),3),0)</f>
        <v>85</v>
      </c>
      <c r="J714" s="464" cm="1">
        <f t="array" ref="J714">IFERROR(INDEX(★原価率!$A$2:$E$50,MATCH($C714&amp;$H714,★原価率!$A$2:$A$50&amp;★原価率!$B$2:$B$50,0),4),0)</f>
        <v>85</v>
      </c>
      <c r="K714" s="464" cm="1">
        <f t="array" ref="K714">IFERROR(INDEX(★原価率!$A$2:$E$50,MATCH($C714&amp;$H714,★原価率!$A$2:$A$50&amp;★原価率!$B$2:$B$50,0),5),0)</f>
        <v>100</v>
      </c>
      <c r="L714" s="528">
        <f>IFERROR(VLOOKUP(W714,★商品!$A$1:$H$1231,8,FALSE),0)</f>
        <v>2.8</v>
      </c>
      <c r="M714" s="203" t="str">
        <f ca="1">CONCATENATE(VLOOKUP(B714,★営業所!$A$2:$B$5,2,FALSE),TEXT(NOW(),"yyyy"))</f>
        <v>T2023</v>
      </c>
      <c r="N714" s="203">
        <v>1</v>
      </c>
      <c r="O714" s="203">
        <v>0</v>
      </c>
      <c r="P714" s="213">
        <f>申込書!$B$6</f>
        <v>0</v>
      </c>
      <c r="Q714" s="203">
        <f>申込書!$C$34</f>
        <v>1000040</v>
      </c>
      <c r="R714" s="203">
        <v>0</v>
      </c>
      <c r="U714" s="203">
        <f>VLOOKUP(B714,★営業所!$A$2:$C$5,3,FALSE)</f>
        <v>8</v>
      </c>
      <c r="V714" s="203">
        <f>申込書!$B$9</f>
        <v>0</v>
      </c>
      <c r="W714" s="203" t="str">
        <f>CONCATENATE(VLOOKUP(B714,★営業所!$A$2:$B$5,2,FALSE),VLOOKUP(申込書!$C$32,★サイズ表記!$D$4:$E$55,2,FALSE),VLOOKUP(D714,★折込地区!$A$2:$B$11,2,FALSE))</f>
        <v>T1001Yng</v>
      </c>
      <c r="X714" s="203" t="str">
        <f>CONCATENATE(申込書!$B$9," ",VLOOKUP(RIGHT(W714,3),★折込地区!$B$2:$C$10,2,FALSE),"")</f>
        <v xml:space="preserve"> 米子</v>
      </c>
      <c r="Z714" s="206">
        <f t="shared" ca="1" si="87"/>
        <v>0</v>
      </c>
      <c r="AB714" s="383">
        <f t="shared" si="88"/>
        <v>2.8</v>
      </c>
      <c r="AC714" s="203" t="str">
        <f t="shared" si="89"/>
        <v>J1001</v>
      </c>
      <c r="AD714" s="203" t="str">
        <f>VLOOKUP(AC714,★原価商品!$E$6:$F$349,2,FALSE)</f>
        <v>読売/B4（折り無し）</v>
      </c>
      <c r="AE714" s="203">
        <f t="shared" ca="1" si="90"/>
        <v>0</v>
      </c>
      <c r="AF714" s="383">
        <f ca="1">IFERROR(IF(VLOOKUP(申込書!$C$32,★サイズ表記!$F$4:$H$55,3,FALSE)="切り捨て",ROUNDDOWN(L714*IF(AK714="◎",I714,J714)/100,2),IF(VLOOKUP(申込書!$C$32,★サイズ表記!$F$4:$H$55,3,FALSE)="切り上げ",ROUNDUP(L714*IF(AK714="◎",I714,J714)/100,2),ROUND(L714*IF(AK714="◎",I714,J714)/100,2))),0)</f>
        <v>2.38</v>
      </c>
      <c r="AG714" s="203">
        <f t="shared" ca="1" si="91"/>
        <v>0</v>
      </c>
      <c r="AJ714" s="460" t="str">
        <f>IFERROR(VLOOKUP(申込書!$C$30,★業種!$D$2:$E$87,2,FALSE),"")</f>
        <v>1003</v>
      </c>
      <c r="AK714" s="460" t="str">
        <f ca="1">IF(申込書!$C$36="◎",IF(OR(D714="浜坂・温泉",D714="美方・村岡",D714="香住",D714="岡山",D714="大阪"),"",IF(LEFT(F714)="D","◎",IF(AG714=0,"",IFERROR(IF(VLOOKUP(AG714,★仕入先!$A$2:$C$211,3,FALSE)=0,"","◎"),"")))),"")</f>
        <v/>
      </c>
      <c r="AL714" s="460">
        <f>申込書!$H$14</f>
        <v>0</v>
      </c>
      <c r="AM714" s="460" t="str">
        <f>申込書!$C$32</f>
        <v>B4（折り無し）</v>
      </c>
      <c r="AN714" s="460" t="str">
        <f>VLOOKUP(AM714,★サイズ表記!$D$4:$E$55,2,FALSE)</f>
        <v>1001</v>
      </c>
      <c r="AO714" s="460">
        <f>IF(C714&lt;&gt;"⑧兵庫",VLOOKUP(LEFT(F714),★新聞!$A$4:$B$12,2,FALSE),IF(LEFT(F714)&lt;&gt;"S",VLOOKUP(LEFT(F714),★新聞!$A$4:$B$12,2,FALSE),VLOOKUP("X",★新聞!$A$4:$B$12,2,FALSE)))</f>
        <v>3</v>
      </c>
      <c r="AP714" s="460" t="str">
        <f t="shared" ca="1" si="92"/>
        <v>0</v>
      </c>
      <c r="AQ714" s="460" t="str">
        <f>IF(申込書!$C$38="","",申込書!$C$38)</f>
        <v/>
      </c>
    </row>
    <row r="715" spans="1:43">
      <c r="A715" s="463">
        <f t="shared" si="93"/>
        <v>714</v>
      </c>
      <c r="B715" s="463" t="str">
        <f t="shared" si="86"/>
        <v>東部</v>
      </c>
      <c r="C715" s="464" t="s">
        <v>1019</v>
      </c>
      <c r="D715" s="464" t="s">
        <v>1603</v>
      </c>
      <c r="E715" s="464">
        <f>VLOOKUP(D715,★折込地区!$A$2:$D$10,4,FALSE)</f>
        <v>3</v>
      </c>
      <c r="F715" s="464" t="s">
        <v>1142</v>
      </c>
      <c r="G715" s="464" t="str">
        <f>INDEX(★新聞!$E$4:$I$12, MATCH(LEFT(F715),★新聞!$A$4:$A$12,0), MATCH(LEFT(W715),★新聞!$E$3:$I$3,0))</f>
        <v>AD</v>
      </c>
      <c r="H715" s="475" t="s">
        <v>1104</v>
      </c>
      <c r="I715" s="464" cm="1">
        <f t="array" ref="I715">IFERROR(INDEX(★原価率!$A$2:$E$50,MATCH($C715&amp;$H715,★原価率!$A$2:$A$50&amp;★原価率!$B$2:$B$50,0),3),0)</f>
        <v>85</v>
      </c>
      <c r="J715" s="464" cm="1">
        <f t="array" ref="J715">IFERROR(INDEX(★原価率!$A$2:$E$50,MATCH($C715&amp;$H715,★原価率!$A$2:$A$50&amp;★原価率!$B$2:$B$50,0),4),0)</f>
        <v>85</v>
      </c>
      <c r="K715" s="464" cm="1">
        <f t="array" ref="K715">IFERROR(INDEX(★原価率!$A$2:$E$50,MATCH($C715&amp;$H715,★原価率!$A$2:$A$50&amp;★原価率!$B$2:$B$50,0),5),0)</f>
        <v>100</v>
      </c>
      <c r="L715" s="528">
        <f>IFERROR(VLOOKUP(W715,★商品!$A$1:$H$1231,8,FALSE),0)</f>
        <v>2.8</v>
      </c>
      <c r="M715" s="203" t="str">
        <f ca="1">CONCATENATE(VLOOKUP(B715,★営業所!$A$2:$B$5,2,FALSE),TEXT(NOW(),"yyyy"))</f>
        <v>T2023</v>
      </c>
      <c r="N715" s="203">
        <v>1</v>
      </c>
      <c r="O715" s="203">
        <v>0</v>
      </c>
      <c r="P715" s="213">
        <f>申込書!$B$6</f>
        <v>0</v>
      </c>
      <c r="Q715" s="203">
        <f>申込書!$C$34</f>
        <v>1000040</v>
      </c>
      <c r="R715" s="203">
        <v>0</v>
      </c>
      <c r="U715" s="203">
        <f>VLOOKUP(B715,★営業所!$A$2:$C$5,3,FALSE)</f>
        <v>8</v>
      </c>
      <c r="V715" s="203">
        <f>申込書!$B$9</f>
        <v>0</v>
      </c>
      <c r="W715" s="203" t="str">
        <f>CONCATENATE(VLOOKUP(B715,★営業所!$A$2:$B$5,2,FALSE),VLOOKUP(申込書!$C$32,★サイズ表記!$D$4:$E$55,2,FALSE),VLOOKUP(D715,★折込地区!$A$2:$B$11,2,FALSE))</f>
        <v>T1001Yng</v>
      </c>
      <c r="X715" s="203" t="str">
        <f>CONCATENATE(申込書!$B$9," ",VLOOKUP(RIGHT(W715,3),★折込地区!$B$2:$C$10,2,FALSE),"")</f>
        <v xml:space="preserve"> 米子</v>
      </c>
      <c r="Z715" s="206">
        <f t="shared" ca="1" si="87"/>
        <v>0</v>
      </c>
      <c r="AB715" s="383">
        <f t="shared" si="88"/>
        <v>2.8</v>
      </c>
      <c r="AC715" s="203" t="str">
        <f t="shared" si="89"/>
        <v>J1001</v>
      </c>
      <c r="AD715" s="203" t="str">
        <f>VLOOKUP(AC715,★原価商品!$E$6:$F$349,2,FALSE)</f>
        <v>読売/B4（折り無し）</v>
      </c>
      <c r="AE715" s="203">
        <f t="shared" ca="1" si="90"/>
        <v>0</v>
      </c>
      <c r="AF715" s="383">
        <f ca="1">IFERROR(IF(VLOOKUP(申込書!$C$32,★サイズ表記!$F$4:$H$55,3,FALSE)="切り捨て",ROUNDDOWN(L715*IF(AK715="◎",I715,J715)/100,2),IF(VLOOKUP(申込書!$C$32,★サイズ表記!$F$4:$H$55,3,FALSE)="切り上げ",ROUNDUP(L715*IF(AK715="◎",I715,J715)/100,2),ROUND(L715*IF(AK715="◎",I715,J715)/100,2))),0)</f>
        <v>2.38</v>
      </c>
      <c r="AG715" s="203">
        <f t="shared" ca="1" si="91"/>
        <v>10561</v>
      </c>
      <c r="AJ715" s="460" t="str">
        <f>IFERROR(VLOOKUP(申込書!$C$30,★業種!$D$2:$E$87,2,FALSE),"")</f>
        <v>1003</v>
      </c>
      <c r="AK715" s="460" t="str">
        <f ca="1">IF(申込書!$C$36="◎",IF(OR(D715="浜坂・温泉",D715="美方・村岡",D715="香住",D715="岡山",D715="大阪"),"",IF(LEFT(F715)="D","◎",IF(AG715=0,"",IFERROR(IF(VLOOKUP(AG715,★仕入先!$A$2:$C$211,3,FALSE)=0,"","◎"),"")))),"")</f>
        <v/>
      </c>
      <c r="AL715" s="460">
        <f>申込書!$H$14</f>
        <v>0</v>
      </c>
      <c r="AM715" s="460" t="str">
        <f>申込書!$C$32</f>
        <v>B4（折り無し）</v>
      </c>
      <c r="AN715" s="460" t="str">
        <f>VLOOKUP(AM715,★サイズ表記!$D$4:$E$55,2,FALSE)</f>
        <v>1001</v>
      </c>
      <c r="AO715" s="460">
        <f>IF(C715&lt;&gt;"⑧兵庫",VLOOKUP(LEFT(F715),★新聞!$A$4:$B$12,2,FALSE),IF(LEFT(F715)&lt;&gt;"S",VLOOKUP(LEFT(F715),★新聞!$A$4:$B$12,2,FALSE),VLOOKUP("X",★新聞!$A$4:$B$12,2,FALSE)))</f>
        <v>3</v>
      </c>
      <c r="AP715" s="460" t="str">
        <f t="shared" ca="1" si="92"/>
        <v>0</v>
      </c>
      <c r="AQ715" s="460" t="str">
        <f>IF(申込書!$C$38="","",申込書!$C$38)</f>
        <v/>
      </c>
    </row>
    <row r="716" spans="1:43">
      <c r="A716" s="463">
        <f t="shared" si="93"/>
        <v>715</v>
      </c>
      <c r="B716" s="463" t="str">
        <f t="shared" si="86"/>
        <v>東部</v>
      </c>
      <c r="C716" s="464" t="s">
        <v>1019</v>
      </c>
      <c r="D716" s="464" t="s">
        <v>1603</v>
      </c>
      <c r="E716" s="464">
        <f>VLOOKUP(D716,★折込地区!$A$2:$D$10,4,FALSE)</f>
        <v>3</v>
      </c>
      <c r="F716" s="464" t="s">
        <v>383</v>
      </c>
      <c r="G716" s="464" t="str">
        <f>INDEX(★新聞!$E$4:$I$12, MATCH(LEFT(F716),★新聞!$A$4:$A$12,0), MATCH(LEFT(W716),★新聞!$E$3:$I$3,0))</f>
        <v>AG</v>
      </c>
      <c r="H716" s="555" t="s">
        <v>1102</v>
      </c>
      <c r="I716" s="464" cm="1">
        <f t="array" ref="I716">IFERROR(INDEX(★原価率!$A$2:$E$50,MATCH($C716&amp;$H716,★原価率!$A$2:$A$50&amp;★原価率!$B$2:$B$50,0),3),0)</f>
        <v>80</v>
      </c>
      <c r="J716" s="464" cm="1">
        <f t="array" ref="J716">IFERROR(INDEX(★原価率!$A$2:$E$50,MATCH($C716&amp;$H716,★原価率!$A$2:$A$50&amp;★原価率!$B$2:$B$50,0),4),0)</f>
        <v>84</v>
      </c>
      <c r="K716" s="464" cm="1">
        <f t="array" ref="K716">IFERROR(INDEX(★原価率!$A$2:$E$50,MATCH($C716&amp;$H716,★原価率!$A$2:$A$50&amp;★原価率!$B$2:$B$50,0),5),0)</f>
        <v>100</v>
      </c>
      <c r="L716" s="528">
        <f>IFERROR(VLOOKUP(W716,★商品!$A$1:$H$1231,8,FALSE),0)</f>
        <v>2.8</v>
      </c>
      <c r="M716" s="203" t="str">
        <f ca="1">CONCATENATE(VLOOKUP(B716,★営業所!$A$2:$B$5,2,FALSE),TEXT(NOW(),"yyyy"))</f>
        <v>T2023</v>
      </c>
      <c r="N716" s="203">
        <v>1</v>
      </c>
      <c r="O716" s="203">
        <v>0</v>
      </c>
      <c r="P716" s="213">
        <f>申込書!$B$6</f>
        <v>0</v>
      </c>
      <c r="Q716" s="203">
        <f>申込書!$C$34</f>
        <v>1000040</v>
      </c>
      <c r="R716" s="203">
        <v>0</v>
      </c>
      <c r="U716" s="203">
        <f>VLOOKUP(B716,★営業所!$A$2:$C$5,3,FALSE)</f>
        <v>8</v>
      </c>
      <c r="V716" s="203">
        <f>申込書!$B$9</f>
        <v>0</v>
      </c>
      <c r="W716" s="203" t="str">
        <f>CONCATENATE(VLOOKUP(B716,★営業所!$A$2:$B$5,2,FALSE),VLOOKUP(申込書!$C$32,★サイズ表記!$D$4:$E$55,2,FALSE),VLOOKUP(D716,★折込地区!$A$2:$B$11,2,FALSE))</f>
        <v>T1001Yng</v>
      </c>
      <c r="X716" s="203" t="str">
        <f>CONCATENATE(申込書!$B$9," ",VLOOKUP(RIGHT(W716,3),★折込地区!$B$2:$C$10,2,FALSE),"")</f>
        <v xml:space="preserve"> 米子</v>
      </c>
      <c r="Z716" s="206">
        <f t="shared" ca="1" si="87"/>
        <v>0</v>
      </c>
      <c r="AB716" s="383">
        <f t="shared" si="88"/>
        <v>2.8</v>
      </c>
      <c r="AC716" s="203" t="str">
        <f t="shared" si="89"/>
        <v>M1001</v>
      </c>
      <c r="AD716" s="203" t="str">
        <f>VLOOKUP(AC716,★原価商品!$E$6:$F$349,2,FALSE)</f>
        <v>毎日/B4（折り無し）</v>
      </c>
      <c r="AE716" s="203">
        <f t="shared" ca="1" si="90"/>
        <v>0</v>
      </c>
      <c r="AF716" s="383">
        <f ca="1">IFERROR(IF(VLOOKUP(申込書!$C$32,★サイズ表記!$F$4:$H$55,3,FALSE)="切り捨て",ROUNDDOWN(L716*IF(AK716="◎",I716,J716)/100,2),IF(VLOOKUP(申込書!$C$32,★サイズ表記!$F$4:$H$55,3,FALSE)="切り上げ",ROUNDUP(L716*IF(AK716="◎",I716,J716)/100,2),ROUND(L716*IF(AK716="◎",I716,J716)/100,2))),0)</f>
        <v>2.35</v>
      </c>
      <c r="AG716" s="203">
        <f t="shared" ca="1" si="91"/>
        <v>10561</v>
      </c>
      <c r="AJ716" s="460" t="str">
        <f>IFERROR(VLOOKUP(申込書!$C$30,★業種!$D$2:$E$87,2,FALSE),"")</f>
        <v>1003</v>
      </c>
      <c r="AK716" s="460" t="str">
        <f ca="1">IF(申込書!$C$36="◎",IF(OR(D716="浜坂・温泉",D716="美方・村岡",D716="香住",D716="岡山",D716="大阪"),"",IF(LEFT(F716)="D","◎",IF(AG716=0,"",IFERROR(IF(VLOOKUP(AG716,★仕入先!$A$2:$C$211,3,FALSE)=0,"","◎"),"")))),"")</f>
        <v/>
      </c>
      <c r="AL716" s="460">
        <f>申込書!$H$14</f>
        <v>0</v>
      </c>
      <c r="AM716" s="460" t="str">
        <f>申込書!$C$32</f>
        <v>B4（折り無し）</v>
      </c>
      <c r="AN716" s="460" t="str">
        <f>VLOOKUP(AM716,★サイズ表記!$D$4:$E$55,2,FALSE)</f>
        <v>1001</v>
      </c>
      <c r="AO716" s="460">
        <f>IF(C716&lt;&gt;"⑧兵庫",VLOOKUP(LEFT(F716),★新聞!$A$4:$B$12,2,FALSE),IF(LEFT(F716)&lt;&gt;"S",VLOOKUP(LEFT(F716),★新聞!$A$4:$B$12,2,FALSE),VLOOKUP("X",★新聞!$A$4:$B$12,2,FALSE)))</f>
        <v>4</v>
      </c>
      <c r="AP716" s="460" t="str">
        <f t="shared" ca="1" si="92"/>
        <v>0</v>
      </c>
      <c r="AQ716" s="460" t="str">
        <f>IF(申込書!$C$38="","",申込書!$C$38)</f>
        <v/>
      </c>
    </row>
    <row r="717" spans="1:43">
      <c r="A717" s="463">
        <f t="shared" si="93"/>
        <v>716</v>
      </c>
      <c r="B717" s="463" t="str">
        <f t="shared" si="86"/>
        <v>東部</v>
      </c>
      <c r="C717" s="464" t="s">
        <v>1019</v>
      </c>
      <c r="D717" s="464" t="s">
        <v>1603</v>
      </c>
      <c r="E717" s="464">
        <f>VLOOKUP(D717,★折込地区!$A$2:$D$10,4,FALSE)</f>
        <v>3</v>
      </c>
      <c r="F717" s="464" t="s">
        <v>448</v>
      </c>
      <c r="G717" s="464" t="str">
        <f>INDEX(★新聞!$E$4:$I$12, MATCH(LEFT(F717),★新聞!$A$4:$A$12,0), MATCH(LEFT(W717),★新聞!$E$3:$I$3,0))</f>
        <v>AG</v>
      </c>
      <c r="H717" s="555" t="s">
        <v>1102</v>
      </c>
      <c r="I717" s="464" cm="1">
        <f t="array" ref="I717">IFERROR(INDEX(★原価率!$A$2:$E$50,MATCH($C717&amp;$H717,★原価率!$A$2:$A$50&amp;★原価率!$B$2:$B$50,0),3),0)</f>
        <v>80</v>
      </c>
      <c r="J717" s="464" cm="1">
        <f t="array" ref="J717">IFERROR(INDEX(★原価率!$A$2:$E$50,MATCH($C717&amp;$H717,★原価率!$A$2:$A$50&amp;★原価率!$B$2:$B$50,0),4),0)</f>
        <v>84</v>
      </c>
      <c r="K717" s="464" cm="1">
        <f t="array" ref="K717">IFERROR(INDEX(★原価率!$A$2:$E$50,MATCH($C717&amp;$H717,★原価率!$A$2:$A$50&amp;★原価率!$B$2:$B$50,0),5),0)</f>
        <v>100</v>
      </c>
      <c r="L717" s="528">
        <f>IFERROR(VLOOKUP(W717,★商品!$A$1:$H$1231,8,FALSE),0)</f>
        <v>2.8</v>
      </c>
      <c r="M717" s="203" t="str">
        <f ca="1">CONCATENATE(VLOOKUP(B717,★営業所!$A$2:$B$5,2,FALSE),TEXT(NOW(),"yyyy"))</f>
        <v>T2023</v>
      </c>
      <c r="N717" s="203">
        <v>1</v>
      </c>
      <c r="O717" s="203">
        <v>0</v>
      </c>
      <c r="P717" s="213">
        <f>申込書!$B$6</f>
        <v>0</v>
      </c>
      <c r="Q717" s="203">
        <f>申込書!$C$34</f>
        <v>1000040</v>
      </c>
      <c r="R717" s="203">
        <v>0</v>
      </c>
      <c r="U717" s="203">
        <f>VLOOKUP(B717,★営業所!$A$2:$C$5,3,FALSE)</f>
        <v>8</v>
      </c>
      <c r="V717" s="203">
        <f>申込書!$B$9</f>
        <v>0</v>
      </c>
      <c r="W717" s="203" t="str">
        <f>CONCATENATE(VLOOKUP(B717,★営業所!$A$2:$B$5,2,FALSE),VLOOKUP(申込書!$C$32,★サイズ表記!$D$4:$E$55,2,FALSE),VLOOKUP(D717,★折込地区!$A$2:$B$11,2,FALSE))</f>
        <v>T1001Yng</v>
      </c>
      <c r="X717" s="203" t="str">
        <f>CONCATENATE(申込書!$B$9," ",VLOOKUP(RIGHT(W717,3),★折込地区!$B$2:$C$10,2,FALSE),"")</f>
        <v xml:space="preserve"> 米子</v>
      </c>
      <c r="Z717" s="206">
        <f t="shared" ca="1" si="87"/>
        <v>0</v>
      </c>
      <c r="AB717" s="383">
        <f t="shared" si="88"/>
        <v>2.8</v>
      </c>
      <c r="AC717" s="203" t="str">
        <f t="shared" si="89"/>
        <v>M1001</v>
      </c>
      <c r="AD717" s="203" t="str">
        <f>VLOOKUP(AC717,★原価商品!$E$6:$F$349,2,FALSE)</f>
        <v>毎日/B4（折り無し）</v>
      </c>
      <c r="AE717" s="203">
        <f t="shared" ca="1" si="90"/>
        <v>0</v>
      </c>
      <c r="AF717" s="383">
        <f ca="1">IFERROR(IF(VLOOKUP(申込書!$C$32,★サイズ表記!$F$4:$H$55,3,FALSE)="切り捨て",ROUNDDOWN(L717*IF(AK717="◎",I717,J717)/100,2),IF(VLOOKUP(申込書!$C$32,★サイズ表記!$F$4:$H$55,3,FALSE)="切り上げ",ROUNDUP(L717*IF(AK717="◎",I717,J717)/100,2),ROUND(L717*IF(AK717="◎",I717,J717)/100,2))),0)</f>
        <v>2.35</v>
      </c>
      <c r="AG717" s="203">
        <f t="shared" ca="1" si="91"/>
        <v>10561</v>
      </c>
      <c r="AJ717" s="460" t="str">
        <f>IFERROR(VLOOKUP(申込書!$C$30,★業種!$D$2:$E$87,2,FALSE),"")</f>
        <v>1003</v>
      </c>
      <c r="AK717" s="460" t="str">
        <f ca="1">IF(申込書!$C$36="◎",IF(OR(D717="浜坂・温泉",D717="美方・村岡",D717="香住",D717="岡山",D717="大阪"),"",IF(LEFT(F717)="D","◎",IF(AG717=0,"",IFERROR(IF(VLOOKUP(AG717,★仕入先!$A$2:$C$211,3,FALSE)=0,"","◎"),"")))),"")</f>
        <v/>
      </c>
      <c r="AL717" s="460">
        <f>申込書!$H$14</f>
        <v>0</v>
      </c>
      <c r="AM717" s="460" t="str">
        <f>申込書!$C$32</f>
        <v>B4（折り無し）</v>
      </c>
      <c r="AN717" s="460" t="str">
        <f>VLOOKUP(AM717,★サイズ表記!$D$4:$E$55,2,FALSE)</f>
        <v>1001</v>
      </c>
      <c r="AO717" s="460">
        <f>IF(C717&lt;&gt;"⑧兵庫",VLOOKUP(LEFT(F717),★新聞!$A$4:$B$12,2,FALSE),IF(LEFT(F717)&lt;&gt;"S",VLOOKUP(LEFT(F717),★新聞!$A$4:$B$12,2,FALSE),VLOOKUP("X",★新聞!$A$4:$B$12,2,FALSE)))</f>
        <v>4</v>
      </c>
      <c r="AP717" s="460" t="str">
        <f t="shared" ca="1" si="92"/>
        <v>0</v>
      </c>
      <c r="AQ717" s="460" t="str">
        <f>IF(申込書!$C$38="","",申込書!$C$38)</f>
        <v/>
      </c>
    </row>
    <row r="718" spans="1:43">
      <c r="A718" s="463">
        <f t="shared" si="93"/>
        <v>717</v>
      </c>
      <c r="B718" s="463" t="str">
        <f t="shared" si="86"/>
        <v>東部</v>
      </c>
      <c r="C718" s="464" t="s">
        <v>1019</v>
      </c>
      <c r="D718" s="464" t="s">
        <v>1603</v>
      </c>
      <c r="E718" s="464">
        <f>VLOOKUP(D718,★折込地区!$A$2:$D$10,4,FALSE)</f>
        <v>3</v>
      </c>
      <c r="F718" s="464" t="s">
        <v>449</v>
      </c>
      <c r="G718" s="464" t="str">
        <f>INDEX(★新聞!$E$4:$I$12, MATCH(LEFT(F718),★新聞!$A$4:$A$12,0), MATCH(LEFT(W718),★新聞!$E$3:$I$3,0))</f>
        <v>AG</v>
      </c>
      <c r="H718" s="555" t="s">
        <v>1102</v>
      </c>
      <c r="I718" s="464" cm="1">
        <f t="array" ref="I718">IFERROR(INDEX(★原価率!$A$2:$E$50,MATCH($C718&amp;$H718,★原価率!$A$2:$A$50&amp;★原価率!$B$2:$B$50,0),3),0)</f>
        <v>80</v>
      </c>
      <c r="J718" s="464" cm="1">
        <f t="array" ref="J718">IFERROR(INDEX(★原価率!$A$2:$E$50,MATCH($C718&amp;$H718,★原価率!$A$2:$A$50&amp;★原価率!$B$2:$B$50,0),4),0)</f>
        <v>84</v>
      </c>
      <c r="K718" s="464" cm="1">
        <f t="array" ref="K718">IFERROR(INDEX(★原価率!$A$2:$E$50,MATCH($C718&amp;$H718,★原価率!$A$2:$A$50&amp;★原価率!$B$2:$B$50,0),5),0)</f>
        <v>100</v>
      </c>
      <c r="L718" s="528">
        <f>IFERROR(VLOOKUP(W718,★商品!$A$1:$H$1231,8,FALSE),0)</f>
        <v>2.8</v>
      </c>
      <c r="M718" s="203" t="str">
        <f ca="1">CONCATENATE(VLOOKUP(B718,★営業所!$A$2:$B$5,2,FALSE),TEXT(NOW(),"yyyy"))</f>
        <v>T2023</v>
      </c>
      <c r="N718" s="203">
        <v>1</v>
      </c>
      <c r="O718" s="203">
        <v>0</v>
      </c>
      <c r="P718" s="213">
        <f>申込書!$B$6</f>
        <v>0</v>
      </c>
      <c r="Q718" s="203">
        <f>申込書!$C$34</f>
        <v>1000040</v>
      </c>
      <c r="R718" s="203">
        <v>0</v>
      </c>
      <c r="U718" s="203">
        <f>VLOOKUP(B718,★営業所!$A$2:$C$5,3,FALSE)</f>
        <v>8</v>
      </c>
      <c r="V718" s="203">
        <f>申込書!$B$9</f>
        <v>0</v>
      </c>
      <c r="W718" s="203" t="str">
        <f>CONCATENATE(VLOOKUP(B718,★営業所!$A$2:$B$5,2,FALSE),VLOOKUP(申込書!$C$32,★サイズ表記!$D$4:$E$55,2,FALSE),VLOOKUP(D718,★折込地区!$A$2:$B$11,2,FALSE))</f>
        <v>T1001Yng</v>
      </c>
      <c r="X718" s="203" t="str">
        <f>CONCATENATE(申込書!$B$9," ",VLOOKUP(RIGHT(W718,3),★折込地区!$B$2:$C$10,2,FALSE),"")</f>
        <v xml:space="preserve"> 米子</v>
      </c>
      <c r="Z718" s="206">
        <f t="shared" ca="1" si="87"/>
        <v>0</v>
      </c>
      <c r="AB718" s="383">
        <f t="shared" si="88"/>
        <v>2.8</v>
      </c>
      <c r="AC718" s="203" t="str">
        <f t="shared" si="89"/>
        <v>M1001</v>
      </c>
      <c r="AD718" s="203" t="str">
        <f>VLOOKUP(AC718,★原価商品!$E$6:$F$349,2,FALSE)</f>
        <v>毎日/B4（折り無し）</v>
      </c>
      <c r="AE718" s="203">
        <f t="shared" ca="1" si="90"/>
        <v>0</v>
      </c>
      <c r="AF718" s="383">
        <f ca="1">IFERROR(IF(VLOOKUP(申込書!$C$32,★サイズ表記!$F$4:$H$55,3,FALSE)="切り捨て",ROUNDDOWN(L718*IF(AK718="◎",I718,J718)/100,2),IF(VLOOKUP(申込書!$C$32,★サイズ表記!$F$4:$H$55,3,FALSE)="切り上げ",ROUNDUP(L718*IF(AK718="◎",I718,J718)/100,2),ROUND(L718*IF(AK718="◎",I718,J718)/100,2))),0)</f>
        <v>2.35</v>
      </c>
      <c r="AG718" s="203">
        <f t="shared" ca="1" si="91"/>
        <v>10561</v>
      </c>
      <c r="AJ718" s="460" t="str">
        <f>IFERROR(VLOOKUP(申込書!$C$30,★業種!$D$2:$E$87,2,FALSE),"")</f>
        <v>1003</v>
      </c>
      <c r="AK718" s="460" t="str">
        <f ca="1">IF(申込書!$C$36="◎",IF(OR(D718="浜坂・温泉",D718="美方・村岡",D718="香住",D718="岡山",D718="大阪"),"",IF(LEFT(F718)="D","◎",IF(AG718=0,"",IFERROR(IF(VLOOKUP(AG718,★仕入先!$A$2:$C$211,3,FALSE)=0,"","◎"),"")))),"")</f>
        <v/>
      </c>
      <c r="AL718" s="460">
        <f>申込書!$H$14</f>
        <v>0</v>
      </c>
      <c r="AM718" s="460" t="str">
        <f>申込書!$C$32</f>
        <v>B4（折り無し）</v>
      </c>
      <c r="AN718" s="460" t="str">
        <f>VLOOKUP(AM718,★サイズ表記!$D$4:$E$55,2,FALSE)</f>
        <v>1001</v>
      </c>
      <c r="AO718" s="460">
        <f>IF(C718&lt;&gt;"⑧兵庫",VLOOKUP(LEFT(F718),★新聞!$A$4:$B$12,2,FALSE),IF(LEFT(F718)&lt;&gt;"S",VLOOKUP(LEFT(F718),★新聞!$A$4:$B$12,2,FALSE),VLOOKUP("X",★新聞!$A$4:$B$12,2,FALSE)))</f>
        <v>4</v>
      </c>
      <c r="AP718" s="460" t="str">
        <f t="shared" ca="1" si="92"/>
        <v>0</v>
      </c>
      <c r="AQ718" s="460" t="str">
        <f>IF(申込書!$C$38="","",申込書!$C$38)</f>
        <v/>
      </c>
    </row>
    <row r="719" spans="1:43">
      <c r="A719" s="463">
        <f t="shared" si="93"/>
        <v>718</v>
      </c>
      <c r="B719" s="463" t="str">
        <f t="shared" si="86"/>
        <v>東部</v>
      </c>
      <c r="C719" s="464" t="s">
        <v>1019</v>
      </c>
      <c r="D719" s="464" t="s">
        <v>1603</v>
      </c>
      <c r="E719" s="464">
        <f>VLOOKUP(D719,★折込地区!$A$2:$D$10,4,FALSE)</f>
        <v>3</v>
      </c>
      <c r="F719" s="464" t="s">
        <v>450</v>
      </c>
      <c r="G719" s="464" t="str">
        <f>INDEX(★新聞!$E$4:$I$12, MATCH(LEFT(F719),★新聞!$A$4:$A$12,0), MATCH(LEFT(W719),★新聞!$E$3:$I$3,0))</f>
        <v>AG</v>
      </c>
      <c r="H719" s="555" t="s">
        <v>1102</v>
      </c>
      <c r="I719" s="464" cm="1">
        <f t="array" ref="I719">IFERROR(INDEX(★原価率!$A$2:$E$50,MATCH($C719&amp;$H719,★原価率!$A$2:$A$50&amp;★原価率!$B$2:$B$50,0),3),0)</f>
        <v>80</v>
      </c>
      <c r="J719" s="464" cm="1">
        <f t="array" ref="J719">IFERROR(INDEX(★原価率!$A$2:$E$50,MATCH($C719&amp;$H719,★原価率!$A$2:$A$50&amp;★原価率!$B$2:$B$50,0),4),0)</f>
        <v>84</v>
      </c>
      <c r="K719" s="464" cm="1">
        <f t="array" ref="K719">IFERROR(INDEX(★原価率!$A$2:$E$50,MATCH($C719&amp;$H719,★原価率!$A$2:$A$50&amp;★原価率!$B$2:$B$50,0),5),0)</f>
        <v>100</v>
      </c>
      <c r="L719" s="528">
        <f>IFERROR(VLOOKUP(W719,★商品!$A$1:$H$1231,8,FALSE),0)</f>
        <v>2.8</v>
      </c>
      <c r="M719" s="203" t="str">
        <f ca="1">CONCATENATE(VLOOKUP(B719,★営業所!$A$2:$B$5,2,FALSE),TEXT(NOW(),"yyyy"))</f>
        <v>T2023</v>
      </c>
      <c r="N719" s="203">
        <v>1</v>
      </c>
      <c r="O719" s="203">
        <v>0</v>
      </c>
      <c r="P719" s="213">
        <f>申込書!$B$6</f>
        <v>0</v>
      </c>
      <c r="Q719" s="203">
        <f>申込書!$C$34</f>
        <v>1000040</v>
      </c>
      <c r="R719" s="203">
        <v>0</v>
      </c>
      <c r="U719" s="203">
        <f>VLOOKUP(B719,★営業所!$A$2:$C$5,3,FALSE)</f>
        <v>8</v>
      </c>
      <c r="V719" s="203">
        <f>申込書!$B$9</f>
        <v>0</v>
      </c>
      <c r="W719" s="203" t="str">
        <f>CONCATENATE(VLOOKUP(B719,★営業所!$A$2:$B$5,2,FALSE),VLOOKUP(申込書!$C$32,★サイズ表記!$D$4:$E$55,2,FALSE),VLOOKUP(D719,★折込地区!$A$2:$B$11,2,FALSE))</f>
        <v>T1001Yng</v>
      </c>
      <c r="X719" s="203" t="str">
        <f>CONCATENATE(申込書!$B$9," ",VLOOKUP(RIGHT(W719,3),★折込地区!$B$2:$C$10,2,FALSE),"")</f>
        <v xml:space="preserve"> 米子</v>
      </c>
      <c r="Z719" s="206">
        <f t="shared" ca="1" si="87"/>
        <v>0</v>
      </c>
      <c r="AB719" s="383">
        <f t="shared" si="88"/>
        <v>2.8</v>
      </c>
      <c r="AC719" s="203" t="str">
        <f t="shared" si="89"/>
        <v>M1001</v>
      </c>
      <c r="AD719" s="203" t="str">
        <f>VLOOKUP(AC719,★原価商品!$E$6:$F$349,2,FALSE)</f>
        <v>毎日/B4（折り無し）</v>
      </c>
      <c r="AE719" s="203">
        <f t="shared" ca="1" si="90"/>
        <v>0</v>
      </c>
      <c r="AF719" s="383">
        <f ca="1">IFERROR(IF(VLOOKUP(申込書!$C$32,★サイズ表記!$F$4:$H$55,3,FALSE)="切り捨て",ROUNDDOWN(L719*IF(AK719="◎",I719,J719)/100,2),IF(VLOOKUP(申込書!$C$32,★サイズ表記!$F$4:$H$55,3,FALSE)="切り上げ",ROUNDUP(L719*IF(AK719="◎",I719,J719)/100,2),ROUND(L719*IF(AK719="◎",I719,J719)/100,2))),0)</f>
        <v>2.35</v>
      </c>
      <c r="AG719" s="203">
        <f t="shared" ca="1" si="91"/>
        <v>10561</v>
      </c>
      <c r="AJ719" s="460" t="str">
        <f>IFERROR(VLOOKUP(申込書!$C$30,★業種!$D$2:$E$87,2,FALSE),"")</f>
        <v>1003</v>
      </c>
      <c r="AK719" s="460" t="str">
        <f ca="1">IF(申込書!$C$36="◎",IF(OR(D719="浜坂・温泉",D719="美方・村岡",D719="香住",D719="岡山",D719="大阪"),"",IF(LEFT(F719)="D","◎",IF(AG719=0,"",IFERROR(IF(VLOOKUP(AG719,★仕入先!$A$2:$C$211,3,FALSE)=0,"","◎"),"")))),"")</f>
        <v/>
      </c>
      <c r="AL719" s="460">
        <f>申込書!$H$14</f>
        <v>0</v>
      </c>
      <c r="AM719" s="460" t="str">
        <f>申込書!$C$32</f>
        <v>B4（折り無し）</v>
      </c>
      <c r="AN719" s="460" t="str">
        <f>VLOOKUP(AM719,★サイズ表記!$D$4:$E$55,2,FALSE)</f>
        <v>1001</v>
      </c>
      <c r="AO719" s="460">
        <f>IF(C719&lt;&gt;"⑧兵庫",VLOOKUP(LEFT(F719),★新聞!$A$4:$B$12,2,FALSE),IF(LEFT(F719)&lt;&gt;"S",VLOOKUP(LEFT(F719),★新聞!$A$4:$B$12,2,FALSE),VLOOKUP("X",★新聞!$A$4:$B$12,2,FALSE)))</f>
        <v>4</v>
      </c>
      <c r="AP719" s="460" t="str">
        <f t="shared" ca="1" si="92"/>
        <v>0</v>
      </c>
      <c r="AQ719" s="460" t="str">
        <f>IF(申込書!$C$38="","",申込書!$C$38)</f>
        <v/>
      </c>
    </row>
    <row r="720" spans="1:43">
      <c r="A720" s="463">
        <f t="shared" si="93"/>
        <v>719</v>
      </c>
      <c r="B720" s="463" t="str">
        <f t="shared" si="86"/>
        <v>東部</v>
      </c>
      <c r="C720" s="464" t="s">
        <v>1019</v>
      </c>
      <c r="D720" s="464" t="s">
        <v>1603</v>
      </c>
      <c r="E720" s="464">
        <f>VLOOKUP(D720,★折込地区!$A$2:$D$10,4,FALSE)</f>
        <v>3</v>
      </c>
      <c r="F720" s="464" t="s">
        <v>451</v>
      </c>
      <c r="G720" s="464" t="str">
        <f>INDEX(★新聞!$E$4:$I$12, MATCH(LEFT(F720),★新聞!$A$4:$A$12,0), MATCH(LEFT(W720),★新聞!$E$3:$I$3,0))</f>
        <v>AG</v>
      </c>
      <c r="H720" s="475" t="s">
        <v>1104</v>
      </c>
      <c r="I720" s="464" cm="1">
        <f t="array" ref="I720">IFERROR(INDEX(★原価率!$A$2:$E$50,MATCH($C720&amp;$H720,★原価率!$A$2:$A$50&amp;★原価率!$B$2:$B$50,0),3),0)</f>
        <v>85</v>
      </c>
      <c r="J720" s="464" cm="1">
        <f t="array" ref="J720">IFERROR(INDEX(★原価率!$A$2:$E$50,MATCH($C720&amp;$H720,★原価率!$A$2:$A$50&amp;★原価率!$B$2:$B$50,0),4),0)</f>
        <v>85</v>
      </c>
      <c r="K720" s="464" cm="1">
        <f t="array" ref="K720">IFERROR(INDEX(★原価率!$A$2:$E$50,MATCH($C720&amp;$H720,★原価率!$A$2:$A$50&amp;★原価率!$B$2:$B$50,0),5),0)</f>
        <v>100</v>
      </c>
      <c r="L720" s="528">
        <f>IFERROR(VLOOKUP(W720,★商品!$A$1:$H$1231,8,FALSE),0)</f>
        <v>2.8</v>
      </c>
      <c r="M720" s="203" t="str">
        <f ca="1">CONCATENATE(VLOOKUP(B720,★営業所!$A$2:$B$5,2,FALSE),TEXT(NOW(),"yyyy"))</f>
        <v>T2023</v>
      </c>
      <c r="N720" s="203">
        <v>1</v>
      </c>
      <c r="O720" s="203">
        <v>0</v>
      </c>
      <c r="P720" s="213">
        <f>申込書!$B$6</f>
        <v>0</v>
      </c>
      <c r="Q720" s="203">
        <f>申込書!$C$34</f>
        <v>1000040</v>
      </c>
      <c r="R720" s="203">
        <v>0</v>
      </c>
      <c r="U720" s="203">
        <f>VLOOKUP(B720,★営業所!$A$2:$C$5,3,FALSE)</f>
        <v>8</v>
      </c>
      <c r="V720" s="203">
        <f>申込書!$B$9</f>
        <v>0</v>
      </c>
      <c r="W720" s="203" t="str">
        <f>CONCATENATE(VLOOKUP(B720,★営業所!$A$2:$B$5,2,FALSE),VLOOKUP(申込書!$C$32,★サイズ表記!$D$4:$E$55,2,FALSE),VLOOKUP(D720,★折込地区!$A$2:$B$11,2,FALSE))</f>
        <v>T1001Yng</v>
      </c>
      <c r="X720" s="203" t="str">
        <f>CONCATENATE(申込書!$B$9," ",VLOOKUP(RIGHT(W720,3),★折込地区!$B$2:$C$10,2,FALSE),"")</f>
        <v xml:space="preserve"> 米子</v>
      </c>
      <c r="Z720" s="206">
        <f t="shared" ca="1" si="87"/>
        <v>0</v>
      </c>
      <c r="AB720" s="383">
        <f t="shared" si="88"/>
        <v>2.8</v>
      </c>
      <c r="AC720" s="203" t="str">
        <f t="shared" si="89"/>
        <v>M1001</v>
      </c>
      <c r="AD720" s="203" t="str">
        <f>VLOOKUP(AC720,★原価商品!$E$6:$F$349,2,FALSE)</f>
        <v>毎日/B4（折り無し）</v>
      </c>
      <c r="AE720" s="203">
        <f t="shared" ca="1" si="90"/>
        <v>0</v>
      </c>
      <c r="AF720" s="383">
        <f ca="1">IFERROR(IF(VLOOKUP(申込書!$C$32,★サイズ表記!$F$4:$H$55,3,FALSE)="切り捨て",ROUNDDOWN(L720*IF(AK720="◎",I720,J720)/100,2),IF(VLOOKUP(申込書!$C$32,★サイズ表記!$F$4:$H$55,3,FALSE)="切り上げ",ROUNDUP(L720*IF(AK720="◎",I720,J720)/100,2),ROUND(L720*IF(AK720="◎",I720,J720)/100,2))),0)</f>
        <v>2.38</v>
      </c>
      <c r="AG720" s="203">
        <f t="shared" ca="1" si="91"/>
        <v>10561</v>
      </c>
      <c r="AJ720" s="460" t="str">
        <f>IFERROR(VLOOKUP(申込書!$C$30,★業種!$D$2:$E$87,2,FALSE),"")</f>
        <v>1003</v>
      </c>
      <c r="AK720" s="460" t="str">
        <f ca="1">IF(申込書!$C$36="◎",IF(OR(D720="浜坂・温泉",D720="美方・村岡",D720="香住",D720="岡山",D720="大阪"),"",IF(LEFT(F720)="D","◎",IF(AG720=0,"",IFERROR(IF(VLOOKUP(AG720,★仕入先!$A$2:$C$211,3,FALSE)=0,"","◎"),"")))),"")</f>
        <v/>
      </c>
      <c r="AL720" s="460">
        <f>申込書!$H$14</f>
        <v>0</v>
      </c>
      <c r="AM720" s="460" t="str">
        <f>申込書!$C$32</f>
        <v>B4（折り無し）</v>
      </c>
      <c r="AN720" s="460" t="str">
        <f>VLOOKUP(AM720,★サイズ表記!$D$4:$E$55,2,FALSE)</f>
        <v>1001</v>
      </c>
      <c r="AO720" s="460">
        <f>IF(C720&lt;&gt;"⑧兵庫",VLOOKUP(LEFT(F720),★新聞!$A$4:$B$12,2,FALSE),IF(LEFT(F720)&lt;&gt;"S",VLOOKUP(LEFT(F720),★新聞!$A$4:$B$12,2,FALSE),VLOOKUP("X",★新聞!$A$4:$B$12,2,FALSE)))</f>
        <v>4</v>
      </c>
      <c r="AP720" s="460" t="str">
        <f t="shared" ca="1" si="92"/>
        <v>0</v>
      </c>
      <c r="AQ720" s="460" t="str">
        <f>IF(申込書!$C$38="","",申込書!$C$38)</f>
        <v/>
      </c>
    </row>
    <row r="721" spans="1:43">
      <c r="A721" s="463">
        <f t="shared" si="93"/>
        <v>720</v>
      </c>
      <c r="B721" s="463" t="str">
        <f t="shared" si="86"/>
        <v>東部</v>
      </c>
      <c r="C721" s="464" t="s">
        <v>1019</v>
      </c>
      <c r="D721" s="464" t="s">
        <v>1603</v>
      </c>
      <c r="E721" s="464">
        <f>VLOOKUP(D721,★折込地区!$A$2:$D$10,4,FALSE)</f>
        <v>3</v>
      </c>
      <c r="F721" s="464" t="s">
        <v>452</v>
      </c>
      <c r="G721" s="464" t="str">
        <f>INDEX(★新聞!$E$4:$I$12, MATCH(LEFT(F721),★新聞!$A$4:$A$12,0), MATCH(LEFT(W721),★新聞!$E$3:$I$3,0))</f>
        <v>AG</v>
      </c>
      <c r="H721" s="555" t="s">
        <v>1102</v>
      </c>
      <c r="I721" s="464" cm="1">
        <f t="array" ref="I721">IFERROR(INDEX(★原価率!$A$2:$E$50,MATCH($C721&amp;$H721,★原価率!$A$2:$A$50&amp;★原価率!$B$2:$B$50,0),3),0)</f>
        <v>80</v>
      </c>
      <c r="J721" s="464" cm="1">
        <f t="array" ref="J721">IFERROR(INDEX(★原価率!$A$2:$E$50,MATCH($C721&amp;$H721,★原価率!$A$2:$A$50&amp;★原価率!$B$2:$B$50,0),4),0)</f>
        <v>84</v>
      </c>
      <c r="K721" s="464" cm="1">
        <f t="array" ref="K721">IFERROR(INDEX(★原価率!$A$2:$E$50,MATCH($C721&amp;$H721,★原価率!$A$2:$A$50&amp;★原価率!$B$2:$B$50,0),5),0)</f>
        <v>100</v>
      </c>
      <c r="L721" s="528">
        <f>IFERROR(VLOOKUP(W721,★商品!$A$1:$H$1231,8,FALSE),0)</f>
        <v>2.8</v>
      </c>
      <c r="M721" s="203" t="str">
        <f ca="1">CONCATENATE(VLOOKUP(B721,★営業所!$A$2:$B$5,2,FALSE),TEXT(NOW(),"yyyy"))</f>
        <v>T2023</v>
      </c>
      <c r="N721" s="203">
        <v>1</v>
      </c>
      <c r="O721" s="203">
        <v>0</v>
      </c>
      <c r="P721" s="213">
        <f>申込書!$B$6</f>
        <v>0</v>
      </c>
      <c r="Q721" s="203">
        <f>申込書!$C$34</f>
        <v>1000040</v>
      </c>
      <c r="R721" s="203">
        <v>0</v>
      </c>
      <c r="U721" s="203">
        <f>VLOOKUP(B721,★営業所!$A$2:$C$5,3,FALSE)</f>
        <v>8</v>
      </c>
      <c r="V721" s="203">
        <f>申込書!$B$9</f>
        <v>0</v>
      </c>
      <c r="W721" s="203" t="str">
        <f>CONCATENATE(VLOOKUP(B721,★営業所!$A$2:$B$5,2,FALSE),VLOOKUP(申込書!$C$32,★サイズ表記!$D$4:$E$55,2,FALSE),VLOOKUP(D721,★折込地区!$A$2:$B$11,2,FALSE))</f>
        <v>T1001Yng</v>
      </c>
      <c r="X721" s="203" t="str">
        <f>CONCATENATE(申込書!$B$9," ",VLOOKUP(RIGHT(W721,3),★折込地区!$B$2:$C$10,2,FALSE),"")</f>
        <v xml:space="preserve"> 米子</v>
      </c>
      <c r="Z721" s="206">
        <f t="shared" ca="1" si="87"/>
        <v>0</v>
      </c>
      <c r="AB721" s="383">
        <f t="shared" si="88"/>
        <v>2.8</v>
      </c>
      <c r="AC721" s="203" t="str">
        <f t="shared" si="89"/>
        <v>M1001</v>
      </c>
      <c r="AD721" s="203" t="str">
        <f>VLOOKUP(AC721,★原価商品!$E$6:$F$349,2,FALSE)</f>
        <v>毎日/B4（折り無し）</v>
      </c>
      <c r="AE721" s="203">
        <f t="shared" ca="1" si="90"/>
        <v>0</v>
      </c>
      <c r="AF721" s="383">
        <f ca="1">IFERROR(IF(VLOOKUP(申込書!$C$32,★サイズ表記!$F$4:$H$55,3,FALSE)="切り捨て",ROUNDDOWN(L721*IF(AK721="◎",I721,J721)/100,2),IF(VLOOKUP(申込書!$C$32,★サイズ表記!$F$4:$H$55,3,FALSE)="切り上げ",ROUNDUP(L721*IF(AK721="◎",I721,J721)/100,2),ROUND(L721*IF(AK721="◎",I721,J721)/100,2))),0)</f>
        <v>2.35</v>
      </c>
      <c r="AG721" s="203">
        <f t="shared" ca="1" si="91"/>
        <v>10561</v>
      </c>
      <c r="AJ721" s="460" t="str">
        <f>IFERROR(VLOOKUP(申込書!$C$30,★業種!$D$2:$E$87,2,FALSE),"")</f>
        <v>1003</v>
      </c>
      <c r="AK721" s="460" t="str">
        <f ca="1">IF(申込書!$C$36="◎",IF(OR(D721="浜坂・温泉",D721="美方・村岡",D721="香住",D721="岡山",D721="大阪"),"",IF(LEFT(F721)="D","◎",IF(AG721=0,"",IFERROR(IF(VLOOKUP(AG721,★仕入先!$A$2:$C$211,3,FALSE)=0,"","◎"),"")))),"")</f>
        <v/>
      </c>
      <c r="AL721" s="460">
        <f>申込書!$H$14</f>
        <v>0</v>
      </c>
      <c r="AM721" s="460" t="str">
        <f>申込書!$C$32</f>
        <v>B4（折り無し）</v>
      </c>
      <c r="AN721" s="460" t="str">
        <f>VLOOKUP(AM721,★サイズ表記!$D$4:$E$55,2,FALSE)</f>
        <v>1001</v>
      </c>
      <c r="AO721" s="460">
        <f>IF(C721&lt;&gt;"⑧兵庫",VLOOKUP(LEFT(F721),★新聞!$A$4:$B$12,2,FALSE),IF(LEFT(F721)&lt;&gt;"S",VLOOKUP(LEFT(F721),★新聞!$A$4:$B$12,2,FALSE),VLOOKUP("X",★新聞!$A$4:$B$12,2,FALSE)))</f>
        <v>4</v>
      </c>
      <c r="AP721" s="460" t="str">
        <f t="shared" ca="1" si="92"/>
        <v>0</v>
      </c>
      <c r="AQ721" s="460" t="str">
        <f>IF(申込書!$C$38="","",申込書!$C$38)</f>
        <v/>
      </c>
    </row>
    <row r="722" spans="1:43">
      <c r="A722" s="463">
        <f t="shared" si="93"/>
        <v>721</v>
      </c>
      <c r="B722" s="463" t="str">
        <f t="shared" si="86"/>
        <v>東部</v>
      </c>
      <c r="C722" s="464" t="s">
        <v>1019</v>
      </c>
      <c r="D722" s="464" t="s">
        <v>1603</v>
      </c>
      <c r="E722" s="464">
        <f>VLOOKUP(D722,★折込地区!$A$2:$D$10,4,FALSE)</f>
        <v>3</v>
      </c>
      <c r="F722" s="464" t="s">
        <v>453</v>
      </c>
      <c r="G722" s="464" t="str">
        <f>INDEX(★新聞!$E$4:$I$12, MATCH(LEFT(F722),★新聞!$A$4:$A$12,0), MATCH(LEFT(W722),★新聞!$E$3:$I$3,0))</f>
        <v>AG</v>
      </c>
      <c r="H722" s="555" t="s">
        <v>1102</v>
      </c>
      <c r="I722" s="464" cm="1">
        <f t="array" ref="I722">IFERROR(INDEX(★原価率!$A$2:$E$50,MATCH($C722&amp;$H722,★原価率!$A$2:$A$50&amp;★原価率!$B$2:$B$50,0),3),0)</f>
        <v>80</v>
      </c>
      <c r="J722" s="464" cm="1">
        <f t="array" ref="J722">IFERROR(INDEX(★原価率!$A$2:$E$50,MATCH($C722&amp;$H722,★原価率!$A$2:$A$50&amp;★原価率!$B$2:$B$50,0),4),0)</f>
        <v>84</v>
      </c>
      <c r="K722" s="464" cm="1">
        <f t="array" ref="K722">IFERROR(INDEX(★原価率!$A$2:$E$50,MATCH($C722&amp;$H722,★原価率!$A$2:$A$50&amp;★原価率!$B$2:$B$50,0),5),0)</f>
        <v>100</v>
      </c>
      <c r="L722" s="528">
        <f>IFERROR(VLOOKUP(W722,★商品!$A$1:$H$1231,8,FALSE),0)</f>
        <v>2.8</v>
      </c>
      <c r="M722" s="203" t="str">
        <f ca="1">CONCATENATE(VLOOKUP(B722,★営業所!$A$2:$B$5,2,FALSE),TEXT(NOW(),"yyyy"))</f>
        <v>T2023</v>
      </c>
      <c r="N722" s="203">
        <v>1</v>
      </c>
      <c r="O722" s="203">
        <v>0</v>
      </c>
      <c r="P722" s="213">
        <f>申込書!$B$6</f>
        <v>0</v>
      </c>
      <c r="Q722" s="203">
        <f>申込書!$C$34</f>
        <v>1000040</v>
      </c>
      <c r="R722" s="203">
        <v>0</v>
      </c>
      <c r="U722" s="203">
        <f>VLOOKUP(B722,★営業所!$A$2:$C$5,3,FALSE)</f>
        <v>8</v>
      </c>
      <c r="V722" s="203">
        <f>申込書!$B$9</f>
        <v>0</v>
      </c>
      <c r="W722" s="203" t="str">
        <f>CONCATENATE(VLOOKUP(B722,★営業所!$A$2:$B$5,2,FALSE),VLOOKUP(申込書!$C$32,★サイズ表記!$D$4:$E$55,2,FALSE),VLOOKUP(D722,★折込地区!$A$2:$B$11,2,FALSE))</f>
        <v>T1001Yng</v>
      </c>
      <c r="X722" s="203" t="str">
        <f>CONCATENATE(申込書!$B$9," ",VLOOKUP(RIGHT(W722,3),★折込地区!$B$2:$C$10,2,FALSE),"")</f>
        <v xml:space="preserve"> 米子</v>
      </c>
      <c r="Z722" s="206">
        <f t="shared" ca="1" si="87"/>
        <v>0</v>
      </c>
      <c r="AB722" s="383">
        <f t="shared" si="88"/>
        <v>2.8</v>
      </c>
      <c r="AC722" s="203" t="str">
        <f t="shared" si="89"/>
        <v>M1001</v>
      </c>
      <c r="AD722" s="203" t="str">
        <f>VLOOKUP(AC722,★原価商品!$E$6:$F$349,2,FALSE)</f>
        <v>毎日/B4（折り無し）</v>
      </c>
      <c r="AE722" s="203">
        <f t="shared" ca="1" si="90"/>
        <v>0</v>
      </c>
      <c r="AF722" s="383">
        <f ca="1">IFERROR(IF(VLOOKUP(申込書!$C$32,★サイズ表記!$F$4:$H$55,3,FALSE)="切り捨て",ROUNDDOWN(L722*IF(AK722="◎",I722,J722)/100,2),IF(VLOOKUP(申込書!$C$32,★サイズ表記!$F$4:$H$55,3,FALSE)="切り上げ",ROUNDUP(L722*IF(AK722="◎",I722,J722)/100,2),ROUND(L722*IF(AK722="◎",I722,J722)/100,2))),0)</f>
        <v>2.35</v>
      </c>
      <c r="AG722" s="203">
        <f t="shared" ca="1" si="91"/>
        <v>10561</v>
      </c>
      <c r="AJ722" s="460" t="str">
        <f>IFERROR(VLOOKUP(申込書!$C$30,★業種!$D$2:$E$87,2,FALSE),"")</f>
        <v>1003</v>
      </c>
      <c r="AK722" s="460" t="str">
        <f ca="1">IF(申込書!$C$36="◎",IF(OR(D722="浜坂・温泉",D722="美方・村岡",D722="香住",D722="岡山",D722="大阪"),"",IF(LEFT(F722)="D","◎",IF(AG722=0,"",IFERROR(IF(VLOOKUP(AG722,★仕入先!$A$2:$C$211,3,FALSE)=0,"","◎"),"")))),"")</f>
        <v/>
      </c>
      <c r="AL722" s="460">
        <f>申込書!$H$14</f>
        <v>0</v>
      </c>
      <c r="AM722" s="460" t="str">
        <f>申込書!$C$32</f>
        <v>B4（折り無し）</v>
      </c>
      <c r="AN722" s="460" t="str">
        <f>VLOOKUP(AM722,★サイズ表記!$D$4:$E$55,2,FALSE)</f>
        <v>1001</v>
      </c>
      <c r="AO722" s="460">
        <f>IF(C722&lt;&gt;"⑧兵庫",VLOOKUP(LEFT(F722),★新聞!$A$4:$B$12,2,FALSE),IF(LEFT(F722)&lt;&gt;"S",VLOOKUP(LEFT(F722),★新聞!$A$4:$B$12,2,FALSE),VLOOKUP("X",★新聞!$A$4:$B$12,2,FALSE)))</f>
        <v>4</v>
      </c>
      <c r="AP722" s="460" t="str">
        <f t="shared" ca="1" si="92"/>
        <v>0</v>
      </c>
      <c r="AQ722" s="460" t="str">
        <f>IF(申込書!$C$38="","",申込書!$C$38)</f>
        <v/>
      </c>
    </row>
    <row r="723" spans="1:43">
      <c r="A723" s="463">
        <f t="shared" si="93"/>
        <v>722</v>
      </c>
      <c r="B723" s="463" t="str">
        <f t="shared" si="86"/>
        <v>東部</v>
      </c>
      <c r="C723" s="464" t="s">
        <v>1019</v>
      </c>
      <c r="D723" s="464" t="s">
        <v>1603</v>
      </c>
      <c r="E723" s="464">
        <f>VLOOKUP(D723,★折込地区!$A$2:$D$10,4,FALSE)</f>
        <v>3</v>
      </c>
      <c r="F723" s="464" t="s">
        <v>454</v>
      </c>
      <c r="G723" s="464" t="str">
        <f>INDEX(★新聞!$E$4:$I$12, MATCH(LEFT(F723),★新聞!$A$4:$A$12,0), MATCH(LEFT(W723),★新聞!$E$3:$I$3,0))</f>
        <v>AG</v>
      </c>
      <c r="H723" s="555" t="s">
        <v>1102</v>
      </c>
      <c r="I723" s="464" cm="1">
        <f t="array" ref="I723">IFERROR(INDEX(★原価率!$A$2:$E$50,MATCH($C723&amp;$H723,★原価率!$A$2:$A$50&amp;★原価率!$B$2:$B$50,0),3),0)</f>
        <v>80</v>
      </c>
      <c r="J723" s="464" cm="1">
        <f t="array" ref="J723">IFERROR(INDEX(★原価率!$A$2:$E$50,MATCH($C723&amp;$H723,★原価率!$A$2:$A$50&amp;★原価率!$B$2:$B$50,0),4),0)</f>
        <v>84</v>
      </c>
      <c r="K723" s="464" cm="1">
        <f t="array" ref="K723">IFERROR(INDEX(★原価率!$A$2:$E$50,MATCH($C723&amp;$H723,★原価率!$A$2:$A$50&amp;★原価率!$B$2:$B$50,0),5),0)</f>
        <v>100</v>
      </c>
      <c r="L723" s="528">
        <f>IFERROR(VLOOKUP(W723,★商品!$A$1:$H$1231,8,FALSE),0)</f>
        <v>2.8</v>
      </c>
      <c r="M723" s="203" t="str">
        <f ca="1">CONCATENATE(VLOOKUP(B723,★営業所!$A$2:$B$5,2,FALSE),TEXT(NOW(),"yyyy"))</f>
        <v>T2023</v>
      </c>
      <c r="N723" s="203">
        <v>1</v>
      </c>
      <c r="O723" s="203">
        <v>0</v>
      </c>
      <c r="P723" s="213">
        <f>申込書!$B$6</f>
        <v>0</v>
      </c>
      <c r="Q723" s="203">
        <f>申込書!$C$34</f>
        <v>1000040</v>
      </c>
      <c r="R723" s="203">
        <v>0</v>
      </c>
      <c r="U723" s="203">
        <f>VLOOKUP(B723,★営業所!$A$2:$C$5,3,FALSE)</f>
        <v>8</v>
      </c>
      <c r="V723" s="203">
        <f>申込書!$B$9</f>
        <v>0</v>
      </c>
      <c r="W723" s="203" t="str">
        <f>CONCATENATE(VLOOKUP(B723,★営業所!$A$2:$B$5,2,FALSE),VLOOKUP(申込書!$C$32,★サイズ表記!$D$4:$E$55,2,FALSE),VLOOKUP(D723,★折込地区!$A$2:$B$11,2,FALSE))</f>
        <v>T1001Yng</v>
      </c>
      <c r="X723" s="203" t="str">
        <f>CONCATENATE(申込書!$B$9," ",VLOOKUP(RIGHT(W723,3),★折込地区!$B$2:$C$10,2,FALSE),"")</f>
        <v xml:space="preserve"> 米子</v>
      </c>
      <c r="Z723" s="206">
        <f t="shared" ca="1" si="87"/>
        <v>0</v>
      </c>
      <c r="AB723" s="383">
        <f t="shared" si="88"/>
        <v>2.8</v>
      </c>
      <c r="AC723" s="203" t="str">
        <f t="shared" si="89"/>
        <v>M1001</v>
      </c>
      <c r="AD723" s="203" t="str">
        <f>VLOOKUP(AC723,★原価商品!$E$6:$F$349,2,FALSE)</f>
        <v>毎日/B4（折り無し）</v>
      </c>
      <c r="AE723" s="203">
        <f t="shared" ca="1" si="90"/>
        <v>0</v>
      </c>
      <c r="AF723" s="383">
        <f ca="1">IFERROR(IF(VLOOKUP(申込書!$C$32,★サイズ表記!$F$4:$H$55,3,FALSE)="切り捨て",ROUNDDOWN(L723*IF(AK723="◎",I723,J723)/100,2),IF(VLOOKUP(申込書!$C$32,★サイズ表記!$F$4:$H$55,3,FALSE)="切り上げ",ROUNDUP(L723*IF(AK723="◎",I723,J723)/100,2),ROUND(L723*IF(AK723="◎",I723,J723)/100,2))),0)</f>
        <v>2.35</v>
      </c>
      <c r="AG723" s="203">
        <f t="shared" ca="1" si="91"/>
        <v>10561</v>
      </c>
      <c r="AJ723" s="460" t="str">
        <f>IFERROR(VLOOKUP(申込書!$C$30,★業種!$D$2:$E$87,2,FALSE),"")</f>
        <v>1003</v>
      </c>
      <c r="AK723" s="460" t="str">
        <f ca="1">IF(申込書!$C$36="◎",IF(OR(D723="浜坂・温泉",D723="美方・村岡",D723="香住",D723="岡山",D723="大阪"),"",IF(LEFT(F723)="D","◎",IF(AG723=0,"",IFERROR(IF(VLOOKUP(AG723,★仕入先!$A$2:$C$211,3,FALSE)=0,"","◎"),"")))),"")</f>
        <v/>
      </c>
      <c r="AL723" s="460">
        <f>申込書!$H$14</f>
        <v>0</v>
      </c>
      <c r="AM723" s="460" t="str">
        <f>申込書!$C$32</f>
        <v>B4（折り無し）</v>
      </c>
      <c r="AN723" s="460" t="str">
        <f>VLOOKUP(AM723,★サイズ表記!$D$4:$E$55,2,FALSE)</f>
        <v>1001</v>
      </c>
      <c r="AO723" s="460">
        <f>IF(C723&lt;&gt;"⑧兵庫",VLOOKUP(LEFT(F723),★新聞!$A$4:$B$12,2,FALSE),IF(LEFT(F723)&lt;&gt;"S",VLOOKUP(LEFT(F723),★新聞!$A$4:$B$12,2,FALSE),VLOOKUP("X",★新聞!$A$4:$B$12,2,FALSE)))</f>
        <v>4</v>
      </c>
      <c r="AP723" s="460" t="str">
        <f t="shared" ca="1" si="92"/>
        <v>0</v>
      </c>
      <c r="AQ723" s="460" t="str">
        <f>IF(申込書!$C$38="","",申込書!$C$38)</f>
        <v/>
      </c>
    </row>
    <row r="724" spans="1:43">
      <c r="A724" s="463">
        <f t="shared" si="93"/>
        <v>723</v>
      </c>
      <c r="B724" s="463" t="str">
        <f t="shared" si="86"/>
        <v>東部</v>
      </c>
      <c r="C724" s="464" t="s">
        <v>1019</v>
      </c>
      <c r="D724" s="464" t="s">
        <v>1603</v>
      </c>
      <c r="E724" s="464">
        <f>VLOOKUP(D724,★折込地区!$A$2:$D$10,4,FALSE)</f>
        <v>3</v>
      </c>
      <c r="F724" s="464" t="s">
        <v>455</v>
      </c>
      <c r="G724" s="464" t="str">
        <f>INDEX(★新聞!$E$4:$I$12, MATCH(LEFT(F724),★新聞!$A$4:$A$12,0), MATCH(LEFT(W724),★新聞!$E$3:$I$3,0))</f>
        <v>AG</v>
      </c>
      <c r="H724" s="475" t="s">
        <v>1104</v>
      </c>
      <c r="I724" s="464" cm="1">
        <f t="array" ref="I724">IFERROR(INDEX(★原価率!$A$2:$E$50,MATCH($C724&amp;$H724,★原価率!$A$2:$A$50&amp;★原価率!$B$2:$B$50,0),3),0)</f>
        <v>85</v>
      </c>
      <c r="J724" s="464" cm="1">
        <f t="array" ref="J724">IFERROR(INDEX(★原価率!$A$2:$E$50,MATCH($C724&amp;$H724,★原価率!$A$2:$A$50&amp;★原価率!$B$2:$B$50,0),4),0)</f>
        <v>85</v>
      </c>
      <c r="K724" s="464" cm="1">
        <f t="array" ref="K724">IFERROR(INDEX(★原価率!$A$2:$E$50,MATCH($C724&amp;$H724,★原価率!$A$2:$A$50&amp;★原価率!$B$2:$B$50,0),5),0)</f>
        <v>100</v>
      </c>
      <c r="L724" s="528">
        <f>IFERROR(VLOOKUP(W724,★商品!$A$1:$H$1231,8,FALSE),0)</f>
        <v>2.8</v>
      </c>
      <c r="M724" s="203" t="str">
        <f ca="1">CONCATENATE(VLOOKUP(B724,★営業所!$A$2:$B$5,2,FALSE),TEXT(NOW(),"yyyy"))</f>
        <v>T2023</v>
      </c>
      <c r="N724" s="203">
        <v>1</v>
      </c>
      <c r="O724" s="203">
        <v>0</v>
      </c>
      <c r="P724" s="213">
        <f>申込書!$B$6</f>
        <v>0</v>
      </c>
      <c r="Q724" s="203">
        <f>申込書!$C$34</f>
        <v>1000040</v>
      </c>
      <c r="R724" s="203">
        <v>0</v>
      </c>
      <c r="U724" s="203">
        <f>VLOOKUP(B724,★営業所!$A$2:$C$5,3,FALSE)</f>
        <v>8</v>
      </c>
      <c r="V724" s="203">
        <f>申込書!$B$9</f>
        <v>0</v>
      </c>
      <c r="W724" s="203" t="str">
        <f>CONCATENATE(VLOOKUP(B724,★営業所!$A$2:$B$5,2,FALSE),VLOOKUP(申込書!$C$32,★サイズ表記!$D$4:$E$55,2,FALSE),VLOOKUP(D724,★折込地区!$A$2:$B$11,2,FALSE))</f>
        <v>T1001Yng</v>
      </c>
      <c r="X724" s="203" t="str">
        <f>CONCATENATE(申込書!$B$9," ",VLOOKUP(RIGHT(W724,3),★折込地区!$B$2:$C$10,2,FALSE),"")</f>
        <v xml:space="preserve"> 米子</v>
      </c>
      <c r="Z724" s="206">
        <f t="shared" ca="1" si="87"/>
        <v>0</v>
      </c>
      <c r="AB724" s="383">
        <f t="shared" si="88"/>
        <v>2.8</v>
      </c>
      <c r="AC724" s="203" t="str">
        <f t="shared" si="89"/>
        <v>M1001</v>
      </c>
      <c r="AD724" s="203" t="str">
        <f>VLOOKUP(AC724,★原価商品!$E$6:$F$349,2,FALSE)</f>
        <v>毎日/B4（折り無し）</v>
      </c>
      <c r="AE724" s="203">
        <f t="shared" ca="1" si="90"/>
        <v>0</v>
      </c>
      <c r="AF724" s="383">
        <f ca="1">IFERROR(IF(VLOOKUP(申込書!$C$32,★サイズ表記!$F$4:$H$55,3,FALSE)="切り捨て",ROUNDDOWN(L724*IF(AK724="◎",I724,J724)/100,2),IF(VLOOKUP(申込書!$C$32,★サイズ表記!$F$4:$H$55,3,FALSE)="切り上げ",ROUNDUP(L724*IF(AK724="◎",I724,J724)/100,2),ROUND(L724*IF(AK724="◎",I724,J724)/100,2))),0)</f>
        <v>2.38</v>
      </c>
      <c r="AG724" s="203">
        <f t="shared" ca="1" si="91"/>
        <v>0</v>
      </c>
      <c r="AJ724" s="460" t="str">
        <f>IFERROR(VLOOKUP(申込書!$C$30,★業種!$D$2:$E$87,2,FALSE),"")</f>
        <v>1003</v>
      </c>
      <c r="AK724" s="460" t="str">
        <f ca="1">IF(申込書!$C$36="◎",IF(OR(D724="浜坂・温泉",D724="美方・村岡",D724="香住",D724="岡山",D724="大阪"),"",IF(LEFT(F724)="D","◎",IF(AG724=0,"",IFERROR(IF(VLOOKUP(AG724,★仕入先!$A$2:$C$211,3,FALSE)=0,"","◎"),"")))),"")</f>
        <v/>
      </c>
      <c r="AL724" s="460">
        <f>申込書!$H$14</f>
        <v>0</v>
      </c>
      <c r="AM724" s="460" t="str">
        <f>申込書!$C$32</f>
        <v>B4（折り無し）</v>
      </c>
      <c r="AN724" s="460" t="str">
        <f>VLOOKUP(AM724,★サイズ表記!$D$4:$E$55,2,FALSE)</f>
        <v>1001</v>
      </c>
      <c r="AO724" s="460">
        <f>IF(C724&lt;&gt;"⑧兵庫",VLOOKUP(LEFT(F724),★新聞!$A$4:$B$12,2,FALSE),IF(LEFT(F724)&lt;&gt;"S",VLOOKUP(LEFT(F724),★新聞!$A$4:$B$12,2,FALSE),VLOOKUP("X",★新聞!$A$4:$B$12,2,FALSE)))</f>
        <v>4</v>
      </c>
      <c r="AP724" s="460" t="str">
        <f t="shared" ca="1" si="92"/>
        <v>0</v>
      </c>
      <c r="AQ724" s="460" t="str">
        <f>IF(申込書!$C$38="","",申込書!$C$38)</f>
        <v/>
      </c>
    </row>
    <row r="725" spans="1:43">
      <c r="A725" s="463">
        <f t="shared" si="93"/>
        <v>724</v>
      </c>
      <c r="B725" s="463" t="str">
        <f t="shared" si="86"/>
        <v>東部</v>
      </c>
      <c r="C725" s="464" t="s">
        <v>1019</v>
      </c>
      <c r="D725" s="464" t="s">
        <v>1603</v>
      </c>
      <c r="E725" s="464">
        <f>VLOOKUP(D725,★折込地区!$A$2:$D$10,4,FALSE)</f>
        <v>3</v>
      </c>
      <c r="F725" s="464" t="s">
        <v>459</v>
      </c>
      <c r="G725" s="464" t="str">
        <f>INDEX(★新聞!$E$4:$I$12, MATCH(LEFT(F725),★新聞!$A$4:$A$12,0), MATCH(LEFT(W725),★新聞!$E$3:$I$3,0))</f>
        <v>AG</v>
      </c>
      <c r="H725" s="555" t="s">
        <v>1102</v>
      </c>
      <c r="I725" s="464" cm="1">
        <f t="array" ref="I725">IFERROR(INDEX(★原価率!$A$2:$E$50,MATCH($C725&amp;$H725,★原価率!$A$2:$A$50&amp;★原価率!$B$2:$B$50,0),3),0)</f>
        <v>80</v>
      </c>
      <c r="J725" s="464" cm="1">
        <f t="array" ref="J725">IFERROR(INDEX(★原価率!$A$2:$E$50,MATCH($C725&amp;$H725,★原価率!$A$2:$A$50&amp;★原価率!$B$2:$B$50,0),4),0)</f>
        <v>84</v>
      </c>
      <c r="K725" s="464" cm="1">
        <f t="array" ref="K725">IFERROR(INDEX(★原価率!$A$2:$E$50,MATCH($C725&amp;$H725,★原価率!$A$2:$A$50&amp;★原価率!$B$2:$B$50,0),5),0)</f>
        <v>100</v>
      </c>
      <c r="L725" s="528">
        <f>IFERROR(VLOOKUP(W725,★商品!$A$1:$H$1231,8,FALSE),0)</f>
        <v>2.8</v>
      </c>
      <c r="M725" s="203" t="str">
        <f ca="1">CONCATENATE(VLOOKUP(B725,★営業所!$A$2:$B$5,2,FALSE),TEXT(NOW(),"yyyy"))</f>
        <v>T2023</v>
      </c>
      <c r="N725" s="203">
        <v>1</v>
      </c>
      <c r="O725" s="203">
        <v>0</v>
      </c>
      <c r="P725" s="213">
        <f>申込書!$B$6</f>
        <v>0</v>
      </c>
      <c r="Q725" s="203">
        <f>申込書!$C$34</f>
        <v>1000040</v>
      </c>
      <c r="R725" s="203">
        <v>0</v>
      </c>
      <c r="U725" s="203">
        <f>VLOOKUP(B725,★営業所!$A$2:$C$5,3,FALSE)</f>
        <v>8</v>
      </c>
      <c r="V725" s="203">
        <f>申込書!$B$9</f>
        <v>0</v>
      </c>
      <c r="W725" s="203" t="str">
        <f>CONCATENATE(VLOOKUP(B725,★営業所!$A$2:$B$5,2,FALSE),VLOOKUP(申込書!$C$32,★サイズ表記!$D$4:$E$55,2,FALSE),VLOOKUP(D725,★折込地区!$A$2:$B$11,2,FALSE))</f>
        <v>T1001Yng</v>
      </c>
      <c r="X725" s="203" t="str">
        <f>CONCATENATE(申込書!$B$9," ",VLOOKUP(RIGHT(W725,3),★折込地区!$B$2:$C$10,2,FALSE),"")</f>
        <v xml:space="preserve"> 米子</v>
      </c>
      <c r="Z725" s="206">
        <f t="shared" ca="1" si="87"/>
        <v>0</v>
      </c>
      <c r="AB725" s="383">
        <f t="shared" si="88"/>
        <v>2.8</v>
      </c>
      <c r="AC725" s="203" t="str">
        <f t="shared" si="89"/>
        <v>M1001</v>
      </c>
      <c r="AD725" s="203" t="str">
        <f>VLOOKUP(AC725,★原価商品!$E$6:$F$349,2,FALSE)</f>
        <v>毎日/B4（折り無し）</v>
      </c>
      <c r="AE725" s="203">
        <f t="shared" ca="1" si="90"/>
        <v>0</v>
      </c>
      <c r="AF725" s="383">
        <f ca="1">IFERROR(IF(VLOOKUP(申込書!$C$32,★サイズ表記!$F$4:$H$55,3,FALSE)="切り捨て",ROUNDDOWN(L725*IF(AK725="◎",I725,J725)/100,2),IF(VLOOKUP(申込書!$C$32,★サイズ表記!$F$4:$H$55,3,FALSE)="切り上げ",ROUNDUP(L725*IF(AK725="◎",I725,J725)/100,2),ROUND(L725*IF(AK725="◎",I725,J725)/100,2))),0)</f>
        <v>2.35</v>
      </c>
      <c r="AG725" s="203">
        <f t="shared" ca="1" si="91"/>
        <v>10561</v>
      </c>
      <c r="AJ725" s="460" t="str">
        <f>IFERROR(VLOOKUP(申込書!$C$30,★業種!$D$2:$E$87,2,FALSE),"")</f>
        <v>1003</v>
      </c>
      <c r="AK725" s="460" t="str">
        <f ca="1">IF(申込書!$C$36="◎",IF(OR(D725="浜坂・温泉",D725="美方・村岡",D725="香住",D725="岡山",D725="大阪"),"",IF(LEFT(F725)="D","◎",IF(AG725=0,"",IFERROR(IF(VLOOKUP(AG725,★仕入先!$A$2:$C$211,3,FALSE)=0,"","◎"),"")))),"")</f>
        <v/>
      </c>
      <c r="AL725" s="460">
        <f>申込書!$H$14</f>
        <v>0</v>
      </c>
      <c r="AM725" s="460" t="str">
        <f>申込書!$C$32</f>
        <v>B4（折り無し）</v>
      </c>
      <c r="AN725" s="460" t="str">
        <f>VLOOKUP(AM725,★サイズ表記!$D$4:$E$55,2,FALSE)</f>
        <v>1001</v>
      </c>
      <c r="AO725" s="460">
        <f>IF(C725&lt;&gt;"⑧兵庫",VLOOKUP(LEFT(F725),★新聞!$A$4:$B$12,2,FALSE),IF(LEFT(F725)&lt;&gt;"S",VLOOKUP(LEFT(F725),★新聞!$A$4:$B$12,2,FALSE),VLOOKUP("X",★新聞!$A$4:$B$12,2,FALSE)))</f>
        <v>4</v>
      </c>
      <c r="AP725" s="460" t="str">
        <f t="shared" ca="1" si="92"/>
        <v>0</v>
      </c>
      <c r="AQ725" s="460" t="str">
        <f>IF(申込書!$C$38="","",申込書!$C$38)</f>
        <v/>
      </c>
    </row>
    <row r="726" spans="1:43">
      <c r="A726" s="463">
        <f t="shared" si="93"/>
        <v>725</v>
      </c>
      <c r="B726" s="463" t="str">
        <f t="shared" si="86"/>
        <v>東部</v>
      </c>
      <c r="C726" s="464" t="s">
        <v>1019</v>
      </c>
      <c r="D726" s="464" t="s">
        <v>1603</v>
      </c>
      <c r="E726" s="464">
        <f>VLOOKUP(D726,★折込地区!$A$2:$D$10,4,FALSE)</f>
        <v>3</v>
      </c>
      <c r="F726" s="464" t="s">
        <v>460</v>
      </c>
      <c r="G726" s="464" t="str">
        <f>INDEX(★新聞!$E$4:$I$12, MATCH(LEFT(F726),★新聞!$A$4:$A$12,0), MATCH(LEFT(W726),★新聞!$E$3:$I$3,0))</f>
        <v>AG</v>
      </c>
      <c r="H726" s="475" t="s">
        <v>1104</v>
      </c>
      <c r="I726" s="464" cm="1">
        <f t="array" ref="I726">IFERROR(INDEX(★原価率!$A$2:$E$50,MATCH($C726&amp;$H726,★原価率!$A$2:$A$50&amp;★原価率!$B$2:$B$50,0),3),0)</f>
        <v>85</v>
      </c>
      <c r="J726" s="464" cm="1">
        <f t="array" ref="J726">IFERROR(INDEX(★原価率!$A$2:$E$50,MATCH($C726&amp;$H726,★原価率!$A$2:$A$50&amp;★原価率!$B$2:$B$50,0),4),0)</f>
        <v>85</v>
      </c>
      <c r="K726" s="464" cm="1">
        <f t="array" ref="K726">IFERROR(INDEX(★原価率!$A$2:$E$50,MATCH($C726&amp;$H726,★原価率!$A$2:$A$50&amp;★原価率!$B$2:$B$50,0),5),0)</f>
        <v>100</v>
      </c>
      <c r="L726" s="528">
        <f>IFERROR(VLOOKUP(W726,★商品!$A$1:$H$1231,8,FALSE),0)</f>
        <v>2.8</v>
      </c>
      <c r="M726" s="203" t="str">
        <f ca="1">CONCATENATE(VLOOKUP(B726,★営業所!$A$2:$B$5,2,FALSE),TEXT(NOW(),"yyyy"))</f>
        <v>T2023</v>
      </c>
      <c r="N726" s="203">
        <v>1</v>
      </c>
      <c r="O726" s="203">
        <v>0</v>
      </c>
      <c r="P726" s="213">
        <f>申込書!$B$6</f>
        <v>0</v>
      </c>
      <c r="Q726" s="203">
        <f>申込書!$C$34</f>
        <v>1000040</v>
      </c>
      <c r="R726" s="203">
        <v>0</v>
      </c>
      <c r="U726" s="203">
        <f>VLOOKUP(B726,★営業所!$A$2:$C$5,3,FALSE)</f>
        <v>8</v>
      </c>
      <c r="V726" s="203">
        <f>申込書!$B$9</f>
        <v>0</v>
      </c>
      <c r="W726" s="203" t="str">
        <f>CONCATENATE(VLOOKUP(B726,★営業所!$A$2:$B$5,2,FALSE),VLOOKUP(申込書!$C$32,★サイズ表記!$D$4:$E$55,2,FALSE),VLOOKUP(D726,★折込地区!$A$2:$B$11,2,FALSE))</f>
        <v>T1001Yng</v>
      </c>
      <c r="X726" s="203" t="str">
        <f>CONCATENATE(申込書!$B$9," ",VLOOKUP(RIGHT(W726,3),★折込地区!$B$2:$C$10,2,FALSE),"")</f>
        <v xml:space="preserve"> 米子</v>
      </c>
      <c r="Z726" s="206">
        <f t="shared" ca="1" si="87"/>
        <v>0</v>
      </c>
      <c r="AB726" s="383">
        <f t="shared" si="88"/>
        <v>2.8</v>
      </c>
      <c r="AC726" s="203" t="str">
        <f t="shared" si="89"/>
        <v>M1001</v>
      </c>
      <c r="AD726" s="203" t="str">
        <f>VLOOKUP(AC726,★原価商品!$E$6:$F$349,2,FALSE)</f>
        <v>毎日/B4（折り無し）</v>
      </c>
      <c r="AE726" s="203">
        <f t="shared" ca="1" si="90"/>
        <v>0</v>
      </c>
      <c r="AF726" s="383">
        <f ca="1">IFERROR(IF(VLOOKUP(申込書!$C$32,★サイズ表記!$F$4:$H$55,3,FALSE)="切り捨て",ROUNDDOWN(L726*IF(AK726="◎",I726,J726)/100,2),IF(VLOOKUP(申込書!$C$32,★サイズ表記!$F$4:$H$55,3,FALSE)="切り上げ",ROUNDUP(L726*IF(AK726="◎",I726,J726)/100,2),ROUND(L726*IF(AK726="◎",I726,J726)/100,2))),0)</f>
        <v>2.38</v>
      </c>
      <c r="AG726" s="203">
        <f t="shared" ca="1" si="91"/>
        <v>10561</v>
      </c>
      <c r="AJ726" s="460" t="str">
        <f>IFERROR(VLOOKUP(申込書!$C$30,★業種!$D$2:$E$87,2,FALSE),"")</f>
        <v>1003</v>
      </c>
      <c r="AK726" s="460" t="str">
        <f ca="1">IF(申込書!$C$36="◎",IF(OR(D726="浜坂・温泉",D726="美方・村岡",D726="香住",D726="岡山",D726="大阪"),"",IF(LEFT(F726)="D","◎",IF(AG726=0,"",IFERROR(IF(VLOOKUP(AG726,★仕入先!$A$2:$C$211,3,FALSE)=0,"","◎"),"")))),"")</f>
        <v/>
      </c>
      <c r="AL726" s="460">
        <f>申込書!$H$14</f>
        <v>0</v>
      </c>
      <c r="AM726" s="460" t="str">
        <f>申込書!$C$32</f>
        <v>B4（折り無し）</v>
      </c>
      <c r="AN726" s="460" t="str">
        <f>VLOOKUP(AM726,★サイズ表記!$D$4:$E$55,2,FALSE)</f>
        <v>1001</v>
      </c>
      <c r="AO726" s="460">
        <f>IF(C726&lt;&gt;"⑧兵庫",VLOOKUP(LEFT(F726),★新聞!$A$4:$B$12,2,FALSE),IF(LEFT(F726)&lt;&gt;"S",VLOOKUP(LEFT(F726),★新聞!$A$4:$B$12,2,FALSE),VLOOKUP("X",★新聞!$A$4:$B$12,2,FALSE)))</f>
        <v>4</v>
      </c>
      <c r="AP726" s="460" t="str">
        <f t="shared" ca="1" si="92"/>
        <v>0</v>
      </c>
      <c r="AQ726" s="460" t="str">
        <f>IF(申込書!$C$38="","",申込書!$C$38)</f>
        <v/>
      </c>
    </row>
    <row r="727" spans="1:43">
      <c r="A727" s="463">
        <f t="shared" si="93"/>
        <v>726</v>
      </c>
      <c r="B727" s="463" t="str">
        <f t="shared" si="86"/>
        <v>東部</v>
      </c>
      <c r="C727" s="464" t="s">
        <v>1019</v>
      </c>
      <c r="D727" s="464" t="s">
        <v>1603</v>
      </c>
      <c r="E727" s="464">
        <f>VLOOKUP(D727,★折込地区!$A$2:$D$10,4,FALSE)</f>
        <v>3</v>
      </c>
      <c r="F727" s="464" t="s">
        <v>461</v>
      </c>
      <c r="G727" s="464" t="str">
        <f>INDEX(★新聞!$E$4:$I$12, MATCH(LEFT(F727),★新聞!$A$4:$A$12,0), MATCH(LEFT(W727),★新聞!$E$3:$I$3,0))</f>
        <v>AG</v>
      </c>
      <c r="H727" s="555" t="s">
        <v>1102</v>
      </c>
      <c r="I727" s="464" cm="1">
        <f t="array" ref="I727">IFERROR(INDEX(★原価率!$A$2:$E$50,MATCH($C727&amp;$H727,★原価率!$A$2:$A$50&amp;★原価率!$B$2:$B$50,0),3),0)</f>
        <v>80</v>
      </c>
      <c r="J727" s="464" cm="1">
        <f t="array" ref="J727">IFERROR(INDEX(★原価率!$A$2:$E$50,MATCH($C727&amp;$H727,★原価率!$A$2:$A$50&amp;★原価率!$B$2:$B$50,0),4),0)</f>
        <v>84</v>
      </c>
      <c r="K727" s="464" cm="1">
        <f t="array" ref="K727">IFERROR(INDEX(★原価率!$A$2:$E$50,MATCH($C727&amp;$H727,★原価率!$A$2:$A$50&amp;★原価率!$B$2:$B$50,0),5),0)</f>
        <v>100</v>
      </c>
      <c r="L727" s="528">
        <f>IFERROR(VLOOKUP(W727,★商品!$A$1:$H$1231,8,FALSE),0)</f>
        <v>2.8</v>
      </c>
      <c r="M727" s="203" t="str">
        <f ca="1">CONCATENATE(VLOOKUP(B727,★営業所!$A$2:$B$5,2,FALSE),TEXT(NOW(),"yyyy"))</f>
        <v>T2023</v>
      </c>
      <c r="N727" s="203">
        <v>1</v>
      </c>
      <c r="O727" s="203">
        <v>0</v>
      </c>
      <c r="P727" s="213">
        <f>申込書!$B$6</f>
        <v>0</v>
      </c>
      <c r="Q727" s="203">
        <f>申込書!$C$34</f>
        <v>1000040</v>
      </c>
      <c r="R727" s="203">
        <v>0</v>
      </c>
      <c r="U727" s="203">
        <f>VLOOKUP(B727,★営業所!$A$2:$C$5,3,FALSE)</f>
        <v>8</v>
      </c>
      <c r="V727" s="203">
        <f>申込書!$B$9</f>
        <v>0</v>
      </c>
      <c r="W727" s="203" t="str">
        <f>CONCATENATE(VLOOKUP(B727,★営業所!$A$2:$B$5,2,FALSE),VLOOKUP(申込書!$C$32,★サイズ表記!$D$4:$E$55,2,FALSE),VLOOKUP(D727,★折込地区!$A$2:$B$11,2,FALSE))</f>
        <v>T1001Yng</v>
      </c>
      <c r="X727" s="203" t="str">
        <f>CONCATENATE(申込書!$B$9," ",VLOOKUP(RIGHT(W727,3),★折込地区!$B$2:$C$10,2,FALSE),"")</f>
        <v xml:space="preserve"> 米子</v>
      </c>
      <c r="Z727" s="206">
        <f t="shared" ca="1" si="87"/>
        <v>0</v>
      </c>
      <c r="AB727" s="383">
        <f t="shared" si="88"/>
        <v>2.8</v>
      </c>
      <c r="AC727" s="203" t="str">
        <f t="shared" si="89"/>
        <v>M1001</v>
      </c>
      <c r="AD727" s="203" t="str">
        <f>VLOOKUP(AC727,★原価商品!$E$6:$F$349,2,FALSE)</f>
        <v>毎日/B4（折り無し）</v>
      </c>
      <c r="AE727" s="203">
        <f t="shared" ca="1" si="90"/>
        <v>0</v>
      </c>
      <c r="AF727" s="383">
        <f ca="1">IFERROR(IF(VLOOKUP(申込書!$C$32,★サイズ表記!$F$4:$H$55,3,FALSE)="切り捨て",ROUNDDOWN(L727*IF(AK727="◎",I727,J727)/100,2),IF(VLOOKUP(申込書!$C$32,★サイズ表記!$F$4:$H$55,3,FALSE)="切り上げ",ROUNDUP(L727*IF(AK727="◎",I727,J727)/100,2),ROUND(L727*IF(AK727="◎",I727,J727)/100,2))),0)</f>
        <v>2.35</v>
      </c>
      <c r="AG727" s="203">
        <f t="shared" ca="1" si="91"/>
        <v>10561</v>
      </c>
      <c r="AJ727" s="460" t="str">
        <f>IFERROR(VLOOKUP(申込書!$C$30,★業種!$D$2:$E$87,2,FALSE),"")</f>
        <v>1003</v>
      </c>
      <c r="AK727" s="460" t="str">
        <f ca="1">IF(申込書!$C$36="◎",IF(OR(D727="浜坂・温泉",D727="美方・村岡",D727="香住",D727="岡山",D727="大阪"),"",IF(LEFT(F727)="D","◎",IF(AG727=0,"",IFERROR(IF(VLOOKUP(AG727,★仕入先!$A$2:$C$211,3,FALSE)=0,"","◎"),"")))),"")</f>
        <v/>
      </c>
      <c r="AL727" s="460">
        <f>申込書!$H$14</f>
        <v>0</v>
      </c>
      <c r="AM727" s="460" t="str">
        <f>申込書!$C$32</f>
        <v>B4（折り無し）</v>
      </c>
      <c r="AN727" s="460" t="str">
        <f>VLOOKUP(AM727,★サイズ表記!$D$4:$E$55,2,FALSE)</f>
        <v>1001</v>
      </c>
      <c r="AO727" s="460">
        <f>IF(C727&lt;&gt;"⑧兵庫",VLOOKUP(LEFT(F727),★新聞!$A$4:$B$12,2,FALSE),IF(LEFT(F727)&lt;&gt;"S",VLOOKUP(LEFT(F727),★新聞!$A$4:$B$12,2,FALSE),VLOOKUP("X",★新聞!$A$4:$B$12,2,FALSE)))</f>
        <v>4</v>
      </c>
      <c r="AP727" s="460" t="str">
        <f t="shared" ca="1" si="92"/>
        <v>0</v>
      </c>
      <c r="AQ727" s="460" t="str">
        <f>IF(申込書!$C$38="","",申込書!$C$38)</f>
        <v/>
      </c>
    </row>
    <row r="728" spans="1:43">
      <c r="A728" s="463">
        <f t="shared" si="93"/>
        <v>727</v>
      </c>
      <c r="B728" s="463" t="str">
        <f t="shared" si="86"/>
        <v>東部</v>
      </c>
      <c r="C728" s="464" t="s">
        <v>1019</v>
      </c>
      <c r="D728" s="464" t="s">
        <v>1603</v>
      </c>
      <c r="E728" s="464">
        <f>VLOOKUP(D728,★折込地区!$A$2:$D$10,4,FALSE)</f>
        <v>3</v>
      </c>
      <c r="F728" s="464" t="s">
        <v>462</v>
      </c>
      <c r="G728" s="464" t="str">
        <f>INDEX(★新聞!$E$4:$I$12, MATCH(LEFT(F728),★新聞!$A$4:$A$12,0), MATCH(LEFT(W728),★新聞!$E$3:$I$3,0))</f>
        <v>AG</v>
      </c>
      <c r="H728" s="555" t="s">
        <v>1102</v>
      </c>
      <c r="I728" s="464" cm="1">
        <f t="array" ref="I728">IFERROR(INDEX(★原価率!$A$2:$E$50,MATCH($C728&amp;$H728,★原価率!$A$2:$A$50&amp;★原価率!$B$2:$B$50,0),3),0)</f>
        <v>80</v>
      </c>
      <c r="J728" s="464" cm="1">
        <f t="array" ref="J728">IFERROR(INDEX(★原価率!$A$2:$E$50,MATCH($C728&amp;$H728,★原価率!$A$2:$A$50&amp;★原価率!$B$2:$B$50,0),4),0)</f>
        <v>84</v>
      </c>
      <c r="K728" s="464" cm="1">
        <f t="array" ref="K728">IFERROR(INDEX(★原価率!$A$2:$E$50,MATCH($C728&amp;$H728,★原価率!$A$2:$A$50&amp;★原価率!$B$2:$B$50,0),5),0)</f>
        <v>100</v>
      </c>
      <c r="L728" s="528">
        <f>IFERROR(VLOOKUP(W728,★商品!$A$1:$H$1231,8,FALSE),0)</f>
        <v>2.8</v>
      </c>
      <c r="M728" s="203" t="str">
        <f ca="1">CONCATENATE(VLOOKUP(B728,★営業所!$A$2:$B$5,2,FALSE),TEXT(NOW(),"yyyy"))</f>
        <v>T2023</v>
      </c>
      <c r="N728" s="203">
        <v>1</v>
      </c>
      <c r="O728" s="203">
        <v>0</v>
      </c>
      <c r="P728" s="213">
        <f>申込書!$B$6</f>
        <v>0</v>
      </c>
      <c r="Q728" s="203">
        <f>申込書!$C$34</f>
        <v>1000040</v>
      </c>
      <c r="R728" s="203">
        <v>0</v>
      </c>
      <c r="U728" s="203">
        <f>VLOOKUP(B728,★営業所!$A$2:$C$5,3,FALSE)</f>
        <v>8</v>
      </c>
      <c r="V728" s="203">
        <f>申込書!$B$9</f>
        <v>0</v>
      </c>
      <c r="W728" s="203" t="str">
        <f>CONCATENATE(VLOOKUP(B728,★営業所!$A$2:$B$5,2,FALSE),VLOOKUP(申込書!$C$32,★サイズ表記!$D$4:$E$55,2,FALSE),VLOOKUP(D728,★折込地区!$A$2:$B$11,2,FALSE))</f>
        <v>T1001Yng</v>
      </c>
      <c r="X728" s="203" t="str">
        <f>CONCATENATE(申込書!$B$9," ",VLOOKUP(RIGHT(W728,3),★折込地区!$B$2:$C$10,2,FALSE),"")</f>
        <v xml:space="preserve"> 米子</v>
      </c>
      <c r="Z728" s="206">
        <f t="shared" ca="1" si="87"/>
        <v>0</v>
      </c>
      <c r="AB728" s="383">
        <f t="shared" si="88"/>
        <v>2.8</v>
      </c>
      <c r="AC728" s="203" t="str">
        <f t="shared" si="89"/>
        <v>M1001</v>
      </c>
      <c r="AD728" s="203" t="str">
        <f>VLOOKUP(AC728,★原価商品!$E$6:$F$349,2,FALSE)</f>
        <v>毎日/B4（折り無し）</v>
      </c>
      <c r="AE728" s="203">
        <f t="shared" ca="1" si="90"/>
        <v>0</v>
      </c>
      <c r="AF728" s="383">
        <f ca="1">IFERROR(IF(VLOOKUP(申込書!$C$32,★サイズ表記!$F$4:$H$55,3,FALSE)="切り捨て",ROUNDDOWN(L728*IF(AK728="◎",I728,J728)/100,2),IF(VLOOKUP(申込書!$C$32,★サイズ表記!$F$4:$H$55,3,FALSE)="切り上げ",ROUNDUP(L728*IF(AK728="◎",I728,J728)/100,2),ROUND(L728*IF(AK728="◎",I728,J728)/100,2))),0)</f>
        <v>2.35</v>
      </c>
      <c r="AG728" s="203">
        <f t="shared" ca="1" si="91"/>
        <v>10561</v>
      </c>
      <c r="AJ728" s="460" t="str">
        <f>IFERROR(VLOOKUP(申込書!$C$30,★業種!$D$2:$E$87,2,FALSE),"")</f>
        <v>1003</v>
      </c>
      <c r="AK728" s="460" t="str">
        <f ca="1">IF(申込書!$C$36="◎",IF(OR(D728="浜坂・温泉",D728="美方・村岡",D728="香住",D728="岡山",D728="大阪"),"",IF(LEFT(F728)="D","◎",IF(AG728=0,"",IFERROR(IF(VLOOKUP(AG728,★仕入先!$A$2:$C$211,3,FALSE)=0,"","◎"),"")))),"")</f>
        <v/>
      </c>
      <c r="AL728" s="460">
        <f>申込書!$H$14</f>
        <v>0</v>
      </c>
      <c r="AM728" s="460" t="str">
        <f>申込書!$C$32</f>
        <v>B4（折り無し）</v>
      </c>
      <c r="AN728" s="460" t="str">
        <f>VLOOKUP(AM728,★サイズ表記!$D$4:$E$55,2,FALSE)</f>
        <v>1001</v>
      </c>
      <c r="AO728" s="460">
        <f>IF(C728&lt;&gt;"⑧兵庫",VLOOKUP(LEFT(F728),★新聞!$A$4:$B$12,2,FALSE),IF(LEFT(F728)&lt;&gt;"S",VLOOKUP(LEFT(F728),★新聞!$A$4:$B$12,2,FALSE),VLOOKUP("X",★新聞!$A$4:$B$12,2,FALSE)))</f>
        <v>4</v>
      </c>
      <c r="AP728" s="460" t="str">
        <f t="shared" ca="1" si="92"/>
        <v>0</v>
      </c>
      <c r="AQ728" s="460" t="str">
        <f>IF(申込書!$C$38="","",申込書!$C$38)</f>
        <v/>
      </c>
    </row>
    <row r="729" spans="1:43">
      <c r="A729" s="463">
        <f t="shared" si="93"/>
        <v>728</v>
      </c>
      <c r="B729" s="463" t="str">
        <f t="shared" si="86"/>
        <v>東部</v>
      </c>
      <c r="C729" s="464" t="s">
        <v>1019</v>
      </c>
      <c r="D729" s="464" t="s">
        <v>1603</v>
      </c>
      <c r="E729" s="464">
        <f>VLOOKUP(D729,★折込地区!$A$2:$D$10,4,FALSE)</f>
        <v>3</v>
      </c>
      <c r="F729" s="464" t="s">
        <v>463</v>
      </c>
      <c r="G729" s="464" t="str">
        <f>INDEX(★新聞!$E$4:$I$12, MATCH(LEFT(F729),★新聞!$A$4:$A$12,0), MATCH(LEFT(W729),★新聞!$E$3:$I$3,0))</f>
        <v>AG</v>
      </c>
      <c r="H729" s="555" t="s">
        <v>1102</v>
      </c>
      <c r="I729" s="464" cm="1">
        <f t="array" ref="I729">IFERROR(INDEX(★原価率!$A$2:$E$50,MATCH($C729&amp;$H729,★原価率!$A$2:$A$50&amp;★原価率!$B$2:$B$50,0),3),0)</f>
        <v>80</v>
      </c>
      <c r="J729" s="464" cm="1">
        <f t="array" ref="J729">IFERROR(INDEX(★原価率!$A$2:$E$50,MATCH($C729&amp;$H729,★原価率!$A$2:$A$50&amp;★原価率!$B$2:$B$50,0),4),0)</f>
        <v>84</v>
      </c>
      <c r="K729" s="464" cm="1">
        <f t="array" ref="K729">IFERROR(INDEX(★原価率!$A$2:$E$50,MATCH($C729&amp;$H729,★原価率!$A$2:$A$50&amp;★原価率!$B$2:$B$50,0),5),0)</f>
        <v>100</v>
      </c>
      <c r="L729" s="528">
        <f>IFERROR(VLOOKUP(W729,★商品!$A$1:$H$1231,8,FALSE),0)</f>
        <v>2.8</v>
      </c>
      <c r="M729" s="203" t="str">
        <f ca="1">CONCATENATE(VLOOKUP(B729,★営業所!$A$2:$B$5,2,FALSE),TEXT(NOW(),"yyyy"))</f>
        <v>T2023</v>
      </c>
      <c r="N729" s="203">
        <v>1</v>
      </c>
      <c r="O729" s="203">
        <v>0</v>
      </c>
      <c r="P729" s="213">
        <f>申込書!$B$6</f>
        <v>0</v>
      </c>
      <c r="Q729" s="203">
        <f>申込書!$C$34</f>
        <v>1000040</v>
      </c>
      <c r="R729" s="203">
        <v>0</v>
      </c>
      <c r="U729" s="203">
        <f>VLOOKUP(B729,★営業所!$A$2:$C$5,3,FALSE)</f>
        <v>8</v>
      </c>
      <c r="V729" s="203">
        <f>申込書!$B$9</f>
        <v>0</v>
      </c>
      <c r="W729" s="203" t="str">
        <f>CONCATENATE(VLOOKUP(B729,★営業所!$A$2:$B$5,2,FALSE),VLOOKUP(申込書!$C$32,★サイズ表記!$D$4:$E$55,2,FALSE),VLOOKUP(D729,★折込地区!$A$2:$B$11,2,FALSE))</f>
        <v>T1001Yng</v>
      </c>
      <c r="X729" s="203" t="str">
        <f>CONCATENATE(申込書!$B$9," ",VLOOKUP(RIGHT(W729,3),★折込地区!$B$2:$C$10,2,FALSE),"")</f>
        <v xml:space="preserve"> 米子</v>
      </c>
      <c r="Z729" s="206">
        <f t="shared" ca="1" si="87"/>
        <v>0</v>
      </c>
      <c r="AB729" s="383">
        <f t="shared" si="88"/>
        <v>2.8</v>
      </c>
      <c r="AC729" s="203" t="str">
        <f t="shared" si="89"/>
        <v>M1001</v>
      </c>
      <c r="AD729" s="203" t="str">
        <f>VLOOKUP(AC729,★原価商品!$E$6:$F$349,2,FALSE)</f>
        <v>毎日/B4（折り無し）</v>
      </c>
      <c r="AE729" s="203">
        <f t="shared" ca="1" si="90"/>
        <v>0</v>
      </c>
      <c r="AF729" s="383">
        <f ca="1">IFERROR(IF(VLOOKUP(申込書!$C$32,★サイズ表記!$F$4:$H$55,3,FALSE)="切り捨て",ROUNDDOWN(L729*IF(AK729="◎",I729,J729)/100,2),IF(VLOOKUP(申込書!$C$32,★サイズ表記!$F$4:$H$55,3,FALSE)="切り上げ",ROUNDUP(L729*IF(AK729="◎",I729,J729)/100,2),ROUND(L729*IF(AK729="◎",I729,J729)/100,2))),0)</f>
        <v>2.35</v>
      </c>
      <c r="AG729" s="203">
        <f t="shared" ca="1" si="91"/>
        <v>10561</v>
      </c>
      <c r="AJ729" s="460" t="str">
        <f>IFERROR(VLOOKUP(申込書!$C$30,★業種!$D$2:$E$87,2,FALSE),"")</f>
        <v>1003</v>
      </c>
      <c r="AK729" s="460" t="str">
        <f ca="1">IF(申込書!$C$36="◎",IF(OR(D729="浜坂・温泉",D729="美方・村岡",D729="香住",D729="岡山",D729="大阪"),"",IF(LEFT(F729)="D","◎",IF(AG729=0,"",IFERROR(IF(VLOOKUP(AG729,★仕入先!$A$2:$C$211,3,FALSE)=0,"","◎"),"")))),"")</f>
        <v/>
      </c>
      <c r="AL729" s="460">
        <f>申込書!$H$14</f>
        <v>0</v>
      </c>
      <c r="AM729" s="460" t="str">
        <f>申込書!$C$32</f>
        <v>B4（折り無し）</v>
      </c>
      <c r="AN729" s="460" t="str">
        <f>VLOOKUP(AM729,★サイズ表記!$D$4:$E$55,2,FALSE)</f>
        <v>1001</v>
      </c>
      <c r="AO729" s="460">
        <f>IF(C729&lt;&gt;"⑧兵庫",VLOOKUP(LEFT(F729),★新聞!$A$4:$B$12,2,FALSE),IF(LEFT(F729)&lt;&gt;"S",VLOOKUP(LEFT(F729),★新聞!$A$4:$B$12,2,FALSE),VLOOKUP("X",★新聞!$A$4:$B$12,2,FALSE)))</f>
        <v>4</v>
      </c>
      <c r="AP729" s="460" t="str">
        <f t="shared" ca="1" si="92"/>
        <v>0</v>
      </c>
      <c r="AQ729" s="460" t="str">
        <f>IF(申込書!$C$38="","",申込書!$C$38)</f>
        <v/>
      </c>
    </row>
    <row r="730" spans="1:43">
      <c r="A730" s="463">
        <f t="shared" si="93"/>
        <v>729</v>
      </c>
      <c r="B730" s="463" t="str">
        <f t="shared" si="86"/>
        <v>東部</v>
      </c>
      <c r="C730" s="464" t="s">
        <v>1019</v>
      </c>
      <c r="D730" s="464" t="s">
        <v>1603</v>
      </c>
      <c r="E730" s="464">
        <f>VLOOKUP(D730,★折込地区!$A$2:$D$10,4,FALSE)</f>
        <v>3</v>
      </c>
      <c r="F730" s="464" t="s">
        <v>464</v>
      </c>
      <c r="G730" s="464" t="str">
        <f>INDEX(★新聞!$E$4:$I$12, MATCH(LEFT(F730),★新聞!$A$4:$A$12,0), MATCH(LEFT(W730),★新聞!$E$3:$I$3,0))</f>
        <v>AG</v>
      </c>
      <c r="H730" s="555" t="s">
        <v>1102</v>
      </c>
      <c r="I730" s="464" cm="1">
        <f t="array" ref="I730">IFERROR(INDEX(★原価率!$A$2:$E$50,MATCH($C730&amp;$H730,★原価率!$A$2:$A$50&amp;★原価率!$B$2:$B$50,0),3),0)</f>
        <v>80</v>
      </c>
      <c r="J730" s="464" cm="1">
        <f t="array" ref="J730">IFERROR(INDEX(★原価率!$A$2:$E$50,MATCH($C730&amp;$H730,★原価率!$A$2:$A$50&amp;★原価率!$B$2:$B$50,0),4),0)</f>
        <v>84</v>
      </c>
      <c r="K730" s="464" cm="1">
        <f t="array" ref="K730">IFERROR(INDEX(★原価率!$A$2:$E$50,MATCH($C730&amp;$H730,★原価率!$A$2:$A$50&amp;★原価率!$B$2:$B$50,0),5),0)</f>
        <v>100</v>
      </c>
      <c r="L730" s="528">
        <f>IFERROR(VLOOKUP(W730,★商品!$A$1:$H$1231,8,FALSE),0)</f>
        <v>2.8</v>
      </c>
      <c r="M730" s="203" t="str">
        <f ca="1">CONCATENATE(VLOOKUP(B730,★営業所!$A$2:$B$5,2,FALSE),TEXT(NOW(),"yyyy"))</f>
        <v>T2023</v>
      </c>
      <c r="N730" s="203">
        <v>1</v>
      </c>
      <c r="O730" s="203">
        <v>0</v>
      </c>
      <c r="P730" s="213">
        <f>申込書!$B$6</f>
        <v>0</v>
      </c>
      <c r="Q730" s="203">
        <f>申込書!$C$34</f>
        <v>1000040</v>
      </c>
      <c r="R730" s="203">
        <v>0</v>
      </c>
      <c r="U730" s="203">
        <f>VLOOKUP(B730,★営業所!$A$2:$C$5,3,FALSE)</f>
        <v>8</v>
      </c>
      <c r="V730" s="203">
        <f>申込書!$B$9</f>
        <v>0</v>
      </c>
      <c r="W730" s="203" t="str">
        <f>CONCATENATE(VLOOKUP(B730,★営業所!$A$2:$B$5,2,FALSE),VLOOKUP(申込書!$C$32,★サイズ表記!$D$4:$E$55,2,FALSE),VLOOKUP(D730,★折込地区!$A$2:$B$11,2,FALSE))</f>
        <v>T1001Yng</v>
      </c>
      <c r="X730" s="203" t="str">
        <f>CONCATENATE(申込書!$B$9," ",VLOOKUP(RIGHT(W730,3),★折込地区!$B$2:$C$10,2,FALSE),"")</f>
        <v xml:space="preserve"> 米子</v>
      </c>
      <c r="Z730" s="206">
        <f t="shared" ca="1" si="87"/>
        <v>0</v>
      </c>
      <c r="AB730" s="383">
        <f t="shared" si="88"/>
        <v>2.8</v>
      </c>
      <c r="AC730" s="203" t="str">
        <f t="shared" si="89"/>
        <v>M1001</v>
      </c>
      <c r="AD730" s="203" t="str">
        <f>VLOOKUP(AC730,★原価商品!$E$6:$F$349,2,FALSE)</f>
        <v>毎日/B4（折り無し）</v>
      </c>
      <c r="AE730" s="203">
        <f t="shared" ca="1" si="90"/>
        <v>0</v>
      </c>
      <c r="AF730" s="383">
        <f ca="1">IFERROR(IF(VLOOKUP(申込書!$C$32,★サイズ表記!$F$4:$H$55,3,FALSE)="切り捨て",ROUNDDOWN(L730*IF(AK730="◎",I730,J730)/100,2),IF(VLOOKUP(申込書!$C$32,★サイズ表記!$F$4:$H$55,3,FALSE)="切り上げ",ROUNDUP(L730*IF(AK730="◎",I730,J730)/100,2),ROUND(L730*IF(AK730="◎",I730,J730)/100,2))),0)</f>
        <v>2.35</v>
      </c>
      <c r="AG730" s="203">
        <f t="shared" ca="1" si="91"/>
        <v>10561</v>
      </c>
      <c r="AJ730" s="460" t="str">
        <f>IFERROR(VLOOKUP(申込書!$C$30,★業種!$D$2:$E$87,2,FALSE),"")</f>
        <v>1003</v>
      </c>
      <c r="AK730" s="460" t="str">
        <f ca="1">IF(申込書!$C$36="◎",IF(OR(D730="浜坂・温泉",D730="美方・村岡",D730="香住",D730="岡山",D730="大阪"),"",IF(LEFT(F730)="D","◎",IF(AG730=0,"",IFERROR(IF(VLOOKUP(AG730,★仕入先!$A$2:$C$211,3,FALSE)=0,"","◎"),"")))),"")</f>
        <v/>
      </c>
      <c r="AL730" s="460">
        <f>申込書!$H$14</f>
        <v>0</v>
      </c>
      <c r="AM730" s="460" t="str">
        <f>申込書!$C$32</f>
        <v>B4（折り無し）</v>
      </c>
      <c r="AN730" s="460" t="str">
        <f>VLOOKUP(AM730,★サイズ表記!$D$4:$E$55,2,FALSE)</f>
        <v>1001</v>
      </c>
      <c r="AO730" s="460">
        <f>IF(C730&lt;&gt;"⑧兵庫",VLOOKUP(LEFT(F730),★新聞!$A$4:$B$12,2,FALSE),IF(LEFT(F730)&lt;&gt;"S",VLOOKUP(LEFT(F730),★新聞!$A$4:$B$12,2,FALSE),VLOOKUP("X",★新聞!$A$4:$B$12,2,FALSE)))</f>
        <v>4</v>
      </c>
      <c r="AP730" s="460" t="str">
        <f t="shared" ca="1" si="92"/>
        <v>0</v>
      </c>
      <c r="AQ730" s="460" t="str">
        <f>IF(申込書!$C$38="","",申込書!$C$38)</f>
        <v/>
      </c>
    </row>
    <row r="731" spans="1:43">
      <c r="A731" s="463">
        <f t="shared" si="93"/>
        <v>730</v>
      </c>
      <c r="B731" s="463" t="str">
        <f t="shared" si="86"/>
        <v>東部</v>
      </c>
      <c r="C731" s="464" t="s">
        <v>1019</v>
      </c>
      <c r="D731" s="464" t="s">
        <v>1603</v>
      </c>
      <c r="E731" s="464">
        <f>VLOOKUP(D731,★折込地区!$A$2:$D$10,4,FALSE)</f>
        <v>3</v>
      </c>
      <c r="F731" s="464" t="s">
        <v>465</v>
      </c>
      <c r="G731" s="464" t="str">
        <f>INDEX(★新聞!$E$4:$I$12, MATCH(LEFT(F731),★新聞!$A$4:$A$12,0), MATCH(LEFT(W731),★新聞!$E$3:$I$3,0))</f>
        <v>AG</v>
      </c>
      <c r="H731" s="555" t="s">
        <v>1102</v>
      </c>
      <c r="I731" s="464" cm="1">
        <f t="array" ref="I731">IFERROR(INDEX(★原価率!$A$2:$E$50,MATCH($C731&amp;$H731,★原価率!$A$2:$A$50&amp;★原価率!$B$2:$B$50,0),3),0)</f>
        <v>80</v>
      </c>
      <c r="J731" s="464" cm="1">
        <f t="array" ref="J731">IFERROR(INDEX(★原価率!$A$2:$E$50,MATCH($C731&amp;$H731,★原価率!$A$2:$A$50&amp;★原価率!$B$2:$B$50,0),4),0)</f>
        <v>84</v>
      </c>
      <c r="K731" s="464" cm="1">
        <f t="array" ref="K731">IFERROR(INDEX(★原価率!$A$2:$E$50,MATCH($C731&amp;$H731,★原価率!$A$2:$A$50&amp;★原価率!$B$2:$B$50,0),5),0)</f>
        <v>100</v>
      </c>
      <c r="L731" s="528">
        <f>IFERROR(VLOOKUP(W731,★商品!$A$1:$H$1231,8,FALSE),0)</f>
        <v>2.8</v>
      </c>
      <c r="M731" s="203" t="str">
        <f ca="1">CONCATENATE(VLOOKUP(B731,★営業所!$A$2:$B$5,2,FALSE),TEXT(NOW(),"yyyy"))</f>
        <v>T2023</v>
      </c>
      <c r="N731" s="203">
        <v>1</v>
      </c>
      <c r="O731" s="203">
        <v>0</v>
      </c>
      <c r="P731" s="213">
        <f>申込書!$B$6</f>
        <v>0</v>
      </c>
      <c r="Q731" s="203">
        <f>申込書!$C$34</f>
        <v>1000040</v>
      </c>
      <c r="R731" s="203">
        <v>0</v>
      </c>
      <c r="U731" s="203">
        <f>VLOOKUP(B731,★営業所!$A$2:$C$5,3,FALSE)</f>
        <v>8</v>
      </c>
      <c r="V731" s="203">
        <f>申込書!$B$9</f>
        <v>0</v>
      </c>
      <c r="W731" s="203" t="str">
        <f>CONCATENATE(VLOOKUP(B731,★営業所!$A$2:$B$5,2,FALSE),VLOOKUP(申込書!$C$32,★サイズ表記!$D$4:$E$55,2,FALSE),VLOOKUP(D731,★折込地区!$A$2:$B$11,2,FALSE))</f>
        <v>T1001Yng</v>
      </c>
      <c r="X731" s="203" t="str">
        <f>CONCATENATE(申込書!$B$9," ",VLOOKUP(RIGHT(W731,3),★折込地区!$B$2:$C$10,2,FALSE),"")</f>
        <v xml:space="preserve"> 米子</v>
      </c>
      <c r="Z731" s="206">
        <f t="shared" ca="1" si="87"/>
        <v>0</v>
      </c>
      <c r="AB731" s="383">
        <f t="shared" si="88"/>
        <v>2.8</v>
      </c>
      <c r="AC731" s="203" t="str">
        <f t="shared" si="89"/>
        <v>M1001</v>
      </c>
      <c r="AD731" s="203" t="str">
        <f>VLOOKUP(AC731,★原価商品!$E$6:$F$349,2,FALSE)</f>
        <v>毎日/B4（折り無し）</v>
      </c>
      <c r="AE731" s="203">
        <f t="shared" ca="1" si="90"/>
        <v>0</v>
      </c>
      <c r="AF731" s="383">
        <f ca="1">IFERROR(IF(VLOOKUP(申込書!$C$32,★サイズ表記!$F$4:$H$55,3,FALSE)="切り捨て",ROUNDDOWN(L731*IF(AK731="◎",I731,J731)/100,2),IF(VLOOKUP(申込書!$C$32,★サイズ表記!$F$4:$H$55,3,FALSE)="切り上げ",ROUNDUP(L731*IF(AK731="◎",I731,J731)/100,2),ROUND(L731*IF(AK731="◎",I731,J731)/100,2))),0)</f>
        <v>2.35</v>
      </c>
      <c r="AG731" s="203">
        <f t="shared" ca="1" si="91"/>
        <v>10561</v>
      </c>
      <c r="AJ731" s="460" t="str">
        <f>IFERROR(VLOOKUP(申込書!$C$30,★業種!$D$2:$E$87,2,FALSE),"")</f>
        <v>1003</v>
      </c>
      <c r="AK731" s="460" t="str">
        <f ca="1">IF(申込書!$C$36="◎",IF(OR(D731="浜坂・温泉",D731="美方・村岡",D731="香住",D731="岡山",D731="大阪"),"",IF(LEFT(F731)="D","◎",IF(AG731=0,"",IFERROR(IF(VLOOKUP(AG731,★仕入先!$A$2:$C$211,3,FALSE)=0,"","◎"),"")))),"")</f>
        <v/>
      </c>
      <c r="AL731" s="460">
        <f>申込書!$H$14</f>
        <v>0</v>
      </c>
      <c r="AM731" s="460" t="str">
        <f>申込書!$C$32</f>
        <v>B4（折り無し）</v>
      </c>
      <c r="AN731" s="460" t="str">
        <f>VLOOKUP(AM731,★サイズ表記!$D$4:$E$55,2,FALSE)</f>
        <v>1001</v>
      </c>
      <c r="AO731" s="460">
        <f>IF(C731&lt;&gt;"⑧兵庫",VLOOKUP(LEFT(F731),★新聞!$A$4:$B$12,2,FALSE),IF(LEFT(F731)&lt;&gt;"S",VLOOKUP(LEFT(F731),★新聞!$A$4:$B$12,2,FALSE),VLOOKUP("X",★新聞!$A$4:$B$12,2,FALSE)))</f>
        <v>4</v>
      </c>
      <c r="AP731" s="460" t="str">
        <f t="shared" ca="1" si="92"/>
        <v>0</v>
      </c>
      <c r="AQ731" s="460" t="str">
        <f>IF(申込書!$C$38="","",申込書!$C$38)</f>
        <v/>
      </c>
    </row>
    <row r="732" spans="1:43">
      <c r="A732" s="463">
        <f t="shared" si="93"/>
        <v>731</v>
      </c>
      <c r="B732" s="463" t="str">
        <f t="shared" si="86"/>
        <v>東部</v>
      </c>
      <c r="C732" s="464" t="s">
        <v>1019</v>
      </c>
      <c r="D732" s="464" t="s">
        <v>1603</v>
      </c>
      <c r="E732" s="464">
        <f>VLOOKUP(D732,★折込地区!$A$2:$D$10,4,FALSE)</f>
        <v>3</v>
      </c>
      <c r="F732" s="464" t="s">
        <v>466</v>
      </c>
      <c r="G732" s="464" t="str">
        <f>INDEX(★新聞!$E$4:$I$12, MATCH(LEFT(F732),★新聞!$A$4:$A$12,0), MATCH(LEFT(W732),★新聞!$E$3:$I$3,0))</f>
        <v>AG</v>
      </c>
      <c r="H732" s="475" t="s">
        <v>1104</v>
      </c>
      <c r="I732" s="464" cm="1">
        <f t="array" ref="I732">IFERROR(INDEX(★原価率!$A$2:$E$50,MATCH($C732&amp;$H732,★原価率!$A$2:$A$50&amp;★原価率!$B$2:$B$50,0),3),0)</f>
        <v>85</v>
      </c>
      <c r="J732" s="464" cm="1">
        <f t="array" ref="J732">IFERROR(INDEX(★原価率!$A$2:$E$50,MATCH($C732&amp;$H732,★原価率!$A$2:$A$50&amp;★原価率!$B$2:$B$50,0),4),0)</f>
        <v>85</v>
      </c>
      <c r="K732" s="464" cm="1">
        <f t="array" ref="K732">IFERROR(INDEX(★原価率!$A$2:$E$50,MATCH($C732&amp;$H732,★原価率!$A$2:$A$50&amp;★原価率!$B$2:$B$50,0),5),0)</f>
        <v>100</v>
      </c>
      <c r="L732" s="528">
        <f>IFERROR(VLOOKUP(W732,★商品!$A$1:$H$1231,8,FALSE),0)</f>
        <v>2.8</v>
      </c>
      <c r="M732" s="203" t="str">
        <f ca="1">CONCATENATE(VLOOKUP(B732,★営業所!$A$2:$B$5,2,FALSE),TEXT(NOW(),"yyyy"))</f>
        <v>T2023</v>
      </c>
      <c r="N732" s="203">
        <v>1</v>
      </c>
      <c r="O732" s="203">
        <v>0</v>
      </c>
      <c r="P732" s="213">
        <f>申込書!$B$6</f>
        <v>0</v>
      </c>
      <c r="Q732" s="203">
        <f>申込書!$C$34</f>
        <v>1000040</v>
      </c>
      <c r="R732" s="203">
        <v>0</v>
      </c>
      <c r="U732" s="203">
        <f>VLOOKUP(B732,★営業所!$A$2:$C$5,3,FALSE)</f>
        <v>8</v>
      </c>
      <c r="V732" s="203">
        <f>申込書!$B$9</f>
        <v>0</v>
      </c>
      <c r="W732" s="203" t="str">
        <f>CONCATENATE(VLOOKUP(B732,★営業所!$A$2:$B$5,2,FALSE),VLOOKUP(申込書!$C$32,★サイズ表記!$D$4:$E$55,2,FALSE),VLOOKUP(D732,★折込地区!$A$2:$B$11,2,FALSE))</f>
        <v>T1001Yng</v>
      </c>
      <c r="X732" s="203" t="str">
        <f>CONCATENATE(申込書!$B$9," ",VLOOKUP(RIGHT(W732,3),★折込地区!$B$2:$C$10,2,FALSE),"")</f>
        <v xml:space="preserve"> 米子</v>
      </c>
      <c r="Z732" s="206">
        <f t="shared" ca="1" si="87"/>
        <v>0</v>
      </c>
      <c r="AB732" s="383">
        <f t="shared" si="88"/>
        <v>2.8</v>
      </c>
      <c r="AC732" s="203" t="str">
        <f t="shared" si="89"/>
        <v>M1001</v>
      </c>
      <c r="AD732" s="203" t="str">
        <f>VLOOKUP(AC732,★原価商品!$E$6:$F$349,2,FALSE)</f>
        <v>毎日/B4（折り無し）</v>
      </c>
      <c r="AE732" s="203">
        <f t="shared" ca="1" si="90"/>
        <v>0</v>
      </c>
      <c r="AF732" s="383">
        <f ca="1">IFERROR(IF(VLOOKUP(申込書!$C$32,★サイズ表記!$F$4:$H$55,3,FALSE)="切り捨て",ROUNDDOWN(L732*IF(AK732="◎",I732,J732)/100,2),IF(VLOOKUP(申込書!$C$32,★サイズ表記!$F$4:$H$55,3,FALSE)="切り上げ",ROUNDUP(L732*IF(AK732="◎",I732,J732)/100,2),ROUND(L732*IF(AK732="◎",I732,J732)/100,2))),0)</f>
        <v>2.38</v>
      </c>
      <c r="AG732" s="203">
        <f t="shared" ca="1" si="91"/>
        <v>0</v>
      </c>
      <c r="AJ732" s="460" t="str">
        <f>IFERROR(VLOOKUP(申込書!$C$30,★業種!$D$2:$E$87,2,FALSE),"")</f>
        <v>1003</v>
      </c>
      <c r="AK732" s="460" t="str">
        <f ca="1">IF(申込書!$C$36="◎",IF(OR(D732="浜坂・温泉",D732="美方・村岡",D732="香住",D732="岡山",D732="大阪"),"",IF(LEFT(F732)="D","◎",IF(AG732=0,"",IFERROR(IF(VLOOKUP(AG732,★仕入先!$A$2:$C$211,3,FALSE)=0,"","◎"),"")))),"")</f>
        <v/>
      </c>
      <c r="AL732" s="460">
        <f>申込書!$H$14</f>
        <v>0</v>
      </c>
      <c r="AM732" s="460" t="str">
        <f>申込書!$C$32</f>
        <v>B4（折り無し）</v>
      </c>
      <c r="AN732" s="460" t="str">
        <f>VLOOKUP(AM732,★サイズ表記!$D$4:$E$55,2,FALSE)</f>
        <v>1001</v>
      </c>
      <c r="AO732" s="460">
        <f>IF(C732&lt;&gt;"⑧兵庫",VLOOKUP(LEFT(F732),★新聞!$A$4:$B$12,2,FALSE),IF(LEFT(F732)&lt;&gt;"S",VLOOKUP(LEFT(F732),★新聞!$A$4:$B$12,2,FALSE),VLOOKUP("X",★新聞!$A$4:$B$12,2,FALSE)))</f>
        <v>4</v>
      </c>
      <c r="AP732" s="460" t="str">
        <f t="shared" ca="1" si="92"/>
        <v>0</v>
      </c>
      <c r="AQ732" s="460" t="str">
        <f>IF(申込書!$C$38="","",申込書!$C$38)</f>
        <v/>
      </c>
    </row>
    <row r="733" spans="1:43">
      <c r="A733" s="463">
        <f t="shared" si="93"/>
        <v>732</v>
      </c>
      <c r="B733" s="463" t="str">
        <f t="shared" si="86"/>
        <v>東部</v>
      </c>
      <c r="C733" s="464" t="s">
        <v>1019</v>
      </c>
      <c r="D733" s="464" t="s">
        <v>1603</v>
      </c>
      <c r="E733" s="464">
        <f>VLOOKUP(D733,★折込地区!$A$2:$D$10,4,FALSE)</f>
        <v>3</v>
      </c>
      <c r="F733" s="464" t="s">
        <v>467</v>
      </c>
      <c r="G733" s="464" t="str">
        <f>INDEX(★新聞!$E$4:$I$12, MATCH(LEFT(F733),★新聞!$A$4:$A$12,0), MATCH(LEFT(W733),★新聞!$E$3:$I$3,0))</f>
        <v>AG</v>
      </c>
      <c r="H733" s="475" t="s">
        <v>1104</v>
      </c>
      <c r="I733" s="464" cm="1">
        <f t="array" ref="I733">IFERROR(INDEX(★原価率!$A$2:$E$50,MATCH($C733&amp;$H733,★原価率!$A$2:$A$50&amp;★原価率!$B$2:$B$50,0),3),0)</f>
        <v>85</v>
      </c>
      <c r="J733" s="464" cm="1">
        <f t="array" ref="J733">IFERROR(INDEX(★原価率!$A$2:$E$50,MATCH($C733&amp;$H733,★原価率!$A$2:$A$50&amp;★原価率!$B$2:$B$50,0),4),0)</f>
        <v>85</v>
      </c>
      <c r="K733" s="464" cm="1">
        <f t="array" ref="K733">IFERROR(INDEX(★原価率!$A$2:$E$50,MATCH($C733&amp;$H733,★原価率!$A$2:$A$50&amp;★原価率!$B$2:$B$50,0),5),0)</f>
        <v>100</v>
      </c>
      <c r="L733" s="528">
        <f>IFERROR(VLOOKUP(W733,★商品!$A$1:$H$1231,8,FALSE),0)</f>
        <v>2.8</v>
      </c>
      <c r="M733" s="203" t="str">
        <f ca="1">CONCATENATE(VLOOKUP(B733,★営業所!$A$2:$B$5,2,FALSE),TEXT(NOW(),"yyyy"))</f>
        <v>T2023</v>
      </c>
      <c r="N733" s="203">
        <v>1</v>
      </c>
      <c r="O733" s="203">
        <v>0</v>
      </c>
      <c r="P733" s="213">
        <f>申込書!$B$6</f>
        <v>0</v>
      </c>
      <c r="Q733" s="203">
        <f>申込書!$C$34</f>
        <v>1000040</v>
      </c>
      <c r="R733" s="203">
        <v>0</v>
      </c>
      <c r="U733" s="203">
        <f>VLOOKUP(B733,★営業所!$A$2:$C$5,3,FALSE)</f>
        <v>8</v>
      </c>
      <c r="V733" s="203">
        <f>申込書!$B$9</f>
        <v>0</v>
      </c>
      <c r="W733" s="203" t="str">
        <f>CONCATENATE(VLOOKUP(B733,★営業所!$A$2:$B$5,2,FALSE),VLOOKUP(申込書!$C$32,★サイズ表記!$D$4:$E$55,2,FALSE),VLOOKUP(D733,★折込地区!$A$2:$B$11,2,FALSE))</f>
        <v>T1001Yng</v>
      </c>
      <c r="X733" s="203" t="str">
        <f>CONCATENATE(申込書!$B$9," ",VLOOKUP(RIGHT(W733,3),★折込地区!$B$2:$C$10,2,FALSE),"")</f>
        <v xml:space="preserve"> 米子</v>
      </c>
      <c r="Z733" s="206">
        <f t="shared" ca="1" si="87"/>
        <v>0</v>
      </c>
      <c r="AB733" s="383">
        <f t="shared" si="88"/>
        <v>2.8</v>
      </c>
      <c r="AC733" s="203" t="str">
        <f t="shared" si="89"/>
        <v>M1001</v>
      </c>
      <c r="AD733" s="203" t="str">
        <f>VLOOKUP(AC733,★原価商品!$E$6:$F$349,2,FALSE)</f>
        <v>毎日/B4（折り無し）</v>
      </c>
      <c r="AE733" s="203">
        <f t="shared" ca="1" si="90"/>
        <v>0</v>
      </c>
      <c r="AF733" s="383">
        <f ca="1">IFERROR(IF(VLOOKUP(申込書!$C$32,★サイズ表記!$F$4:$H$55,3,FALSE)="切り捨て",ROUNDDOWN(L733*IF(AK733="◎",I733,J733)/100,2),IF(VLOOKUP(申込書!$C$32,★サイズ表記!$F$4:$H$55,3,FALSE)="切り上げ",ROUNDUP(L733*IF(AK733="◎",I733,J733)/100,2),ROUND(L733*IF(AK733="◎",I733,J733)/100,2))),0)</f>
        <v>2.38</v>
      </c>
      <c r="AG733" s="203">
        <f t="shared" ca="1" si="91"/>
        <v>0</v>
      </c>
      <c r="AJ733" s="460" t="str">
        <f>IFERROR(VLOOKUP(申込書!$C$30,★業種!$D$2:$E$87,2,FALSE),"")</f>
        <v>1003</v>
      </c>
      <c r="AK733" s="460" t="str">
        <f ca="1">IF(申込書!$C$36="◎",IF(OR(D733="浜坂・温泉",D733="美方・村岡",D733="香住",D733="岡山",D733="大阪"),"",IF(LEFT(F733)="D","◎",IF(AG733=0,"",IFERROR(IF(VLOOKUP(AG733,★仕入先!$A$2:$C$211,3,FALSE)=0,"","◎"),"")))),"")</f>
        <v/>
      </c>
      <c r="AL733" s="460">
        <f>申込書!$H$14</f>
        <v>0</v>
      </c>
      <c r="AM733" s="460" t="str">
        <f>申込書!$C$32</f>
        <v>B4（折り無し）</v>
      </c>
      <c r="AN733" s="460" t="str">
        <f>VLOOKUP(AM733,★サイズ表記!$D$4:$E$55,2,FALSE)</f>
        <v>1001</v>
      </c>
      <c r="AO733" s="460">
        <f>IF(C733&lt;&gt;"⑧兵庫",VLOOKUP(LEFT(F733),★新聞!$A$4:$B$12,2,FALSE),IF(LEFT(F733)&lt;&gt;"S",VLOOKUP(LEFT(F733),★新聞!$A$4:$B$12,2,FALSE),VLOOKUP("X",★新聞!$A$4:$B$12,2,FALSE)))</f>
        <v>4</v>
      </c>
      <c r="AP733" s="460" t="str">
        <f t="shared" ca="1" si="92"/>
        <v>0</v>
      </c>
      <c r="AQ733" s="460" t="str">
        <f>IF(申込書!$C$38="","",申込書!$C$38)</f>
        <v/>
      </c>
    </row>
    <row r="734" spans="1:43">
      <c r="A734" s="463">
        <f t="shared" si="93"/>
        <v>733</v>
      </c>
      <c r="B734" s="463" t="str">
        <f t="shared" si="86"/>
        <v>東部</v>
      </c>
      <c r="C734" s="464" t="s">
        <v>1019</v>
      </c>
      <c r="D734" s="464" t="s">
        <v>1603</v>
      </c>
      <c r="E734" s="464">
        <f>VLOOKUP(D734,★折込地区!$A$2:$D$10,4,FALSE)</f>
        <v>3</v>
      </c>
      <c r="F734" s="464" t="s">
        <v>1143</v>
      </c>
      <c r="G734" s="464" t="str">
        <f>INDEX(★新聞!$E$4:$I$12, MATCH(LEFT(F734),★新聞!$A$4:$A$12,0), MATCH(LEFT(W734),★新聞!$E$3:$I$3,0))</f>
        <v>AG</v>
      </c>
      <c r="H734" s="475" t="s">
        <v>1104</v>
      </c>
      <c r="I734" s="464" cm="1">
        <f t="array" ref="I734">IFERROR(INDEX(★原価率!$A$2:$E$50,MATCH($C734&amp;$H734,★原価率!$A$2:$A$50&amp;★原価率!$B$2:$B$50,0),3),0)</f>
        <v>85</v>
      </c>
      <c r="J734" s="464" cm="1">
        <f t="array" ref="J734">IFERROR(INDEX(★原価率!$A$2:$E$50,MATCH($C734&amp;$H734,★原価率!$A$2:$A$50&amp;★原価率!$B$2:$B$50,0),4),0)</f>
        <v>85</v>
      </c>
      <c r="K734" s="464" cm="1">
        <f t="array" ref="K734">IFERROR(INDEX(★原価率!$A$2:$E$50,MATCH($C734&amp;$H734,★原価率!$A$2:$A$50&amp;★原価率!$B$2:$B$50,0),5),0)</f>
        <v>100</v>
      </c>
      <c r="L734" s="528">
        <f>IFERROR(VLOOKUP(W734,★商品!$A$1:$H$1231,8,FALSE),0)</f>
        <v>2.8</v>
      </c>
      <c r="M734" s="203" t="str">
        <f ca="1">CONCATENATE(VLOOKUP(B734,★営業所!$A$2:$B$5,2,FALSE),TEXT(NOW(),"yyyy"))</f>
        <v>T2023</v>
      </c>
      <c r="N734" s="203">
        <v>1</v>
      </c>
      <c r="O734" s="203">
        <v>0</v>
      </c>
      <c r="P734" s="213">
        <f>申込書!$B$6</f>
        <v>0</v>
      </c>
      <c r="Q734" s="203">
        <f>申込書!$C$34</f>
        <v>1000040</v>
      </c>
      <c r="R734" s="203">
        <v>0</v>
      </c>
      <c r="U734" s="203">
        <f>VLOOKUP(B734,★営業所!$A$2:$C$5,3,FALSE)</f>
        <v>8</v>
      </c>
      <c r="V734" s="203">
        <f>申込書!$B$9</f>
        <v>0</v>
      </c>
      <c r="W734" s="203" t="str">
        <f>CONCATENATE(VLOOKUP(B734,★営業所!$A$2:$B$5,2,FALSE),VLOOKUP(申込書!$C$32,★サイズ表記!$D$4:$E$55,2,FALSE),VLOOKUP(D734,★折込地区!$A$2:$B$11,2,FALSE))</f>
        <v>T1001Yng</v>
      </c>
      <c r="X734" s="203" t="str">
        <f>CONCATENATE(申込書!$B$9," ",VLOOKUP(RIGHT(W734,3),★折込地区!$B$2:$C$10,2,FALSE),"")</f>
        <v xml:space="preserve"> 米子</v>
      </c>
      <c r="Z734" s="206">
        <f t="shared" ca="1" si="87"/>
        <v>0</v>
      </c>
      <c r="AB734" s="383">
        <f t="shared" si="88"/>
        <v>2.8</v>
      </c>
      <c r="AC734" s="203" t="str">
        <f t="shared" si="89"/>
        <v>M1001</v>
      </c>
      <c r="AD734" s="203" t="str">
        <f>VLOOKUP(AC734,★原価商品!$E$6:$F$349,2,FALSE)</f>
        <v>毎日/B4（折り無し）</v>
      </c>
      <c r="AE734" s="203">
        <f t="shared" ca="1" si="90"/>
        <v>0</v>
      </c>
      <c r="AF734" s="383">
        <f ca="1">IFERROR(IF(VLOOKUP(申込書!$C$32,★サイズ表記!$F$4:$H$55,3,FALSE)="切り捨て",ROUNDDOWN(L734*IF(AK734="◎",I734,J734)/100,2),IF(VLOOKUP(申込書!$C$32,★サイズ表記!$F$4:$H$55,3,FALSE)="切り上げ",ROUNDUP(L734*IF(AK734="◎",I734,J734)/100,2),ROUND(L734*IF(AK734="◎",I734,J734)/100,2))),0)</f>
        <v>2.38</v>
      </c>
      <c r="AG734" s="203">
        <f t="shared" ca="1" si="91"/>
        <v>10561</v>
      </c>
      <c r="AJ734" s="460" t="str">
        <f>IFERROR(VLOOKUP(申込書!$C$30,★業種!$D$2:$E$87,2,FALSE),"")</f>
        <v>1003</v>
      </c>
      <c r="AK734" s="460" t="str">
        <f ca="1">IF(申込書!$C$36="◎",IF(OR(D734="浜坂・温泉",D734="美方・村岡",D734="香住",D734="岡山",D734="大阪"),"",IF(LEFT(F734)="D","◎",IF(AG734=0,"",IFERROR(IF(VLOOKUP(AG734,★仕入先!$A$2:$C$211,3,FALSE)=0,"","◎"),"")))),"")</f>
        <v/>
      </c>
      <c r="AL734" s="460">
        <f>申込書!$H$14</f>
        <v>0</v>
      </c>
      <c r="AM734" s="460" t="str">
        <f>申込書!$C$32</f>
        <v>B4（折り無し）</v>
      </c>
      <c r="AN734" s="460" t="str">
        <f>VLOOKUP(AM734,★サイズ表記!$D$4:$E$55,2,FALSE)</f>
        <v>1001</v>
      </c>
      <c r="AO734" s="460">
        <f>IF(C734&lt;&gt;"⑧兵庫",VLOOKUP(LEFT(F734),★新聞!$A$4:$B$12,2,FALSE),IF(LEFT(F734)&lt;&gt;"S",VLOOKUP(LEFT(F734),★新聞!$A$4:$B$12,2,FALSE),VLOOKUP("X",★新聞!$A$4:$B$12,2,FALSE)))</f>
        <v>4</v>
      </c>
      <c r="AP734" s="460" t="str">
        <f t="shared" ca="1" si="92"/>
        <v>0</v>
      </c>
      <c r="AQ734" s="460" t="str">
        <f>IF(申込書!$C$38="","",申込書!$C$38)</f>
        <v/>
      </c>
    </row>
    <row r="735" spans="1:43">
      <c r="A735" s="463">
        <f t="shared" si="93"/>
        <v>734</v>
      </c>
      <c r="B735" s="463" t="str">
        <f t="shared" si="86"/>
        <v>東部</v>
      </c>
      <c r="C735" s="464" t="s">
        <v>1019</v>
      </c>
      <c r="D735" s="464" t="s">
        <v>1603</v>
      </c>
      <c r="E735" s="464">
        <f>VLOOKUP(D735,★折込地区!$A$2:$D$10,4,FALSE)</f>
        <v>3</v>
      </c>
      <c r="F735" s="464" t="s">
        <v>469</v>
      </c>
      <c r="G735" s="464" t="str">
        <f>INDEX(★新聞!$E$4:$I$12, MATCH(LEFT(F735),★新聞!$A$4:$A$12,0), MATCH(LEFT(W735),★新聞!$E$3:$I$3,0))</f>
        <v>AJ</v>
      </c>
      <c r="H735" s="555" t="s">
        <v>1102</v>
      </c>
      <c r="I735" s="464" cm="1">
        <f t="array" ref="I735">IFERROR(INDEX(★原価率!$A$2:$E$50,MATCH($C735&amp;$H735,★原価率!$A$2:$A$50&amp;★原価率!$B$2:$B$50,0),3),0)</f>
        <v>80</v>
      </c>
      <c r="J735" s="464" cm="1">
        <f t="array" ref="J735">IFERROR(INDEX(★原価率!$A$2:$E$50,MATCH($C735&amp;$H735,★原価率!$A$2:$A$50&amp;★原価率!$B$2:$B$50,0),4),0)</f>
        <v>84</v>
      </c>
      <c r="K735" s="464" cm="1">
        <f t="array" ref="K735">IFERROR(INDEX(★原価率!$A$2:$E$50,MATCH($C735&amp;$H735,★原価率!$A$2:$A$50&amp;★原価率!$B$2:$B$50,0),5),0)</f>
        <v>100</v>
      </c>
      <c r="L735" s="528">
        <f>IFERROR(VLOOKUP(W735,★商品!$A$1:$H$1231,8,FALSE),0)</f>
        <v>2.8</v>
      </c>
      <c r="M735" s="203" t="str">
        <f ca="1">CONCATENATE(VLOOKUP(B735,★営業所!$A$2:$B$5,2,FALSE),TEXT(NOW(),"yyyy"))</f>
        <v>T2023</v>
      </c>
      <c r="N735" s="203">
        <v>1</v>
      </c>
      <c r="O735" s="203">
        <v>0</v>
      </c>
      <c r="P735" s="213">
        <f>申込書!$B$6</f>
        <v>0</v>
      </c>
      <c r="Q735" s="203">
        <f>申込書!$C$34</f>
        <v>1000040</v>
      </c>
      <c r="R735" s="203">
        <v>0</v>
      </c>
      <c r="U735" s="203">
        <f>VLOOKUP(B735,★営業所!$A$2:$C$5,3,FALSE)</f>
        <v>8</v>
      </c>
      <c r="V735" s="203">
        <f>申込書!$B$9</f>
        <v>0</v>
      </c>
      <c r="W735" s="203" t="str">
        <f>CONCATENATE(VLOOKUP(B735,★営業所!$A$2:$B$5,2,FALSE),VLOOKUP(申込書!$C$32,★サイズ表記!$D$4:$E$55,2,FALSE),VLOOKUP(D735,★折込地区!$A$2:$B$11,2,FALSE))</f>
        <v>T1001Yng</v>
      </c>
      <c r="X735" s="203" t="str">
        <f>CONCATENATE(申込書!$B$9," ",VLOOKUP(RIGHT(W735,3),★折込地区!$B$2:$C$10,2,FALSE),"")</f>
        <v xml:space="preserve"> 米子</v>
      </c>
      <c r="Z735" s="206">
        <f t="shared" ca="1" si="87"/>
        <v>0</v>
      </c>
      <c r="AB735" s="383">
        <f t="shared" si="88"/>
        <v>2.8</v>
      </c>
      <c r="AC735" s="203" t="str">
        <f t="shared" si="89"/>
        <v>P1001</v>
      </c>
      <c r="AD735" s="203" t="str">
        <f>VLOOKUP(AC735,★原価商品!$E$6:$F$349,2,FALSE)</f>
        <v>産経/B4（折り無し）</v>
      </c>
      <c r="AE735" s="203">
        <f t="shared" ca="1" si="90"/>
        <v>0</v>
      </c>
      <c r="AF735" s="383">
        <f ca="1">IFERROR(IF(VLOOKUP(申込書!$C$32,★サイズ表記!$F$4:$H$55,3,FALSE)="切り捨て",ROUNDDOWN(L735*IF(AK735="◎",I735,J735)/100,2),IF(VLOOKUP(申込書!$C$32,★サイズ表記!$F$4:$H$55,3,FALSE)="切り上げ",ROUNDUP(L735*IF(AK735="◎",I735,J735)/100,2),ROUND(L735*IF(AK735="◎",I735,J735)/100,2))),0)</f>
        <v>2.35</v>
      </c>
      <c r="AG735" s="203">
        <f t="shared" ca="1" si="91"/>
        <v>10561</v>
      </c>
      <c r="AJ735" s="460" t="str">
        <f>IFERROR(VLOOKUP(申込書!$C$30,★業種!$D$2:$E$87,2,FALSE),"")</f>
        <v>1003</v>
      </c>
      <c r="AK735" s="460" t="str">
        <f ca="1">IF(申込書!$C$36="◎",IF(OR(D735="浜坂・温泉",D735="美方・村岡",D735="香住",D735="岡山",D735="大阪"),"",IF(LEFT(F735)="D","◎",IF(AG735=0,"",IFERROR(IF(VLOOKUP(AG735,★仕入先!$A$2:$C$211,3,FALSE)=0,"","◎"),"")))),"")</f>
        <v/>
      </c>
      <c r="AL735" s="460">
        <f>申込書!$H$14</f>
        <v>0</v>
      </c>
      <c r="AM735" s="460" t="str">
        <f>申込書!$C$32</f>
        <v>B4（折り無し）</v>
      </c>
      <c r="AN735" s="460" t="str">
        <f>VLOOKUP(AM735,★サイズ表記!$D$4:$E$55,2,FALSE)</f>
        <v>1001</v>
      </c>
      <c r="AO735" s="460">
        <f>IF(C735&lt;&gt;"⑧兵庫",VLOOKUP(LEFT(F735),★新聞!$A$4:$B$12,2,FALSE),IF(LEFT(F735)&lt;&gt;"S",VLOOKUP(LEFT(F735),★新聞!$A$4:$B$12,2,FALSE),VLOOKUP("X",★新聞!$A$4:$B$12,2,FALSE)))</f>
        <v>5</v>
      </c>
      <c r="AP735" s="460" t="str">
        <f t="shared" ca="1" si="92"/>
        <v>0</v>
      </c>
      <c r="AQ735" s="460" t="str">
        <f>IF(申込書!$C$38="","",申込書!$C$38)</f>
        <v/>
      </c>
    </row>
    <row r="736" spans="1:43">
      <c r="A736" s="463">
        <f t="shared" si="93"/>
        <v>735</v>
      </c>
      <c r="B736" s="463" t="str">
        <f t="shared" si="86"/>
        <v>東部</v>
      </c>
      <c r="C736" s="464" t="s">
        <v>1019</v>
      </c>
      <c r="D736" s="464" t="s">
        <v>1603</v>
      </c>
      <c r="E736" s="464">
        <f>VLOOKUP(D736,★折込地区!$A$2:$D$10,4,FALSE)</f>
        <v>3</v>
      </c>
      <c r="F736" s="464" t="s">
        <v>470</v>
      </c>
      <c r="G736" s="464" t="str">
        <f>INDEX(★新聞!$E$4:$I$12, MATCH(LEFT(F736),★新聞!$A$4:$A$12,0), MATCH(LEFT(W736),★新聞!$E$3:$I$3,0))</f>
        <v>AJ</v>
      </c>
      <c r="H736" s="555" t="s">
        <v>1102</v>
      </c>
      <c r="I736" s="464" cm="1">
        <f t="array" ref="I736">IFERROR(INDEX(★原価率!$A$2:$E$50,MATCH($C736&amp;$H736,★原価率!$A$2:$A$50&amp;★原価率!$B$2:$B$50,0),3),0)</f>
        <v>80</v>
      </c>
      <c r="J736" s="464" cm="1">
        <f t="array" ref="J736">IFERROR(INDEX(★原価率!$A$2:$E$50,MATCH($C736&amp;$H736,★原価率!$A$2:$A$50&amp;★原価率!$B$2:$B$50,0),4),0)</f>
        <v>84</v>
      </c>
      <c r="K736" s="464" cm="1">
        <f t="array" ref="K736">IFERROR(INDEX(★原価率!$A$2:$E$50,MATCH($C736&amp;$H736,★原価率!$A$2:$A$50&amp;★原価率!$B$2:$B$50,0),5),0)</f>
        <v>100</v>
      </c>
      <c r="L736" s="528">
        <f>IFERROR(VLOOKUP(W736,★商品!$A$1:$H$1231,8,FALSE),0)</f>
        <v>2.8</v>
      </c>
      <c r="M736" s="203" t="str">
        <f ca="1">CONCATENATE(VLOOKUP(B736,★営業所!$A$2:$B$5,2,FALSE),TEXT(NOW(),"yyyy"))</f>
        <v>T2023</v>
      </c>
      <c r="N736" s="203">
        <v>1</v>
      </c>
      <c r="O736" s="203">
        <v>0</v>
      </c>
      <c r="P736" s="213">
        <f>申込書!$B$6</f>
        <v>0</v>
      </c>
      <c r="Q736" s="203">
        <f>申込書!$C$34</f>
        <v>1000040</v>
      </c>
      <c r="R736" s="203">
        <v>0</v>
      </c>
      <c r="U736" s="203">
        <f>VLOOKUP(B736,★営業所!$A$2:$C$5,3,FALSE)</f>
        <v>8</v>
      </c>
      <c r="V736" s="203">
        <f>申込書!$B$9</f>
        <v>0</v>
      </c>
      <c r="W736" s="203" t="str">
        <f>CONCATENATE(VLOOKUP(B736,★営業所!$A$2:$B$5,2,FALSE),VLOOKUP(申込書!$C$32,★サイズ表記!$D$4:$E$55,2,FALSE),VLOOKUP(D736,★折込地区!$A$2:$B$11,2,FALSE))</f>
        <v>T1001Yng</v>
      </c>
      <c r="X736" s="203" t="str">
        <f>CONCATENATE(申込書!$B$9," ",VLOOKUP(RIGHT(W736,3),★折込地区!$B$2:$C$10,2,FALSE),"")</f>
        <v xml:space="preserve"> 米子</v>
      </c>
      <c r="Z736" s="206">
        <f t="shared" ca="1" si="87"/>
        <v>0</v>
      </c>
      <c r="AB736" s="383">
        <f t="shared" si="88"/>
        <v>2.8</v>
      </c>
      <c r="AC736" s="203" t="str">
        <f t="shared" si="89"/>
        <v>P1001</v>
      </c>
      <c r="AD736" s="203" t="str">
        <f>VLOOKUP(AC736,★原価商品!$E$6:$F$349,2,FALSE)</f>
        <v>産経/B4（折り無し）</v>
      </c>
      <c r="AE736" s="203">
        <f t="shared" ca="1" si="90"/>
        <v>0</v>
      </c>
      <c r="AF736" s="383">
        <f ca="1">IFERROR(IF(VLOOKUP(申込書!$C$32,★サイズ表記!$F$4:$H$55,3,FALSE)="切り捨て",ROUNDDOWN(L736*IF(AK736="◎",I736,J736)/100,2),IF(VLOOKUP(申込書!$C$32,★サイズ表記!$F$4:$H$55,3,FALSE)="切り上げ",ROUNDUP(L736*IF(AK736="◎",I736,J736)/100,2),ROUND(L736*IF(AK736="◎",I736,J736)/100,2))),0)</f>
        <v>2.35</v>
      </c>
      <c r="AG736" s="203">
        <f t="shared" ca="1" si="91"/>
        <v>10561</v>
      </c>
      <c r="AJ736" s="460" t="str">
        <f>IFERROR(VLOOKUP(申込書!$C$30,★業種!$D$2:$E$87,2,FALSE),"")</f>
        <v>1003</v>
      </c>
      <c r="AK736" s="460" t="str">
        <f ca="1">IF(申込書!$C$36="◎",IF(OR(D736="浜坂・温泉",D736="美方・村岡",D736="香住",D736="岡山",D736="大阪"),"",IF(LEFT(F736)="D","◎",IF(AG736=0,"",IFERROR(IF(VLOOKUP(AG736,★仕入先!$A$2:$C$211,3,FALSE)=0,"","◎"),"")))),"")</f>
        <v/>
      </c>
      <c r="AL736" s="460">
        <f>申込書!$H$14</f>
        <v>0</v>
      </c>
      <c r="AM736" s="460" t="str">
        <f>申込書!$C$32</f>
        <v>B4（折り無し）</v>
      </c>
      <c r="AN736" s="460" t="str">
        <f>VLOOKUP(AM736,★サイズ表記!$D$4:$E$55,2,FALSE)</f>
        <v>1001</v>
      </c>
      <c r="AO736" s="460">
        <f>IF(C736&lt;&gt;"⑧兵庫",VLOOKUP(LEFT(F736),★新聞!$A$4:$B$12,2,FALSE),IF(LEFT(F736)&lt;&gt;"S",VLOOKUP(LEFT(F736),★新聞!$A$4:$B$12,2,FALSE),VLOOKUP("X",★新聞!$A$4:$B$12,2,FALSE)))</f>
        <v>5</v>
      </c>
      <c r="AP736" s="460" t="str">
        <f t="shared" ca="1" si="92"/>
        <v>0</v>
      </c>
      <c r="AQ736" s="460" t="str">
        <f>IF(申込書!$C$38="","",申込書!$C$38)</f>
        <v/>
      </c>
    </row>
    <row r="737" spans="1:43">
      <c r="A737" s="463">
        <f t="shared" si="93"/>
        <v>736</v>
      </c>
      <c r="B737" s="463" t="str">
        <f t="shared" si="86"/>
        <v>東部</v>
      </c>
      <c r="C737" s="464" t="s">
        <v>1019</v>
      </c>
      <c r="D737" s="464" t="s">
        <v>1603</v>
      </c>
      <c r="E737" s="464">
        <f>VLOOKUP(D737,★折込地区!$A$2:$D$10,4,FALSE)</f>
        <v>3</v>
      </c>
      <c r="F737" s="464" t="s">
        <v>471</v>
      </c>
      <c r="G737" s="464" t="str">
        <f>INDEX(★新聞!$E$4:$I$12, MATCH(LEFT(F737),★新聞!$A$4:$A$12,0), MATCH(LEFT(W737),★新聞!$E$3:$I$3,0))</f>
        <v>AJ</v>
      </c>
      <c r="H737" s="555" t="s">
        <v>1102</v>
      </c>
      <c r="I737" s="464" cm="1">
        <f t="array" ref="I737">IFERROR(INDEX(★原価率!$A$2:$E$50,MATCH($C737&amp;$H737,★原価率!$A$2:$A$50&amp;★原価率!$B$2:$B$50,0),3),0)</f>
        <v>80</v>
      </c>
      <c r="J737" s="464" cm="1">
        <f t="array" ref="J737">IFERROR(INDEX(★原価率!$A$2:$E$50,MATCH($C737&amp;$H737,★原価率!$A$2:$A$50&amp;★原価率!$B$2:$B$50,0),4),0)</f>
        <v>84</v>
      </c>
      <c r="K737" s="464" cm="1">
        <f t="array" ref="K737">IFERROR(INDEX(★原価率!$A$2:$E$50,MATCH($C737&amp;$H737,★原価率!$A$2:$A$50&amp;★原価率!$B$2:$B$50,0),5),0)</f>
        <v>100</v>
      </c>
      <c r="L737" s="528">
        <f>IFERROR(VLOOKUP(W737,★商品!$A$1:$H$1231,8,FALSE),0)</f>
        <v>2.8</v>
      </c>
      <c r="M737" s="203" t="str">
        <f ca="1">CONCATENATE(VLOOKUP(B737,★営業所!$A$2:$B$5,2,FALSE),TEXT(NOW(),"yyyy"))</f>
        <v>T2023</v>
      </c>
      <c r="N737" s="203">
        <v>1</v>
      </c>
      <c r="O737" s="203">
        <v>0</v>
      </c>
      <c r="P737" s="213">
        <f>申込書!$B$6</f>
        <v>0</v>
      </c>
      <c r="Q737" s="203">
        <f>申込書!$C$34</f>
        <v>1000040</v>
      </c>
      <c r="R737" s="203">
        <v>0</v>
      </c>
      <c r="U737" s="203">
        <f>VLOOKUP(B737,★営業所!$A$2:$C$5,3,FALSE)</f>
        <v>8</v>
      </c>
      <c r="V737" s="203">
        <f>申込書!$B$9</f>
        <v>0</v>
      </c>
      <c r="W737" s="203" t="str">
        <f>CONCATENATE(VLOOKUP(B737,★営業所!$A$2:$B$5,2,FALSE),VLOOKUP(申込書!$C$32,★サイズ表記!$D$4:$E$55,2,FALSE),VLOOKUP(D737,★折込地区!$A$2:$B$11,2,FALSE))</f>
        <v>T1001Yng</v>
      </c>
      <c r="X737" s="203" t="str">
        <f>CONCATENATE(申込書!$B$9," ",VLOOKUP(RIGHT(W737,3),★折込地区!$B$2:$C$10,2,FALSE),"")</f>
        <v xml:space="preserve"> 米子</v>
      </c>
      <c r="Z737" s="206">
        <f t="shared" ca="1" si="87"/>
        <v>0</v>
      </c>
      <c r="AB737" s="383">
        <f t="shared" si="88"/>
        <v>2.8</v>
      </c>
      <c r="AC737" s="203" t="str">
        <f t="shared" si="89"/>
        <v>P1001</v>
      </c>
      <c r="AD737" s="203" t="str">
        <f>VLOOKUP(AC737,★原価商品!$E$6:$F$349,2,FALSE)</f>
        <v>産経/B4（折り無し）</v>
      </c>
      <c r="AE737" s="203">
        <f t="shared" ca="1" si="90"/>
        <v>0</v>
      </c>
      <c r="AF737" s="383">
        <f ca="1">IFERROR(IF(VLOOKUP(申込書!$C$32,★サイズ表記!$F$4:$H$55,3,FALSE)="切り捨て",ROUNDDOWN(L737*IF(AK737="◎",I737,J737)/100,2),IF(VLOOKUP(申込書!$C$32,★サイズ表記!$F$4:$H$55,3,FALSE)="切り上げ",ROUNDUP(L737*IF(AK737="◎",I737,J737)/100,2),ROUND(L737*IF(AK737="◎",I737,J737)/100,2))),0)</f>
        <v>2.35</v>
      </c>
      <c r="AG737" s="203">
        <f t="shared" ca="1" si="91"/>
        <v>10561</v>
      </c>
      <c r="AJ737" s="460" t="str">
        <f>IFERROR(VLOOKUP(申込書!$C$30,★業種!$D$2:$E$87,2,FALSE),"")</f>
        <v>1003</v>
      </c>
      <c r="AK737" s="460" t="str">
        <f ca="1">IF(申込書!$C$36="◎",IF(OR(D737="浜坂・温泉",D737="美方・村岡",D737="香住",D737="岡山",D737="大阪"),"",IF(LEFT(F737)="D","◎",IF(AG737=0,"",IFERROR(IF(VLOOKUP(AG737,★仕入先!$A$2:$C$211,3,FALSE)=0,"","◎"),"")))),"")</f>
        <v/>
      </c>
      <c r="AL737" s="460">
        <f>申込書!$H$14</f>
        <v>0</v>
      </c>
      <c r="AM737" s="460" t="str">
        <f>申込書!$C$32</f>
        <v>B4（折り無し）</v>
      </c>
      <c r="AN737" s="460" t="str">
        <f>VLOOKUP(AM737,★サイズ表記!$D$4:$E$55,2,FALSE)</f>
        <v>1001</v>
      </c>
      <c r="AO737" s="460">
        <f>IF(C737&lt;&gt;"⑧兵庫",VLOOKUP(LEFT(F737),★新聞!$A$4:$B$12,2,FALSE),IF(LEFT(F737)&lt;&gt;"S",VLOOKUP(LEFT(F737),★新聞!$A$4:$B$12,2,FALSE),VLOOKUP("X",★新聞!$A$4:$B$12,2,FALSE)))</f>
        <v>5</v>
      </c>
      <c r="AP737" s="460" t="str">
        <f t="shared" ca="1" si="92"/>
        <v>0</v>
      </c>
      <c r="AQ737" s="460" t="str">
        <f>IF(申込書!$C$38="","",申込書!$C$38)</f>
        <v/>
      </c>
    </row>
    <row r="738" spans="1:43">
      <c r="A738" s="463">
        <f t="shared" si="93"/>
        <v>737</v>
      </c>
      <c r="B738" s="463" t="str">
        <f t="shared" si="86"/>
        <v>東部</v>
      </c>
      <c r="C738" s="464" t="s">
        <v>1019</v>
      </c>
      <c r="D738" s="464" t="s">
        <v>1603</v>
      </c>
      <c r="E738" s="464">
        <f>VLOOKUP(D738,★折込地区!$A$2:$D$10,4,FALSE)</f>
        <v>3</v>
      </c>
      <c r="F738" s="464" t="s">
        <v>472</v>
      </c>
      <c r="G738" s="464" t="str">
        <f>INDEX(★新聞!$E$4:$I$12, MATCH(LEFT(F738),★新聞!$A$4:$A$12,0), MATCH(LEFT(W738),★新聞!$E$3:$I$3,0))</f>
        <v>AJ</v>
      </c>
      <c r="H738" s="555" t="s">
        <v>1102</v>
      </c>
      <c r="I738" s="464" cm="1">
        <f t="array" ref="I738">IFERROR(INDEX(★原価率!$A$2:$E$50,MATCH($C738&amp;$H738,★原価率!$A$2:$A$50&amp;★原価率!$B$2:$B$50,0),3),0)</f>
        <v>80</v>
      </c>
      <c r="J738" s="464" cm="1">
        <f t="array" ref="J738">IFERROR(INDEX(★原価率!$A$2:$E$50,MATCH($C738&amp;$H738,★原価率!$A$2:$A$50&amp;★原価率!$B$2:$B$50,0),4),0)</f>
        <v>84</v>
      </c>
      <c r="K738" s="464" cm="1">
        <f t="array" ref="K738">IFERROR(INDEX(★原価率!$A$2:$E$50,MATCH($C738&amp;$H738,★原価率!$A$2:$A$50&amp;★原価率!$B$2:$B$50,0),5),0)</f>
        <v>100</v>
      </c>
      <c r="L738" s="528">
        <f>IFERROR(VLOOKUP(W738,★商品!$A$1:$H$1231,8,FALSE),0)</f>
        <v>2.8</v>
      </c>
      <c r="M738" s="203" t="str">
        <f ca="1">CONCATENATE(VLOOKUP(B738,★営業所!$A$2:$B$5,2,FALSE),TEXT(NOW(),"yyyy"))</f>
        <v>T2023</v>
      </c>
      <c r="N738" s="203">
        <v>1</v>
      </c>
      <c r="O738" s="203">
        <v>0</v>
      </c>
      <c r="P738" s="213">
        <f>申込書!$B$6</f>
        <v>0</v>
      </c>
      <c r="Q738" s="203">
        <f>申込書!$C$34</f>
        <v>1000040</v>
      </c>
      <c r="R738" s="203">
        <v>0</v>
      </c>
      <c r="U738" s="203">
        <f>VLOOKUP(B738,★営業所!$A$2:$C$5,3,FALSE)</f>
        <v>8</v>
      </c>
      <c r="V738" s="203">
        <f>申込書!$B$9</f>
        <v>0</v>
      </c>
      <c r="W738" s="203" t="str">
        <f>CONCATENATE(VLOOKUP(B738,★営業所!$A$2:$B$5,2,FALSE),VLOOKUP(申込書!$C$32,★サイズ表記!$D$4:$E$55,2,FALSE),VLOOKUP(D738,★折込地区!$A$2:$B$11,2,FALSE))</f>
        <v>T1001Yng</v>
      </c>
      <c r="X738" s="203" t="str">
        <f>CONCATENATE(申込書!$B$9," ",VLOOKUP(RIGHT(W738,3),★折込地区!$B$2:$C$10,2,FALSE),"")</f>
        <v xml:space="preserve"> 米子</v>
      </c>
      <c r="Z738" s="206">
        <f t="shared" ca="1" si="87"/>
        <v>0</v>
      </c>
      <c r="AB738" s="383">
        <f t="shared" si="88"/>
        <v>2.8</v>
      </c>
      <c r="AC738" s="203" t="str">
        <f t="shared" si="89"/>
        <v>P1001</v>
      </c>
      <c r="AD738" s="203" t="str">
        <f>VLOOKUP(AC738,★原価商品!$E$6:$F$349,2,FALSE)</f>
        <v>産経/B4（折り無し）</v>
      </c>
      <c r="AE738" s="203">
        <f t="shared" ca="1" si="90"/>
        <v>0</v>
      </c>
      <c r="AF738" s="383">
        <f ca="1">IFERROR(IF(VLOOKUP(申込書!$C$32,★サイズ表記!$F$4:$H$55,3,FALSE)="切り捨て",ROUNDDOWN(L738*IF(AK738="◎",I738,J738)/100,2),IF(VLOOKUP(申込書!$C$32,★サイズ表記!$F$4:$H$55,3,FALSE)="切り上げ",ROUNDUP(L738*IF(AK738="◎",I738,J738)/100,2),ROUND(L738*IF(AK738="◎",I738,J738)/100,2))),0)</f>
        <v>2.35</v>
      </c>
      <c r="AG738" s="203">
        <f t="shared" ca="1" si="91"/>
        <v>10561</v>
      </c>
      <c r="AJ738" s="460" t="str">
        <f>IFERROR(VLOOKUP(申込書!$C$30,★業種!$D$2:$E$87,2,FALSE),"")</f>
        <v>1003</v>
      </c>
      <c r="AK738" s="460" t="str">
        <f ca="1">IF(申込書!$C$36="◎",IF(OR(D738="浜坂・温泉",D738="美方・村岡",D738="香住",D738="岡山",D738="大阪"),"",IF(LEFT(F738)="D","◎",IF(AG738=0,"",IFERROR(IF(VLOOKUP(AG738,★仕入先!$A$2:$C$211,3,FALSE)=0,"","◎"),"")))),"")</f>
        <v/>
      </c>
      <c r="AL738" s="460">
        <f>申込書!$H$14</f>
        <v>0</v>
      </c>
      <c r="AM738" s="460" t="str">
        <f>申込書!$C$32</f>
        <v>B4（折り無し）</v>
      </c>
      <c r="AN738" s="460" t="str">
        <f>VLOOKUP(AM738,★サイズ表記!$D$4:$E$55,2,FALSE)</f>
        <v>1001</v>
      </c>
      <c r="AO738" s="460">
        <f>IF(C738&lt;&gt;"⑧兵庫",VLOOKUP(LEFT(F738),★新聞!$A$4:$B$12,2,FALSE),IF(LEFT(F738)&lt;&gt;"S",VLOOKUP(LEFT(F738),★新聞!$A$4:$B$12,2,FALSE),VLOOKUP("X",★新聞!$A$4:$B$12,2,FALSE)))</f>
        <v>5</v>
      </c>
      <c r="AP738" s="460" t="str">
        <f t="shared" ca="1" si="92"/>
        <v>0</v>
      </c>
      <c r="AQ738" s="460" t="str">
        <f>IF(申込書!$C$38="","",申込書!$C$38)</f>
        <v/>
      </c>
    </row>
    <row r="739" spans="1:43">
      <c r="A739" s="463">
        <f t="shared" si="93"/>
        <v>738</v>
      </c>
      <c r="B739" s="463" t="str">
        <f t="shared" si="86"/>
        <v>東部</v>
      </c>
      <c r="C739" s="464" t="s">
        <v>1019</v>
      </c>
      <c r="D739" s="464" t="s">
        <v>1603</v>
      </c>
      <c r="E739" s="464">
        <f>VLOOKUP(D739,★折込地区!$A$2:$D$10,4,FALSE)</f>
        <v>3</v>
      </c>
      <c r="F739" s="464" t="s">
        <v>473</v>
      </c>
      <c r="G739" s="464" t="str">
        <f>INDEX(★新聞!$E$4:$I$12, MATCH(LEFT(F739),★新聞!$A$4:$A$12,0), MATCH(LEFT(W739),★新聞!$E$3:$I$3,0))</f>
        <v>AJ</v>
      </c>
      <c r="H739" s="475" t="s">
        <v>1104</v>
      </c>
      <c r="I739" s="464" cm="1">
        <f t="array" ref="I739">IFERROR(INDEX(★原価率!$A$2:$E$50,MATCH($C739&amp;$H739,★原価率!$A$2:$A$50&amp;★原価率!$B$2:$B$50,0),3),0)</f>
        <v>85</v>
      </c>
      <c r="J739" s="464" cm="1">
        <f t="array" ref="J739">IFERROR(INDEX(★原価率!$A$2:$E$50,MATCH($C739&amp;$H739,★原価率!$A$2:$A$50&amp;★原価率!$B$2:$B$50,0),4),0)</f>
        <v>85</v>
      </c>
      <c r="K739" s="464" cm="1">
        <f t="array" ref="K739">IFERROR(INDEX(★原価率!$A$2:$E$50,MATCH($C739&amp;$H739,★原価率!$A$2:$A$50&amp;★原価率!$B$2:$B$50,0),5),0)</f>
        <v>100</v>
      </c>
      <c r="L739" s="528">
        <f>IFERROR(VLOOKUP(W739,★商品!$A$1:$H$1231,8,FALSE),0)</f>
        <v>2.8</v>
      </c>
      <c r="M739" s="203" t="str">
        <f ca="1">CONCATENATE(VLOOKUP(B739,★営業所!$A$2:$B$5,2,FALSE),TEXT(NOW(),"yyyy"))</f>
        <v>T2023</v>
      </c>
      <c r="N739" s="203">
        <v>1</v>
      </c>
      <c r="O739" s="203">
        <v>0</v>
      </c>
      <c r="P739" s="213">
        <f>申込書!$B$6</f>
        <v>0</v>
      </c>
      <c r="Q739" s="203">
        <f>申込書!$C$34</f>
        <v>1000040</v>
      </c>
      <c r="R739" s="203">
        <v>0</v>
      </c>
      <c r="U739" s="203">
        <f>VLOOKUP(B739,★営業所!$A$2:$C$5,3,FALSE)</f>
        <v>8</v>
      </c>
      <c r="V739" s="203">
        <f>申込書!$B$9</f>
        <v>0</v>
      </c>
      <c r="W739" s="203" t="str">
        <f>CONCATENATE(VLOOKUP(B739,★営業所!$A$2:$B$5,2,FALSE),VLOOKUP(申込書!$C$32,★サイズ表記!$D$4:$E$55,2,FALSE),VLOOKUP(D739,★折込地区!$A$2:$B$11,2,FALSE))</f>
        <v>T1001Yng</v>
      </c>
      <c r="X739" s="203" t="str">
        <f>CONCATENATE(申込書!$B$9," ",VLOOKUP(RIGHT(W739,3),★折込地区!$B$2:$C$10,2,FALSE),"")</f>
        <v xml:space="preserve"> 米子</v>
      </c>
      <c r="Z739" s="206">
        <f t="shared" ca="1" si="87"/>
        <v>0</v>
      </c>
      <c r="AB739" s="383">
        <f t="shared" si="88"/>
        <v>2.8</v>
      </c>
      <c r="AC739" s="203" t="str">
        <f t="shared" si="89"/>
        <v>P1001</v>
      </c>
      <c r="AD739" s="203" t="str">
        <f>VLOOKUP(AC739,★原価商品!$E$6:$F$349,2,FALSE)</f>
        <v>産経/B4（折り無し）</v>
      </c>
      <c r="AE739" s="203">
        <f t="shared" ca="1" si="90"/>
        <v>0</v>
      </c>
      <c r="AF739" s="383">
        <f ca="1">IFERROR(IF(VLOOKUP(申込書!$C$32,★サイズ表記!$F$4:$H$55,3,FALSE)="切り捨て",ROUNDDOWN(L739*IF(AK739="◎",I739,J739)/100,2),IF(VLOOKUP(申込書!$C$32,★サイズ表記!$F$4:$H$55,3,FALSE)="切り上げ",ROUNDUP(L739*IF(AK739="◎",I739,J739)/100,2),ROUND(L739*IF(AK739="◎",I739,J739)/100,2))),0)</f>
        <v>2.38</v>
      </c>
      <c r="AG739" s="203">
        <f t="shared" ca="1" si="91"/>
        <v>10561</v>
      </c>
      <c r="AJ739" s="460" t="str">
        <f>IFERROR(VLOOKUP(申込書!$C$30,★業種!$D$2:$E$87,2,FALSE),"")</f>
        <v>1003</v>
      </c>
      <c r="AK739" s="460" t="str">
        <f ca="1">IF(申込書!$C$36="◎",IF(OR(D739="浜坂・温泉",D739="美方・村岡",D739="香住",D739="岡山",D739="大阪"),"",IF(LEFT(F739)="D","◎",IF(AG739=0,"",IFERROR(IF(VLOOKUP(AG739,★仕入先!$A$2:$C$211,3,FALSE)=0,"","◎"),"")))),"")</f>
        <v/>
      </c>
      <c r="AL739" s="460">
        <f>申込書!$H$14</f>
        <v>0</v>
      </c>
      <c r="AM739" s="460" t="str">
        <f>申込書!$C$32</f>
        <v>B4（折り無し）</v>
      </c>
      <c r="AN739" s="460" t="str">
        <f>VLOOKUP(AM739,★サイズ表記!$D$4:$E$55,2,FALSE)</f>
        <v>1001</v>
      </c>
      <c r="AO739" s="460">
        <f>IF(C739&lt;&gt;"⑧兵庫",VLOOKUP(LEFT(F739),★新聞!$A$4:$B$12,2,FALSE),IF(LEFT(F739)&lt;&gt;"S",VLOOKUP(LEFT(F739),★新聞!$A$4:$B$12,2,FALSE),VLOOKUP("X",★新聞!$A$4:$B$12,2,FALSE)))</f>
        <v>5</v>
      </c>
      <c r="AP739" s="460" t="str">
        <f t="shared" ca="1" si="92"/>
        <v>0</v>
      </c>
      <c r="AQ739" s="460" t="str">
        <f>IF(申込書!$C$38="","",申込書!$C$38)</f>
        <v/>
      </c>
    </row>
    <row r="740" spans="1:43">
      <c r="A740" s="463">
        <f t="shared" si="93"/>
        <v>739</v>
      </c>
      <c r="B740" s="463" t="str">
        <f t="shared" si="86"/>
        <v>東部</v>
      </c>
      <c r="C740" s="464" t="s">
        <v>1019</v>
      </c>
      <c r="D740" s="464" t="s">
        <v>1603</v>
      </c>
      <c r="E740" s="464">
        <f>VLOOKUP(D740,★折込地区!$A$2:$D$10,4,FALSE)</f>
        <v>3</v>
      </c>
      <c r="F740" s="464" t="s">
        <v>474</v>
      </c>
      <c r="G740" s="464" t="str">
        <f>INDEX(★新聞!$E$4:$I$12, MATCH(LEFT(F740),★新聞!$A$4:$A$12,0), MATCH(LEFT(W740),★新聞!$E$3:$I$3,0))</f>
        <v>AJ</v>
      </c>
      <c r="H740" s="555" t="s">
        <v>1102</v>
      </c>
      <c r="I740" s="464" cm="1">
        <f t="array" ref="I740">IFERROR(INDEX(★原価率!$A$2:$E$50,MATCH($C740&amp;$H740,★原価率!$A$2:$A$50&amp;★原価率!$B$2:$B$50,0),3),0)</f>
        <v>80</v>
      </c>
      <c r="J740" s="464" cm="1">
        <f t="array" ref="J740">IFERROR(INDEX(★原価率!$A$2:$E$50,MATCH($C740&amp;$H740,★原価率!$A$2:$A$50&amp;★原価率!$B$2:$B$50,0),4),0)</f>
        <v>84</v>
      </c>
      <c r="K740" s="464" cm="1">
        <f t="array" ref="K740">IFERROR(INDEX(★原価率!$A$2:$E$50,MATCH($C740&amp;$H740,★原価率!$A$2:$A$50&amp;★原価率!$B$2:$B$50,0),5),0)</f>
        <v>100</v>
      </c>
      <c r="L740" s="528">
        <f>IFERROR(VLOOKUP(W740,★商品!$A$1:$H$1231,8,FALSE),0)</f>
        <v>2.8</v>
      </c>
      <c r="M740" s="203" t="str">
        <f ca="1">CONCATENATE(VLOOKUP(B740,★営業所!$A$2:$B$5,2,FALSE),TEXT(NOW(),"yyyy"))</f>
        <v>T2023</v>
      </c>
      <c r="N740" s="203">
        <v>1</v>
      </c>
      <c r="O740" s="203">
        <v>0</v>
      </c>
      <c r="P740" s="213">
        <f>申込書!$B$6</f>
        <v>0</v>
      </c>
      <c r="Q740" s="203">
        <f>申込書!$C$34</f>
        <v>1000040</v>
      </c>
      <c r="R740" s="203">
        <v>0</v>
      </c>
      <c r="U740" s="203">
        <f>VLOOKUP(B740,★営業所!$A$2:$C$5,3,FALSE)</f>
        <v>8</v>
      </c>
      <c r="V740" s="203">
        <f>申込書!$B$9</f>
        <v>0</v>
      </c>
      <c r="W740" s="203" t="str">
        <f>CONCATENATE(VLOOKUP(B740,★営業所!$A$2:$B$5,2,FALSE),VLOOKUP(申込書!$C$32,★サイズ表記!$D$4:$E$55,2,FALSE),VLOOKUP(D740,★折込地区!$A$2:$B$11,2,FALSE))</f>
        <v>T1001Yng</v>
      </c>
      <c r="X740" s="203" t="str">
        <f>CONCATENATE(申込書!$B$9," ",VLOOKUP(RIGHT(W740,3),★折込地区!$B$2:$C$10,2,FALSE),"")</f>
        <v xml:space="preserve"> 米子</v>
      </c>
      <c r="Z740" s="206">
        <f t="shared" ca="1" si="87"/>
        <v>0</v>
      </c>
      <c r="AB740" s="383">
        <f t="shared" si="88"/>
        <v>2.8</v>
      </c>
      <c r="AC740" s="203" t="str">
        <f t="shared" si="89"/>
        <v>P1001</v>
      </c>
      <c r="AD740" s="203" t="str">
        <f>VLOOKUP(AC740,★原価商品!$E$6:$F$349,2,FALSE)</f>
        <v>産経/B4（折り無し）</v>
      </c>
      <c r="AE740" s="203">
        <f t="shared" ca="1" si="90"/>
        <v>0</v>
      </c>
      <c r="AF740" s="383">
        <f ca="1">IFERROR(IF(VLOOKUP(申込書!$C$32,★サイズ表記!$F$4:$H$55,3,FALSE)="切り捨て",ROUNDDOWN(L740*IF(AK740="◎",I740,J740)/100,2),IF(VLOOKUP(申込書!$C$32,★サイズ表記!$F$4:$H$55,3,FALSE)="切り上げ",ROUNDUP(L740*IF(AK740="◎",I740,J740)/100,2),ROUND(L740*IF(AK740="◎",I740,J740)/100,2))),0)</f>
        <v>2.35</v>
      </c>
      <c r="AG740" s="203">
        <f t="shared" ca="1" si="91"/>
        <v>10561</v>
      </c>
      <c r="AJ740" s="460" t="str">
        <f>IFERROR(VLOOKUP(申込書!$C$30,★業種!$D$2:$E$87,2,FALSE),"")</f>
        <v>1003</v>
      </c>
      <c r="AK740" s="460" t="str">
        <f ca="1">IF(申込書!$C$36="◎",IF(OR(D740="浜坂・温泉",D740="美方・村岡",D740="香住",D740="岡山",D740="大阪"),"",IF(LEFT(F740)="D","◎",IF(AG740=0,"",IFERROR(IF(VLOOKUP(AG740,★仕入先!$A$2:$C$211,3,FALSE)=0,"","◎"),"")))),"")</f>
        <v/>
      </c>
      <c r="AL740" s="460">
        <f>申込書!$H$14</f>
        <v>0</v>
      </c>
      <c r="AM740" s="460" t="str">
        <f>申込書!$C$32</f>
        <v>B4（折り無し）</v>
      </c>
      <c r="AN740" s="460" t="str">
        <f>VLOOKUP(AM740,★サイズ表記!$D$4:$E$55,2,FALSE)</f>
        <v>1001</v>
      </c>
      <c r="AO740" s="460">
        <f>IF(C740&lt;&gt;"⑧兵庫",VLOOKUP(LEFT(F740),★新聞!$A$4:$B$12,2,FALSE),IF(LEFT(F740)&lt;&gt;"S",VLOOKUP(LEFT(F740),★新聞!$A$4:$B$12,2,FALSE),VLOOKUP("X",★新聞!$A$4:$B$12,2,FALSE)))</f>
        <v>5</v>
      </c>
      <c r="AP740" s="460" t="str">
        <f t="shared" ca="1" si="92"/>
        <v>0</v>
      </c>
      <c r="AQ740" s="460" t="str">
        <f>IF(申込書!$C$38="","",申込書!$C$38)</f>
        <v/>
      </c>
    </row>
    <row r="741" spans="1:43">
      <c r="A741" s="463">
        <f t="shared" si="93"/>
        <v>740</v>
      </c>
      <c r="B741" s="463" t="str">
        <f t="shared" si="86"/>
        <v>東部</v>
      </c>
      <c r="C741" s="464" t="s">
        <v>1019</v>
      </c>
      <c r="D741" s="464" t="s">
        <v>1603</v>
      </c>
      <c r="E741" s="464">
        <f>VLOOKUP(D741,★折込地区!$A$2:$D$10,4,FALSE)</f>
        <v>3</v>
      </c>
      <c r="F741" s="464" t="s">
        <v>475</v>
      </c>
      <c r="G741" s="464" t="str">
        <f>INDEX(★新聞!$E$4:$I$12, MATCH(LEFT(F741),★新聞!$A$4:$A$12,0), MATCH(LEFT(W741),★新聞!$E$3:$I$3,0))</f>
        <v>AJ</v>
      </c>
      <c r="H741" s="555" t="s">
        <v>1102</v>
      </c>
      <c r="I741" s="464" cm="1">
        <f t="array" ref="I741">IFERROR(INDEX(★原価率!$A$2:$E$50,MATCH($C741&amp;$H741,★原価率!$A$2:$A$50&amp;★原価率!$B$2:$B$50,0),3),0)</f>
        <v>80</v>
      </c>
      <c r="J741" s="464" cm="1">
        <f t="array" ref="J741">IFERROR(INDEX(★原価率!$A$2:$E$50,MATCH($C741&amp;$H741,★原価率!$A$2:$A$50&amp;★原価率!$B$2:$B$50,0),4),0)</f>
        <v>84</v>
      </c>
      <c r="K741" s="464" cm="1">
        <f t="array" ref="K741">IFERROR(INDEX(★原価率!$A$2:$E$50,MATCH($C741&amp;$H741,★原価率!$A$2:$A$50&amp;★原価率!$B$2:$B$50,0),5),0)</f>
        <v>100</v>
      </c>
      <c r="L741" s="528">
        <f>IFERROR(VLOOKUP(W741,★商品!$A$1:$H$1231,8,FALSE),0)</f>
        <v>2.8</v>
      </c>
      <c r="M741" s="203" t="str">
        <f ca="1">CONCATENATE(VLOOKUP(B741,★営業所!$A$2:$B$5,2,FALSE),TEXT(NOW(),"yyyy"))</f>
        <v>T2023</v>
      </c>
      <c r="N741" s="203">
        <v>1</v>
      </c>
      <c r="O741" s="203">
        <v>0</v>
      </c>
      <c r="P741" s="213">
        <f>申込書!$B$6</f>
        <v>0</v>
      </c>
      <c r="Q741" s="203">
        <f>申込書!$C$34</f>
        <v>1000040</v>
      </c>
      <c r="R741" s="203">
        <v>0</v>
      </c>
      <c r="U741" s="203">
        <f>VLOOKUP(B741,★営業所!$A$2:$C$5,3,FALSE)</f>
        <v>8</v>
      </c>
      <c r="V741" s="203">
        <f>申込書!$B$9</f>
        <v>0</v>
      </c>
      <c r="W741" s="203" t="str">
        <f>CONCATENATE(VLOOKUP(B741,★営業所!$A$2:$B$5,2,FALSE),VLOOKUP(申込書!$C$32,★サイズ表記!$D$4:$E$55,2,FALSE),VLOOKUP(D741,★折込地区!$A$2:$B$11,2,FALSE))</f>
        <v>T1001Yng</v>
      </c>
      <c r="X741" s="203" t="str">
        <f>CONCATENATE(申込書!$B$9," ",VLOOKUP(RIGHT(W741,3),★折込地区!$B$2:$C$10,2,FALSE),"")</f>
        <v xml:space="preserve"> 米子</v>
      </c>
      <c r="Z741" s="206">
        <f t="shared" ca="1" si="87"/>
        <v>0</v>
      </c>
      <c r="AB741" s="383">
        <f t="shared" si="88"/>
        <v>2.8</v>
      </c>
      <c r="AC741" s="203" t="str">
        <f t="shared" si="89"/>
        <v>P1001</v>
      </c>
      <c r="AD741" s="203" t="str">
        <f>VLOOKUP(AC741,★原価商品!$E$6:$F$349,2,FALSE)</f>
        <v>産経/B4（折り無し）</v>
      </c>
      <c r="AE741" s="203">
        <f t="shared" ca="1" si="90"/>
        <v>0</v>
      </c>
      <c r="AF741" s="383">
        <f ca="1">IFERROR(IF(VLOOKUP(申込書!$C$32,★サイズ表記!$F$4:$H$55,3,FALSE)="切り捨て",ROUNDDOWN(L741*IF(AK741="◎",I741,J741)/100,2),IF(VLOOKUP(申込書!$C$32,★サイズ表記!$F$4:$H$55,3,FALSE)="切り上げ",ROUNDUP(L741*IF(AK741="◎",I741,J741)/100,2),ROUND(L741*IF(AK741="◎",I741,J741)/100,2))),0)</f>
        <v>2.35</v>
      </c>
      <c r="AG741" s="203">
        <f t="shared" ca="1" si="91"/>
        <v>10561</v>
      </c>
      <c r="AJ741" s="460" t="str">
        <f>IFERROR(VLOOKUP(申込書!$C$30,★業種!$D$2:$E$87,2,FALSE),"")</f>
        <v>1003</v>
      </c>
      <c r="AK741" s="460" t="str">
        <f ca="1">IF(申込書!$C$36="◎",IF(OR(D741="浜坂・温泉",D741="美方・村岡",D741="香住",D741="岡山",D741="大阪"),"",IF(LEFT(F741)="D","◎",IF(AG741=0,"",IFERROR(IF(VLOOKUP(AG741,★仕入先!$A$2:$C$211,3,FALSE)=0,"","◎"),"")))),"")</f>
        <v/>
      </c>
      <c r="AL741" s="460">
        <f>申込書!$H$14</f>
        <v>0</v>
      </c>
      <c r="AM741" s="460" t="str">
        <f>申込書!$C$32</f>
        <v>B4（折り無し）</v>
      </c>
      <c r="AN741" s="460" t="str">
        <f>VLOOKUP(AM741,★サイズ表記!$D$4:$E$55,2,FALSE)</f>
        <v>1001</v>
      </c>
      <c r="AO741" s="460">
        <f>IF(C741&lt;&gt;"⑧兵庫",VLOOKUP(LEFT(F741),★新聞!$A$4:$B$12,2,FALSE),IF(LEFT(F741)&lt;&gt;"S",VLOOKUP(LEFT(F741),★新聞!$A$4:$B$12,2,FALSE),VLOOKUP("X",★新聞!$A$4:$B$12,2,FALSE)))</f>
        <v>5</v>
      </c>
      <c r="AP741" s="460" t="str">
        <f t="shared" ca="1" si="92"/>
        <v>0</v>
      </c>
      <c r="AQ741" s="460" t="str">
        <f>IF(申込書!$C$38="","",申込書!$C$38)</f>
        <v/>
      </c>
    </row>
    <row r="742" spans="1:43">
      <c r="A742" s="463">
        <f t="shared" si="93"/>
        <v>741</v>
      </c>
      <c r="B742" s="463" t="str">
        <f t="shared" si="86"/>
        <v>東部</v>
      </c>
      <c r="C742" s="464" t="s">
        <v>1019</v>
      </c>
      <c r="D742" s="464" t="s">
        <v>1603</v>
      </c>
      <c r="E742" s="464">
        <f>VLOOKUP(D742,★折込地区!$A$2:$D$10,4,FALSE)</f>
        <v>3</v>
      </c>
      <c r="F742" s="464" t="s">
        <v>476</v>
      </c>
      <c r="G742" s="464" t="str">
        <f>INDEX(★新聞!$E$4:$I$12, MATCH(LEFT(F742),★新聞!$A$4:$A$12,0), MATCH(LEFT(W742),★新聞!$E$3:$I$3,0))</f>
        <v>AJ</v>
      </c>
      <c r="H742" s="555" t="s">
        <v>1102</v>
      </c>
      <c r="I742" s="464" cm="1">
        <f t="array" ref="I742">IFERROR(INDEX(★原価率!$A$2:$E$50,MATCH($C742&amp;$H742,★原価率!$A$2:$A$50&amp;★原価率!$B$2:$B$50,0),3),0)</f>
        <v>80</v>
      </c>
      <c r="J742" s="464" cm="1">
        <f t="array" ref="J742">IFERROR(INDEX(★原価率!$A$2:$E$50,MATCH($C742&amp;$H742,★原価率!$A$2:$A$50&amp;★原価率!$B$2:$B$50,0),4),0)</f>
        <v>84</v>
      </c>
      <c r="K742" s="464" cm="1">
        <f t="array" ref="K742">IFERROR(INDEX(★原価率!$A$2:$E$50,MATCH($C742&amp;$H742,★原価率!$A$2:$A$50&amp;★原価率!$B$2:$B$50,0),5),0)</f>
        <v>100</v>
      </c>
      <c r="L742" s="528">
        <f>IFERROR(VLOOKUP(W742,★商品!$A$1:$H$1231,8,FALSE),0)</f>
        <v>2.8</v>
      </c>
      <c r="M742" s="203" t="str">
        <f ca="1">CONCATENATE(VLOOKUP(B742,★営業所!$A$2:$B$5,2,FALSE),TEXT(NOW(),"yyyy"))</f>
        <v>T2023</v>
      </c>
      <c r="N742" s="203">
        <v>1</v>
      </c>
      <c r="O742" s="203">
        <v>0</v>
      </c>
      <c r="P742" s="213">
        <f>申込書!$B$6</f>
        <v>0</v>
      </c>
      <c r="Q742" s="203">
        <f>申込書!$C$34</f>
        <v>1000040</v>
      </c>
      <c r="R742" s="203">
        <v>0</v>
      </c>
      <c r="U742" s="203">
        <f>VLOOKUP(B742,★営業所!$A$2:$C$5,3,FALSE)</f>
        <v>8</v>
      </c>
      <c r="V742" s="203">
        <f>申込書!$B$9</f>
        <v>0</v>
      </c>
      <c r="W742" s="203" t="str">
        <f>CONCATENATE(VLOOKUP(B742,★営業所!$A$2:$B$5,2,FALSE),VLOOKUP(申込書!$C$32,★サイズ表記!$D$4:$E$55,2,FALSE),VLOOKUP(D742,★折込地区!$A$2:$B$11,2,FALSE))</f>
        <v>T1001Yng</v>
      </c>
      <c r="X742" s="203" t="str">
        <f>CONCATENATE(申込書!$B$9," ",VLOOKUP(RIGHT(W742,3),★折込地区!$B$2:$C$10,2,FALSE),"")</f>
        <v xml:space="preserve"> 米子</v>
      </c>
      <c r="Z742" s="206">
        <f t="shared" ca="1" si="87"/>
        <v>0</v>
      </c>
      <c r="AB742" s="383">
        <f t="shared" si="88"/>
        <v>2.8</v>
      </c>
      <c r="AC742" s="203" t="str">
        <f t="shared" si="89"/>
        <v>P1001</v>
      </c>
      <c r="AD742" s="203" t="str">
        <f>VLOOKUP(AC742,★原価商品!$E$6:$F$349,2,FALSE)</f>
        <v>産経/B4（折り無し）</v>
      </c>
      <c r="AE742" s="203">
        <f t="shared" ca="1" si="90"/>
        <v>0</v>
      </c>
      <c r="AF742" s="383">
        <f ca="1">IFERROR(IF(VLOOKUP(申込書!$C$32,★サイズ表記!$F$4:$H$55,3,FALSE)="切り捨て",ROUNDDOWN(L742*IF(AK742="◎",I742,J742)/100,2),IF(VLOOKUP(申込書!$C$32,★サイズ表記!$F$4:$H$55,3,FALSE)="切り上げ",ROUNDUP(L742*IF(AK742="◎",I742,J742)/100,2),ROUND(L742*IF(AK742="◎",I742,J742)/100,2))),0)</f>
        <v>2.35</v>
      </c>
      <c r="AG742" s="203">
        <f t="shared" ca="1" si="91"/>
        <v>10561</v>
      </c>
      <c r="AJ742" s="460" t="str">
        <f>IFERROR(VLOOKUP(申込書!$C$30,★業種!$D$2:$E$87,2,FALSE),"")</f>
        <v>1003</v>
      </c>
      <c r="AK742" s="460" t="str">
        <f ca="1">IF(申込書!$C$36="◎",IF(OR(D742="浜坂・温泉",D742="美方・村岡",D742="香住",D742="岡山",D742="大阪"),"",IF(LEFT(F742)="D","◎",IF(AG742=0,"",IFERROR(IF(VLOOKUP(AG742,★仕入先!$A$2:$C$211,3,FALSE)=0,"","◎"),"")))),"")</f>
        <v/>
      </c>
      <c r="AL742" s="460">
        <f>申込書!$H$14</f>
        <v>0</v>
      </c>
      <c r="AM742" s="460" t="str">
        <f>申込書!$C$32</f>
        <v>B4（折り無し）</v>
      </c>
      <c r="AN742" s="460" t="str">
        <f>VLOOKUP(AM742,★サイズ表記!$D$4:$E$55,2,FALSE)</f>
        <v>1001</v>
      </c>
      <c r="AO742" s="460">
        <f>IF(C742&lt;&gt;"⑧兵庫",VLOOKUP(LEFT(F742),★新聞!$A$4:$B$12,2,FALSE),IF(LEFT(F742)&lt;&gt;"S",VLOOKUP(LEFT(F742),★新聞!$A$4:$B$12,2,FALSE),VLOOKUP("X",★新聞!$A$4:$B$12,2,FALSE)))</f>
        <v>5</v>
      </c>
      <c r="AP742" s="460" t="str">
        <f t="shared" ca="1" si="92"/>
        <v>0</v>
      </c>
      <c r="AQ742" s="460" t="str">
        <f>IF(申込書!$C$38="","",申込書!$C$38)</f>
        <v/>
      </c>
    </row>
    <row r="743" spans="1:43">
      <c r="A743" s="463">
        <f t="shared" si="93"/>
        <v>742</v>
      </c>
      <c r="B743" s="463" t="str">
        <f t="shared" si="86"/>
        <v>東部</v>
      </c>
      <c r="C743" s="464" t="s">
        <v>1019</v>
      </c>
      <c r="D743" s="464" t="s">
        <v>1603</v>
      </c>
      <c r="E743" s="464">
        <f>VLOOKUP(D743,★折込地区!$A$2:$D$10,4,FALSE)</f>
        <v>3</v>
      </c>
      <c r="F743" s="464" t="s">
        <v>477</v>
      </c>
      <c r="G743" s="464" t="str">
        <f>INDEX(★新聞!$E$4:$I$12, MATCH(LEFT(F743),★新聞!$A$4:$A$12,0), MATCH(LEFT(W743),★新聞!$E$3:$I$3,0))</f>
        <v>AJ</v>
      </c>
      <c r="H743" s="475" t="s">
        <v>1104</v>
      </c>
      <c r="I743" s="464" cm="1">
        <f t="array" ref="I743">IFERROR(INDEX(★原価率!$A$2:$E$50,MATCH($C743&amp;$H743,★原価率!$A$2:$A$50&amp;★原価率!$B$2:$B$50,0),3),0)</f>
        <v>85</v>
      </c>
      <c r="J743" s="464" cm="1">
        <f t="array" ref="J743">IFERROR(INDEX(★原価率!$A$2:$E$50,MATCH($C743&amp;$H743,★原価率!$A$2:$A$50&amp;★原価率!$B$2:$B$50,0),4),0)</f>
        <v>85</v>
      </c>
      <c r="K743" s="464" cm="1">
        <f t="array" ref="K743">IFERROR(INDEX(★原価率!$A$2:$E$50,MATCH($C743&amp;$H743,★原価率!$A$2:$A$50&amp;★原価率!$B$2:$B$50,0),5),0)</f>
        <v>100</v>
      </c>
      <c r="L743" s="528">
        <f>IFERROR(VLOOKUP(W743,★商品!$A$1:$H$1231,8,FALSE),0)</f>
        <v>2.8</v>
      </c>
      <c r="M743" s="203" t="str">
        <f ca="1">CONCATENATE(VLOOKUP(B743,★営業所!$A$2:$B$5,2,FALSE),TEXT(NOW(),"yyyy"))</f>
        <v>T2023</v>
      </c>
      <c r="N743" s="203">
        <v>1</v>
      </c>
      <c r="O743" s="203">
        <v>0</v>
      </c>
      <c r="P743" s="213">
        <f>申込書!$B$6</f>
        <v>0</v>
      </c>
      <c r="Q743" s="203">
        <f>申込書!$C$34</f>
        <v>1000040</v>
      </c>
      <c r="R743" s="203">
        <v>0</v>
      </c>
      <c r="U743" s="203">
        <f>VLOOKUP(B743,★営業所!$A$2:$C$5,3,FALSE)</f>
        <v>8</v>
      </c>
      <c r="V743" s="203">
        <f>申込書!$B$9</f>
        <v>0</v>
      </c>
      <c r="W743" s="203" t="str">
        <f>CONCATENATE(VLOOKUP(B743,★営業所!$A$2:$B$5,2,FALSE),VLOOKUP(申込書!$C$32,★サイズ表記!$D$4:$E$55,2,FALSE),VLOOKUP(D743,★折込地区!$A$2:$B$11,2,FALSE))</f>
        <v>T1001Yng</v>
      </c>
      <c r="X743" s="203" t="str">
        <f>CONCATENATE(申込書!$B$9," ",VLOOKUP(RIGHT(W743,3),★折込地区!$B$2:$C$10,2,FALSE),"")</f>
        <v xml:space="preserve"> 米子</v>
      </c>
      <c r="Z743" s="206">
        <f t="shared" ca="1" si="87"/>
        <v>0</v>
      </c>
      <c r="AB743" s="383">
        <f t="shared" si="88"/>
        <v>2.8</v>
      </c>
      <c r="AC743" s="203" t="str">
        <f t="shared" si="89"/>
        <v>P1001</v>
      </c>
      <c r="AD743" s="203" t="str">
        <f>VLOOKUP(AC743,★原価商品!$E$6:$F$349,2,FALSE)</f>
        <v>産経/B4（折り無し）</v>
      </c>
      <c r="AE743" s="203">
        <f t="shared" ca="1" si="90"/>
        <v>0</v>
      </c>
      <c r="AF743" s="383">
        <f ca="1">IFERROR(IF(VLOOKUP(申込書!$C$32,★サイズ表記!$F$4:$H$55,3,FALSE)="切り捨て",ROUNDDOWN(L743*IF(AK743="◎",I743,J743)/100,2),IF(VLOOKUP(申込書!$C$32,★サイズ表記!$F$4:$H$55,3,FALSE)="切り上げ",ROUNDUP(L743*IF(AK743="◎",I743,J743)/100,2),ROUND(L743*IF(AK743="◎",I743,J743)/100,2))),0)</f>
        <v>2.38</v>
      </c>
      <c r="AG743" s="203">
        <f t="shared" ca="1" si="91"/>
        <v>0</v>
      </c>
      <c r="AJ743" s="460" t="str">
        <f>IFERROR(VLOOKUP(申込書!$C$30,★業種!$D$2:$E$87,2,FALSE),"")</f>
        <v>1003</v>
      </c>
      <c r="AK743" s="460" t="str">
        <f ca="1">IF(申込書!$C$36="◎",IF(OR(D743="浜坂・温泉",D743="美方・村岡",D743="香住",D743="岡山",D743="大阪"),"",IF(LEFT(F743)="D","◎",IF(AG743=0,"",IFERROR(IF(VLOOKUP(AG743,★仕入先!$A$2:$C$211,3,FALSE)=0,"","◎"),"")))),"")</f>
        <v/>
      </c>
      <c r="AL743" s="460">
        <f>申込書!$H$14</f>
        <v>0</v>
      </c>
      <c r="AM743" s="460" t="str">
        <f>申込書!$C$32</f>
        <v>B4（折り無し）</v>
      </c>
      <c r="AN743" s="460" t="str">
        <f>VLOOKUP(AM743,★サイズ表記!$D$4:$E$55,2,FALSE)</f>
        <v>1001</v>
      </c>
      <c r="AO743" s="460">
        <f>IF(C743&lt;&gt;"⑧兵庫",VLOOKUP(LEFT(F743),★新聞!$A$4:$B$12,2,FALSE),IF(LEFT(F743)&lt;&gt;"S",VLOOKUP(LEFT(F743),★新聞!$A$4:$B$12,2,FALSE),VLOOKUP("X",★新聞!$A$4:$B$12,2,FALSE)))</f>
        <v>5</v>
      </c>
      <c r="AP743" s="460" t="str">
        <f t="shared" ca="1" si="92"/>
        <v>0</v>
      </c>
      <c r="AQ743" s="460" t="str">
        <f>IF(申込書!$C$38="","",申込書!$C$38)</f>
        <v/>
      </c>
    </row>
    <row r="744" spans="1:43">
      <c r="A744" s="463">
        <f t="shared" si="93"/>
        <v>743</v>
      </c>
      <c r="B744" s="463" t="str">
        <f t="shared" si="86"/>
        <v>東部</v>
      </c>
      <c r="C744" s="464" t="s">
        <v>1019</v>
      </c>
      <c r="D744" s="464" t="s">
        <v>1603</v>
      </c>
      <c r="E744" s="464">
        <f>VLOOKUP(D744,★折込地区!$A$2:$D$10,4,FALSE)</f>
        <v>3</v>
      </c>
      <c r="F744" s="464" t="s">
        <v>481</v>
      </c>
      <c r="G744" s="464" t="str">
        <f>INDEX(★新聞!$E$4:$I$12, MATCH(LEFT(F744),★新聞!$A$4:$A$12,0), MATCH(LEFT(W744),★新聞!$E$3:$I$3,0))</f>
        <v>AJ</v>
      </c>
      <c r="H744" s="555" t="s">
        <v>1102</v>
      </c>
      <c r="I744" s="464" cm="1">
        <f t="array" ref="I744">IFERROR(INDEX(★原価率!$A$2:$E$50,MATCH($C744&amp;$H744,★原価率!$A$2:$A$50&amp;★原価率!$B$2:$B$50,0),3),0)</f>
        <v>80</v>
      </c>
      <c r="J744" s="464" cm="1">
        <f t="array" ref="J744">IFERROR(INDEX(★原価率!$A$2:$E$50,MATCH($C744&amp;$H744,★原価率!$A$2:$A$50&amp;★原価率!$B$2:$B$50,0),4),0)</f>
        <v>84</v>
      </c>
      <c r="K744" s="464" cm="1">
        <f t="array" ref="K744">IFERROR(INDEX(★原価率!$A$2:$E$50,MATCH($C744&amp;$H744,★原価率!$A$2:$A$50&amp;★原価率!$B$2:$B$50,0),5),0)</f>
        <v>100</v>
      </c>
      <c r="L744" s="528">
        <f>IFERROR(VLOOKUP(W744,★商品!$A$1:$H$1231,8,FALSE),0)</f>
        <v>2.8</v>
      </c>
      <c r="M744" s="203" t="str">
        <f ca="1">CONCATENATE(VLOOKUP(B744,★営業所!$A$2:$B$5,2,FALSE),TEXT(NOW(),"yyyy"))</f>
        <v>T2023</v>
      </c>
      <c r="N744" s="203">
        <v>1</v>
      </c>
      <c r="O744" s="203">
        <v>0</v>
      </c>
      <c r="P744" s="213">
        <f>申込書!$B$6</f>
        <v>0</v>
      </c>
      <c r="Q744" s="203">
        <f>申込書!$C$34</f>
        <v>1000040</v>
      </c>
      <c r="R744" s="203">
        <v>0</v>
      </c>
      <c r="U744" s="203">
        <f>VLOOKUP(B744,★営業所!$A$2:$C$5,3,FALSE)</f>
        <v>8</v>
      </c>
      <c r="V744" s="203">
        <f>申込書!$B$9</f>
        <v>0</v>
      </c>
      <c r="W744" s="203" t="str">
        <f>CONCATENATE(VLOOKUP(B744,★営業所!$A$2:$B$5,2,FALSE),VLOOKUP(申込書!$C$32,★サイズ表記!$D$4:$E$55,2,FALSE),VLOOKUP(D744,★折込地区!$A$2:$B$11,2,FALSE))</f>
        <v>T1001Yng</v>
      </c>
      <c r="X744" s="203" t="str">
        <f>CONCATENATE(申込書!$B$9," ",VLOOKUP(RIGHT(W744,3),★折込地区!$B$2:$C$10,2,FALSE),"")</f>
        <v xml:space="preserve"> 米子</v>
      </c>
      <c r="Z744" s="206">
        <f t="shared" ca="1" si="87"/>
        <v>0</v>
      </c>
      <c r="AB744" s="383">
        <f t="shared" si="88"/>
        <v>2.8</v>
      </c>
      <c r="AC744" s="203" t="str">
        <f t="shared" si="89"/>
        <v>P1001</v>
      </c>
      <c r="AD744" s="203" t="str">
        <f>VLOOKUP(AC744,★原価商品!$E$6:$F$349,2,FALSE)</f>
        <v>産経/B4（折り無し）</v>
      </c>
      <c r="AE744" s="203">
        <f t="shared" ca="1" si="90"/>
        <v>0</v>
      </c>
      <c r="AF744" s="383">
        <f ca="1">IFERROR(IF(VLOOKUP(申込書!$C$32,★サイズ表記!$F$4:$H$55,3,FALSE)="切り捨て",ROUNDDOWN(L744*IF(AK744="◎",I744,J744)/100,2),IF(VLOOKUP(申込書!$C$32,★サイズ表記!$F$4:$H$55,3,FALSE)="切り上げ",ROUNDUP(L744*IF(AK744="◎",I744,J744)/100,2),ROUND(L744*IF(AK744="◎",I744,J744)/100,2))),0)</f>
        <v>2.35</v>
      </c>
      <c r="AG744" s="203">
        <f t="shared" ca="1" si="91"/>
        <v>10561</v>
      </c>
      <c r="AJ744" s="460" t="str">
        <f>IFERROR(VLOOKUP(申込書!$C$30,★業種!$D$2:$E$87,2,FALSE),"")</f>
        <v>1003</v>
      </c>
      <c r="AK744" s="460" t="str">
        <f ca="1">IF(申込書!$C$36="◎",IF(OR(D744="浜坂・温泉",D744="美方・村岡",D744="香住",D744="岡山",D744="大阪"),"",IF(LEFT(F744)="D","◎",IF(AG744=0,"",IFERROR(IF(VLOOKUP(AG744,★仕入先!$A$2:$C$211,3,FALSE)=0,"","◎"),"")))),"")</f>
        <v/>
      </c>
      <c r="AL744" s="460">
        <f>申込書!$H$14</f>
        <v>0</v>
      </c>
      <c r="AM744" s="460" t="str">
        <f>申込書!$C$32</f>
        <v>B4（折り無し）</v>
      </c>
      <c r="AN744" s="460" t="str">
        <f>VLOOKUP(AM744,★サイズ表記!$D$4:$E$55,2,FALSE)</f>
        <v>1001</v>
      </c>
      <c r="AO744" s="460">
        <f>IF(C744&lt;&gt;"⑧兵庫",VLOOKUP(LEFT(F744),★新聞!$A$4:$B$12,2,FALSE),IF(LEFT(F744)&lt;&gt;"S",VLOOKUP(LEFT(F744),★新聞!$A$4:$B$12,2,FALSE),VLOOKUP("X",★新聞!$A$4:$B$12,2,FALSE)))</f>
        <v>5</v>
      </c>
      <c r="AP744" s="460" t="str">
        <f t="shared" ca="1" si="92"/>
        <v>0</v>
      </c>
      <c r="AQ744" s="460" t="str">
        <f>IF(申込書!$C$38="","",申込書!$C$38)</f>
        <v/>
      </c>
    </row>
    <row r="745" spans="1:43">
      <c r="A745" s="463">
        <f t="shared" si="93"/>
        <v>744</v>
      </c>
      <c r="B745" s="463" t="str">
        <f t="shared" si="86"/>
        <v>東部</v>
      </c>
      <c r="C745" s="464" t="s">
        <v>1019</v>
      </c>
      <c r="D745" s="464" t="s">
        <v>1603</v>
      </c>
      <c r="E745" s="464">
        <f>VLOOKUP(D745,★折込地区!$A$2:$D$10,4,FALSE)</f>
        <v>3</v>
      </c>
      <c r="F745" s="464" t="s">
        <v>482</v>
      </c>
      <c r="G745" s="464" t="str">
        <f>INDEX(★新聞!$E$4:$I$12, MATCH(LEFT(F745),★新聞!$A$4:$A$12,0), MATCH(LEFT(W745),★新聞!$E$3:$I$3,0))</f>
        <v>AJ</v>
      </c>
      <c r="H745" s="475" t="s">
        <v>1104</v>
      </c>
      <c r="I745" s="464" cm="1">
        <f t="array" ref="I745">IFERROR(INDEX(★原価率!$A$2:$E$50,MATCH($C745&amp;$H745,★原価率!$A$2:$A$50&amp;★原価率!$B$2:$B$50,0),3),0)</f>
        <v>85</v>
      </c>
      <c r="J745" s="464" cm="1">
        <f t="array" ref="J745">IFERROR(INDEX(★原価率!$A$2:$E$50,MATCH($C745&amp;$H745,★原価率!$A$2:$A$50&amp;★原価率!$B$2:$B$50,0),4),0)</f>
        <v>85</v>
      </c>
      <c r="K745" s="464" cm="1">
        <f t="array" ref="K745">IFERROR(INDEX(★原価率!$A$2:$E$50,MATCH($C745&amp;$H745,★原価率!$A$2:$A$50&amp;★原価率!$B$2:$B$50,0),5),0)</f>
        <v>100</v>
      </c>
      <c r="L745" s="528">
        <f>IFERROR(VLOOKUP(W745,★商品!$A$1:$H$1231,8,FALSE),0)</f>
        <v>2.8</v>
      </c>
      <c r="M745" s="203" t="str">
        <f ca="1">CONCATENATE(VLOOKUP(B745,★営業所!$A$2:$B$5,2,FALSE),TEXT(NOW(),"yyyy"))</f>
        <v>T2023</v>
      </c>
      <c r="N745" s="203">
        <v>1</v>
      </c>
      <c r="O745" s="203">
        <v>0</v>
      </c>
      <c r="P745" s="213">
        <f>申込書!$B$6</f>
        <v>0</v>
      </c>
      <c r="Q745" s="203">
        <f>申込書!$C$34</f>
        <v>1000040</v>
      </c>
      <c r="R745" s="203">
        <v>0</v>
      </c>
      <c r="U745" s="203">
        <f>VLOOKUP(B745,★営業所!$A$2:$C$5,3,FALSE)</f>
        <v>8</v>
      </c>
      <c r="V745" s="203">
        <f>申込書!$B$9</f>
        <v>0</v>
      </c>
      <c r="W745" s="203" t="str">
        <f>CONCATENATE(VLOOKUP(B745,★営業所!$A$2:$B$5,2,FALSE),VLOOKUP(申込書!$C$32,★サイズ表記!$D$4:$E$55,2,FALSE),VLOOKUP(D745,★折込地区!$A$2:$B$11,2,FALSE))</f>
        <v>T1001Yng</v>
      </c>
      <c r="X745" s="203" t="str">
        <f>CONCATENATE(申込書!$B$9," ",VLOOKUP(RIGHT(W745,3),★折込地区!$B$2:$C$10,2,FALSE),"")</f>
        <v xml:space="preserve"> 米子</v>
      </c>
      <c r="Z745" s="206">
        <f t="shared" ca="1" si="87"/>
        <v>0</v>
      </c>
      <c r="AB745" s="383">
        <f t="shared" si="88"/>
        <v>2.8</v>
      </c>
      <c r="AC745" s="203" t="str">
        <f t="shared" si="89"/>
        <v>P1001</v>
      </c>
      <c r="AD745" s="203" t="str">
        <f>VLOOKUP(AC745,★原価商品!$E$6:$F$349,2,FALSE)</f>
        <v>産経/B4（折り無し）</v>
      </c>
      <c r="AE745" s="203">
        <f t="shared" ca="1" si="90"/>
        <v>0</v>
      </c>
      <c r="AF745" s="383">
        <f ca="1">IFERROR(IF(VLOOKUP(申込書!$C$32,★サイズ表記!$F$4:$H$55,3,FALSE)="切り捨て",ROUNDDOWN(L745*IF(AK745="◎",I745,J745)/100,2),IF(VLOOKUP(申込書!$C$32,★サイズ表記!$F$4:$H$55,3,FALSE)="切り上げ",ROUNDUP(L745*IF(AK745="◎",I745,J745)/100,2),ROUND(L745*IF(AK745="◎",I745,J745)/100,2))),0)</f>
        <v>2.38</v>
      </c>
      <c r="AG745" s="203">
        <f t="shared" ca="1" si="91"/>
        <v>10561</v>
      </c>
      <c r="AJ745" s="460" t="str">
        <f>IFERROR(VLOOKUP(申込書!$C$30,★業種!$D$2:$E$87,2,FALSE),"")</f>
        <v>1003</v>
      </c>
      <c r="AK745" s="460" t="str">
        <f ca="1">IF(申込書!$C$36="◎",IF(OR(D745="浜坂・温泉",D745="美方・村岡",D745="香住",D745="岡山",D745="大阪"),"",IF(LEFT(F745)="D","◎",IF(AG745=0,"",IFERROR(IF(VLOOKUP(AG745,★仕入先!$A$2:$C$211,3,FALSE)=0,"","◎"),"")))),"")</f>
        <v/>
      </c>
      <c r="AL745" s="460">
        <f>申込書!$H$14</f>
        <v>0</v>
      </c>
      <c r="AM745" s="460" t="str">
        <f>申込書!$C$32</f>
        <v>B4（折り無し）</v>
      </c>
      <c r="AN745" s="460" t="str">
        <f>VLOOKUP(AM745,★サイズ表記!$D$4:$E$55,2,FALSE)</f>
        <v>1001</v>
      </c>
      <c r="AO745" s="460">
        <f>IF(C745&lt;&gt;"⑧兵庫",VLOOKUP(LEFT(F745),★新聞!$A$4:$B$12,2,FALSE),IF(LEFT(F745)&lt;&gt;"S",VLOOKUP(LEFT(F745),★新聞!$A$4:$B$12,2,FALSE),VLOOKUP("X",★新聞!$A$4:$B$12,2,FALSE)))</f>
        <v>5</v>
      </c>
      <c r="AP745" s="460" t="str">
        <f t="shared" ca="1" si="92"/>
        <v>0</v>
      </c>
      <c r="AQ745" s="460" t="str">
        <f>IF(申込書!$C$38="","",申込書!$C$38)</f>
        <v/>
      </c>
    </row>
    <row r="746" spans="1:43">
      <c r="A746" s="463">
        <f t="shared" si="93"/>
        <v>745</v>
      </c>
      <c r="B746" s="463" t="str">
        <f t="shared" si="86"/>
        <v>東部</v>
      </c>
      <c r="C746" s="464" t="s">
        <v>1019</v>
      </c>
      <c r="D746" s="464" t="s">
        <v>1603</v>
      </c>
      <c r="E746" s="464">
        <f>VLOOKUP(D746,★折込地区!$A$2:$D$10,4,FALSE)</f>
        <v>3</v>
      </c>
      <c r="F746" s="464" t="s">
        <v>483</v>
      </c>
      <c r="G746" s="464" t="str">
        <f>INDEX(★新聞!$E$4:$I$12, MATCH(LEFT(F746),★新聞!$A$4:$A$12,0), MATCH(LEFT(W746),★新聞!$E$3:$I$3,0))</f>
        <v>AJ</v>
      </c>
      <c r="H746" s="555" t="s">
        <v>1102</v>
      </c>
      <c r="I746" s="464" cm="1">
        <f t="array" ref="I746">IFERROR(INDEX(★原価率!$A$2:$E$50,MATCH($C746&amp;$H746,★原価率!$A$2:$A$50&amp;★原価率!$B$2:$B$50,0),3),0)</f>
        <v>80</v>
      </c>
      <c r="J746" s="464" cm="1">
        <f t="array" ref="J746">IFERROR(INDEX(★原価率!$A$2:$E$50,MATCH($C746&amp;$H746,★原価率!$A$2:$A$50&amp;★原価率!$B$2:$B$50,0),4),0)</f>
        <v>84</v>
      </c>
      <c r="K746" s="464" cm="1">
        <f t="array" ref="K746">IFERROR(INDEX(★原価率!$A$2:$E$50,MATCH($C746&amp;$H746,★原価率!$A$2:$A$50&amp;★原価率!$B$2:$B$50,0),5),0)</f>
        <v>100</v>
      </c>
      <c r="L746" s="528">
        <f>IFERROR(VLOOKUP(W746,★商品!$A$1:$H$1231,8,FALSE),0)</f>
        <v>2.8</v>
      </c>
      <c r="M746" s="203" t="str">
        <f ca="1">CONCATENATE(VLOOKUP(B746,★営業所!$A$2:$B$5,2,FALSE),TEXT(NOW(),"yyyy"))</f>
        <v>T2023</v>
      </c>
      <c r="N746" s="203">
        <v>1</v>
      </c>
      <c r="O746" s="203">
        <v>0</v>
      </c>
      <c r="P746" s="213">
        <f>申込書!$B$6</f>
        <v>0</v>
      </c>
      <c r="Q746" s="203">
        <f>申込書!$C$34</f>
        <v>1000040</v>
      </c>
      <c r="R746" s="203">
        <v>0</v>
      </c>
      <c r="U746" s="203">
        <f>VLOOKUP(B746,★営業所!$A$2:$C$5,3,FALSE)</f>
        <v>8</v>
      </c>
      <c r="V746" s="203">
        <f>申込書!$B$9</f>
        <v>0</v>
      </c>
      <c r="W746" s="203" t="str">
        <f>CONCATENATE(VLOOKUP(B746,★営業所!$A$2:$B$5,2,FALSE),VLOOKUP(申込書!$C$32,★サイズ表記!$D$4:$E$55,2,FALSE),VLOOKUP(D746,★折込地区!$A$2:$B$11,2,FALSE))</f>
        <v>T1001Yng</v>
      </c>
      <c r="X746" s="203" t="str">
        <f>CONCATENATE(申込書!$B$9," ",VLOOKUP(RIGHT(W746,3),★折込地区!$B$2:$C$10,2,FALSE),"")</f>
        <v xml:space="preserve"> 米子</v>
      </c>
      <c r="Z746" s="206">
        <f t="shared" ca="1" si="87"/>
        <v>0</v>
      </c>
      <c r="AB746" s="383">
        <f t="shared" si="88"/>
        <v>2.8</v>
      </c>
      <c r="AC746" s="203" t="str">
        <f t="shared" si="89"/>
        <v>P1001</v>
      </c>
      <c r="AD746" s="203" t="str">
        <f>VLOOKUP(AC746,★原価商品!$E$6:$F$349,2,FALSE)</f>
        <v>産経/B4（折り無し）</v>
      </c>
      <c r="AE746" s="203">
        <f t="shared" ca="1" si="90"/>
        <v>0</v>
      </c>
      <c r="AF746" s="383">
        <f ca="1">IFERROR(IF(VLOOKUP(申込書!$C$32,★サイズ表記!$F$4:$H$55,3,FALSE)="切り捨て",ROUNDDOWN(L746*IF(AK746="◎",I746,J746)/100,2),IF(VLOOKUP(申込書!$C$32,★サイズ表記!$F$4:$H$55,3,FALSE)="切り上げ",ROUNDUP(L746*IF(AK746="◎",I746,J746)/100,2),ROUND(L746*IF(AK746="◎",I746,J746)/100,2))),0)</f>
        <v>2.35</v>
      </c>
      <c r="AG746" s="203">
        <f t="shared" ca="1" si="91"/>
        <v>10561</v>
      </c>
      <c r="AJ746" s="460" t="str">
        <f>IFERROR(VLOOKUP(申込書!$C$30,★業種!$D$2:$E$87,2,FALSE),"")</f>
        <v>1003</v>
      </c>
      <c r="AK746" s="460" t="str">
        <f ca="1">IF(申込書!$C$36="◎",IF(OR(D746="浜坂・温泉",D746="美方・村岡",D746="香住",D746="岡山",D746="大阪"),"",IF(LEFT(F746)="D","◎",IF(AG746=0,"",IFERROR(IF(VLOOKUP(AG746,★仕入先!$A$2:$C$211,3,FALSE)=0,"","◎"),"")))),"")</f>
        <v/>
      </c>
      <c r="AL746" s="460">
        <f>申込書!$H$14</f>
        <v>0</v>
      </c>
      <c r="AM746" s="460" t="str">
        <f>申込書!$C$32</f>
        <v>B4（折り無し）</v>
      </c>
      <c r="AN746" s="460" t="str">
        <f>VLOOKUP(AM746,★サイズ表記!$D$4:$E$55,2,FALSE)</f>
        <v>1001</v>
      </c>
      <c r="AO746" s="460">
        <f>IF(C746&lt;&gt;"⑧兵庫",VLOOKUP(LEFT(F746),★新聞!$A$4:$B$12,2,FALSE),IF(LEFT(F746)&lt;&gt;"S",VLOOKUP(LEFT(F746),★新聞!$A$4:$B$12,2,FALSE),VLOOKUP("X",★新聞!$A$4:$B$12,2,FALSE)))</f>
        <v>5</v>
      </c>
      <c r="AP746" s="460" t="str">
        <f t="shared" ca="1" si="92"/>
        <v>0</v>
      </c>
      <c r="AQ746" s="460" t="str">
        <f>IF(申込書!$C$38="","",申込書!$C$38)</f>
        <v/>
      </c>
    </row>
    <row r="747" spans="1:43">
      <c r="A747" s="463">
        <f t="shared" si="93"/>
        <v>746</v>
      </c>
      <c r="B747" s="463" t="str">
        <f t="shared" si="86"/>
        <v>東部</v>
      </c>
      <c r="C747" s="464" t="s">
        <v>1019</v>
      </c>
      <c r="D747" s="464" t="s">
        <v>1603</v>
      </c>
      <c r="E747" s="464">
        <f>VLOOKUP(D747,★折込地区!$A$2:$D$10,4,FALSE)</f>
        <v>3</v>
      </c>
      <c r="F747" s="464" t="s">
        <v>484</v>
      </c>
      <c r="G747" s="464" t="str">
        <f>INDEX(★新聞!$E$4:$I$12, MATCH(LEFT(F747),★新聞!$A$4:$A$12,0), MATCH(LEFT(W747),★新聞!$E$3:$I$3,0))</f>
        <v>AJ</v>
      </c>
      <c r="H747" s="555" t="s">
        <v>1102</v>
      </c>
      <c r="I747" s="464" cm="1">
        <f t="array" ref="I747">IFERROR(INDEX(★原価率!$A$2:$E$50,MATCH($C747&amp;$H747,★原価率!$A$2:$A$50&amp;★原価率!$B$2:$B$50,0),3),0)</f>
        <v>80</v>
      </c>
      <c r="J747" s="464" cm="1">
        <f t="array" ref="J747">IFERROR(INDEX(★原価率!$A$2:$E$50,MATCH($C747&amp;$H747,★原価率!$A$2:$A$50&amp;★原価率!$B$2:$B$50,0),4),0)</f>
        <v>84</v>
      </c>
      <c r="K747" s="464" cm="1">
        <f t="array" ref="K747">IFERROR(INDEX(★原価率!$A$2:$E$50,MATCH($C747&amp;$H747,★原価率!$A$2:$A$50&amp;★原価率!$B$2:$B$50,0),5),0)</f>
        <v>100</v>
      </c>
      <c r="L747" s="528">
        <f>IFERROR(VLOOKUP(W747,★商品!$A$1:$H$1231,8,FALSE),0)</f>
        <v>2.8</v>
      </c>
      <c r="M747" s="203" t="str">
        <f ca="1">CONCATENATE(VLOOKUP(B747,★営業所!$A$2:$B$5,2,FALSE),TEXT(NOW(),"yyyy"))</f>
        <v>T2023</v>
      </c>
      <c r="N747" s="203">
        <v>1</v>
      </c>
      <c r="O747" s="203">
        <v>0</v>
      </c>
      <c r="P747" s="213">
        <f>申込書!$B$6</f>
        <v>0</v>
      </c>
      <c r="Q747" s="203">
        <f>申込書!$C$34</f>
        <v>1000040</v>
      </c>
      <c r="R747" s="203">
        <v>0</v>
      </c>
      <c r="U747" s="203">
        <f>VLOOKUP(B747,★営業所!$A$2:$C$5,3,FALSE)</f>
        <v>8</v>
      </c>
      <c r="V747" s="203">
        <f>申込書!$B$9</f>
        <v>0</v>
      </c>
      <c r="W747" s="203" t="str">
        <f>CONCATENATE(VLOOKUP(B747,★営業所!$A$2:$B$5,2,FALSE),VLOOKUP(申込書!$C$32,★サイズ表記!$D$4:$E$55,2,FALSE),VLOOKUP(D747,★折込地区!$A$2:$B$11,2,FALSE))</f>
        <v>T1001Yng</v>
      </c>
      <c r="X747" s="203" t="str">
        <f>CONCATENATE(申込書!$B$9," ",VLOOKUP(RIGHT(W747,3),★折込地区!$B$2:$C$10,2,FALSE),"")</f>
        <v xml:space="preserve"> 米子</v>
      </c>
      <c r="Z747" s="206">
        <f t="shared" ca="1" si="87"/>
        <v>0</v>
      </c>
      <c r="AB747" s="383">
        <f t="shared" si="88"/>
        <v>2.8</v>
      </c>
      <c r="AC747" s="203" t="str">
        <f t="shared" si="89"/>
        <v>P1001</v>
      </c>
      <c r="AD747" s="203" t="str">
        <f>VLOOKUP(AC747,★原価商品!$E$6:$F$349,2,FALSE)</f>
        <v>産経/B4（折り無し）</v>
      </c>
      <c r="AE747" s="203">
        <f t="shared" ca="1" si="90"/>
        <v>0</v>
      </c>
      <c r="AF747" s="383">
        <f ca="1">IFERROR(IF(VLOOKUP(申込書!$C$32,★サイズ表記!$F$4:$H$55,3,FALSE)="切り捨て",ROUNDDOWN(L747*IF(AK747="◎",I747,J747)/100,2),IF(VLOOKUP(申込書!$C$32,★サイズ表記!$F$4:$H$55,3,FALSE)="切り上げ",ROUNDUP(L747*IF(AK747="◎",I747,J747)/100,2),ROUND(L747*IF(AK747="◎",I747,J747)/100,2))),0)</f>
        <v>2.35</v>
      </c>
      <c r="AG747" s="203">
        <f t="shared" ca="1" si="91"/>
        <v>10561</v>
      </c>
      <c r="AJ747" s="460" t="str">
        <f>IFERROR(VLOOKUP(申込書!$C$30,★業種!$D$2:$E$87,2,FALSE),"")</f>
        <v>1003</v>
      </c>
      <c r="AK747" s="460" t="str">
        <f ca="1">IF(申込書!$C$36="◎",IF(OR(D747="浜坂・温泉",D747="美方・村岡",D747="香住",D747="岡山",D747="大阪"),"",IF(LEFT(F747)="D","◎",IF(AG747=0,"",IFERROR(IF(VLOOKUP(AG747,★仕入先!$A$2:$C$211,3,FALSE)=0,"","◎"),"")))),"")</f>
        <v/>
      </c>
      <c r="AL747" s="460">
        <f>申込書!$H$14</f>
        <v>0</v>
      </c>
      <c r="AM747" s="460" t="str">
        <f>申込書!$C$32</f>
        <v>B4（折り無し）</v>
      </c>
      <c r="AN747" s="460" t="str">
        <f>VLOOKUP(AM747,★サイズ表記!$D$4:$E$55,2,FALSE)</f>
        <v>1001</v>
      </c>
      <c r="AO747" s="460">
        <f>IF(C747&lt;&gt;"⑧兵庫",VLOOKUP(LEFT(F747),★新聞!$A$4:$B$12,2,FALSE),IF(LEFT(F747)&lt;&gt;"S",VLOOKUP(LEFT(F747),★新聞!$A$4:$B$12,2,FALSE),VLOOKUP("X",★新聞!$A$4:$B$12,2,FALSE)))</f>
        <v>5</v>
      </c>
      <c r="AP747" s="460" t="str">
        <f t="shared" ca="1" si="92"/>
        <v>0</v>
      </c>
      <c r="AQ747" s="460" t="str">
        <f>IF(申込書!$C$38="","",申込書!$C$38)</f>
        <v/>
      </c>
    </row>
    <row r="748" spans="1:43">
      <c r="A748" s="463">
        <f t="shared" si="93"/>
        <v>747</v>
      </c>
      <c r="B748" s="463" t="str">
        <f t="shared" si="86"/>
        <v>東部</v>
      </c>
      <c r="C748" s="464" t="s">
        <v>1019</v>
      </c>
      <c r="D748" s="464" t="s">
        <v>1603</v>
      </c>
      <c r="E748" s="464">
        <f>VLOOKUP(D748,★折込地区!$A$2:$D$10,4,FALSE)</f>
        <v>3</v>
      </c>
      <c r="F748" s="464" t="s">
        <v>485</v>
      </c>
      <c r="G748" s="464" t="str">
        <f>INDEX(★新聞!$E$4:$I$12, MATCH(LEFT(F748),★新聞!$A$4:$A$12,0), MATCH(LEFT(W748),★新聞!$E$3:$I$3,0))</f>
        <v>AJ</v>
      </c>
      <c r="H748" s="555" t="s">
        <v>1102</v>
      </c>
      <c r="I748" s="464" cm="1">
        <f t="array" ref="I748">IFERROR(INDEX(★原価率!$A$2:$E$50,MATCH($C748&amp;$H748,★原価率!$A$2:$A$50&amp;★原価率!$B$2:$B$50,0),3),0)</f>
        <v>80</v>
      </c>
      <c r="J748" s="464" cm="1">
        <f t="array" ref="J748">IFERROR(INDEX(★原価率!$A$2:$E$50,MATCH($C748&amp;$H748,★原価率!$A$2:$A$50&amp;★原価率!$B$2:$B$50,0),4),0)</f>
        <v>84</v>
      </c>
      <c r="K748" s="464" cm="1">
        <f t="array" ref="K748">IFERROR(INDEX(★原価率!$A$2:$E$50,MATCH($C748&amp;$H748,★原価率!$A$2:$A$50&amp;★原価率!$B$2:$B$50,0),5),0)</f>
        <v>100</v>
      </c>
      <c r="L748" s="528">
        <f>IFERROR(VLOOKUP(W748,★商品!$A$1:$H$1231,8,FALSE),0)</f>
        <v>2.8</v>
      </c>
      <c r="M748" s="203" t="str">
        <f ca="1">CONCATENATE(VLOOKUP(B748,★営業所!$A$2:$B$5,2,FALSE),TEXT(NOW(),"yyyy"))</f>
        <v>T2023</v>
      </c>
      <c r="N748" s="203">
        <v>1</v>
      </c>
      <c r="O748" s="203">
        <v>0</v>
      </c>
      <c r="P748" s="213">
        <f>申込書!$B$6</f>
        <v>0</v>
      </c>
      <c r="Q748" s="203">
        <f>申込書!$C$34</f>
        <v>1000040</v>
      </c>
      <c r="R748" s="203">
        <v>0</v>
      </c>
      <c r="U748" s="203">
        <f>VLOOKUP(B748,★営業所!$A$2:$C$5,3,FALSE)</f>
        <v>8</v>
      </c>
      <c r="V748" s="203">
        <f>申込書!$B$9</f>
        <v>0</v>
      </c>
      <c r="W748" s="203" t="str">
        <f>CONCATENATE(VLOOKUP(B748,★営業所!$A$2:$B$5,2,FALSE),VLOOKUP(申込書!$C$32,★サイズ表記!$D$4:$E$55,2,FALSE),VLOOKUP(D748,★折込地区!$A$2:$B$11,2,FALSE))</f>
        <v>T1001Yng</v>
      </c>
      <c r="X748" s="203" t="str">
        <f>CONCATENATE(申込書!$B$9," ",VLOOKUP(RIGHT(W748,3),★折込地区!$B$2:$C$10,2,FALSE),"")</f>
        <v xml:space="preserve"> 米子</v>
      </c>
      <c r="Z748" s="206">
        <f t="shared" ca="1" si="87"/>
        <v>0</v>
      </c>
      <c r="AB748" s="383">
        <f t="shared" si="88"/>
        <v>2.8</v>
      </c>
      <c r="AC748" s="203" t="str">
        <f t="shared" si="89"/>
        <v>P1001</v>
      </c>
      <c r="AD748" s="203" t="str">
        <f>VLOOKUP(AC748,★原価商品!$E$6:$F$349,2,FALSE)</f>
        <v>産経/B4（折り無し）</v>
      </c>
      <c r="AE748" s="203">
        <f t="shared" ca="1" si="90"/>
        <v>0</v>
      </c>
      <c r="AF748" s="383">
        <f ca="1">IFERROR(IF(VLOOKUP(申込書!$C$32,★サイズ表記!$F$4:$H$55,3,FALSE)="切り捨て",ROUNDDOWN(L748*IF(AK748="◎",I748,J748)/100,2),IF(VLOOKUP(申込書!$C$32,★サイズ表記!$F$4:$H$55,3,FALSE)="切り上げ",ROUNDUP(L748*IF(AK748="◎",I748,J748)/100,2),ROUND(L748*IF(AK748="◎",I748,J748)/100,2))),0)</f>
        <v>2.35</v>
      </c>
      <c r="AG748" s="203">
        <f t="shared" ca="1" si="91"/>
        <v>10561</v>
      </c>
      <c r="AJ748" s="460" t="str">
        <f>IFERROR(VLOOKUP(申込書!$C$30,★業種!$D$2:$E$87,2,FALSE),"")</f>
        <v>1003</v>
      </c>
      <c r="AK748" s="460" t="str">
        <f ca="1">IF(申込書!$C$36="◎",IF(OR(D748="浜坂・温泉",D748="美方・村岡",D748="香住",D748="岡山",D748="大阪"),"",IF(LEFT(F748)="D","◎",IF(AG748=0,"",IFERROR(IF(VLOOKUP(AG748,★仕入先!$A$2:$C$211,3,FALSE)=0,"","◎"),"")))),"")</f>
        <v/>
      </c>
      <c r="AL748" s="460">
        <f>申込書!$H$14</f>
        <v>0</v>
      </c>
      <c r="AM748" s="460" t="str">
        <f>申込書!$C$32</f>
        <v>B4（折り無し）</v>
      </c>
      <c r="AN748" s="460" t="str">
        <f>VLOOKUP(AM748,★サイズ表記!$D$4:$E$55,2,FALSE)</f>
        <v>1001</v>
      </c>
      <c r="AO748" s="460">
        <f>IF(C748&lt;&gt;"⑧兵庫",VLOOKUP(LEFT(F748),★新聞!$A$4:$B$12,2,FALSE),IF(LEFT(F748)&lt;&gt;"S",VLOOKUP(LEFT(F748),★新聞!$A$4:$B$12,2,FALSE),VLOOKUP("X",★新聞!$A$4:$B$12,2,FALSE)))</f>
        <v>5</v>
      </c>
      <c r="AP748" s="460" t="str">
        <f t="shared" ca="1" si="92"/>
        <v>0</v>
      </c>
      <c r="AQ748" s="460" t="str">
        <f>IF(申込書!$C$38="","",申込書!$C$38)</f>
        <v/>
      </c>
    </row>
    <row r="749" spans="1:43">
      <c r="A749" s="463">
        <f t="shared" si="93"/>
        <v>748</v>
      </c>
      <c r="B749" s="463" t="str">
        <f t="shared" si="86"/>
        <v>東部</v>
      </c>
      <c r="C749" s="464" t="s">
        <v>1019</v>
      </c>
      <c r="D749" s="464" t="s">
        <v>1603</v>
      </c>
      <c r="E749" s="464">
        <f>VLOOKUP(D749,★折込地区!$A$2:$D$10,4,FALSE)</f>
        <v>3</v>
      </c>
      <c r="F749" s="464" t="s">
        <v>486</v>
      </c>
      <c r="G749" s="464" t="str">
        <f>INDEX(★新聞!$E$4:$I$12, MATCH(LEFT(F749),★新聞!$A$4:$A$12,0), MATCH(LEFT(W749),★新聞!$E$3:$I$3,0))</f>
        <v>AJ</v>
      </c>
      <c r="H749" s="555" t="s">
        <v>1102</v>
      </c>
      <c r="I749" s="464" cm="1">
        <f t="array" ref="I749">IFERROR(INDEX(★原価率!$A$2:$E$50,MATCH($C749&amp;$H749,★原価率!$A$2:$A$50&amp;★原価率!$B$2:$B$50,0),3),0)</f>
        <v>80</v>
      </c>
      <c r="J749" s="464" cm="1">
        <f t="array" ref="J749">IFERROR(INDEX(★原価率!$A$2:$E$50,MATCH($C749&amp;$H749,★原価率!$A$2:$A$50&amp;★原価率!$B$2:$B$50,0),4),0)</f>
        <v>84</v>
      </c>
      <c r="K749" s="464" cm="1">
        <f t="array" ref="K749">IFERROR(INDEX(★原価率!$A$2:$E$50,MATCH($C749&amp;$H749,★原価率!$A$2:$A$50&amp;★原価率!$B$2:$B$50,0),5),0)</f>
        <v>100</v>
      </c>
      <c r="L749" s="528">
        <f>IFERROR(VLOOKUP(W749,★商品!$A$1:$H$1231,8,FALSE),0)</f>
        <v>2.8</v>
      </c>
      <c r="M749" s="203" t="str">
        <f ca="1">CONCATENATE(VLOOKUP(B749,★営業所!$A$2:$B$5,2,FALSE),TEXT(NOW(),"yyyy"))</f>
        <v>T2023</v>
      </c>
      <c r="N749" s="203">
        <v>1</v>
      </c>
      <c r="O749" s="203">
        <v>0</v>
      </c>
      <c r="P749" s="213">
        <f>申込書!$B$6</f>
        <v>0</v>
      </c>
      <c r="Q749" s="203">
        <f>申込書!$C$34</f>
        <v>1000040</v>
      </c>
      <c r="R749" s="203">
        <v>0</v>
      </c>
      <c r="U749" s="203">
        <f>VLOOKUP(B749,★営業所!$A$2:$C$5,3,FALSE)</f>
        <v>8</v>
      </c>
      <c r="V749" s="203">
        <f>申込書!$B$9</f>
        <v>0</v>
      </c>
      <c r="W749" s="203" t="str">
        <f>CONCATENATE(VLOOKUP(B749,★営業所!$A$2:$B$5,2,FALSE),VLOOKUP(申込書!$C$32,★サイズ表記!$D$4:$E$55,2,FALSE),VLOOKUP(D749,★折込地区!$A$2:$B$11,2,FALSE))</f>
        <v>T1001Yng</v>
      </c>
      <c r="X749" s="203" t="str">
        <f>CONCATENATE(申込書!$B$9," ",VLOOKUP(RIGHT(W749,3),★折込地区!$B$2:$C$10,2,FALSE),"")</f>
        <v xml:space="preserve"> 米子</v>
      </c>
      <c r="Z749" s="206">
        <f t="shared" ca="1" si="87"/>
        <v>0</v>
      </c>
      <c r="AB749" s="383">
        <f t="shared" si="88"/>
        <v>2.8</v>
      </c>
      <c r="AC749" s="203" t="str">
        <f t="shared" si="89"/>
        <v>P1001</v>
      </c>
      <c r="AD749" s="203" t="str">
        <f>VLOOKUP(AC749,★原価商品!$E$6:$F$349,2,FALSE)</f>
        <v>産経/B4（折り無し）</v>
      </c>
      <c r="AE749" s="203">
        <f t="shared" ca="1" si="90"/>
        <v>0</v>
      </c>
      <c r="AF749" s="383">
        <f ca="1">IFERROR(IF(VLOOKUP(申込書!$C$32,★サイズ表記!$F$4:$H$55,3,FALSE)="切り捨て",ROUNDDOWN(L749*IF(AK749="◎",I749,J749)/100,2),IF(VLOOKUP(申込書!$C$32,★サイズ表記!$F$4:$H$55,3,FALSE)="切り上げ",ROUNDUP(L749*IF(AK749="◎",I749,J749)/100,2),ROUND(L749*IF(AK749="◎",I749,J749)/100,2))),0)</f>
        <v>2.35</v>
      </c>
      <c r="AG749" s="203">
        <f t="shared" ca="1" si="91"/>
        <v>10561</v>
      </c>
      <c r="AJ749" s="460" t="str">
        <f>IFERROR(VLOOKUP(申込書!$C$30,★業種!$D$2:$E$87,2,FALSE),"")</f>
        <v>1003</v>
      </c>
      <c r="AK749" s="460" t="str">
        <f ca="1">IF(申込書!$C$36="◎",IF(OR(D749="浜坂・温泉",D749="美方・村岡",D749="香住",D749="岡山",D749="大阪"),"",IF(LEFT(F749)="D","◎",IF(AG749=0,"",IFERROR(IF(VLOOKUP(AG749,★仕入先!$A$2:$C$211,3,FALSE)=0,"","◎"),"")))),"")</f>
        <v/>
      </c>
      <c r="AL749" s="460">
        <f>申込書!$H$14</f>
        <v>0</v>
      </c>
      <c r="AM749" s="460" t="str">
        <f>申込書!$C$32</f>
        <v>B4（折り無し）</v>
      </c>
      <c r="AN749" s="460" t="str">
        <f>VLOOKUP(AM749,★サイズ表記!$D$4:$E$55,2,FALSE)</f>
        <v>1001</v>
      </c>
      <c r="AO749" s="460">
        <f>IF(C749&lt;&gt;"⑧兵庫",VLOOKUP(LEFT(F749),★新聞!$A$4:$B$12,2,FALSE),IF(LEFT(F749)&lt;&gt;"S",VLOOKUP(LEFT(F749),★新聞!$A$4:$B$12,2,FALSE),VLOOKUP("X",★新聞!$A$4:$B$12,2,FALSE)))</f>
        <v>5</v>
      </c>
      <c r="AP749" s="460" t="str">
        <f t="shared" ca="1" si="92"/>
        <v>0</v>
      </c>
      <c r="AQ749" s="460" t="str">
        <f>IF(申込書!$C$38="","",申込書!$C$38)</f>
        <v/>
      </c>
    </row>
    <row r="750" spans="1:43">
      <c r="A750" s="463">
        <f t="shared" si="93"/>
        <v>749</v>
      </c>
      <c r="B750" s="463" t="str">
        <f t="shared" si="86"/>
        <v>東部</v>
      </c>
      <c r="C750" s="464" t="s">
        <v>1019</v>
      </c>
      <c r="D750" s="464" t="s">
        <v>1603</v>
      </c>
      <c r="E750" s="464">
        <f>VLOOKUP(D750,★折込地区!$A$2:$D$10,4,FALSE)</f>
        <v>3</v>
      </c>
      <c r="F750" s="464" t="s">
        <v>487</v>
      </c>
      <c r="G750" s="464" t="str">
        <f>INDEX(★新聞!$E$4:$I$12, MATCH(LEFT(F750),★新聞!$A$4:$A$12,0), MATCH(LEFT(W750),★新聞!$E$3:$I$3,0))</f>
        <v>AJ</v>
      </c>
      <c r="H750" s="555" t="s">
        <v>1102</v>
      </c>
      <c r="I750" s="464" cm="1">
        <f t="array" ref="I750">IFERROR(INDEX(★原価率!$A$2:$E$50,MATCH($C750&amp;$H750,★原価率!$A$2:$A$50&amp;★原価率!$B$2:$B$50,0),3),0)</f>
        <v>80</v>
      </c>
      <c r="J750" s="464" cm="1">
        <f t="array" ref="J750">IFERROR(INDEX(★原価率!$A$2:$E$50,MATCH($C750&amp;$H750,★原価率!$A$2:$A$50&amp;★原価率!$B$2:$B$50,0),4),0)</f>
        <v>84</v>
      </c>
      <c r="K750" s="464" cm="1">
        <f t="array" ref="K750">IFERROR(INDEX(★原価率!$A$2:$E$50,MATCH($C750&amp;$H750,★原価率!$A$2:$A$50&amp;★原価率!$B$2:$B$50,0),5),0)</f>
        <v>100</v>
      </c>
      <c r="L750" s="528">
        <f>IFERROR(VLOOKUP(W750,★商品!$A$1:$H$1231,8,FALSE),0)</f>
        <v>2.8</v>
      </c>
      <c r="M750" s="203" t="str">
        <f ca="1">CONCATENATE(VLOOKUP(B750,★営業所!$A$2:$B$5,2,FALSE),TEXT(NOW(),"yyyy"))</f>
        <v>T2023</v>
      </c>
      <c r="N750" s="203">
        <v>1</v>
      </c>
      <c r="O750" s="203">
        <v>0</v>
      </c>
      <c r="P750" s="213">
        <f>申込書!$B$6</f>
        <v>0</v>
      </c>
      <c r="Q750" s="203">
        <f>申込書!$C$34</f>
        <v>1000040</v>
      </c>
      <c r="R750" s="203">
        <v>0</v>
      </c>
      <c r="U750" s="203">
        <f>VLOOKUP(B750,★営業所!$A$2:$C$5,3,FALSE)</f>
        <v>8</v>
      </c>
      <c r="V750" s="203">
        <f>申込書!$B$9</f>
        <v>0</v>
      </c>
      <c r="W750" s="203" t="str">
        <f>CONCATENATE(VLOOKUP(B750,★営業所!$A$2:$B$5,2,FALSE),VLOOKUP(申込書!$C$32,★サイズ表記!$D$4:$E$55,2,FALSE),VLOOKUP(D750,★折込地区!$A$2:$B$11,2,FALSE))</f>
        <v>T1001Yng</v>
      </c>
      <c r="X750" s="203" t="str">
        <f>CONCATENATE(申込書!$B$9," ",VLOOKUP(RIGHT(W750,3),★折込地区!$B$2:$C$10,2,FALSE),"")</f>
        <v xml:space="preserve"> 米子</v>
      </c>
      <c r="Z750" s="206">
        <f t="shared" ca="1" si="87"/>
        <v>0</v>
      </c>
      <c r="AB750" s="383">
        <f t="shared" si="88"/>
        <v>2.8</v>
      </c>
      <c r="AC750" s="203" t="str">
        <f t="shared" si="89"/>
        <v>P1001</v>
      </c>
      <c r="AD750" s="203" t="str">
        <f>VLOOKUP(AC750,★原価商品!$E$6:$F$349,2,FALSE)</f>
        <v>産経/B4（折り無し）</v>
      </c>
      <c r="AE750" s="203">
        <f t="shared" ca="1" si="90"/>
        <v>0</v>
      </c>
      <c r="AF750" s="383">
        <f ca="1">IFERROR(IF(VLOOKUP(申込書!$C$32,★サイズ表記!$F$4:$H$55,3,FALSE)="切り捨て",ROUNDDOWN(L750*IF(AK750="◎",I750,J750)/100,2),IF(VLOOKUP(申込書!$C$32,★サイズ表記!$F$4:$H$55,3,FALSE)="切り上げ",ROUNDUP(L750*IF(AK750="◎",I750,J750)/100,2),ROUND(L750*IF(AK750="◎",I750,J750)/100,2))),0)</f>
        <v>2.35</v>
      </c>
      <c r="AG750" s="203">
        <f t="shared" ca="1" si="91"/>
        <v>10561</v>
      </c>
      <c r="AJ750" s="460" t="str">
        <f>IFERROR(VLOOKUP(申込書!$C$30,★業種!$D$2:$E$87,2,FALSE),"")</f>
        <v>1003</v>
      </c>
      <c r="AK750" s="460" t="str">
        <f ca="1">IF(申込書!$C$36="◎",IF(OR(D750="浜坂・温泉",D750="美方・村岡",D750="香住",D750="岡山",D750="大阪"),"",IF(LEFT(F750)="D","◎",IF(AG750=0,"",IFERROR(IF(VLOOKUP(AG750,★仕入先!$A$2:$C$211,3,FALSE)=0,"","◎"),"")))),"")</f>
        <v/>
      </c>
      <c r="AL750" s="460">
        <f>申込書!$H$14</f>
        <v>0</v>
      </c>
      <c r="AM750" s="460" t="str">
        <f>申込書!$C$32</f>
        <v>B4（折り無し）</v>
      </c>
      <c r="AN750" s="460" t="str">
        <f>VLOOKUP(AM750,★サイズ表記!$D$4:$E$55,2,FALSE)</f>
        <v>1001</v>
      </c>
      <c r="AO750" s="460">
        <f>IF(C750&lt;&gt;"⑧兵庫",VLOOKUP(LEFT(F750),★新聞!$A$4:$B$12,2,FALSE),IF(LEFT(F750)&lt;&gt;"S",VLOOKUP(LEFT(F750),★新聞!$A$4:$B$12,2,FALSE),VLOOKUP("X",★新聞!$A$4:$B$12,2,FALSE)))</f>
        <v>5</v>
      </c>
      <c r="AP750" s="460" t="str">
        <f t="shared" ca="1" si="92"/>
        <v>0</v>
      </c>
      <c r="AQ750" s="460" t="str">
        <f>IF(申込書!$C$38="","",申込書!$C$38)</f>
        <v/>
      </c>
    </row>
    <row r="751" spans="1:43">
      <c r="A751" s="463">
        <f t="shared" si="93"/>
        <v>750</v>
      </c>
      <c r="B751" s="463" t="str">
        <f t="shared" si="86"/>
        <v>東部</v>
      </c>
      <c r="C751" s="464" t="s">
        <v>1019</v>
      </c>
      <c r="D751" s="464" t="s">
        <v>1603</v>
      </c>
      <c r="E751" s="464">
        <f>VLOOKUP(D751,★折込地区!$A$2:$D$10,4,FALSE)</f>
        <v>3</v>
      </c>
      <c r="F751" s="464" t="s">
        <v>488</v>
      </c>
      <c r="G751" s="464" t="str">
        <f>INDEX(★新聞!$E$4:$I$12, MATCH(LEFT(F751),★新聞!$A$4:$A$12,0), MATCH(LEFT(W751),★新聞!$E$3:$I$3,0))</f>
        <v>AJ</v>
      </c>
      <c r="H751" s="475" t="s">
        <v>1104</v>
      </c>
      <c r="I751" s="464" cm="1">
        <f t="array" ref="I751">IFERROR(INDEX(★原価率!$A$2:$E$50,MATCH($C751&amp;$H751,★原価率!$A$2:$A$50&amp;★原価率!$B$2:$B$50,0),3),0)</f>
        <v>85</v>
      </c>
      <c r="J751" s="464" cm="1">
        <f t="array" ref="J751">IFERROR(INDEX(★原価率!$A$2:$E$50,MATCH($C751&amp;$H751,★原価率!$A$2:$A$50&amp;★原価率!$B$2:$B$50,0),4),0)</f>
        <v>85</v>
      </c>
      <c r="K751" s="464" cm="1">
        <f t="array" ref="K751">IFERROR(INDEX(★原価率!$A$2:$E$50,MATCH($C751&amp;$H751,★原価率!$A$2:$A$50&amp;★原価率!$B$2:$B$50,0),5),0)</f>
        <v>100</v>
      </c>
      <c r="L751" s="528">
        <f>IFERROR(VLOOKUP(W751,★商品!$A$1:$H$1231,8,FALSE),0)</f>
        <v>2.8</v>
      </c>
      <c r="M751" s="203" t="str">
        <f ca="1">CONCATENATE(VLOOKUP(B751,★営業所!$A$2:$B$5,2,FALSE),TEXT(NOW(),"yyyy"))</f>
        <v>T2023</v>
      </c>
      <c r="N751" s="203">
        <v>1</v>
      </c>
      <c r="O751" s="203">
        <v>0</v>
      </c>
      <c r="P751" s="213">
        <f>申込書!$B$6</f>
        <v>0</v>
      </c>
      <c r="Q751" s="203">
        <f>申込書!$C$34</f>
        <v>1000040</v>
      </c>
      <c r="R751" s="203">
        <v>0</v>
      </c>
      <c r="U751" s="203">
        <f>VLOOKUP(B751,★営業所!$A$2:$C$5,3,FALSE)</f>
        <v>8</v>
      </c>
      <c r="V751" s="203">
        <f>申込書!$B$9</f>
        <v>0</v>
      </c>
      <c r="W751" s="203" t="str">
        <f>CONCATENATE(VLOOKUP(B751,★営業所!$A$2:$B$5,2,FALSE),VLOOKUP(申込書!$C$32,★サイズ表記!$D$4:$E$55,2,FALSE),VLOOKUP(D751,★折込地区!$A$2:$B$11,2,FALSE))</f>
        <v>T1001Yng</v>
      </c>
      <c r="X751" s="203" t="str">
        <f>CONCATENATE(申込書!$B$9," ",VLOOKUP(RIGHT(W751,3),★折込地区!$B$2:$C$10,2,FALSE),"")</f>
        <v xml:space="preserve"> 米子</v>
      </c>
      <c r="Z751" s="206">
        <f t="shared" ca="1" si="87"/>
        <v>0</v>
      </c>
      <c r="AB751" s="383">
        <f t="shared" si="88"/>
        <v>2.8</v>
      </c>
      <c r="AC751" s="203" t="str">
        <f t="shared" si="89"/>
        <v>P1001</v>
      </c>
      <c r="AD751" s="203" t="str">
        <f>VLOOKUP(AC751,★原価商品!$E$6:$F$349,2,FALSE)</f>
        <v>産経/B4（折り無し）</v>
      </c>
      <c r="AE751" s="203">
        <f t="shared" ca="1" si="90"/>
        <v>0</v>
      </c>
      <c r="AF751" s="383">
        <f ca="1">IFERROR(IF(VLOOKUP(申込書!$C$32,★サイズ表記!$F$4:$H$55,3,FALSE)="切り捨て",ROUNDDOWN(L751*IF(AK751="◎",I751,J751)/100,2),IF(VLOOKUP(申込書!$C$32,★サイズ表記!$F$4:$H$55,3,FALSE)="切り上げ",ROUNDUP(L751*IF(AK751="◎",I751,J751)/100,2),ROUND(L751*IF(AK751="◎",I751,J751)/100,2))),0)</f>
        <v>2.38</v>
      </c>
      <c r="AG751" s="203">
        <f t="shared" ca="1" si="91"/>
        <v>0</v>
      </c>
      <c r="AJ751" s="460" t="str">
        <f>IFERROR(VLOOKUP(申込書!$C$30,★業種!$D$2:$E$87,2,FALSE),"")</f>
        <v>1003</v>
      </c>
      <c r="AK751" s="460" t="str">
        <f ca="1">IF(申込書!$C$36="◎",IF(OR(D751="浜坂・温泉",D751="美方・村岡",D751="香住",D751="岡山",D751="大阪"),"",IF(LEFT(F751)="D","◎",IF(AG751=0,"",IFERROR(IF(VLOOKUP(AG751,★仕入先!$A$2:$C$211,3,FALSE)=0,"","◎"),"")))),"")</f>
        <v/>
      </c>
      <c r="AL751" s="460">
        <f>申込書!$H$14</f>
        <v>0</v>
      </c>
      <c r="AM751" s="460" t="str">
        <f>申込書!$C$32</f>
        <v>B4（折り無し）</v>
      </c>
      <c r="AN751" s="460" t="str">
        <f>VLOOKUP(AM751,★サイズ表記!$D$4:$E$55,2,FALSE)</f>
        <v>1001</v>
      </c>
      <c r="AO751" s="460">
        <f>IF(C751&lt;&gt;"⑧兵庫",VLOOKUP(LEFT(F751),★新聞!$A$4:$B$12,2,FALSE),IF(LEFT(F751)&lt;&gt;"S",VLOOKUP(LEFT(F751),★新聞!$A$4:$B$12,2,FALSE),VLOOKUP("X",★新聞!$A$4:$B$12,2,FALSE)))</f>
        <v>5</v>
      </c>
      <c r="AP751" s="460" t="str">
        <f t="shared" ca="1" si="92"/>
        <v>0</v>
      </c>
      <c r="AQ751" s="460" t="str">
        <f>IF(申込書!$C$38="","",申込書!$C$38)</f>
        <v/>
      </c>
    </row>
    <row r="752" spans="1:43">
      <c r="A752" s="463">
        <f t="shared" si="93"/>
        <v>751</v>
      </c>
      <c r="B752" s="463" t="str">
        <f t="shared" si="86"/>
        <v>東部</v>
      </c>
      <c r="C752" s="464" t="s">
        <v>1019</v>
      </c>
      <c r="D752" s="464" t="s">
        <v>1603</v>
      </c>
      <c r="E752" s="464">
        <f>VLOOKUP(D752,★折込地区!$A$2:$D$10,4,FALSE)</f>
        <v>3</v>
      </c>
      <c r="F752" s="464" t="s">
        <v>489</v>
      </c>
      <c r="G752" s="464" t="str">
        <f>INDEX(★新聞!$E$4:$I$12, MATCH(LEFT(F752),★新聞!$A$4:$A$12,0), MATCH(LEFT(W752),★新聞!$E$3:$I$3,0))</f>
        <v>AJ</v>
      </c>
      <c r="H752" s="475" t="s">
        <v>1104</v>
      </c>
      <c r="I752" s="464" cm="1">
        <f t="array" ref="I752">IFERROR(INDEX(★原価率!$A$2:$E$50,MATCH($C752&amp;$H752,★原価率!$A$2:$A$50&amp;★原価率!$B$2:$B$50,0),3),0)</f>
        <v>85</v>
      </c>
      <c r="J752" s="464" cm="1">
        <f t="array" ref="J752">IFERROR(INDEX(★原価率!$A$2:$E$50,MATCH($C752&amp;$H752,★原価率!$A$2:$A$50&amp;★原価率!$B$2:$B$50,0),4),0)</f>
        <v>85</v>
      </c>
      <c r="K752" s="464" cm="1">
        <f t="array" ref="K752">IFERROR(INDEX(★原価率!$A$2:$E$50,MATCH($C752&amp;$H752,★原価率!$A$2:$A$50&amp;★原価率!$B$2:$B$50,0),5),0)</f>
        <v>100</v>
      </c>
      <c r="L752" s="528">
        <f>IFERROR(VLOOKUP(W752,★商品!$A$1:$H$1231,8,FALSE),0)</f>
        <v>2.8</v>
      </c>
      <c r="M752" s="203" t="str">
        <f ca="1">CONCATENATE(VLOOKUP(B752,★営業所!$A$2:$B$5,2,FALSE),TEXT(NOW(),"yyyy"))</f>
        <v>T2023</v>
      </c>
      <c r="N752" s="203">
        <v>1</v>
      </c>
      <c r="O752" s="203">
        <v>0</v>
      </c>
      <c r="P752" s="213">
        <f>申込書!$B$6</f>
        <v>0</v>
      </c>
      <c r="Q752" s="203">
        <f>申込書!$C$34</f>
        <v>1000040</v>
      </c>
      <c r="R752" s="203">
        <v>0</v>
      </c>
      <c r="U752" s="203">
        <f>VLOOKUP(B752,★営業所!$A$2:$C$5,3,FALSE)</f>
        <v>8</v>
      </c>
      <c r="V752" s="203">
        <f>申込書!$B$9</f>
        <v>0</v>
      </c>
      <c r="W752" s="203" t="str">
        <f>CONCATENATE(VLOOKUP(B752,★営業所!$A$2:$B$5,2,FALSE),VLOOKUP(申込書!$C$32,★サイズ表記!$D$4:$E$55,2,FALSE),VLOOKUP(D752,★折込地区!$A$2:$B$11,2,FALSE))</f>
        <v>T1001Yng</v>
      </c>
      <c r="X752" s="203" t="str">
        <f>CONCATENATE(申込書!$B$9," ",VLOOKUP(RIGHT(W752,3),★折込地区!$B$2:$C$10,2,FALSE),"")</f>
        <v xml:space="preserve"> 米子</v>
      </c>
      <c r="Z752" s="206">
        <f t="shared" ca="1" si="87"/>
        <v>0</v>
      </c>
      <c r="AB752" s="383">
        <f t="shared" si="88"/>
        <v>2.8</v>
      </c>
      <c r="AC752" s="203" t="str">
        <f t="shared" si="89"/>
        <v>P1001</v>
      </c>
      <c r="AD752" s="203" t="str">
        <f>VLOOKUP(AC752,★原価商品!$E$6:$F$349,2,FALSE)</f>
        <v>産経/B4（折り無し）</v>
      </c>
      <c r="AE752" s="203">
        <f t="shared" ca="1" si="90"/>
        <v>0</v>
      </c>
      <c r="AF752" s="383">
        <f ca="1">IFERROR(IF(VLOOKUP(申込書!$C$32,★サイズ表記!$F$4:$H$55,3,FALSE)="切り捨て",ROUNDDOWN(L752*IF(AK752="◎",I752,J752)/100,2),IF(VLOOKUP(申込書!$C$32,★サイズ表記!$F$4:$H$55,3,FALSE)="切り上げ",ROUNDUP(L752*IF(AK752="◎",I752,J752)/100,2),ROUND(L752*IF(AK752="◎",I752,J752)/100,2))),0)</f>
        <v>2.38</v>
      </c>
      <c r="AG752" s="203">
        <f t="shared" ca="1" si="91"/>
        <v>0</v>
      </c>
      <c r="AJ752" s="460" t="str">
        <f>IFERROR(VLOOKUP(申込書!$C$30,★業種!$D$2:$E$87,2,FALSE),"")</f>
        <v>1003</v>
      </c>
      <c r="AK752" s="460" t="str">
        <f ca="1">IF(申込書!$C$36="◎",IF(OR(D752="浜坂・温泉",D752="美方・村岡",D752="香住",D752="岡山",D752="大阪"),"",IF(LEFT(F752)="D","◎",IF(AG752=0,"",IFERROR(IF(VLOOKUP(AG752,★仕入先!$A$2:$C$211,3,FALSE)=0,"","◎"),"")))),"")</f>
        <v/>
      </c>
      <c r="AL752" s="460">
        <f>申込書!$H$14</f>
        <v>0</v>
      </c>
      <c r="AM752" s="460" t="str">
        <f>申込書!$C$32</f>
        <v>B4（折り無し）</v>
      </c>
      <c r="AN752" s="460" t="str">
        <f>VLOOKUP(AM752,★サイズ表記!$D$4:$E$55,2,FALSE)</f>
        <v>1001</v>
      </c>
      <c r="AO752" s="460">
        <f>IF(C752&lt;&gt;"⑧兵庫",VLOOKUP(LEFT(F752),★新聞!$A$4:$B$12,2,FALSE),IF(LEFT(F752)&lt;&gt;"S",VLOOKUP(LEFT(F752),★新聞!$A$4:$B$12,2,FALSE),VLOOKUP("X",★新聞!$A$4:$B$12,2,FALSE)))</f>
        <v>5</v>
      </c>
      <c r="AP752" s="460" t="str">
        <f t="shared" ca="1" si="92"/>
        <v>0</v>
      </c>
      <c r="AQ752" s="460" t="str">
        <f>IF(申込書!$C$38="","",申込書!$C$38)</f>
        <v/>
      </c>
    </row>
    <row r="753" spans="1:43">
      <c r="A753" s="463">
        <f t="shared" si="93"/>
        <v>752</v>
      </c>
      <c r="B753" s="463" t="str">
        <f t="shared" si="86"/>
        <v>東部</v>
      </c>
      <c r="C753" s="464" t="s">
        <v>1019</v>
      </c>
      <c r="D753" s="464" t="s">
        <v>1603</v>
      </c>
      <c r="E753" s="464">
        <f>VLOOKUP(D753,★折込地区!$A$2:$D$10,4,FALSE)</f>
        <v>3</v>
      </c>
      <c r="F753" s="464" t="s">
        <v>1144</v>
      </c>
      <c r="G753" s="464" t="str">
        <f>INDEX(★新聞!$E$4:$I$12, MATCH(LEFT(F753),★新聞!$A$4:$A$12,0), MATCH(LEFT(W753),★新聞!$E$3:$I$3,0))</f>
        <v>AJ</v>
      </c>
      <c r="H753" s="475" t="s">
        <v>1104</v>
      </c>
      <c r="I753" s="464" cm="1">
        <f t="array" ref="I753">IFERROR(INDEX(★原価率!$A$2:$E$50,MATCH($C753&amp;$H753,★原価率!$A$2:$A$50&amp;★原価率!$B$2:$B$50,0),3),0)</f>
        <v>85</v>
      </c>
      <c r="J753" s="464" cm="1">
        <f t="array" ref="J753">IFERROR(INDEX(★原価率!$A$2:$E$50,MATCH($C753&amp;$H753,★原価率!$A$2:$A$50&amp;★原価率!$B$2:$B$50,0),4),0)</f>
        <v>85</v>
      </c>
      <c r="K753" s="464" cm="1">
        <f t="array" ref="K753">IFERROR(INDEX(★原価率!$A$2:$E$50,MATCH($C753&amp;$H753,★原価率!$A$2:$A$50&amp;★原価率!$B$2:$B$50,0),5),0)</f>
        <v>100</v>
      </c>
      <c r="L753" s="528">
        <f>IFERROR(VLOOKUP(W753,★商品!$A$1:$H$1231,8,FALSE),0)</f>
        <v>2.8</v>
      </c>
      <c r="M753" s="203" t="str">
        <f ca="1">CONCATENATE(VLOOKUP(B753,★営業所!$A$2:$B$5,2,FALSE),TEXT(NOW(),"yyyy"))</f>
        <v>T2023</v>
      </c>
      <c r="N753" s="203">
        <v>1</v>
      </c>
      <c r="O753" s="203">
        <v>0</v>
      </c>
      <c r="P753" s="213">
        <f>申込書!$B$6</f>
        <v>0</v>
      </c>
      <c r="Q753" s="203">
        <f>申込書!$C$34</f>
        <v>1000040</v>
      </c>
      <c r="R753" s="203">
        <v>0</v>
      </c>
      <c r="U753" s="203">
        <f>VLOOKUP(B753,★営業所!$A$2:$C$5,3,FALSE)</f>
        <v>8</v>
      </c>
      <c r="V753" s="203">
        <f>申込書!$B$9</f>
        <v>0</v>
      </c>
      <c r="W753" s="203" t="str">
        <f>CONCATENATE(VLOOKUP(B753,★営業所!$A$2:$B$5,2,FALSE),VLOOKUP(申込書!$C$32,★サイズ表記!$D$4:$E$55,2,FALSE),VLOOKUP(D753,★折込地区!$A$2:$B$11,2,FALSE))</f>
        <v>T1001Yng</v>
      </c>
      <c r="X753" s="203" t="str">
        <f>CONCATENATE(申込書!$B$9," ",VLOOKUP(RIGHT(W753,3),★折込地区!$B$2:$C$10,2,FALSE),"")</f>
        <v xml:space="preserve"> 米子</v>
      </c>
      <c r="Z753" s="206">
        <f t="shared" ca="1" si="87"/>
        <v>0</v>
      </c>
      <c r="AB753" s="383">
        <f t="shared" si="88"/>
        <v>2.8</v>
      </c>
      <c r="AC753" s="203" t="str">
        <f t="shared" si="89"/>
        <v>P1001</v>
      </c>
      <c r="AD753" s="203" t="str">
        <f>VLOOKUP(AC753,★原価商品!$E$6:$F$349,2,FALSE)</f>
        <v>産経/B4（折り無し）</v>
      </c>
      <c r="AE753" s="203">
        <f t="shared" ca="1" si="90"/>
        <v>0</v>
      </c>
      <c r="AF753" s="383">
        <f ca="1">IFERROR(IF(VLOOKUP(申込書!$C$32,★サイズ表記!$F$4:$H$55,3,FALSE)="切り捨て",ROUNDDOWN(L753*IF(AK753="◎",I753,J753)/100,2),IF(VLOOKUP(申込書!$C$32,★サイズ表記!$F$4:$H$55,3,FALSE)="切り上げ",ROUNDUP(L753*IF(AK753="◎",I753,J753)/100,2),ROUND(L753*IF(AK753="◎",I753,J753)/100,2))),0)</f>
        <v>2.38</v>
      </c>
      <c r="AG753" s="203">
        <f t="shared" ca="1" si="91"/>
        <v>10561</v>
      </c>
      <c r="AJ753" s="460" t="str">
        <f>IFERROR(VLOOKUP(申込書!$C$30,★業種!$D$2:$E$87,2,FALSE),"")</f>
        <v>1003</v>
      </c>
      <c r="AK753" s="460" t="str">
        <f ca="1">IF(申込書!$C$36="◎",IF(OR(D753="浜坂・温泉",D753="美方・村岡",D753="香住",D753="岡山",D753="大阪"),"",IF(LEFT(F753)="D","◎",IF(AG753=0,"",IFERROR(IF(VLOOKUP(AG753,★仕入先!$A$2:$C$211,3,FALSE)=0,"","◎"),"")))),"")</f>
        <v/>
      </c>
      <c r="AL753" s="460">
        <f>申込書!$H$14</f>
        <v>0</v>
      </c>
      <c r="AM753" s="460" t="str">
        <f>申込書!$C$32</f>
        <v>B4（折り無し）</v>
      </c>
      <c r="AN753" s="460" t="str">
        <f>VLOOKUP(AM753,★サイズ表記!$D$4:$E$55,2,FALSE)</f>
        <v>1001</v>
      </c>
      <c r="AO753" s="460">
        <f>IF(C753&lt;&gt;"⑧兵庫",VLOOKUP(LEFT(F753),★新聞!$A$4:$B$12,2,FALSE),IF(LEFT(F753)&lt;&gt;"S",VLOOKUP(LEFT(F753),★新聞!$A$4:$B$12,2,FALSE),VLOOKUP("X",★新聞!$A$4:$B$12,2,FALSE)))</f>
        <v>5</v>
      </c>
      <c r="AP753" s="460" t="str">
        <f t="shared" ca="1" si="92"/>
        <v>0</v>
      </c>
      <c r="AQ753" s="460" t="str">
        <f>IF(申込書!$C$38="","",申込書!$C$38)</f>
        <v/>
      </c>
    </row>
    <row r="754" spans="1:43">
      <c r="A754" s="463">
        <f t="shared" si="93"/>
        <v>753</v>
      </c>
      <c r="B754" s="463" t="str">
        <f t="shared" si="86"/>
        <v>東部</v>
      </c>
      <c r="C754" s="464" t="s">
        <v>1019</v>
      </c>
      <c r="D754" s="464" t="s">
        <v>1603</v>
      </c>
      <c r="E754" s="464">
        <f>VLOOKUP(D754,★折込地区!$A$2:$D$10,4,FALSE)</f>
        <v>3</v>
      </c>
      <c r="F754" s="464" t="s">
        <v>491</v>
      </c>
      <c r="G754" s="464" t="str">
        <f>INDEX(★新聞!$E$4:$I$12, MATCH(LEFT(F754),★新聞!$A$4:$A$12,0), MATCH(LEFT(W754),★新聞!$E$3:$I$3,0))</f>
        <v>AM</v>
      </c>
      <c r="H754" s="475" t="s">
        <v>1103</v>
      </c>
      <c r="I754" s="464" cm="1">
        <f t="array" ref="I754">IFERROR(INDEX(★原価率!$A$2:$E$50,MATCH($C754&amp;$H754,★原価率!$A$2:$A$50&amp;★原価率!$B$2:$B$50,0),3),0)</f>
        <v>85</v>
      </c>
      <c r="J754" s="464" cm="1">
        <f t="array" ref="J754">IFERROR(INDEX(★原価率!$A$2:$E$50,MATCH($C754&amp;$H754,★原価率!$A$2:$A$50&amp;★原価率!$B$2:$B$50,0),4),0)</f>
        <v>85</v>
      </c>
      <c r="K754" s="464" cm="1">
        <f t="array" ref="K754">IFERROR(INDEX(★原価率!$A$2:$E$50,MATCH($C754&amp;$H754,★原価率!$A$2:$A$50&amp;★原価率!$B$2:$B$50,0),5),0)</f>
        <v>100</v>
      </c>
      <c r="L754" s="528">
        <f>IFERROR(VLOOKUP(W754,★商品!$A$1:$H$1231,8,FALSE),0)</f>
        <v>2.8</v>
      </c>
      <c r="M754" s="203" t="str">
        <f ca="1">CONCATENATE(VLOOKUP(B754,★営業所!$A$2:$B$5,2,FALSE),TEXT(NOW(),"yyyy"))</f>
        <v>T2023</v>
      </c>
      <c r="N754" s="203">
        <v>1</v>
      </c>
      <c r="O754" s="203">
        <v>0</v>
      </c>
      <c r="P754" s="213">
        <f>申込書!$B$6</f>
        <v>0</v>
      </c>
      <c r="Q754" s="203">
        <f>申込書!$C$34</f>
        <v>1000040</v>
      </c>
      <c r="R754" s="203">
        <v>0</v>
      </c>
      <c r="U754" s="203">
        <f>VLOOKUP(B754,★営業所!$A$2:$C$5,3,FALSE)</f>
        <v>8</v>
      </c>
      <c r="V754" s="203">
        <f>申込書!$B$9</f>
        <v>0</v>
      </c>
      <c r="W754" s="203" t="str">
        <f>CONCATENATE(VLOOKUP(B754,★営業所!$A$2:$B$5,2,FALSE),VLOOKUP(申込書!$C$32,★サイズ表記!$D$4:$E$55,2,FALSE),VLOOKUP(D754,★折込地区!$A$2:$B$11,2,FALSE))</f>
        <v>T1001Yng</v>
      </c>
      <c r="X754" s="203" t="str">
        <f>CONCATENATE(申込書!$B$9," ",VLOOKUP(RIGHT(W754,3),★折込地区!$B$2:$C$10,2,FALSE),"")</f>
        <v xml:space="preserve"> 米子</v>
      </c>
      <c r="Z754" s="206">
        <f t="shared" ca="1" si="87"/>
        <v>0</v>
      </c>
      <c r="AB754" s="383">
        <f t="shared" si="88"/>
        <v>2.8</v>
      </c>
      <c r="AC754" s="203" t="str">
        <f t="shared" si="89"/>
        <v>S1001</v>
      </c>
      <c r="AD754" s="203" t="str">
        <f>VLOOKUP(AC754,★原価商品!$E$6:$F$349,2,FALSE)</f>
        <v>山陰中央/B4（折り無し）</v>
      </c>
      <c r="AE754" s="203">
        <f t="shared" ca="1" si="90"/>
        <v>0</v>
      </c>
      <c r="AF754" s="383">
        <f ca="1">IFERROR(IF(VLOOKUP(申込書!$C$32,★サイズ表記!$F$4:$H$55,3,FALSE)="切り捨て",ROUNDDOWN(L754*IF(AK754="◎",I754,J754)/100,2),IF(VLOOKUP(申込書!$C$32,★サイズ表記!$F$4:$H$55,3,FALSE)="切り上げ",ROUNDUP(L754*IF(AK754="◎",I754,J754)/100,2),ROUND(L754*IF(AK754="◎",I754,J754)/100,2))),0)</f>
        <v>2.38</v>
      </c>
      <c r="AG754" s="203">
        <f t="shared" ca="1" si="91"/>
        <v>10561</v>
      </c>
      <c r="AJ754" s="460" t="str">
        <f>IFERROR(VLOOKUP(申込書!$C$30,★業種!$D$2:$E$87,2,FALSE),"")</f>
        <v>1003</v>
      </c>
      <c r="AK754" s="460" t="str">
        <f ca="1">IF(申込書!$C$36="◎",IF(OR(D754="浜坂・温泉",D754="美方・村岡",D754="香住",D754="岡山",D754="大阪"),"",IF(LEFT(F754)="D","◎",IF(AG754=0,"",IFERROR(IF(VLOOKUP(AG754,★仕入先!$A$2:$C$211,3,FALSE)=0,"","◎"),"")))),"")</f>
        <v/>
      </c>
      <c r="AL754" s="460">
        <f>申込書!$H$14</f>
        <v>0</v>
      </c>
      <c r="AM754" s="460" t="str">
        <f>申込書!$C$32</f>
        <v>B4（折り無し）</v>
      </c>
      <c r="AN754" s="460" t="str">
        <f>VLOOKUP(AM754,★サイズ表記!$D$4:$E$55,2,FALSE)</f>
        <v>1001</v>
      </c>
      <c r="AO754" s="460">
        <f>IF(C754&lt;&gt;"⑧兵庫",VLOOKUP(LEFT(F754),★新聞!$A$4:$B$12,2,FALSE),IF(LEFT(F754)&lt;&gt;"S",VLOOKUP(LEFT(F754),★新聞!$A$4:$B$12,2,FALSE),VLOOKUP("X",★新聞!$A$4:$B$12,2,FALSE)))</f>
        <v>6</v>
      </c>
      <c r="AP754" s="460" t="str">
        <f t="shared" ca="1" si="92"/>
        <v>0</v>
      </c>
      <c r="AQ754" s="460" t="str">
        <f>IF(申込書!$C$38="","",申込書!$C$38)</f>
        <v/>
      </c>
    </row>
    <row r="755" spans="1:43">
      <c r="A755" s="463">
        <f t="shared" si="93"/>
        <v>754</v>
      </c>
      <c r="B755" s="463" t="str">
        <f t="shared" si="86"/>
        <v>東部</v>
      </c>
      <c r="C755" s="464" t="s">
        <v>1019</v>
      </c>
      <c r="D755" s="464" t="s">
        <v>1603</v>
      </c>
      <c r="E755" s="464">
        <f>VLOOKUP(D755,★折込地区!$A$2:$D$10,4,FALSE)</f>
        <v>3</v>
      </c>
      <c r="F755" s="464" t="s">
        <v>492</v>
      </c>
      <c r="G755" s="464" t="str">
        <f>INDEX(★新聞!$E$4:$I$12, MATCH(LEFT(F755),★新聞!$A$4:$A$12,0), MATCH(LEFT(W755),★新聞!$E$3:$I$3,0))</f>
        <v>AM</v>
      </c>
      <c r="H755" s="475" t="s">
        <v>1103</v>
      </c>
      <c r="I755" s="464" cm="1">
        <f t="array" ref="I755">IFERROR(INDEX(★原価率!$A$2:$E$50,MATCH($C755&amp;$H755,★原価率!$A$2:$A$50&amp;★原価率!$B$2:$B$50,0),3),0)</f>
        <v>85</v>
      </c>
      <c r="J755" s="464" cm="1">
        <f t="array" ref="J755">IFERROR(INDEX(★原価率!$A$2:$E$50,MATCH($C755&amp;$H755,★原価率!$A$2:$A$50&amp;★原価率!$B$2:$B$50,0),4),0)</f>
        <v>85</v>
      </c>
      <c r="K755" s="464" cm="1">
        <f t="array" ref="K755">IFERROR(INDEX(★原価率!$A$2:$E$50,MATCH($C755&amp;$H755,★原価率!$A$2:$A$50&amp;★原価率!$B$2:$B$50,0),5),0)</f>
        <v>100</v>
      </c>
      <c r="L755" s="528">
        <f>IFERROR(VLOOKUP(W755,★商品!$A$1:$H$1231,8,FALSE),0)</f>
        <v>2.8</v>
      </c>
      <c r="M755" s="203" t="str">
        <f ca="1">CONCATENATE(VLOOKUP(B755,★営業所!$A$2:$B$5,2,FALSE),TEXT(NOW(),"yyyy"))</f>
        <v>T2023</v>
      </c>
      <c r="N755" s="203">
        <v>1</v>
      </c>
      <c r="O755" s="203">
        <v>0</v>
      </c>
      <c r="P755" s="213">
        <f>申込書!$B$6</f>
        <v>0</v>
      </c>
      <c r="Q755" s="203">
        <f>申込書!$C$34</f>
        <v>1000040</v>
      </c>
      <c r="R755" s="203">
        <v>0</v>
      </c>
      <c r="U755" s="203">
        <f>VLOOKUP(B755,★営業所!$A$2:$C$5,3,FALSE)</f>
        <v>8</v>
      </c>
      <c r="V755" s="203">
        <f>申込書!$B$9</f>
        <v>0</v>
      </c>
      <c r="W755" s="203" t="str">
        <f>CONCATENATE(VLOOKUP(B755,★営業所!$A$2:$B$5,2,FALSE),VLOOKUP(申込書!$C$32,★サイズ表記!$D$4:$E$55,2,FALSE),VLOOKUP(D755,★折込地区!$A$2:$B$11,2,FALSE))</f>
        <v>T1001Yng</v>
      </c>
      <c r="X755" s="203" t="str">
        <f>CONCATENATE(申込書!$B$9," ",VLOOKUP(RIGHT(W755,3),★折込地区!$B$2:$C$10,2,FALSE),"")</f>
        <v xml:space="preserve"> 米子</v>
      </c>
      <c r="Z755" s="206">
        <f t="shared" ca="1" si="87"/>
        <v>0</v>
      </c>
      <c r="AB755" s="383">
        <f t="shared" si="88"/>
        <v>2.8</v>
      </c>
      <c r="AC755" s="203" t="str">
        <f t="shared" si="89"/>
        <v>S1001</v>
      </c>
      <c r="AD755" s="203" t="str">
        <f>VLOOKUP(AC755,★原価商品!$E$6:$F$349,2,FALSE)</f>
        <v>山陰中央/B4（折り無し）</v>
      </c>
      <c r="AE755" s="203">
        <f t="shared" ca="1" si="90"/>
        <v>0</v>
      </c>
      <c r="AF755" s="383">
        <f ca="1">IFERROR(IF(VLOOKUP(申込書!$C$32,★サイズ表記!$F$4:$H$55,3,FALSE)="切り捨て",ROUNDDOWN(L755*IF(AK755="◎",I755,J755)/100,2),IF(VLOOKUP(申込書!$C$32,★サイズ表記!$F$4:$H$55,3,FALSE)="切り上げ",ROUNDUP(L755*IF(AK755="◎",I755,J755)/100,2),ROUND(L755*IF(AK755="◎",I755,J755)/100,2))),0)</f>
        <v>2.38</v>
      </c>
      <c r="AG755" s="203">
        <f t="shared" ca="1" si="91"/>
        <v>10561</v>
      </c>
      <c r="AJ755" s="460" t="str">
        <f>IFERROR(VLOOKUP(申込書!$C$30,★業種!$D$2:$E$87,2,FALSE),"")</f>
        <v>1003</v>
      </c>
      <c r="AK755" s="460" t="str">
        <f ca="1">IF(申込書!$C$36="◎",IF(OR(D755="浜坂・温泉",D755="美方・村岡",D755="香住",D755="岡山",D755="大阪"),"",IF(LEFT(F755)="D","◎",IF(AG755=0,"",IFERROR(IF(VLOOKUP(AG755,★仕入先!$A$2:$C$211,3,FALSE)=0,"","◎"),"")))),"")</f>
        <v/>
      </c>
      <c r="AL755" s="460">
        <f>申込書!$H$14</f>
        <v>0</v>
      </c>
      <c r="AM755" s="460" t="str">
        <f>申込書!$C$32</f>
        <v>B4（折り無し）</v>
      </c>
      <c r="AN755" s="460" t="str">
        <f>VLOOKUP(AM755,★サイズ表記!$D$4:$E$55,2,FALSE)</f>
        <v>1001</v>
      </c>
      <c r="AO755" s="460">
        <f>IF(C755&lt;&gt;"⑧兵庫",VLOOKUP(LEFT(F755),★新聞!$A$4:$B$12,2,FALSE),IF(LEFT(F755)&lt;&gt;"S",VLOOKUP(LEFT(F755),★新聞!$A$4:$B$12,2,FALSE),VLOOKUP("X",★新聞!$A$4:$B$12,2,FALSE)))</f>
        <v>6</v>
      </c>
      <c r="AP755" s="460" t="str">
        <f t="shared" ca="1" si="92"/>
        <v>0</v>
      </c>
      <c r="AQ755" s="460" t="str">
        <f>IF(申込書!$C$38="","",申込書!$C$38)</f>
        <v/>
      </c>
    </row>
    <row r="756" spans="1:43">
      <c r="A756" s="463">
        <f t="shared" si="93"/>
        <v>755</v>
      </c>
      <c r="B756" s="463" t="str">
        <f t="shared" si="86"/>
        <v>東部</v>
      </c>
      <c r="C756" s="464" t="s">
        <v>1019</v>
      </c>
      <c r="D756" s="464" t="s">
        <v>1603</v>
      </c>
      <c r="E756" s="464">
        <f>VLOOKUP(D756,★折込地区!$A$2:$D$10,4,FALSE)</f>
        <v>3</v>
      </c>
      <c r="F756" s="464" t="s">
        <v>493</v>
      </c>
      <c r="G756" s="464" t="str">
        <f>INDEX(★新聞!$E$4:$I$12, MATCH(LEFT(F756),★新聞!$A$4:$A$12,0), MATCH(LEFT(W756),★新聞!$E$3:$I$3,0))</f>
        <v>AM</v>
      </c>
      <c r="H756" s="475" t="s">
        <v>1103</v>
      </c>
      <c r="I756" s="464" cm="1">
        <f t="array" ref="I756">IFERROR(INDEX(★原価率!$A$2:$E$50,MATCH($C756&amp;$H756,★原価率!$A$2:$A$50&amp;★原価率!$B$2:$B$50,0),3),0)</f>
        <v>85</v>
      </c>
      <c r="J756" s="464" cm="1">
        <f t="array" ref="J756">IFERROR(INDEX(★原価率!$A$2:$E$50,MATCH($C756&amp;$H756,★原価率!$A$2:$A$50&amp;★原価率!$B$2:$B$50,0),4),0)</f>
        <v>85</v>
      </c>
      <c r="K756" s="464" cm="1">
        <f t="array" ref="K756">IFERROR(INDEX(★原価率!$A$2:$E$50,MATCH($C756&amp;$H756,★原価率!$A$2:$A$50&amp;★原価率!$B$2:$B$50,0),5),0)</f>
        <v>100</v>
      </c>
      <c r="L756" s="528">
        <f>IFERROR(VLOOKUP(W756,★商品!$A$1:$H$1231,8,FALSE),0)</f>
        <v>2.8</v>
      </c>
      <c r="M756" s="203" t="str">
        <f ca="1">CONCATENATE(VLOOKUP(B756,★営業所!$A$2:$B$5,2,FALSE),TEXT(NOW(),"yyyy"))</f>
        <v>T2023</v>
      </c>
      <c r="N756" s="203">
        <v>1</v>
      </c>
      <c r="O756" s="203">
        <v>0</v>
      </c>
      <c r="P756" s="213">
        <f>申込書!$B$6</f>
        <v>0</v>
      </c>
      <c r="Q756" s="203">
        <f>申込書!$C$34</f>
        <v>1000040</v>
      </c>
      <c r="R756" s="203">
        <v>0</v>
      </c>
      <c r="U756" s="203">
        <f>VLOOKUP(B756,★営業所!$A$2:$C$5,3,FALSE)</f>
        <v>8</v>
      </c>
      <c r="V756" s="203">
        <f>申込書!$B$9</f>
        <v>0</v>
      </c>
      <c r="W756" s="203" t="str">
        <f>CONCATENATE(VLOOKUP(B756,★営業所!$A$2:$B$5,2,FALSE),VLOOKUP(申込書!$C$32,★サイズ表記!$D$4:$E$55,2,FALSE),VLOOKUP(D756,★折込地区!$A$2:$B$11,2,FALSE))</f>
        <v>T1001Yng</v>
      </c>
      <c r="X756" s="203" t="str">
        <f>CONCATENATE(申込書!$B$9," ",VLOOKUP(RIGHT(W756,3),★折込地区!$B$2:$C$10,2,FALSE),"")</f>
        <v xml:space="preserve"> 米子</v>
      </c>
      <c r="Z756" s="206">
        <f t="shared" ca="1" si="87"/>
        <v>0</v>
      </c>
      <c r="AB756" s="383">
        <f t="shared" si="88"/>
        <v>2.8</v>
      </c>
      <c r="AC756" s="203" t="str">
        <f t="shared" si="89"/>
        <v>S1001</v>
      </c>
      <c r="AD756" s="203" t="str">
        <f>VLOOKUP(AC756,★原価商品!$E$6:$F$349,2,FALSE)</f>
        <v>山陰中央/B4（折り無し）</v>
      </c>
      <c r="AE756" s="203">
        <f t="shared" ca="1" si="90"/>
        <v>0</v>
      </c>
      <c r="AF756" s="383">
        <f ca="1">IFERROR(IF(VLOOKUP(申込書!$C$32,★サイズ表記!$F$4:$H$55,3,FALSE)="切り捨て",ROUNDDOWN(L756*IF(AK756="◎",I756,J756)/100,2),IF(VLOOKUP(申込書!$C$32,★サイズ表記!$F$4:$H$55,3,FALSE)="切り上げ",ROUNDUP(L756*IF(AK756="◎",I756,J756)/100,2),ROUND(L756*IF(AK756="◎",I756,J756)/100,2))),0)</f>
        <v>2.38</v>
      </c>
      <c r="AG756" s="203">
        <f t="shared" ca="1" si="91"/>
        <v>10561</v>
      </c>
      <c r="AJ756" s="460" t="str">
        <f>IFERROR(VLOOKUP(申込書!$C$30,★業種!$D$2:$E$87,2,FALSE),"")</f>
        <v>1003</v>
      </c>
      <c r="AK756" s="460" t="str">
        <f ca="1">IF(申込書!$C$36="◎",IF(OR(D756="浜坂・温泉",D756="美方・村岡",D756="香住",D756="岡山",D756="大阪"),"",IF(LEFT(F756)="D","◎",IF(AG756=0,"",IFERROR(IF(VLOOKUP(AG756,★仕入先!$A$2:$C$211,3,FALSE)=0,"","◎"),"")))),"")</f>
        <v/>
      </c>
      <c r="AL756" s="460">
        <f>申込書!$H$14</f>
        <v>0</v>
      </c>
      <c r="AM756" s="460" t="str">
        <f>申込書!$C$32</f>
        <v>B4（折り無し）</v>
      </c>
      <c r="AN756" s="460" t="str">
        <f>VLOOKUP(AM756,★サイズ表記!$D$4:$E$55,2,FALSE)</f>
        <v>1001</v>
      </c>
      <c r="AO756" s="460">
        <f>IF(C756&lt;&gt;"⑧兵庫",VLOOKUP(LEFT(F756),★新聞!$A$4:$B$12,2,FALSE),IF(LEFT(F756)&lt;&gt;"S",VLOOKUP(LEFT(F756),★新聞!$A$4:$B$12,2,FALSE),VLOOKUP("X",★新聞!$A$4:$B$12,2,FALSE)))</f>
        <v>6</v>
      </c>
      <c r="AP756" s="460" t="str">
        <f t="shared" ca="1" si="92"/>
        <v>0</v>
      </c>
      <c r="AQ756" s="460" t="str">
        <f>IF(申込書!$C$38="","",申込書!$C$38)</f>
        <v/>
      </c>
    </row>
    <row r="757" spans="1:43">
      <c r="A757" s="463">
        <f t="shared" si="93"/>
        <v>756</v>
      </c>
      <c r="B757" s="463" t="str">
        <f t="shared" si="86"/>
        <v>東部</v>
      </c>
      <c r="C757" s="464" t="s">
        <v>1019</v>
      </c>
      <c r="D757" s="464" t="s">
        <v>1603</v>
      </c>
      <c r="E757" s="464">
        <f>VLOOKUP(D757,★折込地区!$A$2:$D$10,4,FALSE)</f>
        <v>3</v>
      </c>
      <c r="F757" s="464" t="s">
        <v>494</v>
      </c>
      <c r="G757" s="464" t="str">
        <f>INDEX(★新聞!$E$4:$I$12, MATCH(LEFT(F757),★新聞!$A$4:$A$12,0), MATCH(LEFT(W757),★新聞!$E$3:$I$3,0))</f>
        <v>AM</v>
      </c>
      <c r="H757" s="475" t="s">
        <v>1103</v>
      </c>
      <c r="I757" s="464" cm="1">
        <f t="array" ref="I757">IFERROR(INDEX(★原価率!$A$2:$E$50,MATCH($C757&amp;$H757,★原価率!$A$2:$A$50&amp;★原価率!$B$2:$B$50,0),3),0)</f>
        <v>85</v>
      </c>
      <c r="J757" s="464" cm="1">
        <f t="array" ref="J757">IFERROR(INDEX(★原価率!$A$2:$E$50,MATCH($C757&amp;$H757,★原価率!$A$2:$A$50&amp;★原価率!$B$2:$B$50,0),4),0)</f>
        <v>85</v>
      </c>
      <c r="K757" s="464" cm="1">
        <f t="array" ref="K757">IFERROR(INDEX(★原価率!$A$2:$E$50,MATCH($C757&amp;$H757,★原価率!$A$2:$A$50&amp;★原価率!$B$2:$B$50,0),5),0)</f>
        <v>100</v>
      </c>
      <c r="L757" s="528">
        <f>IFERROR(VLOOKUP(W757,★商品!$A$1:$H$1231,8,FALSE),0)</f>
        <v>2.8</v>
      </c>
      <c r="M757" s="203" t="str">
        <f ca="1">CONCATENATE(VLOOKUP(B757,★営業所!$A$2:$B$5,2,FALSE),TEXT(NOW(),"yyyy"))</f>
        <v>T2023</v>
      </c>
      <c r="N757" s="203">
        <v>1</v>
      </c>
      <c r="O757" s="203">
        <v>0</v>
      </c>
      <c r="P757" s="213">
        <f>申込書!$B$6</f>
        <v>0</v>
      </c>
      <c r="Q757" s="203">
        <f>申込書!$C$34</f>
        <v>1000040</v>
      </c>
      <c r="R757" s="203">
        <v>0</v>
      </c>
      <c r="U757" s="203">
        <f>VLOOKUP(B757,★営業所!$A$2:$C$5,3,FALSE)</f>
        <v>8</v>
      </c>
      <c r="V757" s="203">
        <f>申込書!$B$9</f>
        <v>0</v>
      </c>
      <c r="W757" s="203" t="str">
        <f>CONCATENATE(VLOOKUP(B757,★営業所!$A$2:$B$5,2,FALSE),VLOOKUP(申込書!$C$32,★サイズ表記!$D$4:$E$55,2,FALSE),VLOOKUP(D757,★折込地区!$A$2:$B$11,2,FALSE))</f>
        <v>T1001Yng</v>
      </c>
      <c r="X757" s="203" t="str">
        <f>CONCATENATE(申込書!$B$9," ",VLOOKUP(RIGHT(W757,3),★折込地区!$B$2:$C$10,2,FALSE),"")</f>
        <v xml:space="preserve"> 米子</v>
      </c>
      <c r="Z757" s="206">
        <f t="shared" ca="1" si="87"/>
        <v>0</v>
      </c>
      <c r="AB757" s="383">
        <f t="shared" si="88"/>
        <v>2.8</v>
      </c>
      <c r="AC757" s="203" t="str">
        <f t="shared" si="89"/>
        <v>S1001</v>
      </c>
      <c r="AD757" s="203" t="str">
        <f>VLOOKUP(AC757,★原価商品!$E$6:$F$349,2,FALSE)</f>
        <v>山陰中央/B4（折り無し）</v>
      </c>
      <c r="AE757" s="203">
        <f t="shared" ca="1" si="90"/>
        <v>0</v>
      </c>
      <c r="AF757" s="383">
        <f ca="1">IFERROR(IF(VLOOKUP(申込書!$C$32,★サイズ表記!$F$4:$H$55,3,FALSE)="切り捨て",ROUNDDOWN(L757*IF(AK757="◎",I757,J757)/100,2),IF(VLOOKUP(申込書!$C$32,★サイズ表記!$F$4:$H$55,3,FALSE)="切り上げ",ROUNDUP(L757*IF(AK757="◎",I757,J757)/100,2),ROUND(L757*IF(AK757="◎",I757,J757)/100,2))),0)</f>
        <v>2.38</v>
      </c>
      <c r="AG757" s="203">
        <f t="shared" ca="1" si="91"/>
        <v>10561</v>
      </c>
      <c r="AJ757" s="460" t="str">
        <f>IFERROR(VLOOKUP(申込書!$C$30,★業種!$D$2:$E$87,2,FALSE),"")</f>
        <v>1003</v>
      </c>
      <c r="AK757" s="460" t="str">
        <f ca="1">IF(申込書!$C$36="◎",IF(OR(D757="浜坂・温泉",D757="美方・村岡",D757="香住",D757="岡山",D757="大阪"),"",IF(LEFT(F757)="D","◎",IF(AG757=0,"",IFERROR(IF(VLOOKUP(AG757,★仕入先!$A$2:$C$211,3,FALSE)=0,"","◎"),"")))),"")</f>
        <v/>
      </c>
      <c r="AL757" s="460">
        <f>申込書!$H$14</f>
        <v>0</v>
      </c>
      <c r="AM757" s="460" t="str">
        <f>申込書!$C$32</f>
        <v>B4（折り無し）</v>
      </c>
      <c r="AN757" s="460" t="str">
        <f>VLOOKUP(AM757,★サイズ表記!$D$4:$E$55,2,FALSE)</f>
        <v>1001</v>
      </c>
      <c r="AO757" s="460">
        <f>IF(C757&lt;&gt;"⑧兵庫",VLOOKUP(LEFT(F757),★新聞!$A$4:$B$12,2,FALSE),IF(LEFT(F757)&lt;&gt;"S",VLOOKUP(LEFT(F757),★新聞!$A$4:$B$12,2,FALSE),VLOOKUP("X",★新聞!$A$4:$B$12,2,FALSE)))</f>
        <v>6</v>
      </c>
      <c r="AP757" s="460" t="str">
        <f t="shared" ca="1" si="92"/>
        <v>0</v>
      </c>
      <c r="AQ757" s="460" t="str">
        <f>IF(申込書!$C$38="","",申込書!$C$38)</f>
        <v/>
      </c>
    </row>
    <row r="758" spans="1:43">
      <c r="A758" s="463">
        <f t="shared" si="93"/>
        <v>757</v>
      </c>
      <c r="B758" s="463" t="str">
        <f t="shared" si="86"/>
        <v>東部</v>
      </c>
      <c r="C758" s="464" t="s">
        <v>1019</v>
      </c>
      <c r="D758" s="464" t="s">
        <v>1603</v>
      </c>
      <c r="E758" s="464">
        <f>VLOOKUP(D758,★折込地区!$A$2:$D$10,4,FALSE)</f>
        <v>3</v>
      </c>
      <c r="F758" s="464" t="s">
        <v>495</v>
      </c>
      <c r="G758" s="464" t="str">
        <f>INDEX(★新聞!$E$4:$I$12, MATCH(LEFT(F758),★新聞!$A$4:$A$12,0), MATCH(LEFT(W758),★新聞!$E$3:$I$3,0))</f>
        <v>AM</v>
      </c>
      <c r="H758" s="475" t="s">
        <v>1103</v>
      </c>
      <c r="I758" s="464" cm="1">
        <f t="array" ref="I758">IFERROR(INDEX(★原価率!$A$2:$E$50,MATCH($C758&amp;$H758,★原価率!$A$2:$A$50&amp;★原価率!$B$2:$B$50,0),3),0)</f>
        <v>85</v>
      </c>
      <c r="J758" s="464" cm="1">
        <f t="array" ref="J758">IFERROR(INDEX(★原価率!$A$2:$E$50,MATCH($C758&amp;$H758,★原価率!$A$2:$A$50&amp;★原価率!$B$2:$B$50,0),4),0)</f>
        <v>85</v>
      </c>
      <c r="K758" s="464" cm="1">
        <f t="array" ref="K758">IFERROR(INDEX(★原価率!$A$2:$E$50,MATCH($C758&amp;$H758,★原価率!$A$2:$A$50&amp;★原価率!$B$2:$B$50,0),5),0)</f>
        <v>100</v>
      </c>
      <c r="L758" s="528">
        <f>IFERROR(VLOOKUP(W758,★商品!$A$1:$H$1231,8,FALSE),0)</f>
        <v>2.8</v>
      </c>
      <c r="M758" s="203" t="str">
        <f ca="1">CONCATENATE(VLOOKUP(B758,★営業所!$A$2:$B$5,2,FALSE),TEXT(NOW(),"yyyy"))</f>
        <v>T2023</v>
      </c>
      <c r="N758" s="203">
        <v>1</v>
      </c>
      <c r="O758" s="203">
        <v>0</v>
      </c>
      <c r="P758" s="213">
        <f>申込書!$B$6</f>
        <v>0</v>
      </c>
      <c r="Q758" s="203">
        <f>申込書!$C$34</f>
        <v>1000040</v>
      </c>
      <c r="R758" s="203">
        <v>0</v>
      </c>
      <c r="U758" s="203">
        <f>VLOOKUP(B758,★営業所!$A$2:$C$5,3,FALSE)</f>
        <v>8</v>
      </c>
      <c r="V758" s="203">
        <f>申込書!$B$9</f>
        <v>0</v>
      </c>
      <c r="W758" s="203" t="str">
        <f>CONCATENATE(VLOOKUP(B758,★営業所!$A$2:$B$5,2,FALSE),VLOOKUP(申込書!$C$32,★サイズ表記!$D$4:$E$55,2,FALSE),VLOOKUP(D758,★折込地区!$A$2:$B$11,2,FALSE))</f>
        <v>T1001Yng</v>
      </c>
      <c r="X758" s="203" t="str">
        <f>CONCATENATE(申込書!$B$9," ",VLOOKUP(RIGHT(W758,3),★折込地区!$B$2:$C$10,2,FALSE),"")</f>
        <v xml:space="preserve"> 米子</v>
      </c>
      <c r="Z758" s="206">
        <f t="shared" ca="1" si="87"/>
        <v>0</v>
      </c>
      <c r="AB758" s="383">
        <f t="shared" si="88"/>
        <v>2.8</v>
      </c>
      <c r="AC758" s="203" t="str">
        <f t="shared" si="89"/>
        <v>S1001</v>
      </c>
      <c r="AD758" s="203" t="str">
        <f>VLOOKUP(AC758,★原価商品!$E$6:$F$349,2,FALSE)</f>
        <v>山陰中央/B4（折り無し）</v>
      </c>
      <c r="AE758" s="203">
        <f t="shared" ca="1" si="90"/>
        <v>0</v>
      </c>
      <c r="AF758" s="383">
        <f ca="1">IFERROR(IF(VLOOKUP(申込書!$C$32,★サイズ表記!$F$4:$H$55,3,FALSE)="切り捨て",ROUNDDOWN(L758*IF(AK758="◎",I758,J758)/100,2),IF(VLOOKUP(申込書!$C$32,★サイズ表記!$F$4:$H$55,3,FALSE)="切り上げ",ROUNDUP(L758*IF(AK758="◎",I758,J758)/100,2),ROUND(L758*IF(AK758="◎",I758,J758)/100,2))),0)</f>
        <v>2.38</v>
      </c>
      <c r="AG758" s="203">
        <f t="shared" ca="1" si="91"/>
        <v>10561</v>
      </c>
      <c r="AJ758" s="460" t="str">
        <f>IFERROR(VLOOKUP(申込書!$C$30,★業種!$D$2:$E$87,2,FALSE),"")</f>
        <v>1003</v>
      </c>
      <c r="AK758" s="460" t="str">
        <f ca="1">IF(申込書!$C$36="◎",IF(OR(D758="浜坂・温泉",D758="美方・村岡",D758="香住",D758="岡山",D758="大阪"),"",IF(LEFT(F758)="D","◎",IF(AG758=0,"",IFERROR(IF(VLOOKUP(AG758,★仕入先!$A$2:$C$211,3,FALSE)=0,"","◎"),"")))),"")</f>
        <v/>
      </c>
      <c r="AL758" s="460">
        <f>申込書!$H$14</f>
        <v>0</v>
      </c>
      <c r="AM758" s="460" t="str">
        <f>申込書!$C$32</f>
        <v>B4（折り無し）</v>
      </c>
      <c r="AN758" s="460" t="str">
        <f>VLOOKUP(AM758,★サイズ表記!$D$4:$E$55,2,FALSE)</f>
        <v>1001</v>
      </c>
      <c r="AO758" s="460">
        <f>IF(C758&lt;&gt;"⑧兵庫",VLOOKUP(LEFT(F758),★新聞!$A$4:$B$12,2,FALSE),IF(LEFT(F758)&lt;&gt;"S",VLOOKUP(LEFT(F758),★新聞!$A$4:$B$12,2,FALSE),VLOOKUP("X",★新聞!$A$4:$B$12,2,FALSE)))</f>
        <v>6</v>
      </c>
      <c r="AP758" s="460" t="str">
        <f t="shared" ca="1" si="92"/>
        <v>0</v>
      </c>
      <c r="AQ758" s="460" t="str">
        <f>IF(申込書!$C$38="","",申込書!$C$38)</f>
        <v/>
      </c>
    </row>
    <row r="759" spans="1:43">
      <c r="A759" s="463">
        <f t="shared" si="93"/>
        <v>758</v>
      </c>
      <c r="B759" s="463" t="str">
        <f t="shared" si="86"/>
        <v>東部</v>
      </c>
      <c r="C759" s="464" t="s">
        <v>1019</v>
      </c>
      <c r="D759" s="464" t="s">
        <v>1603</v>
      </c>
      <c r="E759" s="464">
        <f>VLOOKUP(D759,★折込地区!$A$2:$D$10,4,FALSE)</f>
        <v>3</v>
      </c>
      <c r="F759" s="464" t="s">
        <v>496</v>
      </c>
      <c r="G759" s="464" t="str">
        <f>INDEX(★新聞!$E$4:$I$12, MATCH(LEFT(F759),★新聞!$A$4:$A$12,0), MATCH(LEFT(W759),★新聞!$E$3:$I$3,0))</f>
        <v>AM</v>
      </c>
      <c r="H759" s="475" t="s">
        <v>1103</v>
      </c>
      <c r="I759" s="464" cm="1">
        <f t="array" ref="I759">IFERROR(INDEX(★原価率!$A$2:$E$50,MATCH($C759&amp;$H759,★原価率!$A$2:$A$50&amp;★原価率!$B$2:$B$50,0),3),0)</f>
        <v>85</v>
      </c>
      <c r="J759" s="464" cm="1">
        <f t="array" ref="J759">IFERROR(INDEX(★原価率!$A$2:$E$50,MATCH($C759&amp;$H759,★原価率!$A$2:$A$50&amp;★原価率!$B$2:$B$50,0),4),0)</f>
        <v>85</v>
      </c>
      <c r="K759" s="464" cm="1">
        <f t="array" ref="K759">IFERROR(INDEX(★原価率!$A$2:$E$50,MATCH($C759&amp;$H759,★原価率!$A$2:$A$50&amp;★原価率!$B$2:$B$50,0),5),0)</f>
        <v>100</v>
      </c>
      <c r="L759" s="528">
        <f>IFERROR(VLOOKUP(W759,★商品!$A$1:$H$1231,8,FALSE),0)</f>
        <v>2.8</v>
      </c>
      <c r="M759" s="203" t="str">
        <f ca="1">CONCATENATE(VLOOKUP(B759,★営業所!$A$2:$B$5,2,FALSE),TEXT(NOW(),"yyyy"))</f>
        <v>T2023</v>
      </c>
      <c r="N759" s="203">
        <v>1</v>
      </c>
      <c r="O759" s="203">
        <v>0</v>
      </c>
      <c r="P759" s="213">
        <f>申込書!$B$6</f>
        <v>0</v>
      </c>
      <c r="Q759" s="203">
        <f>申込書!$C$34</f>
        <v>1000040</v>
      </c>
      <c r="R759" s="203">
        <v>0</v>
      </c>
      <c r="U759" s="203">
        <f>VLOOKUP(B759,★営業所!$A$2:$C$5,3,FALSE)</f>
        <v>8</v>
      </c>
      <c r="V759" s="203">
        <f>申込書!$B$9</f>
        <v>0</v>
      </c>
      <c r="W759" s="203" t="str">
        <f>CONCATENATE(VLOOKUP(B759,★営業所!$A$2:$B$5,2,FALSE),VLOOKUP(申込書!$C$32,★サイズ表記!$D$4:$E$55,2,FALSE),VLOOKUP(D759,★折込地区!$A$2:$B$11,2,FALSE))</f>
        <v>T1001Yng</v>
      </c>
      <c r="X759" s="203" t="str">
        <f>CONCATENATE(申込書!$B$9," ",VLOOKUP(RIGHT(W759,3),★折込地区!$B$2:$C$10,2,FALSE),"")</f>
        <v xml:space="preserve"> 米子</v>
      </c>
      <c r="Z759" s="206">
        <f t="shared" ca="1" si="87"/>
        <v>0</v>
      </c>
      <c r="AB759" s="383">
        <f t="shared" si="88"/>
        <v>2.8</v>
      </c>
      <c r="AC759" s="203" t="str">
        <f t="shared" si="89"/>
        <v>S1001</v>
      </c>
      <c r="AD759" s="203" t="str">
        <f>VLOOKUP(AC759,★原価商品!$E$6:$F$349,2,FALSE)</f>
        <v>山陰中央/B4（折り無し）</v>
      </c>
      <c r="AE759" s="203">
        <f t="shared" ca="1" si="90"/>
        <v>0</v>
      </c>
      <c r="AF759" s="383">
        <f ca="1">IFERROR(IF(VLOOKUP(申込書!$C$32,★サイズ表記!$F$4:$H$55,3,FALSE)="切り捨て",ROUNDDOWN(L759*IF(AK759="◎",I759,J759)/100,2),IF(VLOOKUP(申込書!$C$32,★サイズ表記!$F$4:$H$55,3,FALSE)="切り上げ",ROUNDUP(L759*IF(AK759="◎",I759,J759)/100,2),ROUND(L759*IF(AK759="◎",I759,J759)/100,2))),0)</f>
        <v>2.38</v>
      </c>
      <c r="AG759" s="203">
        <f t="shared" ca="1" si="91"/>
        <v>10561</v>
      </c>
      <c r="AJ759" s="460" t="str">
        <f>IFERROR(VLOOKUP(申込書!$C$30,★業種!$D$2:$E$87,2,FALSE),"")</f>
        <v>1003</v>
      </c>
      <c r="AK759" s="460" t="str">
        <f ca="1">IF(申込書!$C$36="◎",IF(OR(D759="浜坂・温泉",D759="美方・村岡",D759="香住",D759="岡山",D759="大阪"),"",IF(LEFT(F759)="D","◎",IF(AG759=0,"",IFERROR(IF(VLOOKUP(AG759,★仕入先!$A$2:$C$211,3,FALSE)=0,"","◎"),"")))),"")</f>
        <v/>
      </c>
      <c r="AL759" s="460">
        <f>申込書!$H$14</f>
        <v>0</v>
      </c>
      <c r="AM759" s="460" t="str">
        <f>申込書!$C$32</f>
        <v>B4（折り無し）</v>
      </c>
      <c r="AN759" s="460" t="str">
        <f>VLOOKUP(AM759,★サイズ表記!$D$4:$E$55,2,FALSE)</f>
        <v>1001</v>
      </c>
      <c r="AO759" s="460">
        <f>IF(C759&lt;&gt;"⑧兵庫",VLOOKUP(LEFT(F759),★新聞!$A$4:$B$12,2,FALSE),IF(LEFT(F759)&lt;&gt;"S",VLOOKUP(LEFT(F759),★新聞!$A$4:$B$12,2,FALSE),VLOOKUP("X",★新聞!$A$4:$B$12,2,FALSE)))</f>
        <v>6</v>
      </c>
      <c r="AP759" s="460" t="str">
        <f t="shared" ca="1" si="92"/>
        <v>0</v>
      </c>
      <c r="AQ759" s="460" t="str">
        <f>IF(申込書!$C$38="","",申込書!$C$38)</f>
        <v/>
      </c>
    </row>
    <row r="760" spans="1:43">
      <c r="A760" s="463">
        <f t="shared" si="93"/>
        <v>759</v>
      </c>
      <c r="B760" s="463" t="str">
        <f t="shared" si="86"/>
        <v>東部</v>
      </c>
      <c r="C760" s="464" t="s">
        <v>1019</v>
      </c>
      <c r="D760" s="464" t="s">
        <v>1603</v>
      </c>
      <c r="E760" s="464">
        <f>VLOOKUP(D760,★折込地区!$A$2:$D$10,4,FALSE)</f>
        <v>3</v>
      </c>
      <c r="F760" s="464" t="s">
        <v>497</v>
      </c>
      <c r="G760" s="464" t="str">
        <f>INDEX(★新聞!$E$4:$I$12, MATCH(LEFT(F760),★新聞!$A$4:$A$12,0), MATCH(LEFT(W760),★新聞!$E$3:$I$3,0))</f>
        <v>AM</v>
      </c>
      <c r="H760" s="555" t="s">
        <v>1102</v>
      </c>
      <c r="I760" s="464" cm="1">
        <f t="array" ref="I760">IFERROR(INDEX(★原価率!$A$2:$E$50,MATCH($C760&amp;$H760,★原価率!$A$2:$A$50&amp;★原価率!$B$2:$B$50,0),3),0)</f>
        <v>80</v>
      </c>
      <c r="J760" s="464" cm="1">
        <f t="array" ref="J760">IFERROR(INDEX(★原価率!$A$2:$E$50,MATCH($C760&amp;$H760,★原価率!$A$2:$A$50&amp;★原価率!$B$2:$B$50,0),4),0)</f>
        <v>84</v>
      </c>
      <c r="K760" s="464" cm="1">
        <f t="array" ref="K760">IFERROR(INDEX(★原価率!$A$2:$E$50,MATCH($C760&amp;$H760,★原価率!$A$2:$A$50&amp;★原価率!$B$2:$B$50,0),5),0)</f>
        <v>100</v>
      </c>
      <c r="L760" s="528">
        <f>IFERROR(VLOOKUP(W760,★商品!$A$1:$H$1231,8,FALSE),0)</f>
        <v>2.8</v>
      </c>
      <c r="M760" s="203" t="str">
        <f ca="1">CONCATENATE(VLOOKUP(B760,★営業所!$A$2:$B$5,2,FALSE),TEXT(NOW(),"yyyy"))</f>
        <v>T2023</v>
      </c>
      <c r="N760" s="203">
        <v>1</v>
      </c>
      <c r="O760" s="203">
        <v>0</v>
      </c>
      <c r="P760" s="213">
        <f>申込書!$B$6</f>
        <v>0</v>
      </c>
      <c r="Q760" s="203">
        <f>申込書!$C$34</f>
        <v>1000040</v>
      </c>
      <c r="R760" s="203">
        <v>0</v>
      </c>
      <c r="U760" s="203">
        <f>VLOOKUP(B760,★営業所!$A$2:$C$5,3,FALSE)</f>
        <v>8</v>
      </c>
      <c r="V760" s="203">
        <f>申込書!$B$9</f>
        <v>0</v>
      </c>
      <c r="W760" s="203" t="str">
        <f>CONCATENATE(VLOOKUP(B760,★営業所!$A$2:$B$5,2,FALSE),VLOOKUP(申込書!$C$32,★サイズ表記!$D$4:$E$55,2,FALSE),VLOOKUP(D760,★折込地区!$A$2:$B$11,2,FALSE))</f>
        <v>T1001Yng</v>
      </c>
      <c r="X760" s="203" t="str">
        <f>CONCATENATE(申込書!$B$9," ",VLOOKUP(RIGHT(W760,3),★折込地区!$B$2:$C$10,2,FALSE),"")</f>
        <v xml:space="preserve"> 米子</v>
      </c>
      <c r="Z760" s="206">
        <f t="shared" ca="1" si="87"/>
        <v>0</v>
      </c>
      <c r="AB760" s="383">
        <f t="shared" si="88"/>
        <v>2.8</v>
      </c>
      <c r="AC760" s="203" t="str">
        <f t="shared" si="89"/>
        <v>S1001</v>
      </c>
      <c r="AD760" s="203" t="str">
        <f>VLOOKUP(AC760,★原価商品!$E$6:$F$349,2,FALSE)</f>
        <v>山陰中央/B4（折り無し）</v>
      </c>
      <c r="AE760" s="203">
        <f t="shared" ca="1" si="90"/>
        <v>0</v>
      </c>
      <c r="AF760" s="383">
        <f ca="1">IFERROR(IF(VLOOKUP(申込書!$C$32,★サイズ表記!$F$4:$H$55,3,FALSE)="切り捨て",ROUNDDOWN(L760*IF(AK760="◎",I760,J760)/100,2),IF(VLOOKUP(申込書!$C$32,★サイズ表記!$F$4:$H$55,3,FALSE)="切り上げ",ROUNDUP(L760*IF(AK760="◎",I760,J760)/100,2),ROUND(L760*IF(AK760="◎",I760,J760)/100,2))),0)</f>
        <v>2.35</v>
      </c>
      <c r="AG760" s="203">
        <f t="shared" ca="1" si="91"/>
        <v>10561</v>
      </c>
      <c r="AJ760" s="460" t="str">
        <f>IFERROR(VLOOKUP(申込書!$C$30,★業種!$D$2:$E$87,2,FALSE),"")</f>
        <v>1003</v>
      </c>
      <c r="AK760" s="460" t="str">
        <f ca="1">IF(申込書!$C$36="◎",IF(OR(D760="浜坂・温泉",D760="美方・村岡",D760="香住",D760="岡山",D760="大阪"),"",IF(LEFT(F760)="D","◎",IF(AG760=0,"",IFERROR(IF(VLOOKUP(AG760,★仕入先!$A$2:$C$211,3,FALSE)=0,"","◎"),"")))),"")</f>
        <v/>
      </c>
      <c r="AL760" s="460">
        <f>申込書!$H$14</f>
        <v>0</v>
      </c>
      <c r="AM760" s="460" t="str">
        <f>申込書!$C$32</f>
        <v>B4（折り無し）</v>
      </c>
      <c r="AN760" s="460" t="str">
        <f>VLOOKUP(AM760,★サイズ表記!$D$4:$E$55,2,FALSE)</f>
        <v>1001</v>
      </c>
      <c r="AO760" s="460">
        <f>IF(C760&lt;&gt;"⑧兵庫",VLOOKUP(LEFT(F760),★新聞!$A$4:$B$12,2,FALSE),IF(LEFT(F760)&lt;&gt;"S",VLOOKUP(LEFT(F760),★新聞!$A$4:$B$12,2,FALSE),VLOOKUP("X",★新聞!$A$4:$B$12,2,FALSE)))</f>
        <v>6</v>
      </c>
      <c r="AP760" s="460" t="str">
        <f t="shared" ca="1" si="92"/>
        <v>0</v>
      </c>
      <c r="AQ760" s="460" t="str">
        <f>IF(申込書!$C$38="","",申込書!$C$38)</f>
        <v/>
      </c>
    </row>
    <row r="761" spans="1:43">
      <c r="A761" s="463">
        <f t="shared" si="93"/>
        <v>760</v>
      </c>
      <c r="B761" s="463" t="str">
        <f t="shared" si="86"/>
        <v>東部</v>
      </c>
      <c r="C761" s="464" t="s">
        <v>1019</v>
      </c>
      <c r="D761" s="464" t="s">
        <v>1603</v>
      </c>
      <c r="E761" s="464">
        <f>VLOOKUP(D761,★折込地区!$A$2:$D$10,4,FALSE)</f>
        <v>3</v>
      </c>
      <c r="F761" s="464" t="s">
        <v>498</v>
      </c>
      <c r="G761" s="464" t="str">
        <f>INDEX(★新聞!$E$4:$I$12, MATCH(LEFT(F761),★新聞!$A$4:$A$12,0), MATCH(LEFT(W761),★新聞!$E$3:$I$3,0))</f>
        <v>AM</v>
      </c>
      <c r="H761" s="555" t="s">
        <v>1102</v>
      </c>
      <c r="I761" s="464" cm="1">
        <f t="array" ref="I761">IFERROR(INDEX(★原価率!$A$2:$E$50,MATCH($C761&amp;$H761,★原価率!$A$2:$A$50&amp;★原価率!$B$2:$B$50,0),3),0)</f>
        <v>80</v>
      </c>
      <c r="J761" s="464" cm="1">
        <f t="array" ref="J761">IFERROR(INDEX(★原価率!$A$2:$E$50,MATCH($C761&amp;$H761,★原価率!$A$2:$A$50&amp;★原価率!$B$2:$B$50,0),4),0)</f>
        <v>84</v>
      </c>
      <c r="K761" s="464" cm="1">
        <f t="array" ref="K761">IFERROR(INDEX(★原価率!$A$2:$E$50,MATCH($C761&amp;$H761,★原価率!$A$2:$A$50&amp;★原価率!$B$2:$B$50,0),5),0)</f>
        <v>100</v>
      </c>
      <c r="L761" s="528">
        <f>IFERROR(VLOOKUP(W761,★商品!$A$1:$H$1231,8,FALSE),0)</f>
        <v>2.8</v>
      </c>
      <c r="M761" s="203" t="str">
        <f ca="1">CONCATENATE(VLOOKUP(B761,★営業所!$A$2:$B$5,2,FALSE),TEXT(NOW(),"yyyy"))</f>
        <v>T2023</v>
      </c>
      <c r="N761" s="203">
        <v>1</v>
      </c>
      <c r="O761" s="203">
        <v>0</v>
      </c>
      <c r="P761" s="213">
        <f>申込書!$B$6</f>
        <v>0</v>
      </c>
      <c r="Q761" s="203">
        <f>申込書!$C$34</f>
        <v>1000040</v>
      </c>
      <c r="R761" s="203">
        <v>0</v>
      </c>
      <c r="U761" s="203">
        <f>VLOOKUP(B761,★営業所!$A$2:$C$5,3,FALSE)</f>
        <v>8</v>
      </c>
      <c r="V761" s="203">
        <f>申込書!$B$9</f>
        <v>0</v>
      </c>
      <c r="W761" s="203" t="str">
        <f>CONCATENATE(VLOOKUP(B761,★営業所!$A$2:$B$5,2,FALSE),VLOOKUP(申込書!$C$32,★サイズ表記!$D$4:$E$55,2,FALSE),VLOOKUP(D761,★折込地区!$A$2:$B$11,2,FALSE))</f>
        <v>T1001Yng</v>
      </c>
      <c r="X761" s="203" t="str">
        <f>CONCATENATE(申込書!$B$9," ",VLOOKUP(RIGHT(W761,3),★折込地区!$B$2:$C$10,2,FALSE),"")</f>
        <v xml:space="preserve"> 米子</v>
      </c>
      <c r="Z761" s="206">
        <f t="shared" ca="1" si="87"/>
        <v>0</v>
      </c>
      <c r="AB761" s="383">
        <f t="shared" si="88"/>
        <v>2.8</v>
      </c>
      <c r="AC761" s="203" t="str">
        <f t="shared" si="89"/>
        <v>S1001</v>
      </c>
      <c r="AD761" s="203" t="str">
        <f>VLOOKUP(AC761,★原価商品!$E$6:$F$349,2,FALSE)</f>
        <v>山陰中央/B4（折り無し）</v>
      </c>
      <c r="AE761" s="203">
        <f t="shared" ca="1" si="90"/>
        <v>0</v>
      </c>
      <c r="AF761" s="383">
        <f ca="1">IFERROR(IF(VLOOKUP(申込書!$C$32,★サイズ表記!$F$4:$H$55,3,FALSE)="切り捨て",ROUNDDOWN(L761*IF(AK761="◎",I761,J761)/100,2),IF(VLOOKUP(申込書!$C$32,★サイズ表記!$F$4:$H$55,3,FALSE)="切り上げ",ROUNDUP(L761*IF(AK761="◎",I761,J761)/100,2),ROUND(L761*IF(AK761="◎",I761,J761)/100,2))),0)</f>
        <v>2.35</v>
      </c>
      <c r="AG761" s="203">
        <f t="shared" ca="1" si="91"/>
        <v>10561</v>
      </c>
      <c r="AJ761" s="460" t="str">
        <f>IFERROR(VLOOKUP(申込書!$C$30,★業種!$D$2:$E$87,2,FALSE),"")</f>
        <v>1003</v>
      </c>
      <c r="AK761" s="460" t="str">
        <f ca="1">IF(申込書!$C$36="◎",IF(OR(D761="浜坂・温泉",D761="美方・村岡",D761="香住",D761="岡山",D761="大阪"),"",IF(LEFT(F761)="D","◎",IF(AG761=0,"",IFERROR(IF(VLOOKUP(AG761,★仕入先!$A$2:$C$211,3,FALSE)=0,"","◎"),"")))),"")</f>
        <v/>
      </c>
      <c r="AL761" s="460">
        <f>申込書!$H$14</f>
        <v>0</v>
      </c>
      <c r="AM761" s="460" t="str">
        <f>申込書!$C$32</f>
        <v>B4（折り無し）</v>
      </c>
      <c r="AN761" s="460" t="str">
        <f>VLOOKUP(AM761,★サイズ表記!$D$4:$E$55,2,FALSE)</f>
        <v>1001</v>
      </c>
      <c r="AO761" s="460">
        <f>IF(C761&lt;&gt;"⑧兵庫",VLOOKUP(LEFT(F761),★新聞!$A$4:$B$12,2,FALSE),IF(LEFT(F761)&lt;&gt;"S",VLOOKUP(LEFT(F761),★新聞!$A$4:$B$12,2,FALSE),VLOOKUP("X",★新聞!$A$4:$B$12,2,FALSE)))</f>
        <v>6</v>
      </c>
      <c r="AP761" s="460" t="str">
        <f t="shared" ca="1" si="92"/>
        <v>0</v>
      </c>
      <c r="AQ761" s="460" t="str">
        <f>IF(申込書!$C$38="","",申込書!$C$38)</f>
        <v/>
      </c>
    </row>
    <row r="762" spans="1:43">
      <c r="A762" s="463">
        <f t="shared" si="93"/>
        <v>761</v>
      </c>
      <c r="B762" s="463" t="str">
        <f t="shared" si="86"/>
        <v>東部</v>
      </c>
      <c r="C762" s="464" t="s">
        <v>1019</v>
      </c>
      <c r="D762" s="464" t="s">
        <v>1603</v>
      </c>
      <c r="E762" s="464">
        <f>VLOOKUP(D762,★折込地区!$A$2:$D$10,4,FALSE)</f>
        <v>3</v>
      </c>
      <c r="F762" s="464" t="s">
        <v>499</v>
      </c>
      <c r="G762" s="464" t="str">
        <f>INDEX(★新聞!$E$4:$I$12, MATCH(LEFT(F762),★新聞!$A$4:$A$12,0), MATCH(LEFT(W762),★新聞!$E$3:$I$3,0))</f>
        <v>AM</v>
      </c>
      <c r="H762" s="475" t="s">
        <v>1103</v>
      </c>
      <c r="I762" s="464" cm="1">
        <f t="array" ref="I762">IFERROR(INDEX(★原価率!$A$2:$E$50,MATCH($C762&amp;$H762,★原価率!$A$2:$A$50&amp;★原価率!$B$2:$B$50,0),3),0)</f>
        <v>85</v>
      </c>
      <c r="J762" s="464" cm="1">
        <f t="array" ref="J762">IFERROR(INDEX(★原価率!$A$2:$E$50,MATCH($C762&amp;$H762,★原価率!$A$2:$A$50&amp;★原価率!$B$2:$B$50,0),4),0)</f>
        <v>85</v>
      </c>
      <c r="K762" s="464" cm="1">
        <f t="array" ref="K762">IFERROR(INDEX(★原価率!$A$2:$E$50,MATCH($C762&amp;$H762,★原価率!$A$2:$A$50&amp;★原価率!$B$2:$B$50,0),5),0)</f>
        <v>100</v>
      </c>
      <c r="L762" s="528">
        <f>IFERROR(VLOOKUP(W762,★商品!$A$1:$H$1231,8,FALSE),0)</f>
        <v>2.8</v>
      </c>
      <c r="M762" s="203" t="str">
        <f ca="1">CONCATENATE(VLOOKUP(B762,★営業所!$A$2:$B$5,2,FALSE),TEXT(NOW(),"yyyy"))</f>
        <v>T2023</v>
      </c>
      <c r="N762" s="203">
        <v>1</v>
      </c>
      <c r="O762" s="203">
        <v>0</v>
      </c>
      <c r="P762" s="213">
        <f>申込書!$B$6</f>
        <v>0</v>
      </c>
      <c r="Q762" s="203">
        <f>申込書!$C$34</f>
        <v>1000040</v>
      </c>
      <c r="R762" s="203">
        <v>0</v>
      </c>
      <c r="U762" s="203">
        <f>VLOOKUP(B762,★営業所!$A$2:$C$5,3,FALSE)</f>
        <v>8</v>
      </c>
      <c r="V762" s="203">
        <f>申込書!$B$9</f>
        <v>0</v>
      </c>
      <c r="W762" s="203" t="str">
        <f>CONCATENATE(VLOOKUP(B762,★営業所!$A$2:$B$5,2,FALSE),VLOOKUP(申込書!$C$32,★サイズ表記!$D$4:$E$55,2,FALSE),VLOOKUP(D762,★折込地区!$A$2:$B$11,2,FALSE))</f>
        <v>T1001Yng</v>
      </c>
      <c r="X762" s="203" t="str">
        <f>CONCATENATE(申込書!$B$9," ",VLOOKUP(RIGHT(W762,3),★折込地区!$B$2:$C$10,2,FALSE),"")</f>
        <v xml:space="preserve"> 米子</v>
      </c>
      <c r="Z762" s="206">
        <f t="shared" ca="1" si="87"/>
        <v>0</v>
      </c>
      <c r="AB762" s="383">
        <f t="shared" si="88"/>
        <v>2.8</v>
      </c>
      <c r="AC762" s="203" t="str">
        <f t="shared" si="89"/>
        <v>S1001</v>
      </c>
      <c r="AD762" s="203" t="str">
        <f>VLOOKUP(AC762,★原価商品!$E$6:$F$349,2,FALSE)</f>
        <v>山陰中央/B4（折り無し）</v>
      </c>
      <c r="AE762" s="203">
        <f t="shared" ca="1" si="90"/>
        <v>0</v>
      </c>
      <c r="AF762" s="383">
        <f ca="1">IFERROR(IF(VLOOKUP(申込書!$C$32,★サイズ表記!$F$4:$H$55,3,FALSE)="切り捨て",ROUNDDOWN(L762*IF(AK762="◎",I762,J762)/100,2),IF(VLOOKUP(申込書!$C$32,★サイズ表記!$F$4:$H$55,3,FALSE)="切り上げ",ROUNDUP(L762*IF(AK762="◎",I762,J762)/100,2),ROUND(L762*IF(AK762="◎",I762,J762)/100,2))),0)</f>
        <v>2.38</v>
      </c>
      <c r="AG762" s="203">
        <f t="shared" ca="1" si="91"/>
        <v>0</v>
      </c>
      <c r="AJ762" s="460" t="str">
        <f>IFERROR(VLOOKUP(申込書!$C$30,★業種!$D$2:$E$87,2,FALSE),"")</f>
        <v>1003</v>
      </c>
      <c r="AK762" s="460" t="str">
        <f ca="1">IF(申込書!$C$36="◎",IF(OR(D762="浜坂・温泉",D762="美方・村岡",D762="香住",D762="岡山",D762="大阪"),"",IF(LEFT(F762)="D","◎",IF(AG762=0,"",IFERROR(IF(VLOOKUP(AG762,★仕入先!$A$2:$C$211,3,FALSE)=0,"","◎"),"")))),"")</f>
        <v/>
      </c>
      <c r="AL762" s="460">
        <f>申込書!$H$14</f>
        <v>0</v>
      </c>
      <c r="AM762" s="460" t="str">
        <f>申込書!$C$32</f>
        <v>B4（折り無し）</v>
      </c>
      <c r="AN762" s="460" t="str">
        <f>VLOOKUP(AM762,★サイズ表記!$D$4:$E$55,2,FALSE)</f>
        <v>1001</v>
      </c>
      <c r="AO762" s="460">
        <f>IF(C762&lt;&gt;"⑧兵庫",VLOOKUP(LEFT(F762),★新聞!$A$4:$B$12,2,FALSE),IF(LEFT(F762)&lt;&gt;"S",VLOOKUP(LEFT(F762),★新聞!$A$4:$B$12,2,FALSE),VLOOKUP("X",★新聞!$A$4:$B$12,2,FALSE)))</f>
        <v>6</v>
      </c>
      <c r="AP762" s="460" t="str">
        <f t="shared" ca="1" si="92"/>
        <v>0</v>
      </c>
      <c r="AQ762" s="460" t="str">
        <f>IF(申込書!$C$38="","",申込書!$C$38)</f>
        <v/>
      </c>
    </row>
    <row r="763" spans="1:43">
      <c r="A763" s="463">
        <f t="shared" si="93"/>
        <v>762</v>
      </c>
      <c r="B763" s="463" t="str">
        <f t="shared" si="86"/>
        <v>東部</v>
      </c>
      <c r="C763" s="464" t="s">
        <v>1019</v>
      </c>
      <c r="D763" s="464" t="s">
        <v>1603</v>
      </c>
      <c r="E763" s="464">
        <f>VLOOKUP(D763,★折込地区!$A$2:$D$10,4,FALSE)</f>
        <v>3</v>
      </c>
      <c r="F763" s="464" t="s">
        <v>503</v>
      </c>
      <c r="G763" s="464" t="str">
        <f>INDEX(★新聞!$E$4:$I$12, MATCH(LEFT(F763),★新聞!$A$4:$A$12,0), MATCH(LEFT(W763),★新聞!$E$3:$I$3,0))</f>
        <v>AM</v>
      </c>
      <c r="H763" s="475" t="s">
        <v>1103</v>
      </c>
      <c r="I763" s="464" cm="1">
        <f t="array" ref="I763">IFERROR(INDEX(★原価率!$A$2:$E$50,MATCH($C763&amp;$H763,★原価率!$A$2:$A$50&amp;★原価率!$B$2:$B$50,0),3),0)</f>
        <v>85</v>
      </c>
      <c r="J763" s="464" cm="1">
        <f t="array" ref="J763">IFERROR(INDEX(★原価率!$A$2:$E$50,MATCH($C763&amp;$H763,★原価率!$A$2:$A$50&amp;★原価率!$B$2:$B$50,0),4),0)</f>
        <v>85</v>
      </c>
      <c r="K763" s="464" cm="1">
        <f t="array" ref="K763">IFERROR(INDEX(★原価率!$A$2:$E$50,MATCH($C763&amp;$H763,★原価率!$A$2:$A$50&amp;★原価率!$B$2:$B$50,0),5),0)</f>
        <v>100</v>
      </c>
      <c r="L763" s="528">
        <f>IFERROR(VLOOKUP(W763,★商品!$A$1:$H$1231,8,FALSE),0)</f>
        <v>2.8</v>
      </c>
      <c r="M763" s="203" t="str">
        <f ca="1">CONCATENATE(VLOOKUP(B763,★営業所!$A$2:$B$5,2,FALSE),TEXT(NOW(),"yyyy"))</f>
        <v>T2023</v>
      </c>
      <c r="N763" s="203">
        <v>1</v>
      </c>
      <c r="O763" s="203">
        <v>0</v>
      </c>
      <c r="P763" s="213">
        <f>申込書!$B$6</f>
        <v>0</v>
      </c>
      <c r="Q763" s="203">
        <f>申込書!$C$34</f>
        <v>1000040</v>
      </c>
      <c r="R763" s="203">
        <v>0</v>
      </c>
      <c r="U763" s="203">
        <f>VLOOKUP(B763,★営業所!$A$2:$C$5,3,FALSE)</f>
        <v>8</v>
      </c>
      <c r="V763" s="203">
        <f>申込書!$B$9</f>
        <v>0</v>
      </c>
      <c r="W763" s="203" t="str">
        <f>CONCATENATE(VLOOKUP(B763,★営業所!$A$2:$B$5,2,FALSE),VLOOKUP(申込書!$C$32,★サイズ表記!$D$4:$E$55,2,FALSE),VLOOKUP(D763,★折込地区!$A$2:$B$11,2,FALSE))</f>
        <v>T1001Yng</v>
      </c>
      <c r="X763" s="203" t="str">
        <f>CONCATENATE(申込書!$B$9," ",VLOOKUP(RIGHT(W763,3),★折込地区!$B$2:$C$10,2,FALSE),"")</f>
        <v xml:space="preserve"> 米子</v>
      </c>
      <c r="Z763" s="206">
        <f t="shared" ca="1" si="87"/>
        <v>0</v>
      </c>
      <c r="AB763" s="383">
        <f t="shared" si="88"/>
        <v>2.8</v>
      </c>
      <c r="AC763" s="203" t="str">
        <f t="shared" si="89"/>
        <v>S1001</v>
      </c>
      <c r="AD763" s="203" t="str">
        <f>VLOOKUP(AC763,★原価商品!$E$6:$F$349,2,FALSE)</f>
        <v>山陰中央/B4（折り無し）</v>
      </c>
      <c r="AE763" s="203">
        <f t="shared" ca="1" si="90"/>
        <v>0</v>
      </c>
      <c r="AF763" s="383">
        <f ca="1">IFERROR(IF(VLOOKUP(申込書!$C$32,★サイズ表記!$F$4:$H$55,3,FALSE)="切り捨て",ROUNDDOWN(L763*IF(AK763="◎",I763,J763)/100,2),IF(VLOOKUP(申込書!$C$32,★サイズ表記!$F$4:$H$55,3,FALSE)="切り上げ",ROUNDUP(L763*IF(AK763="◎",I763,J763)/100,2),ROUND(L763*IF(AK763="◎",I763,J763)/100,2))),0)</f>
        <v>2.38</v>
      </c>
      <c r="AG763" s="203">
        <f t="shared" ca="1" si="91"/>
        <v>10561</v>
      </c>
      <c r="AJ763" s="460" t="str">
        <f>IFERROR(VLOOKUP(申込書!$C$30,★業種!$D$2:$E$87,2,FALSE),"")</f>
        <v>1003</v>
      </c>
      <c r="AK763" s="460" t="str">
        <f ca="1">IF(申込書!$C$36="◎",IF(OR(D763="浜坂・温泉",D763="美方・村岡",D763="香住",D763="岡山",D763="大阪"),"",IF(LEFT(F763)="D","◎",IF(AG763=0,"",IFERROR(IF(VLOOKUP(AG763,★仕入先!$A$2:$C$211,3,FALSE)=0,"","◎"),"")))),"")</f>
        <v/>
      </c>
      <c r="AL763" s="460">
        <f>申込書!$H$14</f>
        <v>0</v>
      </c>
      <c r="AM763" s="460" t="str">
        <f>申込書!$C$32</f>
        <v>B4（折り無し）</v>
      </c>
      <c r="AN763" s="460" t="str">
        <f>VLOOKUP(AM763,★サイズ表記!$D$4:$E$55,2,FALSE)</f>
        <v>1001</v>
      </c>
      <c r="AO763" s="460">
        <f>IF(C763&lt;&gt;"⑧兵庫",VLOOKUP(LEFT(F763),★新聞!$A$4:$B$12,2,FALSE),IF(LEFT(F763)&lt;&gt;"S",VLOOKUP(LEFT(F763),★新聞!$A$4:$B$12,2,FALSE),VLOOKUP("X",★新聞!$A$4:$B$12,2,FALSE)))</f>
        <v>6</v>
      </c>
      <c r="AP763" s="460" t="str">
        <f t="shared" ca="1" si="92"/>
        <v>0</v>
      </c>
      <c r="AQ763" s="460" t="str">
        <f>IF(申込書!$C$38="","",申込書!$C$38)</f>
        <v/>
      </c>
    </row>
    <row r="764" spans="1:43">
      <c r="A764" s="463">
        <f t="shared" si="93"/>
        <v>763</v>
      </c>
      <c r="B764" s="463" t="str">
        <f t="shared" si="86"/>
        <v>東部</v>
      </c>
      <c r="C764" s="464" t="s">
        <v>1019</v>
      </c>
      <c r="D764" s="464" t="s">
        <v>1603</v>
      </c>
      <c r="E764" s="464">
        <f>VLOOKUP(D764,★折込地区!$A$2:$D$10,4,FALSE)</f>
        <v>3</v>
      </c>
      <c r="F764" s="464" t="s">
        <v>504</v>
      </c>
      <c r="G764" s="464" t="str">
        <f>INDEX(★新聞!$E$4:$I$12, MATCH(LEFT(F764),★新聞!$A$4:$A$12,0), MATCH(LEFT(W764),★新聞!$E$3:$I$3,0))</f>
        <v>AM</v>
      </c>
      <c r="H764" s="475" t="s">
        <v>1103</v>
      </c>
      <c r="I764" s="464" cm="1">
        <f t="array" ref="I764">IFERROR(INDEX(★原価率!$A$2:$E$50,MATCH($C764&amp;$H764,★原価率!$A$2:$A$50&amp;★原価率!$B$2:$B$50,0),3),0)</f>
        <v>85</v>
      </c>
      <c r="J764" s="464" cm="1">
        <f t="array" ref="J764">IFERROR(INDEX(★原価率!$A$2:$E$50,MATCH($C764&amp;$H764,★原価率!$A$2:$A$50&amp;★原価率!$B$2:$B$50,0),4),0)</f>
        <v>85</v>
      </c>
      <c r="K764" s="464" cm="1">
        <f t="array" ref="K764">IFERROR(INDEX(★原価率!$A$2:$E$50,MATCH($C764&amp;$H764,★原価率!$A$2:$A$50&amp;★原価率!$B$2:$B$50,0),5),0)</f>
        <v>100</v>
      </c>
      <c r="L764" s="528">
        <f>IFERROR(VLOOKUP(W764,★商品!$A$1:$H$1231,8,FALSE),0)</f>
        <v>2.8</v>
      </c>
      <c r="M764" s="203" t="str">
        <f ca="1">CONCATENATE(VLOOKUP(B764,★営業所!$A$2:$B$5,2,FALSE),TEXT(NOW(),"yyyy"))</f>
        <v>T2023</v>
      </c>
      <c r="N764" s="203">
        <v>1</v>
      </c>
      <c r="O764" s="203">
        <v>0</v>
      </c>
      <c r="P764" s="213">
        <f>申込書!$B$6</f>
        <v>0</v>
      </c>
      <c r="Q764" s="203">
        <f>申込書!$C$34</f>
        <v>1000040</v>
      </c>
      <c r="R764" s="203">
        <v>0</v>
      </c>
      <c r="U764" s="203">
        <f>VLOOKUP(B764,★営業所!$A$2:$C$5,3,FALSE)</f>
        <v>8</v>
      </c>
      <c r="V764" s="203">
        <f>申込書!$B$9</f>
        <v>0</v>
      </c>
      <c r="W764" s="203" t="str">
        <f>CONCATENATE(VLOOKUP(B764,★営業所!$A$2:$B$5,2,FALSE),VLOOKUP(申込書!$C$32,★サイズ表記!$D$4:$E$55,2,FALSE),VLOOKUP(D764,★折込地区!$A$2:$B$11,2,FALSE))</f>
        <v>T1001Yng</v>
      </c>
      <c r="X764" s="203" t="str">
        <f>CONCATENATE(申込書!$B$9," ",VLOOKUP(RIGHT(W764,3),★折込地区!$B$2:$C$10,2,FALSE),"")</f>
        <v xml:space="preserve"> 米子</v>
      </c>
      <c r="Z764" s="206">
        <f t="shared" ca="1" si="87"/>
        <v>0</v>
      </c>
      <c r="AB764" s="383">
        <f t="shared" si="88"/>
        <v>2.8</v>
      </c>
      <c r="AC764" s="203" t="str">
        <f t="shared" si="89"/>
        <v>S1001</v>
      </c>
      <c r="AD764" s="203" t="str">
        <f>VLOOKUP(AC764,★原価商品!$E$6:$F$349,2,FALSE)</f>
        <v>山陰中央/B4（折り無し）</v>
      </c>
      <c r="AE764" s="203">
        <f t="shared" ca="1" si="90"/>
        <v>0</v>
      </c>
      <c r="AF764" s="383">
        <f ca="1">IFERROR(IF(VLOOKUP(申込書!$C$32,★サイズ表記!$F$4:$H$55,3,FALSE)="切り捨て",ROUNDDOWN(L764*IF(AK764="◎",I764,J764)/100,2),IF(VLOOKUP(申込書!$C$32,★サイズ表記!$F$4:$H$55,3,FALSE)="切り上げ",ROUNDUP(L764*IF(AK764="◎",I764,J764)/100,2),ROUND(L764*IF(AK764="◎",I764,J764)/100,2))),0)</f>
        <v>2.38</v>
      </c>
      <c r="AG764" s="203">
        <f t="shared" ca="1" si="91"/>
        <v>0</v>
      </c>
      <c r="AJ764" s="460" t="str">
        <f>IFERROR(VLOOKUP(申込書!$C$30,★業種!$D$2:$E$87,2,FALSE),"")</f>
        <v>1003</v>
      </c>
      <c r="AK764" s="460" t="str">
        <f ca="1">IF(申込書!$C$36="◎",IF(OR(D764="浜坂・温泉",D764="美方・村岡",D764="香住",D764="岡山",D764="大阪"),"",IF(LEFT(F764)="D","◎",IF(AG764=0,"",IFERROR(IF(VLOOKUP(AG764,★仕入先!$A$2:$C$211,3,FALSE)=0,"","◎"),"")))),"")</f>
        <v/>
      </c>
      <c r="AL764" s="460">
        <f>申込書!$H$14</f>
        <v>0</v>
      </c>
      <c r="AM764" s="460" t="str">
        <f>申込書!$C$32</f>
        <v>B4（折り無し）</v>
      </c>
      <c r="AN764" s="460" t="str">
        <f>VLOOKUP(AM764,★サイズ表記!$D$4:$E$55,2,FALSE)</f>
        <v>1001</v>
      </c>
      <c r="AO764" s="460">
        <f>IF(C764&lt;&gt;"⑧兵庫",VLOOKUP(LEFT(F764),★新聞!$A$4:$B$12,2,FALSE),IF(LEFT(F764)&lt;&gt;"S",VLOOKUP(LEFT(F764),★新聞!$A$4:$B$12,2,FALSE),VLOOKUP("X",★新聞!$A$4:$B$12,2,FALSE)))</f>
        <v>6</v>
      </c>
      <c r="AP764" s="460" t="str">
        <f t="shared" ca="1" si="92"/>
        <v>0</v>
      </c>
      <c r="AQ764" s="460" t="str">
        <f>IF(申込書!$C$38="","",申込書!$C$38)</f>
        <v/>
      </c>
    </row>
    <row r="765" spans="1:43">
      <c r="A765" s="463">
        <f t="shared" si="93"/>
        <v>764</v>
      </c>
      <c r="B765" s="463" t="str">
        <f t="shared" si="86"/>
        <v>東部</v>
      </c>
      <c r="C765" s="464" t="s">
        <v>1019</v>
      </c>
      <c r="D765" s="464" t="s">
        <v>1603</v>
      </c>
      <c r="E765" s="464">
        <f>VLOOKUP(D765,★折込地区!$A$2:$D$10,4,FALSE)</f>
        <v>3</v>
      </c>
      <c r="F765" s="464" t="s">
        <v>505</v>
      </c>
      <c r="G765" s="464" t="str">
        <f>INDEX(★新聞!$E$4:$I$12, MATCH(LEFT(F765),★新聞!$A$4:$A$12,0), MATCH(LEFT(W765),★新聞!$E$3:$I$3,0))</f>
        <v>AM</v>
      </c>
      <c r="H765" s="475" t="s">
        <v>1103</v>
      </c>
      <c r="I765" s="464" cm="1">
        <f t="array" ref="I765">IFERROR(INDEX(★原価率!$A$2:$E$50,MATCH($C765&amp;$H765,★原価率!$A$2:$A$50&amp;★原価率!$B$2:$B$50,0),3),0)</f>
        <v>85</v>
      </c>
      <c r="J765" s="464" cm="1">
        <f t="array" ref="J765">IFERROR(INDEX(★原価率!$A$2:$E$50,MATCH($C765&amp;$H765,★原価率!$A$2:$A$50&amp;★原価率!$B$2:$B$50,0),4),0)</f>
        <v>85</v>
      </c>
      <c r="K765" s="464" cm="1">
        <f t="array" ref="K765">IFERROR(INDEX(★原価率!$A$2:$E$50,MATCH($C765&amp;$H765,★原価率!$A$2:$A$50&amp;★原価率!$B$2:$B$50,0),5),0)</f>
        <v>100</v>
      </c>
      <c r="L765" s="528">
        <f>IFERROR(VLOOKUP(W765,★商品!$A$1:$H$1231,8,FALSE),0)</f>
        <v>2.8</v>
      </c>
      <c r="M765" s="203" t="str">
        <f ca="1">CONCATENATE(VLOOKUP(B765,★営業所!$A$2:$B$5,2,FALSE),TEXT(NOW(),"yyyy"))</f>
        <v>T2023</v>
      </c>
      <c r="N765" s="203">
        <v>1</v>
      </c>
      <c r="O765" s="203">
        <v>0</v>
      </c>
      <c r="P765" s="213">
        <f>申込書!$B$6</f>
        <v>0</v>
      </c>
      <c r="Q765" s="203">
        <f>申込書!$C$34</f>
        <v>1000040</v>
      </c>
      <c r="R765" s="203">
        <v>0</v>
      </c>
      <c r="U765" s="203">
        <f>VLOOKUP(B765,★営業所!$A$2:$C$5,3,FALSE)</f>
        <v>8</v>
      </c>
      <c r="V765" s="203">
        <f>申込書!$B$9</f>
        <v>0</v>
      </c>
      <c r="W765" s="203" t="str">
        <f>CONCATENATE(VLOOKUP(B765,★営業所!$A$2:$B$5,2,FALSE),VLOOKUP(申込書!$C$32,★サイズ表記!$D$4:$E$55,2,FALSE),VLOOKUP(D765,★折込地区!$A$2:$B$11,2,FALSE))</f>
        <v>T1001Yng</v>
      </c>
      <c r="X765" s="203" t="str">
        <f>CONCATENATE(申込書!$B$9," ",VLOOKUP(RIGHT(W765,3),★折込地区!$B$2:$C$10,2,FALSE),"")</f>
        <v xml:space="preserve"> 米子</v>
      </c>
      <c r="Z765" s="206">
        <f t="shared" ca="1" si="87"/>
        <v>0</v>
      </c>
      <c r="AB765" s="383">
        <f t="shared" si="88"/>
        <v>2.8</v>
      </c>
      <c r="AC765" s="203" t="str">
        <f t="shared" si="89"/>
        <v>S1001</v>
      </c>
      <c r="AD765" s="203" t="str">
        <f>VLOOKUP(AC765,★原価商品!$E$6:$F$349,2,FALSE)</f>
        <v>山陰中央/B4（折り無し）</v>
      </c>
      <c r="AE765" s="203">
        <f t="shared" ca="1" si="90"/>
        <v>0</v>
      </c>
      <c r="AF765" s="383">
        <f ca="1">IFERROR(IF(VLOOKUP(申込書!$C$32,★サイズ表記!$F$4:$H$55,3,FALSE)="切り捨て",ROUNDDOWN(L765*IF(AK765="◎",I765,J765)/100,2),IF(VLOOKUP(申込書!$C$32,★サイズ表記!$F$4:$H$55,3,FALSE)="切り上げ",ROUNDUP(L765*IF(AK765="◎",I765,J765)/100,2),ROUND(L765*IF(AK765="◎",I765,J765)/100,2))),0)</f>
        <v>2.38</v>
      </c>
      <c r="AG765" s="203">
        <f t="shared" ca="1" si="91"/>
        <v>10561</v>
      </c>
      <c r="AJ765" s="460" t="str">
        <f>IFERROR(VLOOKUP(申込書!$C$30,★業種!$D$2:$E$87,2,FALSE),"")</f>
        <v>1003</v>
      </c>
      <c r="AK765" s="460" t="str">
        <f ca="1">IF(申込書!$C$36="◎",IF(OR(D765="浜坂・温泉",D765="美方・村岡",D765="香住",D765="岡山",D765="大阪"),"",IF(LEFT(F765)="D","◎",IF(AG765=0,"",IFERROR(IF(VLOOKUP(AG765,★仕入先!$A$2:$C$211,3,FALSE)=0,"","◎"),"")))),"")</f>
        <v/>
      </c>
      <c r="AL765" s="460">
        <f>申込書!$H$14</f>
        <v>0</v>
      </c>
      <c r="AM765" s="460" t="str">
        <f>申込書!$C$32</f>
        <v>B4（折り無し）</v>
      </c>
      <c r="AN765" s="460" t="str">
        <f>VLOOKUP(AM765,★サイズ表記!$D$4:$E$55,2,FALSE)</f>
        <v>1001</v>
      </c>
      <c r="AO765" s="460">
        <f>IF(C765&lt;&gt;"⑧兵庫",VLOOKUP(LEFT(F765),★新聞!$A$4:$B$12,2,FALSE),IF(LEFT(F765)&lt;&gt;"S",VLOOKUP(LEFT(F765),★新聞!$A$4:$B$12,2,FALSE),VLOOKUP("X",★新聞!$A$4:$B$12,2,FALSE)))</f>
        <v>6</v>
      </c>
      <c r="AP765" s="460" t="str">
        <f t="shared" ca="1" si="92"/>
        <v>0</v>
      </c>
      <c r="AQ765" s="460" t="str">
        <f>IF(申込書!$C$38="","",申込書!$C$38)</f>
        <v/>
      </c>
    </row>
    <row r="766" spans="1:43">
      <c r="A766" s="463">
        <f t="shared" si="93"/>
        <v>765</v>
      </c>
      <c r="B766" s="463" t="str">
        <f t="shared" ref="B766:B829" si="94">$B$2</f>
        <v>東部</v>
      </c>
      <c r="C766" s="464" t="s">
        <v>1019</v>
      </c>
      <c r="D766" s="464" t="s">
        <v>1603</v>
      </c>
      <c r="E766" s="464">
        <f>VLOOKUP(D766,★折込地区!$A$2:$D$10,4,FALSE)</f>
        <v>3</v>
      </c>
      <c r="F766" s="464" t="s">
        <v>506</v>
      </c>
      <c r="G766" s="464" t="str">
        <f>INDEX(★新聞!$E$4:$I$12, MATCH(LEFT(F766),★新聞!$A$4:$A$12,0), MATCH(LEFT(W766),★新聞!$E$3:$I$3,0))</f>
        <v>AM</v>
      </c>
      <c r="H766" s="475" t="s">
        <v>1103</v>
      </c>
      <c r="I766" s="464" cm="1">
        <f t="array" ref="I766">IFERROR(INDEX(★原価率!$A$2:$E$50,MATCH($C766&amp;$H766,★原価率!$A$2:$A$50&amp;★原価率!$B$2:$B$50,0),3),0)</f>
        <v>85</v>
      </c>
      <c r="J766" s="464" cm="1">
        <f t="array" ref="J766">IFERROR(INDEX(★原価率!$A$2:$E$50,MATCH($C766&amp;$H766,★原価率!$A$2:$A$50&amp;★原価率!$B$2:$B$50,0),4),0)</f>
        <v>85</v>
      </c>
      <c r="K766" s="464" cm="1">
        <f t="array" ref="K766">IFERROR(INDEX(★原価率!$A$2:$E$50,MATCH($C766&amp;$H766,★原価率!$A$2:$A$50&amp;★原価率!$B$2:$B$50,0),5),0)</f>
        <v>100</v>
      </c>
      <c r="L766" s="528">
        <f>IFERROR(VLOOKUP(W766,★商品!$A$1:$H$1231,8,FALSE),0)</f>
        <v>2.8</v>
      </c>
      <c r="M766" s="203" t="str">
        <f ca="1">CONCATENATE(VLOOKUP(B766,★営業所!$A$2:$B$5,2,FALSE),TEXT(NOW(),"yyyy"))</f>
        <v>T2023</v>
      </c>
      <c r="N766" s="203">
        <v>1</v>
      </c>
      <c r="O766" s="203">
        <v>0</v>
      </c>
      <c r="P766" s="213">
        <f>申込書!$B$6</f>
        <v>0</v>
      </c>
      <c r="Q766" s="203">
        <f>申込書!$C$34</f>
        <v>1000040</v>
      </c>
      <c r="R766" s="203">
        <v>0</v>
      </c>
      <c r="U766" s="203">
        <f>VLOOKUP(B766,★営業所!$A$2:$C$5,3,FALSE)</f>
        <v>8</v>
      </c>
      <c r="V766" s="203">
        <f>申込書!$B$9</f>
        <v>0</v>
      </c>
      <c r="W766" s="203" t="str">
        <f>CONCATENATE(VLOOKUP(B766,★営業所!$A$2:$B$5,2,FALSE),VLOOKUP(申込書!$C$32,★サイズ表記!$D$4:$E$55,2,FALSE),VLOOKUP(D766,★折込地区!$A$2:$B$11,2,FALSE))</f>
        <v>T1001Yng</v>
      </c>
      <c r="X766" s="203" t="str">
        <f>CONCATENATE(申込書!$B$9," ",VLOOKUP(RIGHT(W766,3),★折込地区!$B$2:$C$10,2,FALSE),"")</f>
        <v xml:space="preserve"> 米子</v>
      </c>
      <c r="Z766" s="206">
        <f t="shared" ca="1" si="87"/>
        <v>0</v>
      </c>
      <c r="AB766" s="383">
        <f t="shared" si="88"/>
        <v>2.8</v>
      </c>
      <c r="AC766" s="203" t="str">
        <f t="shared" si="89"/>
        <v>S1001</v>
      </c>
      <c r="AD766" s="203" t="str">
        <f>VLOOKUP(AC766,★原価商品!$E$6:$F$349,2,FALSE)</f>
        <v>山陰中央/B4（折り無し）</v>
      </c>
      <c r="AE766" s="203">
        <f t="shared" ca="1" si="90"/>
        <v>0</v>
      </c>
      <c r="AF766" s="383">
        <f ca="1">IFERROR(IF(VLOOKUP(申込書!$C$32,★サイズ表記!$F$4:$H$55,3,FALSE)="切り捨て",ROUNDDOWN(L766*IF(AK766="◎",I766,J766)/100,2),IF(VLOOKUP(申込書!$C$32,★サイズ表記!$F$4:$H$55,3,FALSE)="切り上げ",ROUNDUP(L766*IF(AK766="◎",I766,J766)/100,2),ROUND(L766*IF(AK766="◎",I766,J766)/100,2))),0)</f>
        <v>2.38</v>
      </c>
      <c r="AG766" s="203">
        <f t="shared" ca="1" si="91"/>
        <v>10561</v>
      </c>
      <c r="AJ766" s="460" t="str">
        <f>IFERROR(VLOOKUP(申込書!$C$30,★業種!$D$2:$E$87,2,FALSE),"")</f>
        <v>1003</v>
      </c>
      <c r="AK766" s="460" t="str">
        <f ca="1">IF(申込書!$C$36="◎",IF(OR(D766="浜坂・温泉",D766="美方・村岡",D766="香住",D766="岡山",D766="大阪"),"",IF(LEFT(F766)="D","◎",IF(AG766=0,"",IFERROR(IF(VLOOKUP(AG766,★仕入先!$A$2:$C$211,3,FALSE)=0,"","◎"),"")))),"")</f>
        <v/>
      </c>
      <c r="AL766" s="460">
        <f>申込書!$H$14</f>
        <v>0</v>
      </c>
      <c r="AM766" s="460" t="str">
        <f>申込書!$C$32</f>
        <v>B4（折り無し）</v>
      </c>
      <c r="AN766" s="460" t="str">
        <f>VLOOKUP(AM766,★サイズ表記!$D$4:$E$55,2,FALSE)</f>
        <v>1001</v>
      </c>
      <c r="AO766" s="460">
        <f>IF(C766&lt;&gt;"⑧兵庫",VLOOKUP(LEFT(F766),★新聞!$A$4:$B$12,2,FALSE),IF(LEFT(F766)&lt;&gt;"S",VLOOKUP(LEFT(F766),★新聞!$A$4:$B$12,2,FALSE),VLOOKUP("X",★新聞!$A$4:$B$12,2,FALSE)))</f>
        <v>6</v>
      </c>
      <c r="AP766" s="460" t="str">
        <f t="shared" ca="1" si="92"/>
        <v>0</v>
      </c>
      <c r="AQ766" s="460" t="str">
        <f>IF(申込書!$C$38="","",申込書!$C$38)</f>
        <v/>
      </c>
    </row>
    <row r="767" spans="1:43">
      <c r="A767" s="463">
        <f t="shared" si="93"/>
        <v>766</v>
      </c>
      <c r="B767" s="463" t="str">
        <f t="shared" si="94"/>
        <v>東部</v>
      </c>
      <c r="C767" s="464" t="s">
        <v>1019</v>
      </c>
      <c r="D767" s="464" t="s">
        <v>1603</v>
      </c>
      <c r="E767" s="464">
        <f>VLOOKUP(D767,★折込地区!$A$2:$D$10,4,FALSE)</f>
        <v>3</v>
      </c>
      <c r="F767" s="464" t="s">
        <v>507</v>
      </c>
      <c r="G767" s="464" t="str">
        <f>INDEX(★新聞!$E$4:$I$12, MATCH(LEFT(F767),★新聞!$A$4:$A$12,0), MATCH(LEFT(W767),★新聞!$E$3:$I$3,0))</f>
        <v>AM</v>
      </c>
      <c r="H767" s="475" t="s">
        <v>1103</v>
      </c>
      <c r="I767" s="464" cm="1">
        <f t="array" ref="I767">IFERROR(INDEX(★原価率!$A$2:$E$50,MATCH($C767&amp;$H767,★原価率!$A$2:$A$50&amp;★原価率!$B$2:$B$50,0),3),0)</f>
        <v>85</v>
      </c>
      <c r="J767" s="464" cm="1">
        <f t="array" ref="J767">IFERROR(INDEX(★原価率!$A$2:$E$50,MATCH($C767&amp;$H767,★原価率!$A$2:$A$50&amp;★原価率!$B$2:$B$50,0),4),0)</f>
        <v>85</v>
      </c>
      <c r="K767" s="464" cm="1">
        <f t="array" ref="K767">IFERROR(INDEX(★原価率!$A$2:$E$50,MATCH($C767&amp;$H767,★原価率!$A$2:$A$50&amp;★原価率!$B$2:$B$50,0),5),0)</f>
        <v>100</v>
      </c>
      <c r="L767" s="528">
        <f>IFERROR(VLOOKUP(W767,★商品!$A$1:$H$1231,8,FALSE),0)</f>
        <v>2.8</v>
      </c>
      <c r="M767" s="203" t="str">
        <f ca="1">CONCATENATE(VLOOKUP(B767,★営業所!$A$2:$B$5,2,FALSE),TEXT(NOW(),"yyyy"))</f>
        <v>T2023</v>
      </c>
      <c r="N767" s="203">
        <v>1</v>
      </c>
      <c r="O767" s="203">
        <v>0</v>
      </c>
      <c r="P767" s="213">
        <f>申込書!$B$6</f>
        <v>0</v>
      </c>
      <c r="Q767" s="203">
        <f>申込書!$C$34</f>
        <v>1000040</v>
      </c>
      <c r="R767" s="203">
        <v>0</v>
      </c>
      <c r="U767" s="203">
        <f>VLOOKUP(B767,★営業所!$A$2:$C$5,3,FALSE)</f>
        <v>8</v>
      </c>
      <c r="V767" s="203">
        <f>申込書!$B$9</f>
        <v>0</v>
      </c>
      <c r="W767" s="203" t="str">
        <f>CONCATENATE(VLOOKUP(B767,★営業所!$A$2:$B$5,2,FALSE),VLOOKUP(申込書!$C$32,★サイズ表記!$D$4:$E$55,2,FALSE),VLOOKUP(D767,★折込地区!$A$2:$B$11,2,FALSE))</f>
        <v>T1001Yng</v>
      </c>
      <c r="X767" s="203" t="str">
        <f>CONCATENATE(申込書!$B$9," ",VLOOKUP(RIGHT(W767,3),★折込地区!$B$2:$C$10,2,FALSE),"")</f>
        <v xml:space="preserve"> 米子</v>
      </c>
      <c r="Z767" s="206">
        <f t="shared" ca="1" si="87"/>
        <v>0</v>
      </c>
      <c r="AB767" s="383">
        <f t="shared" si="88"/>
        <v>2.8</v>
      </c>
      <c r="AC767" s="203" t="str">
        <f t="shared" si="89"/>
        <v>S1001</v>
      </c>
      <c r="AD767" s="203" t="str">
        <f>VLOOKUP(AC767,★原価商品!$E$6:$F$349,2,FALSE)</f>
        <v>山陰中央/B4（折り無し）</v>
      </c>
      <c r="AE767" s="203">
        <f t="shared" ca="1" si="90"/>
        <v>0</v>
      </c>
      <c r="AF767" s="383">
        <f ca="1">IFERROR(IF(VLOOKUP(申込書!$C$32,★サイズ表記!$F$4:$H$55,3,FALSE)="切り捨て",ROUNDDOWN(L767*IF(AK767="◎",I767,J767)/100,2),IF(VLOOKUP(申込書!$C$32,★サイズ表記!$F$4:$H$55,3,FALSE)="切り上げ",ROUNDUP(L767*IF(AK767="◎",I767,J767)/100,2),ROUND(L767*IF(AK767="◎",I767,J767)/100,2))),0)</f>
        <v>2.38</v>
      </c>
      <c r="AG767" s="203">
        <f t="shared" ca="1" si="91"/>
        <v>0</v>
      </c>
      <c r="AJ767" s="460" t="str">
        <f>IFERROR(VLOOKUP(申込書!$C$30,★業種!$D$2:$E$87,2,FALSE),"")</f>
        <v>1003</v>
      </c>
      <c r="AK767" s="460" t="str">
        <f ca="1">IF(申込書!$C$36="◎",IF(OR(D767="浜坂・温泉",D767="美方・村岡",D767="香住",D767="岡山",D767="大阪"),"",IF(LEFT(F767)="D","◎",IF(AG767=0,"",IFERROR(IF(VLOOKUP(AG767,★仕入先!$A$2:$C$211,3,FALSE)=0,"","◎"),"")))),"")</f>
        <v/>
      </c>
      <c r="AL767" s="460">
        <f>申込書!$H$14</f>
        <v>0</v>
      </c>
      <c r="AM767" s="460" t="str">
        <f>申込書!$C$32</f>
        <v>B4（折り無し）</v>
      </c>
      <c r="AN767" s="460" t="str">
        <f>VLOOKUP(AM767,★サイズ表記!$D$4:$E$55,2,FALSE)</f>
        <v>1001</v>
      </c>
      <c r="AO767" s="460">
        <f>IF(C767&lt;&gt;"⑧兵庫",VLOOKUP(LEFT(F767),★新聞!$A$4:$B$12,2,FALSE),IF(LEFT(F767)&lt;&gt;"S",VLOOKUP(LEFT(F767),★新聞!$A$4:$B$12,2,FALSE),VLOOKUP("X",★新聞!$A$4:$B$12,2,FALSE)))</f>
        <v>6</v>
      </c>
      <c r="AP767" s="460" t="str">
        <f t="shared" ca="1" si="92"/>
        <v>0</v>
      </c>
      <c r="AQ767" s="460" t="str">
        <f>IF(申込書!$C$38="","",申込書!$C$38)</f>
        <v/>
      </c>
    </row>
    <row r="768" spans="1:43">
      <c r="A768" s="463">
        <f t="shared" si="93"/>
        <v>767</v>
      </c>
      <c r="B768" s="463" t="str">
        <f t="shared" si="94"/>
        <v>東部</v>
      </c>
      <c r="C768" s="464" t="s">
        <v>1019</v>
      </c>
      <c r="D768" s="464" t="s">
        <v>1603</v>
      </c>
      <c r="E768" s="464">
        <f>VLOOKUP(D768,★折込地区!$A$2:$D$10,4,FALSE)</f>
        <v>3</v>
      </c>
      <c r="F768" s="464" t="s">
        <v>508</v>
      </c>
      <c r="G768" s="464" t="str">
        <f>INDEX(★新聞!$E$4:$I$12, MATCH(LEFT(F768),★新聞!$A$4:$A$12,0), MATCH(LEFT(W768),★新聞!$E$3:$I$3,0))</f>
        <v>AM</v>
      </c>
      <c r="H768" s="475" t="s">
        <v>1103</v>
      </c>
      <c r="I768" s="464" cm="1">
        <f t="array" ref="I768">IFERROR(INDEX(★原価率!$A$2:$E$50,MATCH($C768&amp;$H768,★原価率!$A$2:$A$50&amp;★原価率!$B$2:$B$50,0),3),0)</f>
        <v>85</v>
      </c>
      <c r="J768" s="464" cm="1">
        <f t="array" ref="J768">IFERROR(INDEX(★原価率!$A$2:$E$50,MATCH($C768&amp;$H768,★原価率!$A$2:$A$50&amp;★原価率!$B$2:$B$50,0),4),0)</f>
        <v>85</v>
      </c>
      <c r="K768" s="464" cm="1">
        <f t="array" ref="K768">IFERROR(INDEX(★原価率!$A$2:$E$50,MATCH($C768&amp;$H768,★原価率!$A$2:$A$50&amp;★原価率!$B$2:$B$50,0),5),0)</f>
        <v>100</v>
      </c>
      <c r="L768" s="528">
        <f>IFERROR(VLOOKUP(W768,★商品!$A$1:$H$1231,8,FALSE),0)</f>
        <v>2.8</v>
      </c>
      <c r="M768" s="203" t="str">
        <f ca="1">CONCATENATE(VLOOKUP(B768,★営業所!$A$2:$B$5,2,FALSE),TEXT(NOW(),"yyyy"))</f>
        <v>T2023</v>
      </c>
      <c r="N768" s="203">
        <v>1</v>
      </c>
      <c r="O768" s="203">
        <v>0</v>
      </c>
      <c r="P768" s="213">
        <f>申込書!$B$6</f>
        <v>0</v>
      </c>
      <c r="Q768" s="203">
        <f>申込書!$C$34</f>
        <v>1000040</v>
      </c>
      <c r="R768" s="203">
        <v>0</v>
      </c>
      <c r="U768" s="203">
        <f>VLOOKUP(B768,★営業所!$A$2:$C$5,3,FALSE)</f>
        <v>8</v>
      </c>
      <c r="V768" s="203">
        <f>申込書!$B$9</f>
        <v>0</v>
      </c>
      <c r="W768" s="203" t="str">
        <f>CONCATENATE(VLOOKUP(B768,★営業所!$A$2:$B$5,2,FALSE),VLOOKUP(申込書!$C$32,★サイズ表記!$D$4:$E$55,2,FALSE),VLOOKUP(D768,★折込地区!$A$2:$B$11,2,FALSE))</f>
        <v>T1001Yng</v>
      </c>
      <c r="X768" s="203" t="str">
        <f>CONCATENATE(申込書!$B$9," ",VLOOKUP(RIGHT(W768,3),★折込地区!$B$2:$C$10,2,FALSE),"")</f>
        <v xml:space="preserve"> 米子</v>
      </c>
      <c r="Z768" s="206">
        <f t="shared" ca="1" si="87"/>
        <v>0</v>
      </c>
      <c r="AB768" s="383">
        <f t="shared" si="88"/>
        <v>2.8</v>
      </c>
      <c r="AC768" s="203" t="str">
        <f t="shared" si="89"/>
        <v>S1001</v>
      </c>
      <c r="AD768" s="203" t="str">
        <f>VLOOKUP(AC768,★原価商品!$E$6:$F$349,2,FALSE)</f>
        <v>山陰中央/B4（折り無し）</v>
      </c>
      <c r="AE768" s="203">
        <f t="shared" ca="1" si="90"/>
        <v>0</v>
      </c>
      <c r="AF768" s="383">
        <f ca="1">IFERROR(IF(VLOOKUP(申込書!$C$32,★サイズ表記!$F$4:$H$55,3,FALSE)="切り捨て",ROUNDDOWN(L768*IF(AK768="◎",I768,J768)/100,2),IF(VLOOKUP(申込書!$C$32,★サイズ表記!$F$4:$H$55,3,FALSE)="切り上げ",ROUNDUP(L768*IF(AK768="◎",I768,J768)/100,2),ROUND(L768*IF(AK768="◎",I768,J768)/100,2))),0)</f>
        <v>2.38</v>
      </c>
      <c r="AG768" s="203">
        <f t="shared" ca="1" si="91"/>
        <v>0</v>
      </c>
      <c r="AJ768" s="460" t="str">
        <f>IFERROR(VLOOKUP(申込書!$C$30,★業種!$D$2:$E$87,2,FALSE),"")</f>
        <v>1003</v>
      </c>
      <c r="AK768" s="460" t="str">
        <f ca="1">IF(申込書!$C$36="◎",IF(OR(D768="浜坂・温泉",D768="美方・村岡",D768="香住",D768="岡山",D768="大阪"),"",IF(LEFT(F768)="D","◎",IF(AG768=0,"",IFERROR(IF(VLOOKUP(AG768,★仕入先!$A$2:$C$211,3,FALSE)=0,"","◎"),"")))),"")</f>
        <v/>
      </c>
      <c r="AL768" s="460">
        <f>申込書!$H$14</f>
        <v>0</v>
      </c>
      <c r="AM768" s="460" t="str">
        <f>申込書!$C$32</f>
        <v>B4（折り無し）</v>
      </c>
      <c r="AN768" s="460" t="str">
        <f>VLOOKUP(AM768,★サイズ表記!$D$4:$E$55,2,FALSE)</f>
        <v>1001</v>
      </c>
      <c r="AO768" s="460">
        <f>IF(C768&lt;&gt;"⑧兵庫",VLOOKUP(LEFT(F768),★新聞!$A$4:$B$12,2,FALSE),IF(LEFT(F768)&lt;&gt;"S",VLOOKUP(LEFT(F768),★新聞!$A$4:$B$12,2,FALSE),VLOOKUP("X",★新聞!$A$4:$B$12,2,FALSE)))</f>
        <v>6</v>
      </c>
      <c r="AP768" s="460" t="str">
        <f t="shared" ca="1" si="92"/>
        <v>0</v>
      </c>
      <c r="AQ768" s="460" t="str">
        <f>IF(申込書!$C$38="","",申込書!$C$38)</f>
        <v/>
      </c>
    </row>
    <row r="769" spans="1:43">
      <c r="A769" s="463">
        <f t="shared" si="93"/>
        <v>768</v>
      </c>
      <c r="B769" s="463" t="str">
        <f t="shared" si="94"/>
        <v>東部</v>
      </c>
      <c r="C769" s="464" t="s">
        <v>1019</v>
      </c>
      <c r="D769" s="464" t="s">
        <v>1603</v>
      </c>
      <c r="E769" s="464">
        <f>VLOOKUP(D769,★折込地区!$A$2:$D$10,4,FALSE)</f>
        <v>3</v>
      </c>
      <c r="F769" s="464" t="s">
        <v>509</v>
      </c>
      <c r="G769" s="464" t="str">
        <f>INDEX(★新聞!$E$4:$I$12, MATCH(LEFT(F769),★新聞!$A$4:$A$12,0), MATCH(LEFT(W769),★新聞!$E$3:$I$3,0))</f>
        <v>AM</v>
      </c>
      <c r="H769" s="555" t="s">
        <v>1102</v>
      </c>
      <c r="I769" s="464" cm="1">
        <f t="array" ref="I769">IFERROR(INDEX(★原価率!$A$2:$E$50,MATCH($C769&amp;$H769,★原価率!$A$2:$A$50&amp;★原価率!$B$2:$B$50,0),3),0)</f>
        <v>80</v>
      </c>
      <c r="J769" s="464" cm="1">
        <f t="array" ref="J769">IFERROR(INDEX(★原価率!$A$2:$E$50,MATCH($C769&amp;$H769,★原価率!$A$2:$A$50&amp;★原価率!$B$2:$B$50,0),4),0)</f>
        <v>84</v>
      </c>
      <c r="K769" s="464" cm="1">
        <f t="array" ref="K769">IFERROR(INDEX(★原価率!$A$2:$E$50,MATCH($C769&amp;$H769,★原価率!$A$2:$A$50&amp;★原価率!$B$2:$B$50,0),5),0)</f>
        <v>100</v>
      </c>
      <c r="L769" s="528">
        <f>IFERROR(VLOOKUP(W769,★商品!$A$1:$H$1231,8,FALSE),0)</f>
        <v>2.8</v>
      </c>
      <c r="M769" s="203" t="str">
        <f ca="1">CONCATENATE(VLOOKUP(B769,★営業所!$A$2:$B$5,2,FALSE),TEXT(NOW(),"yyyy"))</f>
        <v>T2023</v>
      </c>
      <c r="N769" s="203">
        <v>1</v>
      </c>
      <c r="O769" s="203">
        <v>0</v>
      </c>
      <c r="P769" s="213">
        <f>申込書!$B$6</f>
        <v>0</v>
      </c>
      <c r="Q769" s="203">
        <f>申込書!$C$34</f>
        <v>1000040</v>
      </c>
      <c r="R769" s="203">
        <v>0</v>
      </c>
      <c r="U769" s="203">
        <f>VLOOKUP(B769,★営業所!$A$2:$C$5,3,FALSE)</f>
        <v>8</v>
      </c>
      <c r="V769" s="203">
        <f>申込書!$B$9</f>
        <v>0</v>
      </c>
      <c r="W769" s="203" t="str">
        <f>CONCATENATE(VLOOKUP(B769,★営業所!$A$2:$B$5,2,FALSE),VLOOKUP(申込書!$C$32,★サイズ表記!$D$4:$E$55,2,FALSE),VLOOKUP(D769,★折込地区!$A$2:$B$11,2,FALSE))</f>
        <v>T1001Yng</v>
      </c>
      <c r="X769" s="203" t="str">
        <f>CONCATENATE(申込書!$B$9," ",VLOOKUP(RIGHT(W769,3),★折込地区!$B$2:$C$10,2,FALSE),"")</f>
        <v xml:space="preserve"> 米子</v>
      </c>
      <c r="Z769" s="206">
        <f t="shared" ca="1" si="87"/>
        <v>0</v>
      </c>
      <c r="AB769" s="383">
        <f t="shared" si="88"/>
        <v>2.8</v>
      </c>
      <c r="AC769" s="203" t="str">
        <f t="shared" si="89"/>
        <v>S1001</v>
      </c>
      <c r="AD769" s="203" t="str">
        <f>VLOOKUP(AC769,★原価商品!$E$6:$F$349,2,FALSE)</f>
        <v>山陰中央/B4（折り無し）</v>
      </c>
      <c r="AE769" s="203">
        <f t="shared" ca="1" si="90"/>
        <v>0</v>
      </c>
      <c r="AF769" s="383">
        <f ca="1">IFERROR(IF(VLOOKUP(申込書!$C$32,★サイズ表記!$F$4:$H$55,3,FALSE)="切り捨て",ROUNDDOWN(L769*IF(AK769="◎",I769,J769)/100,2),IF(VLOOKUP(申込書!$C$32,★サイズ表記!$F$4:$H$55,3,FALSE)="切り上げ",ROUNDUP(L769*IF(AK769="◎",I769,J769)/100,2),ROUND(L769*IF(AK769="◎",I769,J769)/100,2))),0)</f>
        <v>2.35</v>
      </c>
      <c r="AG769" s="203">
        <f t="shared" ca="1" si="91"/>
        <v>10561</v>
      </c>
      <c r="AJ769" s="460" t="str">
        <f>IFERROR(VLOOKUP(申込書!$C$30,★業種!$D$2:$E$87,2,FALSE),"")</f>
        <v>1003</v>
      </c>
      <c r="AK769" s="460" t="str">
        <f ca="1">IF(申込書!$C$36="◎",IF(OR(D769="浜坂・温泉",D769="美方・村岡",D769="香住",D769="岡山",D769="大阪"),"",IF(LEFT(F769)="D","◎",IF(AG769=0,"",IFERROR(IF(VLOOKUP(AG769,★仕入先!$A$2:$C$211,3,FALSE)=0,"","◎"),"")))),"")</f>
        <v/>
      </c>
      <c r="AL769" s="460">
        <f>申込書!$H$14</f>
        <v>0</v>
      </c>
      <c r="AM769" s="460" t="str">
        <f>申込書!$C$32</f>
        <v>B4（折り無し）</v>
      </c>
      <c r="AN769" s="460" t="str">
        <f>VLOOKUP(AM769,★サイズ表記!$D$4:$E$55,2,FALSE)</f>
        <v>1001</v>
      </c>
      <c r="AO769" s="460">
        <f>IF(C769&lt;&gt;"⑧兵庫",VLOOKUP(LEFT(F769),★新聞!$A$4:$B$12,2,FALSE),IF(LEFT(F769)&lt;&gt;"S",VLOOKUP(LEFT(F769),★新聞!$A$4:$B$12,2,FALSE),VLOOKUP("X",★新聞!$A$4:$B$12,2,FALSE)))</f>
        <v>6</v>
      </c>
      <c r="AP769" s="460" t="str">
        <f t="shared" ca="1" si="92"/>
        <v>0</v>
      </c>
      <c r="AQ769" s="460" t="str">
        <f>IF(申込書!$C$38="","",申込書!$C$38)</f>
        <v/>
      </c>
    </row>
    <row r="770" spans="1:43">
      <c r="A770" s="463">
        <f t="shared" si="93"/>
        <v>769</v>
      </c>
      <c r="B770" s="463" t="str">
        <f t="shared" si="94"/>
        <v>東部</v>
      </c>
      <c r="C770" s="464" t="s">
        <v>1019</v>
      </c>
      <c r="D770" s="464" t="s">
        <v>1603</v>
      </c>
      <c r="E770" s="464">
        <f>VLOOKUP(D770,★折込地区!$A$2:$D$10,4,FALSE)</f>
        <v>3</v>
      </c>
      <c r="F770" s="464" t="s">
        <v>510</v>
      </c>
      <c r="G770" s="464" t="str">
        <f>INDEX(★新聞!$E$4:$I$12, MATCH(LEFT(F770),★新聞!$A$4:$A$12,0), MATCH(LEFT(W770),★新聞!$E$3:$I$3,0))</f>
        <v>AM</v>
      </c>
      <c r="H770" s="555" t="s">
        <v>1102</v>
      </c>
      <c r="I770" s="464" cm="1">
        <f t="array" ref="I770">IFERROR(INDEX(★原価率!$A$2:$E$50,MATCH($C770&amp;$H770,★原価率!$A$2:$A$50&amp;★原価率!$B$2:$B$50,0),3),0)</f>
        <v>80</v>
      </c>
      <c r="J770" s="464" cm="1">
        <f t="array" ref="J770">IFERROR(INDEX(★原価率!$A$2:$E$50,MATCH($C770&amp;$H770,★原価率!$A$2:$A$50&amp;★原価率!$B$2:$B$50,0),4),0)</f>
        <v>84</v>
      </c>
      <c r="K770" s="464" cm="1">
        <f t="array" ref="K770">IFERROR(INDEX(★原価率!$A$2:$E$50,MATCH($C770&amp;$H770,★原価率!$A$2:$A$50&amp;★原価率!$B$2:$B$50,0),5),0)</f>
        <v>100</v>
      </c>
      <c r="L770" s="528">
        <f>IFERROR(VLOOKUP(W770,★商品!$A$1:$H$1231,8,FALSE),0)</f>
        <v>2.8</v>
      </c>
      <c r="M770" s="203" t="str">
        <f ca="1">CONCATENATE(VLOOKUP(B770,★営業所!$A$2:$B$5,2,FALSE),TEXT(NOW(),"yyyy"))</f>
        <v>T2023</v>
      </c>
      <c r="N770" s="203">
        <v>1</v>
      </c>
      <c r="O770" s="203">
        <v>0</v>
      </c>
      <c r="P770" s="213">
        <f>申込書!$B$6</f>
        <v>0</v>
      </c>
      <c r="Q770" s="203">
        <f>申込書!$C$34</f>
        <v>1000040</v>
      </c>
      <c r="R770" s="203">
        <v>0</v>
      </c>
      <c r="U770" s="203">
        <f>VLOOKUP(B770,★営業所!$A$2:$C$5,3,FALSE)</f>
        <v>8</v>
      </c>
      <c r="V770" s="203">
        <f>申込書!$B$9</f>
        <v>0</v>
      </c>
      <c r="W770" s="203" t="str">
        <f>CONCATENATE(VLOOKUP(B770,★営業所!$A$2:$B$5,2,FALSE),VLOOKUP(申込書!$C$32,★サイズ表記!$D$4:$E$55,2,FALSE),VLOOKUP(D770,★折込地区!$A$2:$B$11,2,FALSE))</f>
        <v>T1001Yng</v>
      </c>
      <c r="X770" s="203" t="str">
        <f>CONCATENATE(申込書!$B$9," ",VLOOKUP(RIGHT(W770,3),★折込地区!$B$2:$C$10,2,FALSE),"")</f>
        <v xml:space="preserve"> 米子</v>
      </c>
      <c r="Z770" s="206">
        <f t="shared" ref="Z770:Z833" ca="1" si="95">SUMIFS($AE$2:$AE$977,$W$2:$W$977,W770,$AG$2:$AG$977,"&lt;&gt;0")</f>
        <v>0</v>
      </c>
      <c r="AB770" s="383">
        <f t="shared" ref="AB770:AB833" si="96">IFERROR(L770*K770/100,0)</f>
        <v>2.8</v>
      </c>
      <c r="AC770" s="203" t="str">
        <f t="shared" ref="AC770:AC833" si="97">CONCATENATE(LEFT(F770),AN770)</f>
        <v>S1001</v>
      </c>
      <c r="AD770" s="203" t="str">
        <f>VLOOKUP(AC770,★原価商品!$E$6:$F$349,2,FALSE)</f>
        <v>山陰中央/B4（折り無し）</v>
      </c>
      <c r="AE770" s="203">
        <f t="shared" ref="AE770:AE833" ca="1" si="98">INDIRECT(C770 &amp; "!" &amp; F770)</f>
        <v>0</v>
      </c>
      <c r="AF770" s="383">
        <f ca="1">IFERROR(IF(VLOOKUP(申込書!$C$32,★サイズ表記!$F$4:$H$55,3,FALSE)="切り捨て",ROUNDDOWN(L770*IF(AK770="◎",I770,J770)/100,2),IF(VLOOKUP(申込書!$C$32,★サイズ表記!$F$4:$H$55,3,FALSE)="切り上げ",ROUNDUP(L770*IF(AK770="◎",I770,J770)/100,2),ROUND(L770*IF(AK770="◎",I770,J770)/100,2))),0)</f>
        <v>2.35</v>
      </c>
      <c r="AG770" s="203">
        <f t="shared" ref="AG770:AG833" ca="1" si="99">IFERROR(INDIRECT(C770 &amp; "!" &amp; G770 &amp; MID(F770,2,1000)),0)</f>
        <v>10561</v>
      </c>
      <c r="AJ770" s="460" t="str">
        <f>IFERROR(VLOOKUP(申込書!$C$30,★業種!$D$2:$E$87,2,FALSE),"")</f>
        <v>1003</v>
      </c>
      <c r="AK770" s="460" t="str">
        <f ca="1">IF(申込書!$C$36="◎",IF(OR(D770="浜坂・温泉",D770="美方・村岡",D770="香住",D770="岡山",D770="大阪"),"",IF(LEFT(F770)="D","◎",IF(AG770=0,"",IFERROR(IF(VLOOKUP(AG770,★仕入先!$A$2:$C$211,3,FALSE)=0,"","◎"),"")))),"")</f>
        <v/>
      </c>
      <c r="AL770" s="460">
        <f>申込書!$H$14</f>
        <v>0</v>
      </c>
      <c r="AM770" s="460" t="str">
        <f>申込書!$C$32</f>
        <v>B4（折り無し）</v>
      </c>
      <c r="AN770" s="460" t="str">
        <f>VLOOKUP(AM770,★サイズ表記!$D$4:$E$55,2,FALSE)</f>
        <v>1001</v>
      </c>
      <c r="AO770" s="460">
        <f>IF(C770&lt;&gt;"⑧兵庫",VLOOKUP(LEFT(F770),★新聞!$A$4:$B$12,2,FALSE),IF(LEFT(F770)&lt;&gt;"S",VLOOKUP(LEFT(F770),★新聞!$A$4:$B$12,2,FALSE),VLOOKUP("X",★新聞!$A$4:$B$12,2,FALSE)))</f>
        <v>6</v>
      </c>
      <c r="AP770" s="460" t="str">
        <f t="shared" ref="AP770:AP833" ca="1" si="100">FIXED(SUM($AE$2:$AE$977),0,FALSE)</f>
        <v>0</v>
      </c>
      <c r="AQ770" s="460" t="str">
        <f>IF(申込書!$C$38="","",申込書!$C$38)</f>
        <v/>
      </c>
    </row>
    <row r="771" spans="1:43">
      <c r="A771" s="463">
        <f t="shared" si="93"/>
        <v>770</v>
      </c>
      <c r="B771" s="463" t="str">
        <f t="shared" si="94"/>
        <v>東部</v>
      </c>
      <c r="C771" s="464" t="s">
        <v>1019</v>
      </c>
      <c r="D771" s="464" t="s">
        <v>1603</v>
      </c>
      <c r="E771" s="464">
        <f>VLOOKUP(D771,★折込地区!$A$2:$D$10,4,FALSE)</f>
        <v>3</v>
      </c>
      <c r="F771" s="464" t="s">
        <v>511</v>
      </c>
      <c r="G771" s="464" t="str">
        <f>INDEX(★新聞!$E$4:$I$12, MATCH(LEFT(F771),★新聞!$A$4:$A$12,0), MATCH(LEFT(W771),★新聞!$E$3:$I$3,0))</f>
        <v>AM</v>
      </c>
      <c r="H771" s="475" t="s">
        <v>1102</v>
      </c>
      <c r="I771" s="464" cm="1">
        <f t="array" ref="I771">IFERROR(INDEX(★原価率!$A$2:$E$50,MATCH($C771&amp;$H771,★原価率!$A$2:$A$50&amp;★原価率!$B$2:$B$50,0),3),0)</f>
        <v>80</v>
      </c>
      <c r="J771" s="464" cm="1">
        <f t="array" ref="J771">IFERROR(INDEX(★原価率!$A$2:$E$50,MATCH($C771&amp;$H771,★原価率!$A$2:$A$50&amp;★原価率!$B$2:$B$50,0),4),0)</f>
        <v>84</v>
      </c>
      <c r="K771" s="464" cm="1">
        <f t="array" ref="K771">IFERROR(INDEX(★原価率!$A$2:$E$50,MATCH($C771&amp;$H771,★原価率!$A$2:$A$50&amp;★原価率!$B$2:$B$50,0),5),0)</f>
        <v>100</v>
      </c>
      <c r="L771" s="528">
        <f>IFERROR(VLOOKUP(W771,★商品!$A$1:$H$1231,8,FALSE),0)</f>
        <v>2.8</v>
      </c>
      <c r="M771" s="203" t="str">
        <f ca="1">CONCATENATE(VLOOKUP(B771,★営業所!$A$2:$B$5,2,FALSE),TEXT(NOW(),"yyyy"))</f>
        <v>T2023</v>
      </c>
      <c r="N771" s="203">
        <v>1</v>
      </c>
      <c r="O771" s="203">
        <v>0</v>
      </c>
      <c r="P771" s="213">
        <f>申込書!$B$6</f>
        <v>0</v>
      </c>
      <c r="Q771" s="203">
        <f>申込書!$C$34</f>
        <v>1000040</v>
      </c>
      <c r="R771" s="203">
        <v>0</v>
      </c>
      <c r="U771" s="203">
        <f>VLOOKUP(B771,★営業所!$A$2:$C$5,3,FALSE)</f>
        <v>8</v>
      </c>
      <c r="V771" s="203">
        <f>申込書!$B$9</f>
        <v>0</v>
      </c>
      <c r="W771" s="203" t="str">
        <f>CONCATENATE(VLOOKUP(B771,★営業所!$A$2:$B$5,2,FALSE),VLOOKUP(申込書!$C$32,★サイズ表記!$D$4:$E$55,2,FALSE),VLOOKUP(D771,★折込地区!$A$2:$B$11,2,FALSE))</f>
        <v>T1001Yng</v>
      </c>
      <c r="X771" s="203" t="str">
        <f>CONCATENATE(申込書!$B$9," ",VLOOKUP(RIGHT(W771,3),★折込地区!$B$2:$C$10,2,FALSE),"")</f>
        <v xml:space="preserve"> 米子</v>
      </c>
      <c r="Z771" s="206">
        <f t="shared" ca="1" si="95"/>
        <v>0</v>
      </c>
      <c r="AB771" s="383">
        <f t="shared" si="96"/>
        <v>2.8</v>
      </c>
      <c r="AC771" s="203" t="str">
        <f t="shared" si="97"/>
        <v>S1001</v>
      </c>
      <c r="AD771" s="203" t="str">
        <f>VLOOKUP(AC771,★原価商品!$E$6:$F$349,2,FALSE)</f>
        <v>山陰中央/B4（折り無し）</v>
      </c>
      <c r="AE771" s="203">
        <f t="shared" ca="1" si="98"/>
        <v>0</v>
      </c>
      <c r="AF771" s="383">
        <f ca="1">IFERROR(IF(VLOOKUP(申込書!$C$32,★サイズ表記!$F$4:$H$55,3,FALSE)="切り捨て",ROUNDDOWN(L771*IF(AK771="◎",I771,J771)/100,2),IF(VLOOKUP(申込書!$C$32,★サイズ表記!$F$4:$H$55,3,FALSE)="切り上げ",ROUNDUP(L771*IF(AK771="◎",I771,J771)/100,2),ROUND(L771*IF(AK771="◎",I771,J771)/100,2))),0)</f>
        <v>2.35</v>
      </c>
      <c r="AG771" s="203">
        <f t="shared" ca="1" si="99"/>
        <v>10561</v>
      </c>
      <c r="AJ771" s="460" t="str">
        <f>IFERROR(VLOOKUP(申込書!$C$30,★業種!$D$2:$E$87,2,FALSE),"")</f>
        <v>1003</v>
      </c>
      <c r="AK771" s="460" t="str">
        <f ca="1">IF(申込書!$C$36="◎",IF(OR(D771="浜坂・温泉",D771="美方・村岡",D771="香住",D771="岡山",D771="大阪"),"",IF(LEFT(F771)="D","◎",IF(AG771=0,"",IFERROR(IF(VLOOKUP(AG771,★仕入先!$A$2:$C$211,3,FALSE)=0,"","◎"),"")))),"")</f>
        <v/>
      </c>
      <c r="AL771" s="460">
        <f>申込書!$H$14</f>
        <v>0</v>
      </c>
      <c r="AM771" s="460" t="str">
        <f>申込書!$C$32</f>
        <v>B4（折り無し）</v>
      </c>
      <c r="AN771" s="460" t="str">
        <f>VLOOKUP(AM771,★サイズ表記!$D$4:$E$55,2,FALSE)</f>
        <v>1001</v>
      </c>
      <c r="AO771" s="460">
        <f>IF(C771&lt;&gt;"⑧兵庫",VLOOKUP(LEFT(F771),★新聞!$A$4:$B$12,2,FALSE),IF(LEFT(F771)&lt;&gt;"S",VLOOKUP(LEFT(F771),★新聞!$A$4:$B$12,2,FALSE),VLOOKUP("X",★新聞!$A$4:$B$12,2,FALSE)))</f>
        <v>6</v>
      </c>
      <c r="AP771" s="460" t="str">
        <f t="shared" ca="1" si="100"/>
        <v>0</v>
      </c>
      <c r="AQ771" s="460" t="str">
        <f>IF(申込書!$C$38="","",申込書!$C$38)</f>
        <v/>
      </c>
    </row>
    <row r="772" spans="1:43">
      <c r="A772" s="463">
        <f t="shared" ref="A772:A835" si="101">A771+1</f>
        <v>771</v>
      </c>
      <c r="B772" s="463" t="str">
        <f t="shared" si="94"/>
        <v>東部</v>
      </c>
      <c r="C772" s="464" t="s">
        <v>1019</v>
      </c>
      <c r="D772" s="464" t="s">
        <v>1603</v>
      </c>
      <c r="E772" s="464">
        <f>VLOOKUP(D772,★折込地区!$A$2:$D$10,4,FALSE)</f>
        <v>3</v>
      </c>
      <c r="F772" s="464" t="s">
        <v>1145</v>
      </c>
      <c r="G772" s="464" t="str">
        <f>INDEX(★新聞!$E$4:$I$12, MATCH(LEFT(F772),★新聞!$A$4:$A$12,0), MATCH(LEFT(W772),★新聞!$E$3:$I$3,0))</f>
        <v>AM</v>
      </c>
      <c r="H772" s="475" t="s">
        <v>1103</v>
      </c>
      <c r="I772" s="464" cm="1">
        <f t="array" ref="I772">IFERROR(INDEX(★原価率!$A$2:$E$50,MATCH($C772&amp;$H772,★原価率!$A$2:$A$50&amp;★原価率!$B$2:$B$50,0),3),0)</f>
        <v>85</v>
      </c>
      <c r="J772" s="464" cm="1">
        <f t="array" ref="J772">IFERROR(INDEX(★原価率!$A$2:$E$50,MATCH($C772&amp;$H772,★原価率!$A$2:$A$50&amp;★原価率!$B$2:$B$50,0),4),0)</f>
        <v>85</v>
      </c>
      <c r="K772" s="464" cm="1">
        <f t="array" ref="K772">IFERROR(INDEX(★原価率!$A$2:$E$50,MATCH($C772&amp;$H772,★原価率!$A$2:$A$50&amp;★原価率!$B$2:$B$50,0),5),0)</f>
        <v>100</v>
      </c>
      <c r="L772" s="528">
        <f>IFERROR(VLOOKUP(W772,★商品!$A$1:$H$1231,8,FALSE),0)</f>
        <v>2.8</v>
      </c>
      <c r="M772" s="203" t="str">
        <f ca="1">CONCATENATE(VLOOKUP(B772,★営業所!$A$2:$B$5,2,FALSE),TEXT(NOW(),"yyyy"))</f>
        <v>T2023</v>
      </c>
      <c r="N772" s="203">
        <v>1</v>
      </c>
      <c r="O772" s="203">
        <v>0</v>
      </c>
      <c r="P772" s="213">
        <f>申込書!$B$6</f>
        <v>0</v>
      </c>
      <c r="Q772" s="203">
        <f>申込書!$C$34</f>
        <v>1000040</v>
      </c>
      <c r="R772" s="203">
        <v>0</v>
      </c>
      <c r="U772" s="203">
        <f>VLOOKUP(B772,★営業所!$A$2:$C$5,3,FALSE)</f>
        <v>8</v>
      </c>
      <c r="V772" s="203">
        <f>申込書!$B$9</f>
        <v>0</v>
      </c>
      <c r="W772" s="203" t="str">
        <f>CONCATENATE(VLOOKUP(B772,★営業所!$A$2:$B$5,2,FALSE),VLOOKUP(申込書!$C$32,★サイズ表記!$D$4:$E$55,2,FALSE),VLOOKUP(D772,★折込地区!$A$2:$B$11,2,FALSE))</f>
        <v>T1001Yng</v>
      </c>
      <c r="X772" s="203" t="str">
        <f>CONCATENATE(申込書!$B$9," ",VLOOKUP(RIGHT(W772,3),★折込地区!$B$2:$C$10,2,FALSE),"")</f>
        <v xml:space="preserve"> 米子</v>
      </c>
      <c r="Z772" s="206">
        <f t="shared" ca="1" si="95"/>
        <v>0</v>
      </c>
      <c r="AB772" s="383">
        <f t="shared" si="96"/>
        <v>2.8</v>
      </c>
      <c r="AC772" s="203" t="str">
        <f t="shared" si="97"/>
        <v>S1001</v>
      </c>
      <c r="AD772" s="203" t="str">
        <f>VLOOKUP(AC772,★原価商品!$E$6:$F$349,2,FALSE)</f>
        <v>山陰中央/B4（折り無し）</v>
      </c>
      <c r="AE772" s="203">
        <f t="shared" ca="1" si="98"/>
        <v>0</v>
      </c>
      <c r="AF772" s="383">
        <f ca="1">IFERROR(IF(VLOOKUP(申込書!$C$32,★サイズ表記!$F$4:$H$55,3,FALSE)="切り捨て",ROUNDDOWN(L772*IF(AK772="◎",I772,J772)/100,2),IF(VLOOKUP(申込書!$C$32,★サイズ表記!$F$4:$H$55,3,FALSE)="切り上げ",ROUNDUP(L772*IF(AK772="◎",I772,J772)/100,2),ROUND(L772*IF(AK772="◎",I772,J772)/100,2))),0)</f>
        <v>2.38</v>
      </c>
      <c r="AG772" s="203">
        <f t="shared" ca="1" si="99"/>
        <v>10561</v>
      </c>
      <c r="AJ772" s="460" t="str">
        <f>IFERROR(VLOOKUP(申込書!$C$30,★業種!$D$2:$E$87,2,FALSE),"")</f>
        <v>1003</v>
      </c>
      <c r="AK772" s="460" t="str">
        <f ca="1">IF(申込書!$C$36="◎",IF(OR(D772="浜坂・温泉",D772="美方・村岡",D772="香住",D772="岡山",D772="大阪"),"",IF(LEFT(F772)="D","◎",IF(AG772=0,"",IFERROR(IF(VLOOKUP(AG772,★仕入先!$A$2:$C$211,3,FALSE)=0,"","◎"),"")))),"")</f>
        <v/>
      </c>
      <c r="AL772" s="460">
        <f>申込書!$H$14</f>
        <v>0</v>
      </c>
      <c r="AM772" s="460" t="str">
        <f>申込書!$C$32</f>
        <v>B4（折り無し）</v>
      </c>
      <c r="AN772" s="460" t="str">
        <f>VLOOKUP(AM772,★サイズ表記!$D$4:$E$55,2,FALSE)</f>
        <v>1001</v>
      </c>
      <c r="AO772" s="460">
        <f>IF(C772&lt;&gt;"⑧兵庫",VLOOKUP(LEFT(F772),★新聞!$A$4:$B$12,2,FALSE),IF(LEFT(F772)&lt;&gt;"S",VLOOKUP(LEFT(F772),★新聞!$A$4:$B$12,2,FALSE),VLOOKUP("X",★新聞!$A$4:$B$12,2,FALSE)))</f>
        <v>6</v>
      </c>
      <c r="AP772" s="460" t="str">
        <f t="shared" ca="1" si="100"/>
        <v>0</v>
      </c>
      <c r="AQ772" s="460" t="str">
        <f>IF(申込書!$C$38="","",申込書!$C$38)</f>
        <v/>
      </c>
    </row>
    <row r="773" spans="1:43">
      <c r="A773" s="463">
        <f t="shared" si="101"/>
        <v>772</v>
      </c>
      <c r="B773" s="463" t="str">
        <f t="shared" si="94"/>
        <v>東部</v>
      </c>
      <c r="C773" s="464" t="s">
        <v>1019</v>
      </c>
      <c r="D773" s="464" t="s">
        <v>1603</v>
      </c>
      <c r="E773" s="464">
        <f>VLOOKUP(D773,★折込地区!$A$2:$D$10,4,FALSE)</f>
        <v>3</v>
      </c>
      <c r="F773" s="464" t="s">
        <v>513</v>
      </c>
      <c r="G773" s="464" t="str">
        <f>INDEX(★新聞!$E$4:$I$12, MATCH(LEFT(F773),★新聞!$A$4:$A$12,0), MATCH(LEFT(W773),★新聞!$E$3:$I$3,0))</f>
        <v>AP</v>
      </c>
      <c r="H773" s="555" t="s">
        <v>1102</v>
      </c>
      <c r="I773" s="464" cm="1">
        <f t="array" ref="I773">IFERROR(INDEX(★原価率!$A$2:$E$50,MATCH($C773&amp;$H773,★原価率!$A$2:$A$50&amp;★原価率!$B$2:$B$50,0),3),0)</f>
        <v>80</v>
      </c>
      <c r="J773" s="464" cm="1">
        <f t="array" ref="J773">IFERROR(INDEX(★原価率!$A$2:$E$50,MATCH($C773&amp;$H773,★原価率!$A$2:$A$50&amp;★原価率!$B$2:$B$50,0),4),0)</f>
        <v>84</v>
      </c>
      <c r="K773" s="464" cm="1">
        <f t="array" ref="K773">IFERROR(INDEX(★原価率!$A$2:$E$50,MATCH($C773&amp;$H773,★原価率!$A$2:$A$50&amp;★原価率!$B$2:$B$50,0),5),0)</f>
        <v>100</v>
      </c>
      <c r="L773" s="528">
        <f>IFERROR(VLOOKUP(W773,★商品!$A$1:$H$1231,8,FALSE),0)</f>
        <v>2.8</v>
      </c>
      <c r="M773" s="203" t="str">
        <f ca="1">CONCATENATE(VLOOKUP(B773,★営業所!$A$2:$B$5,2,FALSE),TEXT(NOW(),"yyyy"))</f>
        <v>T2023</v>
      </c>
      <c r="N773" s="203">
        <v>1</v>
      </c>
      <c r="O773" s="203">
        <v>0</v>
      </c>
      <c r="P773" s="213">
        <f>申込書!$B$6</f>
        <v>0</v>
      </c>
      <c r="Q773" s="203">
        <f>申込書!$C$34</f>
        <v>1000040</v>
      </c>
      <c r="R773" s="203">
        <v>0</v>
      </c>
      <c r="U773" s="203">
        <f>VLOOKUP(B773,★営業所!$A$2:$C$5,3,FALSE)</f>
        <v>8</v>
      </c>
      <c r="V773" s="203">
        <f>申込書!$B$9</f>
        <v>0</v>
      </c>
      <c r="W773" s="203" t="str">
        <f>CONCATENATE(VLOOKUP(B773,★営業所!$A$2:$B$5,2,FALSE),VLOOKUP(申込書!$C$32,★サイズ表記!$D$4:$E$55,2,FALSE),VLOOKUP(D773,★折込地区!$A$2:$B$11,2,FALSE))</f>
        <v>T1001Yng</v>
      </c>
      <c r="X773" s="203" t="str">
        <f>CONCATENATE(申込書!$B$9," ",VLOOKUP(RIGHT(W773,3),★折込地区!$B$2:$C$10,2,FALSE),"")</f>
        <v xml:space="preserve"> 米子</v>
      </c>
      <c r="Z773" s="206">
        <f t="shared" ca="1" si="95"/>
        <v>0</v>
      </c>
      <c r="AB773" s="383">
        <f t="shared" si="96"/>
        <v>2.8</v>
      </c>
      <c r="AC773" s="203" t="str">
        <f t="shared" si="97"/>
        <v>V1001</v>
      </c>
      <c r="AD773" s="203" t="str">
        <f>VLOOKUP(AC773,★原価商品!$E$6:$F$349,2,FALSE)</f>
        <v>日経/B4（折り無し）</v>
      </c>
      <c r="AE773" s="203">
        <f t="shared" ca="1" si="98"/>
        <v>0</v>
      </c>
      <c r="AF773" s="383">
        <f ca="1">IFERROR(IF(VLOOKUP(申込書!$C$32,★サイズ表記!$F$4:$H$55,3,FALSE)="切り捨て",ROUNDDOWN(L773*IF(AK773="◎",I773,J773)/100,2),IF(VLOOKUP(申込書!$C$32,★サイズ表記!$F$4:$H$55,3,FALSE)="切り上げ",ROUNDUP(L773*IF(AK773="◎",I773,J773)/100,2),ROUND(L773*IF(AK773="◎",I773,J773)/100,2))),0)</f>
        <v>2.35</v>
      </c>
      <c r="AG773" s="203">
        <f t="shared" ca="1" si="99"/>
        <v>10561</v>
      </c>
      <c r="AJ773" s="460" t="str">
        <f>IFERROR(VLOOKUP(申込書!$C$30,★業種!$D$2:$E$87,2,FALSE),"")</f>
        <v>1003</v>
      </c>
      <c r="AK773" s="460" t="str">
        <f ca="1">IF(申込書!$C$36="◎",IF(OR(D773="浜坂・温泉",D773="美方・村岡",D773="香住",D773="岡山",D773="大阪"),"",IF(LEFT(F773)="D","◎",IF(AG773=0,"",IFERROR(IF(VLOOKUP(AG773,★仕入先!$A$2:$C$211,3,FALSE)=0,"","◎"),"")))),"")</f>
        <v/>
      </c>
      <c r="AL773" s="460">
        <f>申込書!$H$14</f>
        <v>0</v>
      </c>
      <c r="AM773" s="460" t="str">
        <f>申込書!$C$32</f>
        <v>B4（折り無し）</v>
      </c>
      <c r="AN773" s="460" t="str">
        <f>VLOOKUP(AM773,★サイズ表記!$D$4:$E$55,2,FALSE)</f>
        <v>1001</v>
      </c>
      <c r="AO773" s="460">
        <f>IF(C773&lt;&gt;"⑧兵庫",VLOOKUP(LEFT(F773),★新聞!$A$4:$B$12,2,FALSE),IF(LEFT(F773)&lt;&gt;"S",VLOOKUP(LEFT(F773),★新聞!$A$4:$B$12,2,FALSE),VLOOKUP("X",★新聞!$A$4:$B$12,2,FALSE)))</f>
        <v>7</v>
      </c>
      <c r="AP773" s="460" t="str">
        <f t="shared" ca="1" si="100"/>
        <v>0</v>
      </c>
      <c r="AQ773" s="460" t="str">
        <f>IF(申込書!$C$38="","",申込書!$C$38)</f>
        <v/>
      </c>
    </row>
    <row r="774" spans="1:43">
      <c r="A774" s="463">
        <f t="shared" si="101"/>
        <v>773</v>
      </c>
      <c r="B774" s="463" t="str">
        <f t="shared" si="94"/>
        <v>東部</v>
      </c>
      <c r="C774" s="464" t="s">
        <v>1019</v>
      </c>
      <c r="D774" s="464" t="s">
        <v>1603</v>
      </c>
      <c r="E774" s="464">
        <f>VLOOKUP(D774,★折込地区!$A$2:$D$10,4,FALSE)</f>
        <v>3</v>
      </c>
      <c r="F774" s="464" t="s">
        <v>514</v>
      </c>
      <c r="G774" s="464" t="str">
        <f>INDEX(★新聞!$E$4:$I$12, MATCH(LEFT(F774),★新聞!$A$4:$A$12,0), MATCH(LEFT(W774),★新聞!$E$3:$I$3,0))</f>
        <v>AP</v>
      </c>
      <c r="H774" s="555" t="s">
        <v>1102</v>
      </c>
      <c r="I774" s="464" cm="1">
        <f t="array" ref="I774">IFERROR(INDEX(★原価率!$A$2:$E$50,MATCH($C774&amp;$H774,★原価率!$A$2:$A$50&amp;★原価率!$B$2:$B$50,0),3),0)</f>
        <v>80</v>
      </c>
      <c r="J774" s="464" cm="1">
        <f t="array" ref="J774">IFERROR(INDEX(★原価率!$A$2:$E$50,MATCH($C774&amp;$H774,★原価率!$A$2:$A$50&amp;★原価率!$B$2:$B$50,0),4),0)</f>
        <v>84</v>
      </c>
      <c r="K774" s="464" cm="1">
        <f t="array" ref="K774">IFERROR(INDEX(★原価率!$A$2:$E$50,MATCH($C774&amp;$H774,★原価率!$A$2:$A$50&amp;★原価率!$B$2:$B$50,0),5),0)</f>
        <v>100</v>
      </c>
      <c r="L774" s="528">
        <f>IFERROR(VLOOKUP(W774,★商品!$A$1:$H$1231,8,FALSE),0)</f>
        <v>2.8</v>
      </c>
      <c r="M774" s="203" t="str">
        <f ca="1">CONCATENATE(VLOOKUP(B774,★営業所!$A$2:$B$5,2,FALSE),TEXT(NOW(),"yyyy"))</f>
        <v>T2023</v>
      </c>
      <c r="N774" s="203">
        <v>1</v>
      </c>
      <c r="O774" s="203">
        <v>0</v>
      </c>
      <c r="P774" s="213">
        <f>申込書!$B$6</f>
        <v>0</v>
      </c>
      <c r="Q774" s="203">
        <f>申込書!$C$34</f>
        <v>1000040</v>
      </c>
      <c r="R774" s="203">
        <v>0</v>
      </c>
      <c r="U774" s="203">
        <f>VLOOKUP(B774,★営業所!$A$2:$C$5,3,FALSE)</f>
        <v>8</v>
      </c>
      <c r="V774" s="203">
        <f>申込書!$B$9</f>
        <v>0</v>
      </c>
      <c r="W774" s="203" t="str">
        <f>CONCATENATE(VLOOKUP(B774,★営業所!$A$2:$B$5,2,FALSE),VLOOKUP(申込書!$C$32,★サイズ表記!$D$4:$E$55,2,FALSE),VLOOKUP(D774,★折込地区!$A$2:$B$11,2,FALSE))</f>
        <v>T1001Yng</v>
      </c>
      <c r="X774" s="203" t="str">
        <f>CONCATENATE(申込書!$B$9," ",VLOOKUP(RIGHT(W774,3),★折込地区!$B$2:$C$10,2,FALSE),"")</f>
        <v xml:space="preserve"> 米子</v>
      </c>
      <c r="Z774" s="206">
        <f t="shared" ca="1" si="95"/>
        <v>0</v>
      </c>
      <c r="AB774" s="383">
        <f t="shared" si="96"/>
        <v>2.8</v>
      </c>
      <c r="AC774" s="203" t="str">
        <f t="shared" si="97"/>
        <v>V1001</v>
      </c>
      <c r="AD774" s="203" t="str">
        <f>VLOOKUP(AC774,★原価商品!$E$6:$F$349,2,FALSE)</f>
        <v>日経/B4（折り無し）</v>
      </c>
      <c r="AE774" s="203">
        <f t="shared" ca="1" si="98"/>
        <v>0</v>
      </c>
      <c r="AF774" s="383">
        <f ca="1">IFERROR(IF(VLOOKUP(申込書!$C$32,★サイズ表記!$F$4:$H$55,3,FALSE)="切り捨て",ROUNDDOWN(L774*IF(AK774="◎",I774,J774)/100,2),IF(VLOOKUP(申込書!$C$32,★サイズ表記!$F$4:$H$55,3,FALSE)="切り上げ",ROUNDUP(L774*IF(AK774="◎",I774,J774)/100,2),ROUND(L774*IF(AK774="◎",I774,J774)/100,2))),0)</f>
        <v>2.35</v>
      </c>
      <c r="AG774" s="203">
        <f t="shared" ca="1" si="99"/>
        <v>10561</v>
      </c>
      <c r="AJ774" s="460" t="str">
        <f>IFERROR(VLOOKUP(申込書!$C$30,★業種!$D$2:$E$87,2,FALSE),"")</f>
        <v>1003</v>
      </c>
      <c r="AK774" s="460" t="str">
        <f ca="1">IF(申込書!$C$36="◎",IF(OR(D774="浜坂・温泉",D774="美方・村岡",D774="香住",D774="岡山",D774="大阪"),"",IF(LEFT(F774)="D","◎",IF(AG774=0,"",IFERROR(IF(VLOOKUP(AG774,★仕入先!$A$2:$C$211,3,FALSE)=0,"","◎"),"")))),"")</f>
        <v/>
      </c>
      <c r="AL774" s="460">
        <f>申込書!$H$14</f>
        <v>0</v>
      </c>
      <c r="AM774" s="460" t="str">
        <f>申込書!$C$32</f>
        <v>B4（折り無し）</v>
      </c>
      <c r="AN774" s="460" t="str">
        <f>VLOOKUP(AM774,★サイズ表記!$D$4:$E$55,2,FALSE)</f>
        <v>1001</v>
      </c>
      <c r="AO774" s="460">
        <f>IF(C774&lt;&gt;"⑧兵庫",VLOOKUP(LEFT(F774),★新聞!$A$4:$B$12,2,FALSE),IF(LEFT(F774)&lt;&gt;"S",VLOOKUP(LEFT(F774),★新聞!$A$4:$B$12,2,FALSE),VLOOKUP("X",★新聞!$A$4:$B$12,2,FALSE)))</f>
        <v>7</v>
      </c>
      <c r="AP774" s="460" t="str">
        <f t="shared" ca="1" si="100"/>
        <v>0</v>
      </c>
      <c r="AQ774" s="460" t="str">
        <f>IF(申込書!$C$38="","",申込書!$C$38)</f>
        <v/>
      </c>
    </row>
    <row r="775" spans="1:43">
      <c r="A775" s="463">
        <f t="shared" si="101"/>
        <v>774</v>
      </c>
      <c r="B775" s="463" t="str">
        <f t="shared" si="94"/>
        <v>東部</v>
      </c>
      <c r="C775" s="464" t="s">
        <v>1019</v>
      </c>
      <c r="D775" s="464" t="s">
        <v>1603</v>
      </c>
      <c r="E775" s="464">
        <f>VLOOKUP(D775,★折込地区!$A$2:$D$10,4,FALSE)</f>
        <v>3</v>
      </c>
      <c r="F775" s="464" t="s">
        <v>515</v>
      </c>
      <c r="G775" s="464" t="str">
        <f>INDEX(★新聞!$E$4:$I$12, MATCH(LEFT(F775),★新聞!$A$4:$A$12,0), MATCH(LEFT(W775),★新聞!$E$3:$I$3,0))</f>
        <v>AP</v>
      </c>
      <c r="H775" s="555" t="s">
        <v>1102</v>
      </c>
      <c r="I775" s="464" cm="1">
        <f t="array" ref="I775">IFERROR(INDEX(★原価率!$A$2:$E$50,MATCH($C775&amp;$H775,★原価率!$A$2:$A$50&amp;★原価率!$B$2:$B$50,0),3),0)</f>
        <v>80</v>
      </c>
      <c r="J775" s="464" cm="1">
        <f t="array" ref="J775">IFERROR(INDEX(★原価率!$A$2:$E$50,MATCH($C775&amp;$H775,★原価率!$A$2:$A$50&amp;★原価率!$B$2:$B$50,0),4),0)</f>
        <v>84</v>
      </c>
      <c r="K775" s="464" cm="1">
        <f t="array" ref="K775">IFERROR(INDEX(★原価率!$A$2:$E$50,MATCH($C775&amp;$H775,★原価率!$A$2:$A$50&amp;★原価率!$B$2:$B$50,0),5),0)</f>
        <v>100</v>
      </c>
      <c r="L775" s="528">
        <f>IFERROR(VLOOKUP(W775,★商品!$A$1:$H$1231,8,FALSE),0)</f>
        <v>2.8</v>
      </c>
      <c r="M775" s="203" t="str">
        <f ca="1">CONCATENATE(VLOOKUP(B775,★営業所!$A$2:$B$5,2,FALSE),TEXT(NOW(),"yyyy"))</f>
        <v>T2023</v>
      </c>
      <c r="N775" s="203">
        <v>1</v>
      </c>
      <c r="O775" s="203">
        <v>0</v>
      </c>
      <c r="P775" s="213">
        <f>申込書!$B$6</f>
        <v>0</v>
      </c>
      <c r="Q775" s="203">
        <f>申込書!$C$34</f>
        <v>1000040</v>
      </c>
      <c r="R775" s="203">
        <v>0</v>
      </c>
      <c r="U775" s="203">
        <f>VLOOKUP(B775,★営業所!$A$2:$C$5,3,FALSE)</f>
        <v>8</v>
      </c>
      <c r="V775" s="203">
        <f>申込書!$B$9</f>
        <v>0</v>
      </c>
      <c r="W775" s="203" t="str">
        <f>CONCATENATE(VLOOKUP(B775,★営業所!$A$2:$B$5,2,FALSE),VLOOKUP(申込書!$C$32,★サイズ表記!$D$4:$E$55,2,FALSE),VLOOKUP(D775,★折込地区!$A$2:$B$11,2,FALSE))</f>
        <v>T1001Yng</v>
      </c>
      <c r="X775" s="203" t="str">
        <f>CONCATENATE(申込書!$B$9," ",VLOOKUP(RIGHT(W775,3),★折込地区!$B$2:$C$10,2,FALSE),"")</f>
        <v xml:space="preserve"> 米子</v>
      </c>
      <c r="Z775" s="206">
        <f t="shared" ca="1" si="95"/>
        <v>0</v>
      </c>
      <c r="AB775" s="383">
        <f t="shared" si="96"/>
        <v>2.8</v>
      </c>
      <c r="AC775" s="203" t="str">
        <f t="shared" si="97"/>
        <v>V1001</v>
      </c>
      <c r="AD775" s="203" t="str">
        <f>VLOOKUP(AC775,★原価商品!$E$6:$F$349,2,FALSE)</f>
        <v>日経/B4（折り無し）</v>
      </c>
      <c r="AE775" s="203">
        <f t="shared" ca="1" si="98"/>
        <v>0</v>
      </c>
      <c r="AF775" s="383">
        <f ca="1">IFERROR(IF(VLOOKUP(申込書!$C$32,★サイズ表記!$F$4:$H$55,3,FALSE)="切り捨て",ROUNDDOWN(L775*IF(AK775="◎",I775,J775)/100,2),IF(VLOOKUP(申込書!$C$32,★サイズ表記!$F$4:$H$55,3,FALSE)="切り上げ",ROUNDUP(L775*IF(AK775="◎",I775,J775)/100,2),ROUND(L775*IF(AK775="◎",I775,J775)/100,2))),0)</f>
        <v>2.35</v>
      </c>
      <c r="AG775" s="203">
        <f t="shared" ca="1" si="99"/>
        <v>10561</v>
      </c>
      <c r="AJ775" s="460" t="str">
        <f>IFERROR(VLOOKUP(申込書!$C$30,★業種!$D$2:$E$87,2,FALSE),"")</f>
        <v>1003</v>
      </c>
      <c r="AK775" s="460" t="str">
        <f ca="1">IF(申込書!$C$36="◎",IF(OR(D775="浜坂・温泉",D775="美方・村岡",D775="香住",D775="岡山",D775="大阪"),"",IF(LEFT(F775)="D","◎",IF(AG775=0,"",IFERROR(IF(VLOOKUP(AG775,★仕入先!$A$2:$C$211,3,FALSE)=0,"","◎"),"")))),"")</f>
        <v/>
      </c>
      <c r="AL775" s="460">
        <f>申込書!$H$14</f>
        <v>0</v>
      </c>
      <c r="AM775" s="460" t="str">
        <f>申込書!$C$32</f>
        <v>B4（折り無し）</v>
      </c>
      <c r="AN775" s="460" t="str">
        <f>VLOOKUP(AM775,★サイズ表記!$D$4:$E$55,2,FALSE)</f>
        <v>1001</v>
      </c>
      <c r="AO775" s="460">
        <f>IF(C775&lt;&gt;"⑧兵庫",VLOOKUP(LEFT(F775),★新聞!$A$4:$B$12,2,FALSE),IF(LEFT(F775)&lt;&gt;"S",VLOOKUP(LEFT(F775),★新聞!$A$4:$B$12,2,FALSE),VLOOKUP("X",★新聞!$A$4:$B$12,2,FALSE)))</f>
        <v>7</v>
      </c>
      <c r="AP775" s="460" t="str">
        <f t="shared" ca="1" si="100"/>
        <v>0</v>
      </c>
      <c r="AQ775" s="460" t="str">
        <f>IF(申込書!$C$38="","",申込書!$C$38)</f>
        <v/>
      </c>
    </row>
    <row r="776" spans="1:43">
      <c r="A776" s="463">
        <f t="shared" si="101"/>
        <v>775</v>
      </c>
      <c r="B776" s="463" t="str">
        <f t="shared" si="94"/>
        <v>東部</v>
      </c>
      <c r="C776" s="464" t="s">
        <v>1019</v>
      </c>
      <c r="D776" s="464" t="s">
        <v>1603</v>
      </c>
      <c r="E776" s="464">
        <f>VLOOKUP(D776,★折込地区!$A$2:$D$10,4,FALSE)</f>
        <v>3</v>
      </c>
      <c r="F776" s="464" t="s">
        <v>516</v>
      </c>
      <c r="G776" s="464" t="str">
        <f>INDEX(★新聞!$E$4:$I$12, MATCH(LEFT(F776),★新聞!$A$4:$A$12,0), MATCH(LEFT(W776),★新聞!$E$3:$I$3,0))</f>
        <v>AP</v>
      </c>
      <c r="H776" s="555" t="s">
        <v>1102</v>
      </c>
      <c r="I776" s="464" cm="1">
        <f t="array" ref="I776">IFERROR(INDEX(★原価率!$A$2:$E$50,MATCH($C776&amp;$H776,★原価率!$A$2:$A$50&amp;★原価率!$B$2:$B$50,0),3),0)</f>
        <v>80</v>
      </c>
      <c r="J776" s="464" cm="1">
        <f t="array" ref="J776">IFERROR(INDEX(★原価率!$A$2:$E$50,MATCH($C776&amp;$H776,★原価率!$A$2:$A$50&amp;★原価率!$B$2:$B$50,0),4),0)</f>
        <v>84</v>
      </c>
      <c r="K776" s="464" cm="1">
        <f t="array" ref="K776">IFERROR(INDEX(★原価率!$A$2:$E$50,MATCH($C776&amp;$H776,★原価率!$A$2:$A$50&amp;★原価率!$B$2:$B$50,0),5),0)</f>
        <v>100</v>
      </c>
      <c r="L776" s="528">
        <f>IFERROR(VLOOKUP(W776,★商品!$A$1:$H$1231,8,FALSE),0)</f>
        <v>2.8</v>
      </c>
      <c r="M776" s="203" t="str">
        <f ca="1">CONCATENATE(VLOOKUP(B776,★営業所!$A$2:$B$5,2,FALSE),TEXT(NOW(),"yyyy"))</f>
        <v>T2023</v>
      </c>
      <c r="N776" s="203">
        <v>1</v>
      </c>
      <c r="O776" s="203">
        <v>0</v>
      </c>
      <c r="P776" s="213">
        <f>申込書!$B$6</f>
        <v>0</v>
      </c>
      <c r="Q776" s="203">
        <f>申込書!$C$34</f>
        <v>1000040</v>
      </c>
      <c r="R776" s="203">
        <v>0</v>
      </c>
      <c r="U776" s="203">
        <f>VLOOKUP(B776,★営業所!$A$2:$C$5,3,FALSE)</f>
        <v>8</v>
      </c>
      <c r="V776" s="203">
        <f>申込書!$B$9</f>
        <v>0</v>
      </c>
      <c r="W776" s="203" t="str">
        <f>CONCATENATE(VLOOKUP(B776,★営業所!$A$2:$B$5,2,FALSE),VLOOKUP(申込書!$C$32,★サイズ表記!$D$4:$E$55,2,FALSE),VLOOKUP(D776,★折込地区!$A$2:$B$11,2,FALSE))</f>
        <v>T1001Yng</v>
      </c>
      <c r="X776" s="203" t="str">
        <f>CONCATENATE(申込書!$B$9," ",VLOOKUP(RIGHT(W776,3),★折込地区!$B$2:$C$10,2,FALSE),"")</f>
        <v xml:space="preserve"> 米子</v>
      </c>
      <c r="Z776" s="206">
        <f t="shared" ca="1" si="95"/>
        <v>0</v>
      </c>
      <c r="AB776" s="383">
        <f t="shared" si="96"/>
        <v>2.8</v>
      </c>
      <c r="AC776" s="203" t="str">
        <f t="shared" si="97"/>
        <v>V1001</v>
      </c>
      <c r="AD776" s="203" t="str">
        <f>VLOOKUP(AC776,★原価商品!$E$6:$F$349,2,FALSE)</f>
        <v>日経/B4（折り無し）</v>
      </c>
      <c r="AE776" s="203">
        <f t="shared" ca="1" si="98"/>
        <v>0</v>
      </c>
      <c r="AF776" s="383">
        <f ca="1">IFERROR(IF(VLOOKUP(申込書!$C$32,★サイズ表記!$F$4:$H$55,3,FALSE)="切り捨て",ROUNDDOWN(L776*IF(AK776="◎",I776,J776)/100,2),IF(VLOOKUP(申込書!$C$32,★サイズ表記!$F$4:$H$55,3,FALSE)="切り上げ",ROUNDUP(L776*IF(AK776="◎",I776,J776)/100,2),ROUND(L776*IF(AK776="◎",I776,J776)/100,2))),0)</f>
        <v>2.35</v>
      </c>
      <c r="AG776" s="203">
        <f t="shared" ca="1" si="99"/>
        <v>10561</v>
      </c>
      <c r="AJ776" s="460" t="str">
        <f>IFERROR(VLOOKUP(申込書!$C$30,★業種!$D$2:$E$87,2,FALSE),"")</f>
        <v>1003</v>
      </c>
      <c r="AK776" s="460" t="str">
        <f ca="1">IF(申込書!$C$36="◎",IF(OR(D776="浜坂・温泉",D776="美方・村岡",D776="香住",D776="岡山",D776="大阪"),"",IF(LEFT(F776)="D","◎",IF(AG776=0,"",IFERROR(IF(VLOOKUP(AG776,★仕入先!$A$2:$C$211,3,FALSE)=0,"","◎"),"")))),"")</f>
        <v/>
      </c>
      <c r="AL776" s="460">
        <f>申込書!$H$14</f>
        <v>0</v>
      </c>
      <c r="AM776" s="460" t="str">
        <f>申込書!$C$32</f>
        <v>B4（折り無し）</v>
      </c>
      <c r="AN776" s="460" t="str">
        <f>VLOOKUP(AM776,★サイズ表記!$D$4:$E$55,2,FALSE)</f>
        <v>1001</v>
      </c>
      <c r="AO776" s="460">
        <f>IF(C776&lt;&gt;"⑧兵庫",VLOOKUP(LEFT(F776),★新聞!$A$4:$B$12,2,FALSE),IF(LEFT(F776)&lt;&gt;"S",VLOOKUP(LEFT(F776),★新聞!$A$4:$B$12,2,FALSE),VLOOKUP("X",★新聞!$A$4:$B$12,2,FALSE)))</f>
        <v>7</v>
      </c>
      <c r="AP776" s="460" t="str">
        <f t="shared" ca="1" si="100"/>
        <v>0</v>
      </c>
      <c r="AQ776" s="460" t="str">
        <f>IF(申込書!$C$38="","",申込書!$C$38)</f>
        <v/>
      </c>
    </row>
    <row r="777" spans="1:43">
      <c r="A777" s="463">
        <f t="shared" si="101"/>
        <v>776</v>
      </c>
      <c r="B777" s="463" t="str">
        <f t="shared" si="94"/>
        <v>東部</v>
      </c>
      <c r="C777" s="464" t="s">
        <v>1019</v>
      </c>
      <c r="D777" s="464" t="s">
        <v>1603</v>
      </c>
      <c r="E777" s="464">
        <f>VLOOKUP(D777,★折込地区!$A$2:$D$10,4,FALSE)</f>
        <v>3</v>
      </c>
      <c r="F777" s="464" t="s">
        <v>517</v>
      </c>
      <c r="G777" s="464" t="str">
        <f>INDEX(★新聞!$E$4:$I$12, MATCH(LEFT(F777),★新聞!$A$4:$A$12,0), MATCH(LEFT(W777),★新聞!$E$3:$I$3,0))</f>
        <v>AP</v>
      </c>
      <c r="H777" s="475" t="s">
        <v>1104</v>
      </c>
      <c r="I777" s="464" cm="1">
        <f t="array" ref="I777">IFERROR(INDEX(★原価率!$A$2:$E$50,MATCH($C777&amp;$H777,★原価率!$A$2:$A$50&amp;★原価率!$B$2:$B$50,0),3),0)</f>
        <v>85</v>
      </c>
      <c r="J777" s="464" cm="1">
        <f t="array" ref="J777">IFERROR(INDEX(★原価率!$A$2:$E$50,MATCH($C777&amp;$H777,★原価率!$A$2:$A$50&amp;★原価率!$B$2:$B$50,0),4),0)</f>
        <v>85</v>
      </c>
      <c r="K777" s="464" cm="1">
        <f t="array" ref="K777">IFERROR(INDEX(★原価率!$A$2:$E$50,MATCH($C777&amp;$H777,★原価率!$A$2:$A$50&amp;★原価率!$B$2:$B$50,0),5),0)</f>
        <v>100</v>
      </c>
      <c r="L777" s="528">
        <f>IFERROR(VLOOKUP(W777,★商品!$A$1:$H$1231,8,FALSE),0)</f>
        <v>2.8</v>
      </c>
      <c r="M777" s="203" t="str">
        <f ca="1">CONCATENATE(VLOOKUP(B777,★営業所!$A$2:$B$5,2,FALSE),TEXT(NOW(),"yyyy"))</f>
        <v>T2023</v>
      </c>
      <c r="N777" s="203">
        <v>1</v>
      </c>
      <c r="O777" s="203">
        <v>0</v>
      </c>
      <c r="P777" s="213">
        <f>申込書!$B$6</f>
        <v>0</v>
      </c>
      <c r="Q777" s="203">
        <f>申込書!$C$34</f>
        <v>1000040</v>
      </c>
      <c r="R777" s="203">
        <v>0</v>
      </c>
      <c r="U777" s="203">
        <f>VLOOKUP(B777,★営業所!$A$2:$C$5,3,FALSE)</f>
        <v>8</v>
      </c>
      <c r="V777" s="203">
        <f>申込書!$B$9</f>
        <v>0</v>
      </c>
      <c r="W777" s="203" t="str">
        <f>CONCATENATE(VLOOKUP(B777,★営業所!$A$2:$B$5,2,FALSE),VLOOKUP(申込書!$C$32,★サイズ表記!$D$4:$E$55,2,FALSE),VLOOKUP(D777,★折込地区!$A$2:$B$11,2,FALSE))</f>
        <v>T1001Yng</v>
      </c>
      <c r="X777" s="203" t="str">
        <f>CONCATENATE(申込書!$B$9," ",VLOOKUP(RIGHT(W777,3),★折込地区!$B$2:$C$10,2,FALSE),"")</f>
        <v xml:space="preserve"> 米子</v>
      </c>
      <c r="Z777" s="206">
        <f t="shared" ca="1" si="95"/>
        <v>0</v>
      </c>
      <c r="AB777" s="383">
        <f t="shared" si="96"/>
        <v>2.8</v>
      </c>
      <c r="AC777" s="203" t="str">
        <f t="shared" si="97"/>
        <v>V1001</v>
      </c>
      <c r="AD777" s="203" t="str">
        <f>VLOOKUP(AC777,★原価商品!$E$6:$F$349,2,FALSE)</f>
        <v>日経/B4（折り無し）</v>
      </c>
      <c r="AE777" s="203">
        <f t="shared" ca="1" si="98"/>
        <v>0</v>
      </c>
      <c r="AF777" s="383">
        <f ca="1">IFERROR(IF(VLOOKUP(申込書!$C$32,★サイズ表記!$F$4:$H$55,3,FALSE)="切り捨て",ROUNDDOWN(L777*IF(AK777="◎",I777,J777)/100,2),IF(VLOOKUP(申込書!$C$32,★サイズ表記!$F$4:$H$55,3,FALSE)="切り上げ",ROUNDUP(L777*IF(AK777="◎",I777,J777)/100,2),ROUND(L777*IF(AK777="◎",I777,J777)/100,2))),0)</f>
        <v>2.38</v>
      </c>
      <c r="AG777" s="203">
        <f t="shared" ca="1" si="99"/>
        <v>10561</v>
      </c>
      <c r="AJ777" s="460" t="str">
        <f>IFERROR(VLOOKUP(申込書!$C$30,★業種!$D$2:$E$87,2,FALSE),"")</f>
        <v>1003</v>
      </c>
      <c r="AK777" s="460" t="str">
        <f ca="1">IF(申込書!$C$36="◎",IF(OR(D777="浜坂・温泉",D777="美方・村岡",D777="香住",D777="岡山",D777="大阪"),"",IF(LEFT(F777)="D","◎",IF(AG777=0,"",IFERROR(IF(VLOOKUP(AG777,★仕入先!$A$2:$C$211,3,FALSE)=0,"","◎"),"")))),"")</f>
        <v/>
      </c>
      <c r="AL777" s="460">
        <f>申込書!$H$14</f>
        <v>0</v>
      </c>
      <c r="AM777" s="460" t="str">
        <f>申込書!$C$32</f>
        <v>B4（折り無し）</v>
      </c>
      <c r="AN777" s="460" t="str">
        <f>VLOOKUP(AM777,★サイズ表記!$D$4:$E$55,2,FALSE)</f>
        <v>1001</v>
      </c>
      <c r="AO777" s="460">
        <f>IF(C777&lt;&gt;"⑧兵庫",VLOOKUP(LEFT(F777),★新聞!$A$4:$B$12,2,FALSE),IF(LEFT(F777)&lt;&gt;"S",VLOOKUP(LEFT(F777),★新聞!$A$4:$B$12,2,FALSE),VLOOKUP("X",★新聞!$A$4:$B$12,2,FALSE)))</f>
        <v>7</v>
      </c>
      <c r="AP777" s="460" t="str">
        <f t="shared" ca="1" si="100"/>
        <v>0</v>
      </c>
      <c r="AQ777" s="460" t="str">
        <f>IF(申込書!$C$38="","",申込書!$C$38)</f>
        <v/>
      </c>
    </row>
    <row r="778" spans="1:43">
      <c r="A778" s="463">
        <f t="shared" si="101"/>
        <v>777</v>
      </c>
      <c r="B778" s="463" t="str">
        <f t="shared" si="94"/>
        <v>東部</v>
      </c>
      <c r="C778" s="464" t="s">
        <v>1019</v>
      </c>
      <c r="D778" s="464" t="s">
        <v>1603</v>
      </c>
      <c r="E778" s="464">
        <f>VLOOKUP(D778,★折込地区!$A$2:$D$10,4,FALSE)</f>
        <v>3</v>
      </c>
      <c r="F778" s="464" t="s">
        <v>518</v>
      </c>
      <c r="G778" s="464" t="str">
        <f>INDEX(★新聞!$E$4:$I$12, MATCH(LEFT(F778),★新聞!$A$4:$A$12,0), MATCH(LEFT(W778),★新聞!$E$3:$I$3,0))</f>
        <v>AP</v>
      </c>
      <c r="H778" s="555" t="s">
        <v>1102</v>
      </c>
      <c r="I778" s="464" cm="1">
        <f t="array" ref="I778">IFERROR(INDEX(★原価率!$A$2:$E$50,MATCH($C778&amp;$H778,★原価率!$A$2:$A$50&amp;★原価率!$B$2:$B$50,0),3),0)</f>
        <v>80</v>
      </c>
      <c r="J778" s="464" cm="1">
        <f t="array" ref="J778">IFERROR(INDEX(★原価率!$A$2:$E$50,MATCH($C778&amp;$H778,★原価率!$A$2:$A$50&amp;★原価率!$B$2:$B$50,0),4),0)</f>
        <v>84</v>
      </c>
      <c r="K778" s="464" cm="1">
        <f t="array" ref="K778">IFERROR(INDEX(★原価率!$A$2:$E$50,MATCH($C778&amp;$H778,★原価率!$A$2:$A$50&amp;★原価率!$B$2:$B$50,0),5),0)</f>
        <v>100</v>
      </c>
      <c r="L778" s="528">
        <f>IFERROR(VLOOKUP(W778,★商品!$A$1:$H$1231,8,FALSE),0)</f>
        <v>2.8</v>
      </c>
      <c r="M778" s="203" t="str">
        <f ca="1">CONCATENATE(VLOOKUP(B778,★営業所!$A$2:$B$5,2,FALSE),TEXT(NOW(),"yyyy"))</f>
        <v>T2023</v>
      </c>
      <c r="N778" s="203">
        <v>1</v>
      </c>
      <c r="O778" s="203">
        <v>0</v>
      </c>
      <c r="P778" s="213">
        <f>申込書!$B$6</f>
        <v>0</v>
      </c>
      <c r="Q778" s="203">
        <f>申込書!$C$34</f>
        <v>1000040</v>
      </c>
      <c r="R778" s="203">
        <v>0</v>
      </c>
      <c r="U778" s="203">
        <f>VLOOKUP(B778,★営業所!$A$2:$C$5,3,FALSE)</f>
        <v>8</v>
      </c>
      <c r="V778" s="203">
        <f>申込書!$B$9</f>
        <v>0</v>
      </c>
      <c r="W778" s="203" t="str">
        <f>CONCATENATE(VLOOKUP(B778,★営業所!$A$2:$B$5,2,FALSE),VLOOKUP(申込書!$C$32,★サイズ表記!$D$4:$E$55,2,FALSE),VLOOKUP(D778,★折込地区!$A$2:$B$11,2,FALSE))</f>
        <v>T1001Yng</v>
      </c>
      <c r="X778" s="203" t="str">
        <f>CONCATENATE(申込書!$B$9," ",VLOOKUP(RIGHT(W778,3),★折込地区!$B$2:$C$10,2,FALSE),"")</f>
        <v xml:space="preserve"> 米子</v>
      </c>
      <c r="Z778" s="206">
        <f t="shared" ca="1" si="95"/>
        <v>0</v>
      </c>
      <c r="AB778" s="383">
        <f t="shared" si="96"/>
        <v>2.8</v>
      </c>
      <c r="AC778" s="203" t="str">
        <f t="shared" si="97"/>
        <v>V1001</v>
      </c>
      <c r="AD778" s="203" t="str">
        <f>VLOOKUP(AC778,★原価商品!$E$6:$F$349,2,FALSE)</f>
        <v>日経/B4（折り無し）</v>
      </c>
      <c r="AE778" s="203">
        <f t="shared" ca="1" si="98"/>
        <v>0</v>
      </c>
      <c r="AF778" s="383">
        <f ca="1">IFERROR(IF(VLOOKUP(申込書!$C$32,★サイズ表記!$F$4:$H$55,3,FALSE)="切り捨て",ROUNDDOWN(L778*IF(AK778="◎",I778,J778)/100,2),IF(VLOOKUP(申込書!$C$32,★サイズ表記!$F$4:$H$55,3,FALSE)="切り上げ",ROUNDUP(L778*IF(AK778="◎",I778,J778)/100,2),ROUND(L778*IF(AK778="◎",I778,J778)/100,2))),0)</f>
        <v>2.35</v>
      </c>
      <c r="AG778" s="203">
        <f t="shared" ca="1" si="99"/>
        <v>10561</v>
      </c>
      <c r="AJ778" s="460" t="str">
        <f>IFERROR(VLOOKUP(申込書!$C$30,★業種!$D$2:$E$87,2,FALSE),"")</f>
        <v>1003</v>
      </c>
      <c r="AK778" s="460" t="str">
        <f ca="1">IF(申込書!$C$36="◎",IF(OR(D778="浜坂・温泉",D778="美方・村岡",D778="香住",D778="岡山",D778="大阪"),"",IF(LEFT(F778)="D","◎",IF(AG778=0,"",IFERROR(IF(VLOOKUP(AG778,★仕入先!$A$2:$C$211,3,FALSE)=0,"","◎"),"")))),"")</f>
        <v/>
      </c>
      <c r="AL778" s="460">
        <f>申込書!$H$14</f>
        <v>0</v>
      </c>
      <c r="AM778" s="460" t="str">
        <f>申込書!$C$32</f>
        <v>B4（折り無し）</v>
      </c>
      <c r="AN778" s="460" t="str">
        <f>VLOOKUP(AM778,★サイズ表記!$D$4:$E$55,2,FALSE)</f>
        <v>1001</v>
      </c>
      <c r="AO778" s="460">
        <f>IF(C778&lt;&gt;"⑧兵庫",VLOOKUP(LEFT(F778),★新聞!$A$4:$B$12,2,FALSE),IF(LEFT(F778)&lt;&gt;"S",VLOOKUP(LEFT(F778),★新聞!$A$4:$B$12,2,FALSE),VLOOKUP("X",★新聞!$A$4:$B$12,2,FALSE)))</f>
        <v>7</v>
      </c>
      <c r="AP778" s="460" t="str">
        <f t="shared" ca="1" si="100"/>
        <v>0</v>
      </c>
      <c r="AQ778" s="460" t="str">
        <f>IF(申込書!$C$38="","",申込書!$C$38)</f>
        <v/>
      </c>
    </row>
    <row r="779" spans="1:43">
      <c r="A779" s="463">
        <f t="shared" si="101"/>
        <v>778</v>
      </c>
      <c r="B779" s="463" t="str">
        <f t="shared" si="94"/>
        <v>東部</v>
      </c>
      <c r="C779" s="464" t="s">
        <v>1019</v>
      </c>
      <c r="D779" s="464" t="s">
        <v>1603</v>
      </c>
      <c r="E779" s="464">
        <f>VLOOKUP(D779,★折込地区!$A$2:$D$10,4,FALSE)</f>
        <v>3</v>
      </c>
      <c r="F779" s="464" t="s">
        <v>519</v>
      </c>
      <c r="G779" s="464" t="str">
        <f>INDEX(★新聞!$E$4:$I$12, MATCH(LEFT(F779),★新聞!$A$4:$A$12,0), MATCH(LEFT(W779),★新聞!$E$3:$I$3,0))</f>
        <v>AP</v>
      </c>
      <c r="H779" s="555" t="s">
        <v>1102</v>
      </c>
      <c r="I779" s="464" cm="1">
        <f t="array" ref="I779">IFERROR(INDEX(★原価率!$A$2:$E$50,MATCH($C779&amp;$H779,★原価率!$A$2:$A$50&amp;★原価率!$B$2:$B$50,0),3),0)</f>
        <v>80</v>
      </c>
      <c r="J779" s="464" cm="1">
        <f t="array" ref="J779">IFERROR(INDEX(★原価率!$A$2:$E$50,MATCH($C779&amp;$H779,★原価率!$A$2:$A$50&amp;★原価率!$B$2:$B$50,0),4),0)</f>
        <v>84</v>
      </c>
      <c r="K779" s="464" cm="1">
        <f t="array" ref="K779">IFERROR(INDEX(★原価率!$A$2:$E$50,MATCH($C779&amp;$H779,★原価率!$A$2:$A$50&amp;★原価率!$B$2:$B$50,0),5),0)</f>
        <v>100</v>
      </c>
      <c r="L779" s="528">
        <f>IFERROR(VLOOKUP(W779,★商品!$A$1:$H$1231,8,FALSE),0)</f>
        <v>2.8</v>
      </c>
      <c r="M779" s="203" t="str">
        <f ca="1">CONCATENATE(VLOOKUP(B779,★営業所!$A$2:$B$5,2,FALSE),TEXT(NOW(),"yyyy"))</f>
        <v>T2023</v>
      </c>
      <c r="N779" s="203">
        <v>1</v>
      </c>
      <c r="O779" s="203">
        <v>0</v>
      </c>
      <c r="P779" s="213">
        <f>申込書!$B$6</f>
        <v>0</v>
      </c>
      <c r="Q779" s="203">
        <f>申込書!$C$34</f>
        <v>1000040</v>
      </c>
      <c r="R779" s="203">
        <v>0</v>
      </c>
      <c r="U779" s="203">
        <f>VLOOKUP(B779,★営業所!$A$2:$C$5,3,FALSE)</f>
        <v>8</v>
      </c>
      <c r="V779" s="203">
        <f>申込書!$B$9</f>
        <v>0</v>
      </c>
      <c r="W779" s="203" t="str">
        <f>CONCATENATE(VLOOKUP(B779,★営業所!$A$2:$B$5,2,FALSE),VLOOKUP(申込書!$C$32,★サイズ表記!$D$4:$E$55,2,FALSE),VLOOKUP(D779,★折込地区!$A$2:$B$11,2,FALSE))</f>
        <v>T1001Yng</v>
      </c>
      <c r="X779" s="203" t="str">
        <f>CONCATENATE(申込書!$B$9," ",VLOOKUP(RIGHT(W779,3),★折込地区!$B$2:$C$10,2,FALSE),"")</f>
        <v xml:space="preserve"> 米子</v>
      </c>
      <c r="Z779" s="206">
        <f t="shared" ca="1" si="95"/>
        <v>0</v>
      </c>
      <c r="AB779" s="383">
        <f t="shared" si="96"/>
        <v>2.8</v>
      </c>
      <c r="AC779" s="203" t="str">
        <f t="shared" si="97"/>
        <v>V1001</v>
      </c>
      <c r="AD779" s="203" t="str">
        <f>VLOOKUP(AC779,★原価商品!$E$6:$F$349,2,FALSE)</f>
        <v>日経/B4（折り無し）</v>
      </c>
      <c r="AE779" s="203">
        <f t="shared" ca="1" si="98"/>
        <v>0</v>
      </c>
      <c r="AF779" s="383">
        <f ca="1">IFERROR(IF(VLOOKUP(申込書!$C$32,★サイズ表記!$F$4:$H$55,3,FALSE)="切り捨て",ROUNDDOWN(L779*IF(AK779="◎",I779,J779)/100,2),IF(VLOOKUP(申込書!$C$32,★サイズ表記!$F$4:$H$55,3,FALSE)="切り上げ",ROUNDUP(L779*IF(AK779="◎",I779,J779)/100,2),ROUND(L779*IF(AK779="◎",I779,J779)/100,2))),0)</f>
        <v>2.35</v>
      </c>
      <c r="AG779" s="203">
        <f t="shared" ca="1" si="99"/>
        <v>10561</v>
      </c>
      <c r="AJ779" s="460" t="str">
        <f>IFERROR(VLOOKUP(申込書!$C$30,★業種!$D$2:$E$87,2,FALSE),"")</f>
        <v>1003</v>
      </c>
      <c r="AK779" s="460" t="str">
        <f ca="1">IF(申込書!$C$36="◎",IF(OR(D779="浜坂・温泉",D779="美方・村岡",D779="香住",D779="岡山",D779="大阪"),"",IF(LEFT(F779)="D","◎",IF(AG779=0,"",IFERROR(IF(VLOOKUP(AG779,★仕入先!$A$2:$C$211,3,FALSE)=0,"","◎"),"")))),"")</f>
        <v/>
      </c>
      <c r="AL779" s="460">
        <f>申込書!$H$14</f>
        <v>0</v>
      </c>
      <c r="AM779" s="460" t="str">
        <f>申込書!$C$32</f>
        <v>B4（折り無し）</v>
      </c>
      <c r="AN779" s="460" t="str">
        <f>VLOOKUP(AM779,★サイズ表記!$D$4:$E$55,2,FALSE)</f>
        <v>1001</v>
      </c>
      <c r="AO779" s="460">
        <f>IF(C779&lt;&gt;"⑧兵庫",VLOOKUP(LEFT(F779),★新聞!$A$4:$B$12,2,FALSE),IF(LEFT(F779)&lt;&gt;"S",VLOOKUP(LEFT(F779),★新聞!$A$4:$B$12,2,FALSE),VLOOKUP("X",★新聞!$A$4:$B$12,2,FALSE)))</f>
        <v>7</v>
      </c>
      <c r="AP779" s="460" t="str">
        <f t="shared" ca="1" si="100"/>
        <v>0</v>
      </c>
      <c r="AQ779" s="460" t="str">
        <f>IF(申込書!$C$38="","",申込書!$C$38)</f>
        <v/>
      </c>
    </row>
    <row r="780" spans="1:43">
      <c r="A780" s="463">
        <f t="shared" si="101"/>
        <v>779</v>
      </c>
      <c r="B780" s="463" t="str">
        <f t="shared" si="94"/>
        <v>東部</v>
      </c>
      <c r="C780" s="464" t="s">
        <v>1019</v>
      </c>
      <c r="D780" s="464" t="s">
        <v>1603</v>
      </c>
      <c r="E780" s="464">
        <f>VLOOKUP(D780,★折込地区!$A$2:$D$10,4,FALSE)</f>
        <v>3</v>
      </c>
      <c r="F780" s="464" t="s">
        <v>520</v>
      </c>
      <c r="G780" s="464" t="str">
        <f>INDEX(★新聞!$E$4:$I$12, MATCH(LEFT(F780),★新聞!$A$4:$A$12,0), MATCH(LEFT(W780),★新聞!$E$3:$I$3,0))</f>
        <v>AP</v>
      </c>
      <c r="H780" s="555" t="s">
        <v>1102</v>
      </c>
      <c r="I780" s="464" cm="1">
        <f t="array" ref="I780">IFERROR(INDEX(★原価率!$A$2:$E$50,MATCH($C780&amp;$H780,★原価率!$A$2:$A$50&amp;★原価率!$B$2:$B$50,0),3),0)</f>
        <v>80</v>
      </c>
      <c r="J780" s="464" cm="1">
        <f t="array" ref="J780">IFERROR(INDEX(★原価率!$A$2:$E$50,MATCH($C780&amp;$H780,★原価率!$A$2:$A$50&amp;★原価率!$B$2:$B$50,0),4),0)</f>
        <v>84</v>
      </c>
      <c r="K780" s="464" cm="1">
        <f t="array" ref="K780">IFERROR(INDEX(★原価率!$A$2:$E$50,MATCH($C780&amp;$H780,★原価率!$A$2:$A$50&amp;★原価率!$B$2:$B$50,0),5),0)</f>
        <v>100</v>
      </c>
      <c r="L780" s="528">
        <f>IFERROR(VLOOKUP(W780,★商品!$A$1:$H$1231,8,FALSE),0)</f>
        <v>2.8</v>
      </c>
      <c r="M780" s="203" t="str">
        <f ca="1">CONCATENATE(VLOOKUP(B780,★営業所!$A$2:$B$5,2,FALSE),TEXT(NOW(),"yyyy"))</f>
        <v>T2023</v>
      </c>
      <c r="N780" s="203">
        <v>1</v>
      </c>
      <c r="O780" s="203">
        <v>0</v>
      </c>
      <c r="P780" s="213">
        <f>申込書!$B$6</f>
        <v>0</v>
      </c>
      <c r="Q780" s="203">
        <f>申込書!$C$34</f>
        <v>1000040</v>
      </c>
      <c r="R780" s="203">
        <v>0</v>
      </c>
      <c r="U780" s="203">
        <f>VLOOKUP(B780,★営業所!$A$2:$C$5,3,FALSE)</f>
        <v>8</v>
      </c>
      <c r="V780" s="203">
        <f>申込書!$B$9</f>
        <v>0</v>
      </c>
      <c r="W780" s="203" t="str">
        <f>CONCATENATE(VLOOKUP(B780,★営業所!$A$2:$B$5,2,FALSE),VLOOKUP(申込書!$C$32,★サイズ表記!$D$4:$E$55,2,FALSE),VLOOKUP(D780,★折込地区!$A$2:$B$11,2,FALSE))</f>
        <v>T1001Yng</v>
      </c>
      <c r="X780" s="203" t="str">
        <f>CONCATENATE(申込書!$B$9," ",VLOOKUP(RIGHT(W780,3),★折込地区!$B$2:$C$10,2,FALSE),"")</f>
        <v xml:space="preserve"> 米子</v>
      </c>
      <c r="Z780" s="206">
        <f t="shared" ca="1" si="95"/>
        <v>0</v>
      </c>
      <c r="AB780" s="383">
        <f t="shared" si="96"/>
        <v>2.8</v>
      </c>
      <c r="AC780" s="203" t="str">
        <f t="shared" si="97"/>
        <v>V1001</v>
      </c>
      <c r="AD780" s="203" t="str">
        <f>VLOOKUP(AC780,★原価商品!$E$6:$F$349,2,FALSE)</f>
        <v>日経/B4（折り無し）</v>
      </c>
      <c r="AE780" s="203">
        <f t="shared" ca="1" si="98"/>
        <v>0</v>
      </c>
      <c r="AF780" s="383">
        <f ca="1">IFERROR(IF(VLOOKUP(申込書!$C$32,★サイズ表記!$F$4:$H$55,3,FALSE)="切り捨て",ROUNDDOWN(L780*IF(AK780="◎",I780,J780)/100,2),IF(VLOOKUP(申込書!$C$32,★サイズ表記!$F$4:$H$55,3,FALSE)="切り上げ",ROUNDUP(L780*IF(AK780="◎",I780,J780)/100,2),ROUND(L780*IF(AK780="◎",I780,J780)/100,2))),0)</f>
        <v>2.35</v>
      </c>
      <c r="AG780" s="203">
        <f t="shared" ca="1" si="99"/>
        <v>10561</v>
      </c>
      <c r="AJ780" s="460" t="str">
        <f>IFERROR(VLOOKUP(申込書!$C$30,★業種!$D$2:$E$87,2,FALSE),"")</f>
        <v>1003</v>
      </c>
      <c r="AK780" s="460" t="str">
        <f ca="1">IF(申込書!$C$36="◎",IF(OR(D780="浜坂・温泉",D780="美方・村岡",D780="香住",D780="岡山",D780="大阪"),"",IF(LEFT(F780)="D","◎",IF(AG780=0,"",IFERROR(IF(VLOOKUP(AG780,★仕入先!$A$2:$C$211,3,FALSE)=0,"","◎"),"")))),"")</f>
        <v/>
      </c>
      <c r="AL780" s="460">
        <f>申込書!$H$14</f>
        <v>0</v>
      </c>
      <c r="AM780" s="460" t="str">
        <f>申込書!$C$32</f>
        <v>B4（折り無し）</v>
      </c>
      <c r="AN780" s="460" t="str">
        <f>VLOOKUP(AM780,★サイズ表記!$D$4:$E$55,2,FALSE)</f>
        <v>1001</v>
      </c>
      <c r="AO780" s="460">
        <f>IF(C780&lt;&gt;"⑧兵庫",VLOOKUP(LEFT(F780),★新聞!$A$4:$B$12,2,FALSE),IF(LEFT(F780)&lt;&gt;"S",VLOOKUP(LEFT(F780),★新聞!$A$4:$B$12,2,FALSE),VLOOKUP("X",★新聞!$A$4:$B$12,2,FALSE)))</f>
        <v>7</v>
      </c>
      <c r="AP780" s="460" t="str">
        <f t="shared" ca="1" si="100"/>
        <v>0</v>
      </c>
      <c r="AQ780" s="460" t="str">
        <f>IF(申込書!$C$38="","",申込書!$C$38)</f>
        <v/>
      </c>
    </row>
    <row r="781" spans="1:43">
      <c r="A781" s="463">
        <f t="shared" si="101"/>
        <v>780</v>
      </c>
      <c r="B781" s="463" t="str">
        <f t="shared" si="94"/>
        <v>東部</v>
      </c>
      <c r="C781" s="464" t="s">
        <v>1019</v>
      </c>
      <c r="D781" s="464" t="s">
        <v>1603</v>
      </c>
      <c r="E781" s="464">
        <f>VLOOKUP(D781,★折込地区!$A$2:$D$10,4,FALSE)</f>
        <v>3</v>
      </c>
      <c r="F781" s="464" t="s">
        <v>521</v>
      </c>
      <c r="G781" s="464" t="str">
        <f>INDEX(★新聞!$E$4:$I$12, MATCH(LEFT(F781),★新聞!$A$4:$A$12,0), MATCH(LEFT(W781),★新聞!$E$3:$I$3,0))</f>
        <v>AP</v>
      </c>
      <c r="H781" s="475" t="s">
        <v>1104</v>
      </c>
      <c r="I781" s="464" cm="1">
        <f t="array" ref="I781">IFERROR(INDEX(★原価率!$A$2:$E$50,MATCH($C781&amp;$H781,★原価率!$A$2:$A$50&amp;★原価率!$B$2:$B$50,0),3),0)</f>
        <v>85</v>
      </c>
      <c r="J781" s="464" cm="1">
        <f t="array" ref="J781">IFERROR(INDEX(★原価率!$A$2:$E$50,MATCH($C781&amp;$H781,★原価率!$A$2:$A$50&amp;★原価率!$B$2:$B$50,0),4),0)</f>
        <v>85</v>
      </c>
      <c r="K781" s="464" cm="1">
        <f t="array" ref="K781">IFERROR(INDEX(★原価率!$A$2:$E$50,MATCH($C781&amp;$H781,★原価率!$A$2:$A$50&amp;★原価率!$B$2:$B$50,0),5),0)</f>
        <v>100</v>
      </c>
      <c r="L781" s="528">
        <f>IFERROR(VLOOKUP(W781,★商品!$A$1:$H$1231,8,FALSE),0)</f>
        <v>2.8</v>
      </c>
      <c r="M781" s="203" t="str">
        <f ca="1">CONCATENATE(VLOOKUP(B781,★営業所!$A$2:$B$5,2,FALSE),TEXT(NOW(),"yyyy"))</f>
        <v>T2023</v>
      </c>
      <c r="N781" s="203">
        <v>1</v>
      </c>
      <c r="O781" s="203">
        <v>0</v>
      </c>
      <c r="P781" s="213">
        <f>申込書!$B$6</f>
        <v>0</v>
      </c>
      <c r="Q781" s="203">
        <f>申込書!$C$34</f>
        <v>1000040</v>
      </c>
      <c r="R781" s="203">
        <v>0</v>
      </c>
      <c r="U781" s="203">
        <f>VLOOKUP(B781,★営業所!$A$2:$C$5,3,FALSE)</f>
        <v>8</v>
      </c>
      <c r="V781" s="203">
        <f>申込書!$B$9</f>
        <v>0</v>
      </c>
      <c r="W781" s="203" t="str">
        <f>CONCATENATE(VLOOKUP(B781,★営業所!$A$2:$B$5,2,FALSE),VLOOKUP(申込書!$C$32,★サイズ表記!$D$4:$E$55,2,FALSE),VLOOKUP(D781,★折込地区!$A$2:$B$11,2,FALSE))</f>
        <v>T1001Yng</v>
      </c>
      <c r="X781" s="203" t="str">
        <f>CONCATENATE(申込書!$B$9," ",VLOOKUP(RIGHT(W781,3),★折込地区!$B$2:$C$10,2,FALSE),"")</f>
        <v xml:space="preserve"> 米子</v>
      </c>
      <c r="Z781" s="206">
        <f t="shared" ca="1" si="95"/>
        <v>0</v>
      </c>
      <c r="AB781" s="383">
        <f t="shared" si="96"/>
        <v>2.8</v>
      </c>
      <c r="AC781" s="203" t="str">
        <f t="shared" si="97"/>
        <v>V1001</v>
      </c>
      <c r="AD781" s="203" t="str">
        <f>VLOOKUP(AC781,★原価商品!$E$6:$F$349,2,FALSE)</f>
        <v>日経/B4（折り無し）</v>
      </c>
      <c r="AE781" s="203">
        <f t="shared" ca="1" si="98"/>
        <v>0</v>
      </c>
      <c r="AF781" s="383">
        <f ca="1">IFERROR(IF(VLOOKUP(申込書!$C$32,★サイズ表記!$F$4:$H$55,3,FALSE)="切り捨て",ROUNDDOWN(L781*IF(AK781="◎",I781,J781)/100,2),IF(VLOOKUP(申込書!$C$32,★サイズ表記!$F$4:$H$55,3,FALSE)="切り上げ",ROUNDUP(L781*IF(AK781="◎",I781,J781)/100,2),ROUND(L781*IF(AK781="◎",I781,J781)/100,2))),0)</f>
        <v>2.38</v>
      </c>
      <c r="AG781" s="203">
        <f t="shared" ca="1" si="99"/>
        <v>0</v>
      </c>
      <c r="AJ781" s="460" t="str">
        <f>IFERROR(VLOOKUP(申込書!$C$30,★業種!$D$2:$E$87,2,FALSE),"")</f>
        <v>1003</v>
      </c>
      <c r="AK781" s="460" t="str">
        <f ca="1">IF(申込書!$C$36="◎",IF(OR(D781="浜坂・温泉",D781="美方・村岡",D781="香住",D781="岡山",D781="大阪"),"",IF(LEFT(F781)="D","◎",IF(AG781=0,"",IFERROR(IF(VLOOKUP(AG781,★仕入先!$A$2:$C$211,3,FALSE)=0,"","◎"),"")))),"")</f>
        <v/>
      </c>
      <c r="AL781" s="460">
        <f>申込書!$H$14</f>
        <v>0</v>
      </c>
      <c r="AM781" s="460" t="str">
        <f>申込書!$C$32</f>
        <v>B4（折り無し）</v>
      </c>
      <c r="AN781" s="460" t="str">
        <f>VLOOKUP(AM781,★サイズ表記!$D$4:$E$55,2,FALSE)</f>
        <v>1001</v>
      </c>
      <c r="AO781" s="460">
        <f>IF(C781&lt;&gt;"⑧兵庫",VLOOKUP(LEFT(F781),★新聞!$A$4:$B$12,2,FALSE),IF(LEFT(F781)&lt;&gt;"S",VLOOKUP(LEFT(F781),★新聞!$A$4:$B$12,2,FALSE),VLOOKUP("X",★新聞!$A$4:$B$12,2,FALSE)))</f>
        <v>7</v>
      </c>
      <c r="AP781" s="460" t="str">
        <f t="shared" ca="1" si="100"/>
        <v>0</v>
      </c>
      <c r="AQ781" s="460" t="str">
        <f>IF(申込書!$C$38="","",申込書!$C$38)</f>
        <v/>
      </c>
    </row>
    <row r="782" spans="1:43">
      <c r="A782" s="463">
        <f t="shared" si="101"/>
        <v>781</v>
      </c>
      <c r="B782" s="463" t="str">
        <f t="shared" si="94"/>
        <v>東部</v>
      </c>
      <c r="C782" s="464" t="s">
        <v>1019</v>
      </c>
      <c r="D782" s="464" t="s">
        <v>1603</v>
      </c>
      <c r="E782" s="464">
        <f>VLOOKUP(D782,★折込地区!$A$2:$D$10,4,FALSE)</f>
        <v>3</v>
      </c>
      <c r="F782" s="464" t="s">
        <v>525</v>
      </c>
      <c r="G782" s="464" t="str">
        <f>INDEX(★新聞!$E$4:$I$12, MATCH(LEFT(F782),★新聞!$A$4:$A$12,0), MATCH(LEFT(W782),★新聞!$E$3:$I$3,0))</f>
        <v>AP</v>
      </c>
      <c r="H782" s="555" t="s">
        <v>1102</v>
      </c>
      <c r="I782" s="464" cm="1">
        <f t="array" ref="I782">IFERROR(INDEX(★原価率!$A$2:$E$50,MATCH($C782&amp;$H782,★原価率!$A$2:$A$50&amp;★原価率!$B$2:$B$50,0),3),0)</f>
        <v>80</v>
      </c>
      <c r="J782" s="464" cm="1">
        <f t="array" ref="J782">IFERROR(INDEX(★原価率!$A$2:$E$50,MATCH($C782&amp;$H782,★原価率!$A$2:$A$50&amp;★原価率!$B$2:$B$50,0),4),0)</f>
        <v>84</v>
      </c>
      <c r="K782" s="464" cm="1">
        <f t="array" ref="K782">IFERROR(INDEX(★原価率!$A$2:$E$50,MATCH($C782&amp;$H782,★原価率!$A$2:$A$50&amp;★原価率!$B$2:$B$50,0),5),0)</f>
        <v>100</v>
      </c>
      <c r="L782" s="528">
        <f>IFERROR(VLOOKUP(W782,★商品!$A$1:$H$1231,8,FALSE),0)</f>
        <v>2.8</v>
      </c>
      <c r="M782" s="203" t="str">
        <f ca="1">CONCATENATE(VLOOKUP(B782,★営業所!$A$2:$B$5,2,FALSE),TEXT(NOW(),"yyyy"))</f>
        <v>T2023</v>
      </c>
      <c r="N782" s="203">
        <v>1</v>
      </c>
      <c r="O782" s="203">
        <v>0</v>
      </c>
      <c r="P782" s="213">
        <f>申込書!$B$6</f>
        <v>0</v>
      </c>
      <c r="Q782" s="203">
        <f>申込書!$C$34</f>
        <v>1000040</v>
      </c>
      <c r="R782" s="203">
        <v>0</v>
      </c>
      <c r="U782" s="203">
        <f>VLOOKUP(B782,★営業所!$A$2:$C$5,3,FALSE)</f>
        <v>8</v>
      </c>
      <c r="V782" s="203">
        <f>申込書!$B$9</f>
        <v>0</v>
      </c>
      <c r="W782" s="203" t="str">
        <f>CONCATENATE(VLOOKUP(B782,★営業所!$A$2:$B$5,2,FALSE),VLOOKUP(申込書!$C$32,★サイズ表記!$D$4:$E$55,2,FALSE),VLOOKUP(D782,★折込地区!$A$2:$B$11,2,FALSE))</f>
        <v>T1001Yng</v>
      </c>
      <c r="X782" s="203" t="str">
        <f>CONCATENATE(申込書!$B$9," ",VLOOKUP(RIGHT(W782,3),★折込地区!$B$2:$C$10,2,FALSE),"")</f>
        <v xml:space="preserve"> 米子</v>
      </c>
      <c r="Z782" s="206">
        <f t="shared" ca="1" si="95"/>
        <v>0</v>
      </c>
      <c r="AB782" s="383">
        <f t="shared" si="96"/>
        <v>2.8</v>
      </c>
      <c r="AC782" s="203" t="str">
        <f t="shared" si="97"/>
        <v>V1001</v>
      </c>
      <c r="AD782" s="203" t="str">
        <f>VLOOKUP(AC782,★原価商品!$E$6:$F$349,2,FALSE)</f>
        <v>日経/B4（折り無し）</v>
      </c>
      <c r="AE782" s="203">
        <f t="shared" ca="1" si="98"/>
        <v>0</v>
      </c>
      <c r="AF782" s="383">
        <f ca="1">IFERROR(IF(VLOOKUP(申込書!$C$32,★サイズ表記!$F$4:$H$55,3,FALSE)="切り捨て",ROUNDDOWN(L782*IF(AK782="◎",I782,J782)/100,2),IF(VLOOKUP(申込書!$C$32,★サイズ表記!$F$4:$H$55,3,FALSE)="切り上げ",ROUNDUP(L782*IF(AK782="◎",I782,J782)/100,2),ROUND(L782*IF(AK782="◎",I782,J782)/100,2))),0)</f>
        <v>2.35</v>
      </c>
      <c r="AG782" s="203">
        <f t="shared" ca="1" si="99"/>
        <v>10561</v>
      </c>
      <c r="AJ782" s="460" t="str">
        <f>IFERROR(VLOOKUP(申込書!$C$30,★業種!$D$2:$E$87,2,FALSE),"")</f>
        <v>1003</v>
      </c>
      <c r="AK782" s="460" t="str">
        <f ca="1">IF(申込書!$C$36="◎",IF(OR(D782="浜坂・温泉",D782="美方・村岡",D782="香住",D782="岡山",D782="大阪"),"",IF(LEFT(F782)="D","◎",IF(AG782=0,"",IFERROR(IF(VLOOKUP(AG782,★仕入先!$A$2:$C$211,3,FALSE)=0,"","◎"),"")))),"")</f>
        <v/>
      </c>
      <c r="AL782" s="460">
        <f>申込書!$H$14</f>
        <v>0</v>
      </c>
      <c r="AM782" s="460" t="str">
        <f>申込書!$C$32</f>
        <v>B4（折り無し）</v>
      </c>
      <c r="AN782" s="460" t="str">
        <f>VLOOKUP(AM782,★サイズ表記!$D$4:$E$55,2,FALSE)</f>
        <v>1001</v>
      </c>
      <c r="AO782" s="460">
        <f>IF(C782&lt;&gt;"⑧兵庫",VLOOKUP(LEFT(F782),★新聞!$A$4:$B$12,2,FALSE),IF(LEFT(F782)&lt;&gt;"S",VLOOKUP(LEFT(F782),★新聞!$A$4:$B$12,2,FALSE),VLOOKUP("X",★新聞!$A$4:$B$12,2,FALSE)))</f>
        <v>7</v>
      </c>
      <c r="AP782" s="460" t="str">
        <f t="shared" ca="1" si="100"/>
        <v>0</v>
      </c>
      <c r="AQ782" s="460" t="str">
        <f>IF(申込書!$C$38="","",申込書!$C$38)</f>
        <v/>
      </c>
    </row>
    <row r="783" spans="1:43">
      <c r="A783" s="463">
        <f t="shared" si="101"/>
        <v>782</v>
      </c>
      <c r="B783" s="463" t="str">
        <f t="shared" si="94"/>
        <v>東部</v>
      </c>
      <c r="C783" s="464" t="s">
        <v>1019</v>
      </c>
      <c r="D783" s="464" t="s">
        <v>1603</v>
      </c>
      <c r="E783" s="464">
        <f>VLOOKUP(D783,★折込地区!$A$2:$D$10,4,FALSE)</f>
        <v>3</v>
      </c>
      <c r="F783" s="464" t="s">
        <v>526</v>
      </c>
      <c r="G783" s="464" t="str">
        <f>INDEX(★新聞!$E$4:$I$12, MATCH(LEFT(F783),★新聞!$A$4:$A$12,0), MATCH(LEFT(W783),★新聞!$E$3:$I$3,0))</f>
        <v>AP</v>
      </c>
      <c r="H783" s="475" t="s">
        <v>1104</v>
      </c>
      <c r="I783" s="464" cm="1">
        <f t="array" ref="I783">IFERROR(INDEX(★原価率!$A$2:$E$50,MATCH($C783&amp;$H783,★原価率!$A$2:$A$50&amp;★原価率!$B$2:$B$50,0),3),0)</f>
        <v>85</v>
      </c>
      <c r="J783" s="464" cm="1">
        <f t="array" ref="J783">IFERROR(INDEX(★原価率!$A$2:$E$50,MATCH($C783&amp;$H783,★原価率!$A$2:$A$50&amp;★原価率!$B$2:$B$50,0),4),0)</f>
        <v>85</v>
      </c>
      <c r="K783" s="464" cm="1">
        <f t="array" ref="K783">IFERROR(INDEX(★原価率!$A$2:$E$50,MATCH($C783&amp;$H783,★原価率!$A$2:$A$50&amp;★原価率!$B$2:$B$50,0),5),0)</f>
        <v>100</v>
      </c>
      <c r="L783" s="528">
        <f>IFERROR(VLOOKUP(W783,★商品!$A$1:$H$1231,8,FALSE),0)</f>
        <v>2.8</v>
      </c>
      <c r="M783" s="203" t="str">
        <f ca="1">CONCATENATE(VLOOKUP(B783,★営業所!$A$2:$B$5,2,FALSE),TEXT(NOW(),"yyyy"))</f>
        <v>T2023</v>
      </c>
      <c r="N783" s="203">
        <v>1</v>
      </c>
      <c r="O783" s="203">
        <v>0</v>
      </c>
      <c r="P783" s="213">
        <f>申込書!$B$6</f>
        <v>0</v>
      </c>
      <c r="Q783" s="203">
        <f>申込書!$C$34</f>
        <v>1000040</v>
      </c>
      <c r="R783" s="203">
        <v>0</v>
      </c>
      <c r="U783" s="203">
        <f>VLOOKUP(B783,★営業所!$A$2:$C$5,3,FALSE)</f>
        <v>8</v>
      </c>
      <c r="V783" s="203">
        <f>申込書!$B$9</f>
        <v>0</v>
      </c>
      <c r="W783" s="203" t="str">
        <f>CONCATENATE(VLOOKUP(B783,★営業所!$A$2:$B$5,2,FALSE),VLOOKUP(申込書!$C$32,★サイズ表記!$D$4:$E$55,2,FALSE),VLOOKUP(D783,★折込地区!$A$2:$B$11,2,FALSE))</f>
        <v>T1001Yng</v>
      </c>
      <c r="X783" s="203" t="str">
        <f>CONCATENATE(申込書!$B$9," ",VLOOKUP(RIGHT(W783,3),★折込地区!$B$2:$C$10,2,FALSE),"")</f>
        <v xml:space="preserve"> 米子</v>
      </c>
      <c r="Z783" s="206">
        <f t="shared" ca="1" si="95"/>
        <v>0</v>
      </c>
      <c r="AB783" s="383">
        <f t="shared" si="96"/>
        <v>2.8</v>
      </c>
      <c r="AC783" s="203" t="str">
        <f t="shared" si="97"/>
        <v>V1001</v>
      </c>
      <c r="AD783" s="203" t="str">
        <f>VLOOKUP(AC783,★原価商品!$E$6:$F$349,2,FALSE)</f>
        <v>日経/B4（折り無し）</v>
      </c>
      <c r="AE783" s="203">
        <f t="shared" ca="1" si="98"/>
        <v>0</v>
      </c>
      <c r="AF783" s="383">
        <f ca="1">IFERROR(IF(VLOOKUP(申込書!$C$32,★サイズ表記!$F$4:$H$55,3,FALSE)="切り捨て",ROUNDDOWN(L783*IF(AK783="◎",I783,J783)/100,2),IF(VLOOKUP(申込書!$C$32,★サイズ表記!$F$4:$H$55,3,FALSE)="切り上げ",ROUNDUP(L783*IF(AK783="◎",I783,J783)/100,2),ROUND(L783*IF(AK783="◎",I783,J783)/100,2))),0)</f>
        <v>2.38</v>
      </c>
      <c r="AG783" s="203">
        <f t="shared" ca="1" si="99"/>
        <v>10561</v>
      </c>
      <c r="AJ783" s="460" t="str">
        <f>IFERROR(VLOOKUP(申込書!$C$30,★業種!$D$2:$E$87,2,FALSE),"")</f>
        <v>1003</v>
      </c>
      <c r="AK783" s="460" t="str">
        <f ca="1">IF(申込書!$C$36="◎",IF(OR(D783="浜坂・温泉",D783="美方・村岡",D783="香住",D783="岡山",D783="大阪"),"",IF(LEFT(F783)="D","◎",IF(AG783=0,"",IFERROR(IF(VLOOKUP(AG783,★仕入先!$A$2:$C$211,3,FALSE)=0,"","◎"),"")))),"")</f>
        <v/>
      </c>
      <c r="AL783" s="460">
        <f>申込書!$H$14</f>
        <v>0</v>
      </c>
      <c r="AM783" s="460" t="str">
        <f>申込書!$C$32</f>
        <v>B4（折り無し）</v>
      </c>
      <c r="AN783" s="460" t="str">
        <f>VLOOKUP(AM783,★サイズ表記!$D$4:$E$55,2,FALSE)</f>
        <v>1001</v>
      </c>
      <c r="AO783" s="460">
        <f>IF(C783&lt;&gt;"⑧兵庫",VLOOKUP(LEFT(F783),★新聞!$A$4:$B$12,2,FALSE),IF(LEFT(F783)&lt;&gt;"S",VLOOKUP(LEFT(F783),★新聞!$A$4:$B$12,2,FALSE),VLOOKUP("X",★新聞!$A$4:$B$12,2,FALSE)))</f>
        <v>7</v>
      </c>
      <c r="AP783" s="460" t="str">
        <f t="shared" ca="1" si="100"/>
        <v>0</v>
      </c>
      <c r="AQ783" s="460" t="str">
        <f>IF(申込書!$C$38="","",申込書!$C$38)</f>
        <v/>
      </c>
    </row>
    <row r="784" spans="1:43">
      <c r="A784" s="463">
        <f t="shared" si="101"/>
        <v>783</v>
      </c>
      <c r="B784" s="463" t="str">
        <f t="shared" si="94"/>
        <v>東部</v>
      </c>
      <c r="C784" s="464" t="s">
        <v>1019</v>
      </c>
      <c r="D784" s="464" t="s">
        <v>1603</v>
      </c>
      <c r="E784" s="464">
        <f>VLOOKUP(D784,★折込地区!$A$2:$D$10,4,FALSE)</f>
        <v>3</v>
      </c>
      <c r="F784" s="464" t="s">
        <v>527</v>
      </c>
      <c r="G784" s="464" t="str">
        <f>INDEX(★新聞!$E$4:$I$12, MATCH(LEFT(F784),★新聞!$A$4:$A$12,0), MATCH(LEFT(W784),★新聞!$E$3:$I$3,0))</f>
        <v>AP</v>
      </c>
      <c r="H784" s="555" t="s">
        <v>1102</v>
      </c>
      <c r="I784" s="464" cm="1">
        <f t="array" ref="I784">IFERROR(INDEX(★原価率!$A$2:$E$50,MATCH($C784&amp;$H784,★原価率!$A$2:$A$50&amp;★原価率!$B$2:$B$50,0),3),0)</f>
        <v>80</v>
      </c>
      <c r="J784" s="464" cm="1">
        <f t="array" ref="J784">IFERROR(INDEX(★原価率!$A$2:$E$50,MATCH($C784&amp;$H784,★原価率!$A$2:$A$50&amp;★原価率!$B$2:$B$50,0),4),0)</f>
        <v>84</v>
      </c>
      <c r="K784" s="464" cm="1">
        <f t="array" ref="K784">IFERROR(INDEX(★原価率!$A$2:$E$50,MATCH($C784&amp;$H784,★原価率!$A$2:$A$50&amp;★原価率!$B$2:$B$50,0),5),0)</f>
        <v>100</v>
      </c>
      <c r="L784" s="528">
        <f>IFERROR(VLOOKUP(W784,★商品!$A$1:$H$1231,8,FALSE),0)</f>
        <v>2.8</v>
      </c>
      <c r="M784" s="203" t="str">
        <f ca="1">CONCATENATE(VLOOKUP(B784,★営業所!$A$2:$B$5,2,FALSE),TEXT(NOW(),"yyyy"))</f>
        <v>T2023</v>
      </c>
      <c r="N784" s="203">
        <v>1</v>
      </c>
      <c r="O784" s="203">
        <v>0</v>
      </c>
      <c r="P784" s="213">
        <f>申込書!$B$6</f>
        <v>0</v>
      </c>
      <c r="Q784" s="203">
        <f>申込書!$C$34</f>
        <v>1000040</v>
      </c>
      <c r="R784" s="203">
        <v>0</v>
      </c>
      <c r="U784" s="203">
        <f>VLOOKUP(B784,★営業所!$A$2:$C$5,3,FALSE)</f>
        <v>8</v>
      </c>
      <c r="V784" s="203">
        <f>申込書!$B$9</f>
        <v>0</v>
      </c>
      <c r="W784" s="203" t="str">
        <f>CONCATENATE(VLOOKUP(B784,★営業所!$A$2:$B$5,2,FALSE),VLOOKUP(申込書!$C$32,★サイズ表記!$D$4:$E$55,2,FALSE),VLOOKUP(D784,★折込地区!$A$2:$B$11,2,FALSE))</f>
        <v>T1001Yng</v>
      </c>
      <c r="X784" s="203" t="str">
        <f>CONCATENATE(申込書!$B$9," ",VLOOKUP(RIGHT(W784,3),★折込地区!$B$2:$C$10,2,FALSE),"")</f>
        <v xml:space="preserve"> 米子</v>
      </c>
      <c r="Z784" s="206">
        <f t="shared" ca="1" si="95"/>
        <v>0</v>
      </c>
      <c r="AB784" s="383">
        <f t="shared" si="96"/>
        <v>2.8</v>
      </c>
      <c r="AC784" s="203" t="str">
        <f t="shared" si="97"/>
        <v>V1001</v>
      </c>
      <c r="AD784" s="203" t="str">
        <f>VLOOKUP(AC784,★原価商品!$E$6:$F$349,2,FALSE)</f>
        <v>日経/B4（折り無し）</v>
      </c>
      <c r="AE784" s="203">
        <f t="shared" ca="1" si="98"/>
        <v>0</v>
      </c>
      <c r="AF784" s="383">
        <f ca="1">IFERROR(IF(VLOOKUP(申込書!$C$32,★サイズ表記!$F$4:$H$55,3,FALSE)="切り捨て",ROUNDDOWN(L784*IF(AK784="◎",I784,J784)/100,2),IF(VLOOKUP(申込書!$C$32,★サイズ表記!$F$4:$H$55,3,FALSE)="切り上げ",ROUNDUP(L784*IF(AK784="◎",I784,J784)/100,2),ROUND(L784*IF(AK784="◎",I784,J784)/100,2))),0)</f>
        <v>2.35</v>
      </c>
      <c r="AG784" s="203">
        <f t="shared" ca="1" si="99"/>
        <v>10561</v>
      </c>
      <c r="AJ784" s="460" t="str">
        <f>IFERROR(VLOOKUP(申込書!$C$30,★業種!$D$2:$E$87,2,FALSE),"")</f>
        <v>1003</v>
      </c>
      <c r="AK784" s="460" t="str">
        <f ca="1">IF(申込書!$C$36="◎",IF(OR(D784="浜坂・温泉",D784="美方・村岡",D784="香住",D784="岡山",D784="大阪"),"",IF(LEFT(F784)="D","◎",IF(AG784=0,"",IFERROR(IF(VLOOKUP(AG784,★仕入先!$A$2:$C$211,3,FALSE)=0,"","◎"),"")))),"")</f>
        <v/>
      </c>
      <c r="AL784" s="460">
        <f>申込書!$H$14</f>
        <v>0</v>
      </c>
      <c r="AM784" s="460" t="str">
        <f>申込書!$C$32</f>
        <v>B4（折り無し）</v>
      </c>
      <c r="AN784" s="460" t="str">
        <f>VLOOKUP(AM784,★サイズ表記!$D$4:$E$55,2,FALSE)</f>
        <v>1001</v>
      </c>
      <c r="AO784" s="460">
        <f>IF(C784&lt;&gt;"⑧兵庫",VLOOKUP(LEFT(F784),★新聞!$A$4:$B$12,2,FALSE),IF(LEFT(F784)&lt;&gt;"S",VLOOKUP(LEFT(F784),★新聞!$A$4:$B$12,2,FALSE),VLOOKUP("X",★新聞!$A$4:$B$12,2,FALSE)))</f>
        <v>7</v>
      </c>
      <c r="AP784" s="460" t="str">
        <f t="shared" ca="1" si="100"/>
        <v>0</v>
      </c>
      <c r="AQ784" s="460" t="str">
        <f>IF(申込書!$C$38="","",申込書!$C$38)</f>
        <v/>
      </c>
    </row>
    <row r="785" spans="1:43">
      <c r="A785" s="463">
        <f t="shared" si="101"/>
        <v>784</v>
      </c>
      <c r="B785" s="463" t="str">
        <f t="shared" si="94"/>
        <v>東部</v>
      </c>
      <c r="C785" s="464" t="s">
        <v>1019</v>
      </c>
      <c r="D785" s="464" t="s">
        <v>1603</v>
      </c>
      <c r="E785" s="464">
        <f>VLOOKUP(D785,★折込地区!$A$2:$D$10,4,FALSE)</f>
        <v>3</v>
      </c>
      <c r="F785" s="464" t="s">
        <v>528</v>
      </c>
      <c r="G785" s="464" t="str">
        <f>INDEX(★新聞!$E$4:$I$12, MATCH(LEFT(F785),★新聞!$A$4:$A$12,0), MATCH(LEFT(W785),★新聞!$E$3:$I$3,0))</f>
        <v>AP</v>
      </c>
      <c r="H785" s="555" t="s">
        <v>1102</v>
      </c>
      <c r="I785" s="464" cm="1">
        <f t="array" ref="I785">IFERROR(INDEX(★原価率!$A$2:$E$50,MATCH($C785&amp;$H785,★原価率!$A$2:$A$50&amp;★原価率!$B$2:$B$50,0),3),0)</f>
        <v>80</v>
      </c>
      <c r="J785" s="464" cm="1">
        <f t="array" ref="J785">IFERROR(INDEX(★原価率!$A$2:$E$50,MATCH($C785&amp;$H785,★原価率!$A$2:$A$50&amp;★原価率!$B$2:$B$50,0),4),0)</f>
        <v>84</v>
      </c>
      <c r="K785" s="464" cm="1">
        <f t="array" ref="K785">IFERROR(INDEX(★原価率!$A$2:$E$50,MATCH($C785&amp;$H785,★原価率!$A$2:$A$50&amp;★原価率!$B$2:$B$50,0),5),0)</f>
        <v>100</v>
      </c>
      <c r="L785" s="528">
        <f>IFERROR(VLOOKUP(W785,★商品!$A$1:$H$1231,8,FALSE),0)</f>
        <v>2.8</v>
      </c>
      <c r="M785" s="203" t="str">
        <f ca="1">CONCATENATE(VLOOKUP(B785,★営業所!$A$2:$B$5,2,FALSE),TEXT(NOW(),"yyyy"))</f>
        <v>T2023</v>
      </c>
      <c r="N785" s="203">
        <v>1</v>
      </c>
      <c r="O785" s="203">
        <v>0</v>
      </c>
      <c r="P785" s="213">
        <f>申込書!$B$6</f>
        <v>0</v>
      </c>
      <c r="Q785" s="203">
        <f>申込書!$C$34</f>
        <v>1000040</v>
      </c>
      <c r="R785" s="203">
        <v>0</v>
      </c>
      <c r="U785" s="203">
        <f>VLOOKUP(B785,★営業所!$A$2:$C$5,3,FALSE)</f>
        <v>8</v>
      </c>
      <c r="V785" s="203">
        <f>申込書!$B$9</f>
        <v>0</v>
      </c>
      <c r="W785" s="203" t="str">
        <f>CONCATENATE(VLOOKUP(B785,★営業所!$A$2:$B$5,2,FALSE),VLOOKUP(申込書!$C$32,★サイズ表記!$D$4:$E$55,2,FALSE),VLOOKUP(D785,★折込地区!$A$2:$B$11,2,FALSE))</f>
        <v>T1001Yng</v>
      </c>
      <c r="X785" s="203" t="str">
        <f>CONCATENATE(申込書!$B$9," ",VLOOKUP(RIGHT(W785,3),★折込地区!$B$2:$C$10,2,FALSE),"")</f>
        <v xml:space="preserve"> 米子</v>
      </c>
      <c r="Z785" s="206">
        <f t="shared" ca="1" si="95"/>
        <v>0</v>
      </c>
      <c r="AB785" s="383">
        <f t="shared" si="96"/>
        <v>2.8</v>
      </c>
      <c r="AC785" s="203" t="str">
        <f t="shared" si="97"/>
        <v>V1001</v>
      </c>
      <c r="AD785" s="203" t="str">
        <f>VLOOKUP(AC785,★原価商品!$E$6:$F$349,2,FALSE)</f>
        <v>日経/B4（折り無し）</v>
      </c>
      <c r="AE785" s="203">
        <f t="shared" ca="1" si="98"/>
        <v>0</v>
      </c>
      <c r="AF785" s="383">
        <f ca="1">IFERROR(IF(VLOOKUP(申込書!$C$32,★サイズ表記!$F$4:$H$55,3,FALSE)="切り捨て",ROUNDDOWN(L785*IF(AK785="◎",I785,J785)/100,2),IF(VLOOKUP(申込書!$C$32,★サイズ表記!$F$4:$H$55,3,FALSE)="切り上げ",ROUNDUP(L785*IF(AK785="◎",I785,J785)/100,2),ROUND(L785*IF(AK785="◎",I785,J785)/100,2))),0)</f>
        <v>2.35</v>
      </c>
      <c r="AG785" s="203">
        <f t="shared" ca="1" si="99"/>
        <v>10561</v>
      </c>
      <c r="AJ785" s="460" t="str">
        <f>IFERROR(VLOOKUP(申込書!$C$30,★業種!$D$2:$E$87,2,FALSE),"")</f>
        <v>1003</v>
      </c>
      <c r="AK785" s="460" t="str">
        <f ca="1">IF(申込書!$C$36="◎",IF(OR(D785="浜坂・温泉",D785="美方・村岡",D785="香住",D785="岡山",D785="大阪"),"",IF(LEFT(F785)="D","◎",IF(AG785=0,"",IFERROR(IF(VLOOKUP(AG785,★仕入先!$A$2:$C$211,3,FALSE)=0,"","◎"),"")))),"")</f>
        <v/>
      </c>
      <c r="AL785" s="460">
        <f>申込書!$H$14</f>
        <v>0</v>
      </c>
      <c r="AM785" s="460" t="str">
        <f>申込書!$C$32</f>
        <v>B4（折り無し）</v>
      </c>
      <c r="AN785" s="460" t="str">
        <f>VLOOKUP(AM785,★サイズ表記!$D$4:$E$55,2,FALSE)</f>
        <v>1001</v>
      </c>
      <c r="AO785" s="460">
        <f>IF(C785&lt;&gt;"⑧兵庫",VLOOKUP(LEFT(F785),★新聞!$A$4:$B$12,2,FALSE),IF(LEFT(F785)&lt;&gt;"S",VLOOKUP(LEFT(F785),★新聞!$A$4:$B$12,2,FALSE),VLOOKUP("X",★新聞!$A$4:$B$12,2,FALSE)))</f>
        <v>7</v>
      </c>
      <c r="AP785" s="460" t="str">
        <f t="shared" ca="1" si="100"/>
        <v>0</v>
      </c>
      <c r="AQ785" s="460" t="str">
        <f>IF(申込書!$C$38="","",申込書!$C$38)</f>
        <v/>
      </c>
    </row>
    <row r="786" spans="1:43">
      <c r="A786" s="463">
        <f t="shared" si="101"/>
        <v>785</v>
      </c>
      <c r="B786" s="463" t="str">
        <f t="shared" si="94"/>
        <v>東部</v>
      </c>
      <c r="C786" s="464" t="s">
        <v>1019</v>
      </c>
      <c r="D786" s="464" t="s">
        <v>1603</v>
      </c>
      <c r="E786" s="464">
        <f>VLOOKUP(D786,★折込地区!$A$2:$D$10,4,FALSE)</f>
        <v>3</v>
      </c>
      <c r="F786" s="464" t="s">
        <v>529</v>
      </c>
      <c r="G786" s="464" t="str">
        <f>INDEX(★新聞!$E$4:$I$12, MATCH(LEFT(F786),★新聞!$A$4:$A$12,0), MATCH(LEFT(W786),★新聞!$E$3:$I$3,0))</f>
        <v>AP</v>
      </c>
      <c r="H786" s="555" t="s">
        <v>1102</v>
      </c>
      <c r="I786" s="464" cm="1">
        <f t="array" ref="I786">IFERROR(INDEX(★原価率!$A$2:$E$50,MATCH($C786&amp;$H786,★原価率!$A$2:$A$50&amp;★原価率!$B$2:$B$50,0),3),0)</f>
        <v>80</v>
      </c>
      <c r="J786" s="464" cm="1">
        <f t="array" ref="J786">IFERROR(INDEX(★原価率!$A$2:$E$50,MATCH($C786&amp;$H786,★原価率!$A$2:$A$50&amp;★原価率!$B$2:$B$50,0),4),0)</f>
        <v>84</v>
      </c>
      <c r="K786" s="464" cm="1">
        <f t="array" ref="K786">IFERROR(INDEX(★原価率!$A$2:$E$50,MATCH($C786&amp;$H786,★原価率!$A$2:$A$50&amp;★原価率!$B$2:$B$50,0),5),0)</f>
        <v>100</v>
      </c>
      <c r="L786" s="528">
        <f>IFERROR(VLOOKUP(W786,★商品!$A$1:$H$1231,8,FALSE),0)</f>
        <v>2.8</v>
      </c>
      <c r="M786" s="203" t="str">
        <f ca="1">CONCATENATE(VLOOKUP(B786,★営業所!$A$2:$B$5,2,FALSE),TEXT(NOW(),"yyyy"))</f>
        <v>T2023</v>
      </c>
      <c r="N786" s="203">
        <v>1</v>
      </c>
      <c r="O786" s="203">
        <v>0</v>
      </c>
      <c r="P786" s="213">
        <f>申込書!$B$6</f>
        <v>0</v>
      </c>
      <c r="Q786" s="203">
        <f>申込書!$C$34</f>
        <v>1000040</v>
      </c>
      <c r="R786" s="203">
        <v>0</v>
      </c>
      <c r="U786" s="203">
        <f>VLOOKUP(B786,★営業所!$A$2:$C$5,3,FALSE)</f>
        <v>8</v>
      </c>
      <c r="V786" s="203">
        <f>申込書!$B$9</f>
        <v>0</v>
      </c>
      <c r="W786" s="203" t="str">
        <f>CONCATENATE(VLOOKUP(B786,★営業所!$A$2:$B$5,2,FALSE),VLOOKUP(申込書!$C$32,★サイズ表記!$D$4:$E$55,2,FALSE),VLOOKUP(D786,★折込地区!$A$2:$B$11,2,FALSE))</f>
        <v>T1001Yng</v>
      </c>
      <c r="X786" s="203" t="str">
        <f>CONCATENATE(申込書!$B$9," ",VLOOKUP(RIGHT(W786,3),★折込地区!$B$2:$C$10,2,FALSE),"")</f>
        <v xml:space="preserve"> 米子</v>
      </c>
      <c r="Z786" s="206">
        <f t="shared" ca="1" si="95"/>
        <v>0</v>
      </c>
      <c r="AB786" s="383">
        <f t="shared" si="96"/>
        <v>2.8</v>
      </c>
      <c r="AC786" s="203" t="str">
        <f t="shared" si="97"/>
        <v>V1001</v>
      </c>
      <c r="AD786" s="203" t="str">
        <f>VLOOKUP(AC786,★原価商品!$E$6:$F$349,2,FALSE)</f>
        <v>日経/B4（折り無し）</v>
      </c>
      <c r="AE786" s="203">
        <f t="shared" ca="1" si="98"/>
        <v>0</v>
      </c>
      <c r="AF786" s="383">
        <f ca="1">IFERROR(IF(VLOOKUP(申込書!$C$32,★サイズ表記!$F$4:$H$55,3,FALSE)="切り捨て",ROUNDDOWN(L786*IF(AK786="◎",I786,J786)/100,2),IF(VLOOKUP(申込書!$C$32,★サイズ表記!$F$4:$H$55,3,FALSE)="切り上げ",ROUNDUP(L786*IF(AK786="◎",I786,J786)/100,2),ROUND(L786*IF(AK786="◎",I786,J786)/100,2))),0)</f>
        <v>2.35</v>
      </c>
      <c r="AG786" s="203">
        <f t="shared" ca="1" si="99"/>
        <v>10561</v>
      </c>
      <c r="AJ786" s="460" t="str">
        <f>IFERROR(VLOOKUP(申込書!$C$30,★業種!$D$2:$E$87,2,FALSE),"")</f>
        <v>1003</v>
      </c>
      <c r="AK786" s="460" t="str">
        <f ca="1">IF(申込書!$C$36="◎",IF(OR(D786="浜坂・温泉",D786="美方・村岡",D786="香住",D786="岡山",D786="大阪"),"",IF(LEFT(F786)="D","◎",IF(AG786=0,"",IFERROR(IF(VLOOKUP(AG786,★仕入先!$A$2:$C$211,3,FALSE)=0,"","◎"),"")))),"")</f>
        <v/>
      </c>
      <c r="AL786" s="460">
        <f>申込書!$H$14</f>
        <v>0</v>
      </c>
      <c r="AM786" s="460" t="str">
        <f>申込書!$C$32</f>
        <v>B4（折り無し）</v>
      </c>
      <c r="AN786" s="460" t="str">
        <f>VLOOKUP(AM786,★サイズ表記!$D$4:$E$55,2,FALSE)</f>
        <v>1001</v>
      </c>
      <c r="AO786" s="460">
        <f>IF(C786&lt;&gt;"⑧兵庫",VLOOKUP(LEFT(F786),★新聞!$A$4:$B$12,2,FALSE),IF(LEFT(F786)&lt;&gt;"S",VLOOKUP(LEFT(F786),★新聞!$A$4:$B$12,2,FALSE),VLOOKUP("X",★新聞!$A$4:$B$12,2,FALSE)))</f>
        <v>7</v>
      </c>
      <c r="AP786" s="460" t="str">
        <f t="shared" ca="1" si="100"/>
        <v>0</v>
      </c>
      <c r="AQ786" s="460" t="str">
        <f>IF(申込書!$C$38="","",申込書!$C$38)</f>
        <v/>
      </c>
    </row>
    <row r="787" spans="1:43">
      <c r="A787" s="463">
        <f t="shared" si="101"/>
        <v>786</v>
      </c>
      <c r="B787" s="463" t="str">
        <f t="shared" si="94"/>
        <v>東部</v>
      </c>
      <c r="C787" s="464" t="s">
        <v>1019</v>
      </c>
      <c r="D787" s="464" t="s">
        <v>1603</v>
      </c>
      <c r="E787" s="464">
        <f>VLOOKUP(D787,★折込地区!$A$2:$D$10,4,FALSE)</f>
        <v>3</v>
      </c>
      <c r="F787" s="464" t="s">
        <v>530</v>
      </c>
      <c r="G787" s="464" t="str">
        <f>INDEX(★新聞!$E$4:$I$12, MATCH(LEFT(F787),★新聞!$A$4:$A$12,0), MATCH(LEFT(W787),★新聞!$E$3:$I$3,0))</f>
        <v>AP</v>
      </c>
      <c r="H787" s="555" t="s">
        <v>1102</v>
      </c>
      <c r="I787" s="464" cm="1">
        <f t="array" ref="I787">IFERROR(INDEX(★原価率!$A$2:$E$50,MATCH($C787&amp;$H787,★原価率!$A$2:$A$50&amp;★原価率!$B$2:$B$50,0),3),0)</f>
        <v>80</v>
      </c>
      <c r="J787" s="464" cm="1">
        <f t="array" ref="J787">IFERROR(INDEX(★原価率!$A$2:$E$50,MATCH($C787&amp;$H787,★原価率!$A$2:$A$50&amp;★原価率!$B$2:$B$50,0),4),0)</f>
        <v>84</v>
      </c>
      <c r="K787" s="464" cm="1">
        <f t="array" ref="K787">IFERROR(INDEX(★原価率!$A$2:$E$50,MATCH($C787&amp;$H787,★原価率!$A$2:$A$50&amp;★原価率!$B$2:$B$50,0),5),0)</f>
        <v>100</v>
      </c>
      <c r="L787" s="528">
        <f>IFERROR(VLOOKUP(W787,★商品!$A$1:$H$1231,8,FALSE),0)</f>
        <v>2.8</v>
      </c>
      <c r="M787" s="203" t="str">
        <f ca="1">CONCATENATE(VLOOKUP(B787,★営業所!$A$2:$B$5,2,FALSE),TEXT(NOW(),"yyyy"))</f>
        <v>T2023</v>
      </c>
      <c r="N787" s="203">
        <v>1</v>
      </c>
      <c r="O787" s="203">
        <v>0</v>
      </c>
      <c r="P787" s="213">
        <f>申込書!$B$6</f>
        <v>0</v>
      </c>
      <c r="Q787" s="203">
        <f>申込書!$C$34</f>
        <v>1000040</v>
      </c>
      <c r="R787" s="203">
        <v>0</v>
      </c>
      <c r="U787" s="203">
        <f>VLOOKUP(B787,★営業所!$A$2:$C$5,3,FALSE)</f>
        <v>8</v>
      </c>
      <c r="V787" s="203">
        <f>申込書!$B$9</f>
        <v>0</v>
      </c>
      <c r="W787" s="203" t="str">
        <f>CONCATENATE(VLOOKUP(B787,★営業所!$A$2:$B$5,2,FALSE),VLOOKUP(申込書!$C$32,★サイズ表記!$D$4:$E$55,2,FALSE),VLOOKUP(D787,★折込地区!$A$2:$B$11,2,FALSE))</f>
        <v>T1001Yng</v>
      </c>
      <c r="X787" s="203" t="str">
        <f>CONCATENATE(申込書!$B$9," ",VLOOKUP(RIGHT(W787,3),★折込地区!$B$2:$C$10,2,FALSE),"")</f>
        <v xml:space="preserve"> 米子</v>
      </c>
      <c r="Z787" s="206">
        <f t="shared" ca="1" si="95"/>
        <v>0</v>
      </c>
      <c r="AB787" s="383">
        <f t="shared" si="96"/>
        <v>2.8</v>
      </c>
      <c r="AC787" s="203" t="str">
        <f t="shared" si="97"/>
        <v>V1001</v>
      </c>
      <c r="AD787" s="203" t="str">
        <f>VLOOKUP(AC787,★原価商品!$E$6:$F$349,2,FALSE)</f>
        <v>日経/B4（折り無し）</v>
      </c>
      <c r="AE787" s="203">
        <f t="shared" ca="1" si="98"/>
        <v>0</v>
      </c>
      <c r="AF787" s="383">
        <f ca="1">IFERROR(IF(VLOOKUP(申込書!$C$32,★サイズ表記!$F$4:$H$55,3,FALSE)="切り捨て",ROUNDDOWN(L787*IF(AK787="◎",I787,J787)/100,2),IF(VLOOKUP(申込書!$C$32,★サイズ表記!$F$4:$H$55,3,FALSE)="切り上げ",ROUNDUP(L787*IF(AK787="◎",I787,J787)/100,2),ROUND(L787*IF(AK787="◎",I787,J787)/100,2))),0)</f>
        <v>2.35</v>
      </c>
      <c r="AG787" s="203">
        <f t="shared" ca="1" si="99"/>
        <v>10561</v>
      </c>
      <c r="AJ787" s="460" t="str">
        <f>IFERROR(VLOOKUP(申込書!$C$30,★業種!$D$2:$E$87,2,FALSE),"")</f>
        <v>1003</v>
      </c>
      <c r="AK787" s="460" t="str">
        <f ca="1">IF(申込書!$C$36="◎",IF(OR(D787="浜坂・温泉",D787="美方・村岡",D787="香住",D787="岡山",D787="大阪"),"",IF(LEFT(F787)="D","◎",IF(AG787=0,"",IFERROR(IF(VLOOKUP(AG787,★仕入先!$A$2:$C$211,3,FALSE)=0,"","◎"),"")))),"")</f>
        <v/>
      </c>
      <c r="AL787" s="460">
        <f>申込書!$H$14</f>
        <v>0</v>
      </c>
      <c r="AM787" s="460" t="str">
        <f>申込書!$C$32</f>
        <v>B4（折り無し）</v>
      </c>
      <c r="AN787" s="460" t="str">
        <f>VLOOKUP(AM787,★サイズ表記!$D$4:$E$55,2,FALSE)</f>
        <v>1001</v>
      </c>
      <c r="AO787" s="460">
        <f>IF(C787&lt;&gt;"⑧兵庫",VLOOKUP(LEFT(F787),★新聞!$A$4:$B$12,2,FALSE),IF(LEFT(F787)&lt;&gt;"S",VLOOKUP(LEFT(F787),★新聞!$A$4:$B$12,2,FALSE),VLOOKUP("X",★新聞!$A$4:$B$12,2,FALSE)))</f>
        <v>7</v>
      </c>
      <c r="AP787" s="460" t="str">
        <f t="shared" ca="1" si="100"/>
        <v>0</v>
      </c>
      <c r="AQ787" s="460" t="str">
        <f>IF(申込書!$C$38="","",申込書!$C$38)</f>
        <v/>
      </c>
    </row>
    <row r="788" spans="1:43">
      <c r="A788" s="463">
        <f t="shared" si="101"/>
        <v>787</v>
      </c>
      <c r="B788" s="463" t="str">
        <f t="shared" si="94"/>
        <v>東部</v>
      </c>
      <c r="C788" s="464" t="s">
        <v>1019</v>
      </c>
      <c r="D788" s="464" t="s">
        <v>1603</v>
      </c>
      <c r="E788" s="464">
        <f>VLOOKUP(D788,★折込地区!$A$2:$D$10,4,FALSE)</f>
        <v>3</v>
      </c>
      <c r="F788" s="464" t="s">
        <v>531</v>
      </c>
      <c r="G788" s="464" t="str">
        <f>INDEX(★新聞!$E$4:$I$12, MATCH(LEFT(F788),★新聞!$A$4:$A$12,0), MATCH(LEFT(W788),★新聞!$E$3:$I$3,0))</f>
        <v>AP</v>
      </c>
      <c r="H788" s="555" t="s">
        <v>1102</v>
      </c>
      <c r="I788" s="464" cm="1">
        <f t="array" ref="I788">IFERROR(INDEX(★原価率!$A$2:$E$50,MATCH($C788&amp;$H788,★原価率!$A$2:$A$50&amp;★原価率!$B$2:$B$50,0),3),0)</f>
        <v>80</v>
      </c>
      <c r="J788" s="464" cm="1">
        <f t="array" ref="J788">IFERROR(INDEX(★原価率!$A$2:$E$50,MATCH($C788&amp;$H788,★原価率!$A$2:$A$50&amp;★原価率!$B$2:$B$50,0),4),0)</f>
        <v>84</v>
      </c>
      <c r="K788" s="464" cm="1">
        <f t="array" ref="K788">IFERROR(INDEX(★原価率!$A$2:$E$50,MATCH($C788&amp;$H788,★原価率!$A$2:$A$50&amp;★原価率!$B$2:$B$50,0),5),0)</f>
        <v>100</v>
      </c>
      <c r="L788" s="528">
        <f>IFERROR(VLOOKUP(W788,★商品!$A$1:$H$1231,8,FALSE),0)</f>
        <v>2.8</v>
      </c>
      <c r="M788" s="203" t="str">
        <f ca="1">CONCATENATE(VLOOKUP(B788,★営業所!$A$2:$B$5,2,FALSE),TEXT(NOW(),"yyyy"))</f>
        <v>T2023</v>
      </c>
      <c r="N788" s="203">
        <v>1</v>
      </c>
      <c r="O788" s="203">
        <v>0</v>
      </c>
      <c r="P788" s="213">
        <f>申込書!$B$6</f>
        <v>0</v>
      </c>
      <c r="Q788" s="203">
        <f>申込書!$C$34</f>
        <v>1000040</v>
      </c>
      <c r="R788" s="203">
        <v>0</v>
      </c>
      <c r="U788" s="203">
        <f>VLOOKUP(B788,★営業所!$A$2:$C$5,3,FALSE)</f>
        <v>8</v>
      </c>
      <c r="V788" s="203">
        <f>申込書!$B$9</f>
        <v>0</v>
      </c>
      <c r="W788" s="203" t="str">
        <f>CONCATENATE(VLOOKUP(B788,★営業所!$A$2:$B$5,2,FALSE),VLOOKUP(申込書!$C$32,★サイズ表記!$D$4:$E$55,2,FALSE),VLOOKUP(D788,★折込地区!$A$2:$B$11,2,FALSE))</f>
        <v>T1001Yng</v>
      </c>
      <c r="X788" s="203" t="str">
        <f>CONCATENATE(申込書!$B$9," ",VLOOKUP(RIGHT(W788,3),★折込地区!$B$2:$C$10,2,FALSE),"")</f>
        <v xml:space="preserve"> 米子</v>
      </c>
      <c r="Z788" s="206">
        <f t="shared" ca="1" si="95"/>
        <v>0</v>
      </c>
      <c r="AB788" s="383">
        <f t="shared" si="96"/>
        <v>2.8</v>
      </c>
      <c r="AC788" s="203" t="str">
        <f t="shared" si="97"/>
        <v>V1001</v>
      </c>
      <c r="AD788" s="203" t="str">
        <f>VLOOKUP(AC788,★原価商品!$E$6:$F$349,2,FALSE)</f>
        <v>日経/B4（折り無し）</v>
      </c>
      <c r="AE788" s="203">
        <f t="shared" ca="1" si="98"/>
        <v>0</v>
      </c>
      <c r="AF788" s="383">
        <f ca="1">IFERROR(IF(VLOOKUP(申込書!$C$32,★サイズ表記!$F$4:$H$55,3,FALSE)="切り捨て",ROUNDDOWN(L788*IF(AK788="◎",I788,J788)/100,2),IF(VLOOKUP(申込書!$C$32,★サイズ表記!$F$4:$H$55,3,FALSE)="切り上げ",ROUNDUP(L788*IF(AK788="◎",I788,J788)/100,2),ROUND(L788*IF(AK788="◎",I788,J788)/100,2))),0)</f>
        <v>2.35</v>
      </c>
      <c r="AG788" s="203">
        <f t="shared" ca="1" si="99"/>
        <v>10561</v>
      </c>
      <c r="AJ788" s="460" t="str">
        <f>IFERROR(VLOOKUP(申込書!$C$30,★業種!$D$2:$E$87,2,FALSE),"")</f>
        <v>1003</v>
      </c>
      <c r="AK788" s="460" t="str">
        <f ca="1">IF(申込書!$C$36="◎",IF(OR(D788="浜坂・温泉",D788="美方・村岡",D788="香住",D788="岡山",D788="大阪"),"",IF(LEFT(F788)="D","◎",IF(AG788=0,"",IFERROR(IF(VLOOKUP(AG788,★仕入先!$A$2:$C$211,3,FALSE)=0,"","◎"),"")))),"")</f>
        <v/>
      </c>
      <c r="AL788" s="460">
        <f>申込書!$H$14</f>
        <v>0</v>
      </c>
      <c r="AM788" s="460" t="str">
        <f>申込書!$C$32</f>
        <v>B4（折り無し）</v>
      </c>
      <c r="AN788" s="460" t="str">
        <f>VLOOKUP(AM788,★サイズ表記!$D$4:$E$55,2,FALSE)</f>
        <v>1001</v>
      </c>
      <c r="AO788" s="460">
        <f>IF(C788&lt;&gt;"⑧兵庫",VLOOKUP(LEFT(F788),★新聞!$A$4:$B$12,2,FALSE),IF(LEFT(F788)&lt;&gt;"S",VLOOKUP(LEFT(F788),★新聞!$A$4:$B$12,2,FALSE),VLOOKUP("X",★新聞!$A$4:$B$12,2,FALSE)))</f>
        <v>7</v>
      </c>
      <c r="AP788" s="460" t="str">
        <f t="shared" ca="1" si="100"/>
        <v>0</v>
      </c>
      <c r="AQ788" s="460" t="str">
        <f>IF(申込書!$C$38="","",申込書!$C$38)</f>
        <v/>
      </c>
    </row>
    <row r="789" spans="1:43">
      <c r="A789" s="463">
        <f t="shared" si="101"/>
        <v>788</v>
      </c>
      <c r="B789" s="463" t="str">
        <f t="shared" si="94"/>
        <v>東部</v>
      </c>
      <c r="C789" s="464" t="s">
        <v>1019</v>
      </c>
      <c r="D789" s="464" t="s">
        <v>1603</v>
      </c>
      <c r="E789" s="464">
        <f>VLOOKUP(D789,★折込地区!$A$2:$D$10,4,FALSE)</f>
        <v>3</v>
      </c>
      <c r="F789" s="464" t="s">
        <v>532</v>
      </c>
      <c r="G789" s="464" t="str">
        <f>INDEX(★新聞!$E$4:$I$12, MATCH(LEFT(F789),★新聞!$A$4:$A$12,0), MATCH(LEFT(W789),★新聞!$E$3:$I$3,0))</f>
        <v>AP</v>
      </c>
      <c r="H789" s="475" t="s">
        <v>1104</v>
      </c>
      <c r="I789" s="464" cm="1">
        <f t="array" ref="I789">IFERROR(INDEX(★原価率!$A$2:$E$50,MATCH($C789&amp;$H789,★原価率!$A$2:$A$50&amp;★原価率!$B$2:$B$50,0),3),0)</f>
        <v>85</v>
      </c>
      <c r="J789" s="464" cm="1">
        <f t="array" ref="J789">IFERROR(INDEX(★原価率!$A$2:$E$50,MATCH($C789&amp;$H789,★原価率!$A$2:$A$50&amp;★原価率!$B$2:$B$50,0),4),0)</f>
        <v>85</v>
      </c>
      <c r="K789" s="464" cm="1">
        <f t="array" ref="K789">IFERROR(INDEX(★原価率!$A$2:$E$50,MATCH($C789&amp;$H789,★原価率!$A$2:$A$50&amp;★原価率!$B$2:$B$50,0),5),0)</f>
        <v>100</v>
      </c>
      <c r="L789" s="528">
        <f>IFERROR(VLOOKUP(W789,★商品!$A$1:$H$1231,8,FALSE),0)</f>
        <v>2.8</v>
      </c>
      <c r="M789" s="203" t="str">
        <f ca="1">CONCATENATE(VLOOKUP(B789,★営業所!$A$2:$B$5,2,FALSE),TEXT(NOW(),"yyyy"))</f>
        <v>T2023</v>
      </c>
      <c r="N789" s="203">
        <v>1</v>
      </c>
      <c r="O789" s="203">
        <v>0</v>
      </c>
      <c r="P789" s="213">
        <f>申込書!$B$6</f>
        <v>0</v>
      </c>
      <c r="Q789" s="203">
        <f>申込書!$C$34</f>
        <v>1000040</v>
      </c>
      <c r="R789" s="203">
        <v>0</v>
      </c>
      <c r="U789" s="203">
        <f>VLOOKUP(B789,★営業所!$A$2:$C$5,3,FALSE)</f>
        <v>8</v>
      </c>
      <c r="V789" s="203">
        <f>申込書!$B$9</f>
        <v>0</v>
      </c>
      <c r="W789" s="203" t="str">
        <f>CONCATENATE(VLOOKUP(B789,★営業所!$A$2:$B$5,2,FALSE),VLOOKUP(申込書!$C$32,★サイズ表記!$D$4:$E$55,2,FALSE),VLOOKUP(D789,★折込地区!$A$2:$B$11,2,FALSE))</f>
        <v>T1001Yng</v>
      </c>
      <c r="X789" s="203" t="str">
        <f>CONCATENATE(申込書!$B$9," ",VLOOKUP(RIGHT(W789,3),★折込地区!$B$2:$C$10,2,FALSE),"")</f>
        <v xml:space="preserve"> 米子</v>
      </c>
      <c r="Z789" s="206">
        <f t="shared" ca="1" si="95"/>
        <v>0</v>
      </c>
      <c r="AB789" s="383">
        <f t="shared" si="96"/>
        <v>2.8</v>
      </c>
      <c r="AC789" s="203" t="str">
        <f t="shared" si="97"/>
        <v>V1001</v>
      </c>
      <c r="AD789" s="203" t="str">
        <f>VLOOKUP(AC789,★原価商品!$E$6:$F$349,2,FALSE)</f>
        <v>日経/B4（折り無し）</v>
      </c>
      <c r="AE789" s="203">
        <f t="shared" ca="1" si="98"/>
        <v>0</v>
      </c>
      <c r="AF789" s="383">
        <f ca="1">IFERROR(IF(VLOOKUP(申込書!$C$32,★サイズ表記!$F$4:$H$55,3,FALSE)="切り捨て",ROUNDDOWN(L789*IF(AK789="◎",I789,J789)/100,2),IF(VLOOKUP(申込書!$C$32,★サイズ表記!$F$4:$H$55,3,FALSE)="切り上げ",ROUNDUP(L789*IF(AK789="◎",I789,J789)/100,2),ROUND(L789*IF(AK789="◎",I789,J789)/100,2))),0)</f>
        <v>2.38</v>
      </c>
      <c r="AG789" s="203">
        <f t="shared" ca="1" si="99"/>
        <v>0</v>
      </c>
      <c r="AJ789" s="460" t="str">
        <f>IFERROR(VLOOKUP(申込書!$C$30,★業種!$D$2:$E$87,2,FALSE),"")</f>
        <v>1003</v>
      </c>
      <c r="AK789" s="460" t="str">
        <f ca="1">IF(申込書!$C$36="◎",IF(OR(D789="浜坂・温泉",D789="美方・村岡",D789="香住",D789="岡山",D789="大阪"),"",IF(LEFT(F789)="D","◎",IF(AG789=0,"",IFERROR(IF(VLOOKUP(AG789,★仕入先!$A$2:$C$211,3,FALSE)=0,"","◎"),"")))),"")</f>
        <v/>
      </c>
      <c r="AL789" s="460">
        <f>申込書!$H$14</f>
        <v>0</v>
      </c>
      <c r="AM789" s="460" t="str">
        <f>申込書!$C$32</f>
        <v>B4（折り無し）</v>
      </c>
      <c r="AN789" s="460" t="str">
        <f>VLOOKUP(AM789,★サイズ表記!$D$4:$E$55,2,FALSE)</f>
        <v>1001</v>
      </c>
      <c r="AO789" s="460">
        <f>IF(C789&lt;&gt;"⑧兵庫",VLOOKUP(LEFT(F789),★新聞!$A$4:$B$12,2,FALSE),IF(LEFT(F789)&lt;&gt;"S",VLOOKUP(LEFT(F789),★新聞!$A$4:$B$12,2,FALSE),VLOOKUP("X",★新聞!$A$4:$B$12,2,FALSE)))</f>
        <v>7</v>
      </c>
      <c r="AP789" s="460" t="str">
        <f t="shared" ca="1" si="100"/>
        <v>0</v>
      </c>
      <c r="AQ789" s="460" t="str">
        <f>IF(申込書!$C$38="","",申込書!$C$38)</f>
        <v/>
      </c>
    </row>
    <row r="790" spans="1:43">
      <c r="A790" s="463">
        <f t="shared" si="101"/>
        <v>789</v>
      </c>
      <c r="B790" s="463" t="str">
        <f t="shared" si="94"/>
        <v>東部</v>
      </c>
      <c r="C790" s="464" t="s">
        <v>1019</v>
      </c>
      <c r="D790" s="464" t="s">
        <v>1603</v>
      </c>
      <c r="E790" s="464">
        <f>VLOOKUP(D790,★折込地区!$A$2:$D$10,4,FALSE)</f>
        <v>3</v>
      </c>
      <c r="F790" s="464" t="s">
        <v>533</v>
      </c>
      <c r="G790" s="464" t="str">
        <f>INDEX(★新聞!$E$4:$I$12, MATCH(LEFT(F790),★新聞!$A$4:$A$12,0), MATCH(LEFT(W790),★新聞!$E$3:$I$3,0))</f>
        <v>AP</v>
      </c>
      <c r="H790" s="475" t="s">
        <v>1104</v>
      </c>
      <c r="I790" s="464" cm="1">
        <f t="array" ref="I790">IFERROR(INDEX(★原価率!$A$2:$E$50,MATCH($C790&amp;$H790,★原価率!$A$2:$A$50&amp;★原価率!$B$2:$B$50,0),3),0)</f>
        <v>85</v>
      </c>
      <c r="J790" s="464" cm="1">
        <f t="array" ref="J790">IFERROR(INDEX(★原価率!$A$2:$E$50,MATCH($C790&amp;$H790,★原価率!$A$2:$A$50&amp;★原価率!$B$2:$B$50,0),4),0)</f>
        <v>85</v>
      </c>
      <c r="K790" s="464" cm="1">
        <f t="array" ref="K790">IFERROR(INDEX(★原価率!$A$2:$E$50,MATCH($C790&amp;$H790,★原価率!$A$2:$A$50&amp;★原価率!$B$2:$B$50,0),5),0)</f>
        <v>100</v>
      </c>
      <c r="L790" s="528">
        <f>IFERROR(VLOOKUP(W790,★商品!$A$1:$H$1231,8,FALSE),0)</f>
        <v>2.8</v>
      </c>
      <c r="M790" s="203" t="str">
        <f ca="1">CONCATENATE(VLOOKUP(B790,★営業所!$A$2:$B$5,2,FALSE),TEXT(NOW(),"yyyy"))</f>
        <v>T2023</v>
      </c>
      <c r="N790" s="203">
        <v>1</v>
      </c>
      <c r="O790" s="203">
        <v>0</v>
      </c>
      <c r="P790" s="213">
        <f>申込書!$B$6</f>
        <v>0</v>
      </c>
      <c r="Q790" s="203">
        <f>申込書!$C$34</f>
        <v>1000040</v>
      </c>
      <c r="R790" s="203">
        <v>0</v>
      </c>
      <c r="U790" s="203">
        <f>VLOOKUP(B790,★営業所!$A$2:$C$5,3,FALSE)</f>
        <v>8</v>
      </c>
      <c r="V790" s="203">
        <f>申込書!$B$9</f>
        <v>0</v>
      </c>
      <c r="W790" s="203" t="str">
        <f>CONCATENATE(VLOOKUP(B790,★営業所!$A$2:$B$5,2,FALSE),VLOOKUP(申込書!$C$32,★サイズ表記!$D$4:$E$55,2,FALSE),VLOOKUP(D790,★折込地区!$A$2:$B$11,2,FALSE))</f>
        <v>T1001Yng</v>
      </c>
      <c r="X790" s="203" t="str">
        <f>CONCATENATE(申込書!$B$9," ",VLOOKUP(RIGHT(W790,3),★折込地区!$B$2:$C$10,2,FALSE),"")</f>
        <v xml:space="preserve"> 米子</v>
      </c>
      <c r="Z790" s="206">
        <f t="shared" ca="1" si="95"/>
        <v>0</v>
      </c>
      <c r="AB790" s="383">
        <f t="shared" si="96"/>
        <v>2.8</v>
      </c>
      <c r="AC790" s="203" t="str">
        <f t="shared" si="97"/>
        <v>V1001</v>
      </c>
      <c r="AD790" s="203" t="str">
        <f>VLOOKUP(AC790,★原価商品!$E$6:$F$349,2,FALSE)</f>
        <v>日経/B4（折り無し）</v>
      </c>
      <c r="AE790" s="203">
        <f t="shared" ca="1" si="98"/>
        <v>0</v>
      </c>
      <c r="AF790" s="383">
        <f ca="1">IFERROR(IF(VLOOKUP(申込書!$C$32,★サイズ表記!$F$4:$H$55,3,FALSE)="切り捨て",ROUNDDOWN(L790*IF(AK790="◎",I790,J790)/100,2),IF(VLOOKUP(申込書!$C$32,★サイズ表記!$F$4:$H$55,3,FALSE)="切り上げ",ROUNDUP(L790*IF(AK790="◎",I790,J790)/100,2),ROUND(L790*IF(AK790="◎",I790,J790)/100,2))),0)</f>
        <v>2.38</v>
      </c>
      <c r="AG790" s="203">
        <f t="shared" ca="1" si="99"/>
        <v>0</v>
      </c>
      <c r="AJ790" s="460" t="str">
        <f>IFERROR(VLOOKUP(申込書!$C$30,★業種!$D$2:$E$87,2,FALSE),"")</f>
        <v>1003</v>
      </c>
      <c r="AK790" s="460" t="str">
        <f ca="1">IF(申込書!$C$36="◎",IF(OR(D790="浜坂・温泉",D790="美方・村岡",D790="香住",D790="岡山",D790="大阪"),"",IF(LEFT(F790)="D","◎",IF(AG790=0,"",IFERROR(IF(VLOOKUP(AG790,★仕入先!$A$2:$C$211,3,FALSE)=0,"","◎"),"")))),"")</f>
        <v/>
      </c>
      <c r="AL790" s="460">
        <f>申込書!$H$14</f>
        <v>0</v>
      </c>
      <c r="AM790" s="460" t="str">
        <f>申込書!$C$32</f>
        <v>B4（折り無し）</v>
      </c>
      <c r="AN790" s="460" t="str">
        <f>VLOOKUP(AM790,★サイズ表記!$D$4:$E$55,2,FALSE)</f>
        <v>1001</v>
      </c>
      <c r="AO790" s="460">
        <f>IF(C790&lt;&gt;"⑧兵庫",VLOOKUP(LEFT(F790),★新聞!$A$4:$B$12,2,FALSE),IF(LEFT(F790)&lt;&gt;"S",VLOOKUP(LEFT(F790),★新聞!$A$4:$B$12,2,FALSE),VLOOKUP("X",★新聞!$A$4:$B$12,2,FALSE)))</f>
        <v>7</v>
      </c>
      <c r="AP790" s="460" t="str">
        <f t="shared" ca="1" si="100"/>
        <v>0</v>
      </c>
      <c r="AQ790" s="460" t="str">
        <f>IF(申込書!$C$38="","",申込書!$C$38)</f>
        <v/>
      </c>
    </row>
    <row r="791" spans="1:43">
      <c r="A791" s="463">
        <f t="shared" si="101"/>
        <v>790</v>
      </c>
      <c r="B791" s="463" t="str">
        <f t="shared" si="94"/>
        <v>東部</v>
      </c>
      <c r="C791" s="464" t="s">
        <v>1019</v>
      </c>
      <c r="D791" s="464" t="s">
        <v>1603</v>
      </c>
      <c r="E791" s="464">
        <f>VLOOKUP(D791,★折込地区!$A$2:$D$10,4,FALSE)</f>
        <v>3</v>
      </c>
      <c r="F791" s="464" t="s">
        <v>1146</v>
      </c>
      <c r="G791" s="464" t="str">
        <f>INDEX(★新聞!$E$4:$I$12, MATCH(LEFT(F791),★新聞!$A$4:$A$12,0), MATCH(LEFT(W791),★新聞!$E$3:$I$3,0))</f>
        <v>AP</v>
      </c>
      <c r="H791" s="475" t="s">
        <v>1104</v>
      </c>
      <c r="I791" s="464" cm="1">
        <f t="array" ref="I791">IFERROR(INDEX(★原価率!$A$2:$E$50,MATCH($C791&amp;$H791,★原価率!$A$2:$A$50&amp;★原価率!$B$2:$B$50,0),3),0)</f>
        <v>85</v>
      </c>
      <c r="J791" s="464" cm="1">
        <f t="array" ref="J791">IFERROR(INDEX(★原価率!$A$2:$E$50,MATCH($C791&amp;$H791,★原価率!$A$2:$A$50&amp;★原価率!$B$2:$B$50,0),4),0)</f>
        <v>85</v>
      </c>
      <c r="K791" s="464" cm="1">
        <f t="array" ref="K791">IFERROR(INDEX(★原価率!$A$2:$E$50,MATCH($C791&amp;$H791,★原価率!$A$2:$A$50&amp;★原価率!$B$2:$B$50,0),5),0)</f>
        <v>100</v>
      </c>
      <c r="L791" s="528">
        <f>IFERROR(VLOOKUP(W791,★商品!$A$1:$H$1231,8,FALSE),0)</f>
        <v>2.8</v>
      </c>
      <c r="M791" s="203" t="str">
        <f ca="1">CONCATENATE(VLOOKUP(B791,★営業所!$A$2:$B$5,2,FALSE),TEXT(NOW(),"yyyy"))</f>
        <v>T2023</v>
      </c>
      <c r="N791" s="203">
        <v>1</v>
      </c>
      <c r="O791" s="203">
        <v>0</v>
      </c>
      <c r="P791" s="213">
        <f>申込書!$B$6</f>
        <v>0</v>
      </c>
      <c r="Q791" s="203">
        <f>申込書!$C$34</f>
        <v>1000040</v>
      </c>
      <c r="R791" s="203">
        <v>0</v>
      </c>
      <c r="U791" s="203">
        <f>VLOOKUP(B791,★営業所!$A$2:$C$5,3,FALSE)</f>
        <v>8</v>
      </c>
      <c r="V791" s="203">
        <f>申込書!$B$9</f>
        <v>0</v>
      </c>
      <c r="W791" s="203" t="str">
        <f>CONCATENATE(VLOOKUP(B791,★営業所!$A$2:$B$5,2,FALSE),VLOOKUP(申込書!$C$32,★サイズ表記!$D$4:$E$55,2,FALSE),VLOOKUP(D791,★折込地区!$A$2:$B$11,2,FALSE))</f>
        <v>T1001Yng</v>
      </c>
      <c r="X791" s="203" t="str">
        <f>CONCATENATE(申込書!$B$9," ",VLOOKUP(RIGHT(W791,3),★折込地区!$B$2:$C$10,2,FALSE),"")</f>
        <v xml:space="preserve"> 米子</v>
      </c>
      <c r="Z791" s="206">
        <f t="shared" ca="1" si="95"/>
        <v>0</v>
      </c>
      <c r="AB791" s="383">
        <f t="shared" si="96"/>
        <v>2.8</v>
      </c>
      <c r="AC791" s="203" t="str">
        <f t="shared" si="97"/>
        <v>V1001</v>
      </c>
      <c r="AD791" s="203" t="str">
        <f>VLOOKUP(AC791,★原価商品!$E$6:$F$349,2,FALSE)</f>
        <v>日経/B4（折り無し）</v>
      </c>
      <c r="AE791" s="203">
        <f t="shared" ca="1" si="98"/>
        <v>0</v>
      </c>
      <c r="AF791" s="383">
        <f ca="1">IFERROR(IF(VLOOKUP(申込書!$C$32,★サイズ表記!$F$4:$H$55,3,FALSE)="切り捨て",ROUNDDOWN(L791*IF(AK791="◎",I791,J791)/100,2),IF(VLOOKUP(申込書!$C$32,★サイズ表記!$F$4:$H$55,3,FALSE)="切り上げ",ROUNDUP(L791*IF(AK791="◎",I791,J791)/100,2),ROUND(L791*IF(AK791="◎",I791,J791)/100,2))),0)</f>
        <v>2.38</v>
      </c>
      <c r="AG791" s="203">
        <f t="shared" ca="1" si="99"/>
        <v>10561</v>
      </c>
      <c r="AJ791" s="460" t="str">
        <f>IFERROR(VLOOKUP(申込書!$C$30,★業種!$D$2:$E$87,2,FALSE),"")</f>
        <v>1003</v>
      </c>
      <c r="AK791" s="460" t="str">
        <f ca="1">IF(申込書!$C$36="◎",IF(OR(D791="浜坂・温泉",D791="美方・村岡",D791="香住",D791="岡山",D791="大阪"),"",IF(LEFT(F791)="D","◎",IF(AG791=0,"",IFERROR(IF(VLOOKUP(AG791,★仕入先!$A$2:$C$211,3,FALSE)=0,"","◎"),"")))),"")</f>
        <v/>
      </c>
      <c r="AL791" s="460">
        <f>申込書!$H$14</f>
        <v>0</v>
      </c>
      <c r="AM791" s="460" t="str">
        <f>申込書!$C$32</f>
        <v>B4（折り無し）</v>
      </c>
      <c r="AN791" s="460" t="str">
        <f>VLOOKUP(AM791,★サイズ表記!$D$4:$E$55,2,FALSE)</f>
        <v>1001</v>
      </c>
      <c r="AO791" s="460">
        <f>IF(C791&lt;&gt;"⑧兵庫",VLOOKUP(LEFT(F791),★新聞!$A$4:$B$12,2,FALSE),IF(LEFT(F791)&lt;&gt;"S",VLOOKUP(LEFT(F791),★新聞!$A$4:$B$12,2,FALSE),VLOOKUP("X",★新聞!$A$4:$B$12,2,FALSE)))</f>
        <v>7</v>
      </c>
      <c r="AP791" s="460" t="str">
        <f t="shared" ca="1" si="100"/>
        <v>0</v>
      </c>
      <c r="AQ791" s="460" t="str">
        <f>IF(申込書!$C$38="","",申込書!$C$38)</f>
        <v/>
      </c>
    </row>
    <row r="792" spans="1:43">
      <c r="A792" s="463">
        <f t="shared" si="101"/>
        <v>791</v>
      </c>
      <c r="B792" s="463" t="str">
        <f t="shared" si="94"/>
        <v>東部</v>
      </c>
      <c r="C792" s="464" t="s">
        <v>1020</v>
      </c>
      <c r="D792" s="464" t="s">
        <v>1603</v>
      </c>
      <c r="E792" s="464">
        <f>VLOOKUP(D792,★折込地区!$A$2:$D$10,4,FALSE)</f>
        <v>3</v>
      </c>
      <c r="F792" s="464" t="s">
        <v>362</v>
      </c>
      <c r="G792" s="464" t="str">
        <f>INDEX(★新聞!$E$4:$I$12, MATCH(LEFT(F792),★新聞!$A$4:$A$12,0), MATCH(LEFT(W792),★新聞!$E$3:$I$3,0))</f>
        <v>X</v>
      </c>
      <c r="H792" s="475" t="s">
        <v>1102</v>
      </c>
      <c r="I792" s="464" cm="1">
        <f t="array" ref="I792">IFERROR(INDEX(★原価率!$A$2:$E$50,MATCH($C792&amp;$H792,★原価率!$A$2:$A$50&amp;★原価率!$B$2:$B$50,0),3),0)</f>
        <v>81</v>
      </c>
      <c r="J792" s="464" cm="1">
        <f t="array" ref="J792">IFERROR(INDEX(★原価率!$A$2:$E$50,MATCH($C792&amp;$H792,★原価率!$A$2:$A$50&amp;★原価率!$B$2:$B$50,0),4),0)</f>
        <v>85</v>
      </c>
      <c r="K792" s="464" cm="1">
        <f t="array" ref="K792">IFERROR(INDEX(★原価率!$A$2:$E$50,MATCH($C792&amp;$H792,★原価率!$A$2:$A$50&amp;★原価率!$B$2:$B$50,0),5),0)</f>
        <v>100</v>
      </c>
      <c r="L792" s="528">
        <f>IFERROR(VLOOKUP(W792,★商品!$A$1:$H$1231,8,FALSE),0)</f>
        <v>2.8</v>
      </c>
      <c r="M792" s="203" t="str">
        <f ca="1">CONCATENATE(VLOOKUP(B792,★営業所!$A$2:$B$5,2,FALSE),TEXT(NOW(),"yyyy"))</f>
        <v>T2023</v>
      </c>
      <c r="N792" s="203">
        <v>1</v>
      </c>
      <c r="O792" s="203">
        <v>0</v>
      </c>
      <c r="P792" s="213">
        <f>申込書!$B$6</f>
        <v>0</v>
      </c>
      <c r="Q792" s="203">
        <f>申込書!$C$34</f>
        <v>1000040</v>
      </c>
      <c r="R792" s="203">
        <v>0</v>
      </c>
      <c r="U792" s="203">
        <f>VLOOKUP(B792,★営業所!$A$2:$C$5,3,FALSE)</f>
        <v>8</v>
      </c>
      <c r="V792" s="203">
        <f>申込書!$B$9</f>
        <v>0</v>
      </c>
      <c r="W792" s="203" t="str">
        <f>CONCATENATE(VLOOKUP(B792,★営業所!$A$2:$B$5,2,FALSE),VLOOKUP(申込書!$C$32,★サイズ表記!$D$4:$E$55,2,FALSE),VLOOKUP(D792,★折込地区!$A$2:$B$11,2,FALSE))</f>
        <v>T1001Yng</v>
      </c>
      <c r="X792" s="203" t="str">
        <f>CONCATENATE(申込書!$B$9," ",VLOOKUP(RIGHT(W792,3),★折込地区!$B$2:$C$10,2,FALSE),"")</f>
        <v xml:space="preserve"> 米子</v>
      </c>
      <c r="Z792" s="206">
        <f t="shared" ca="1" si="95"/>
        <v>0</v>
      </c>
      <c r="AB792" s="383">
        <f t="shared" si="96"/>
        <v>2.8</v>
      </c>
      <c r="AC792" s="203" t="str">
        <f t="shared" si="97"/>
        <v>D1001</v>
      </c>
      <c r="AD792" s="203" t="str">
        <f>VLOOKUP(AC792,★原価商品!$E$6:$F$349,2,FALSE)</f>
        <v>日本海/B4（折り無し）</v>
      </c>
      <c r="AE792" s="203">
        <f t="shared" ca="1" si="98"/>
        <v>0</v>
      </c>
      <c r="AF792" s="383">
        <f>IFERROR(IF(VLOOKUP(申込書!$C$32,★サイズ表記!$F$4:$H$55,3,FALSE)="切り捨て",ROUNDDOWN(L792*IF(AK792="◎",I792,J792)/100,2),IF(VLOOKUP(申込書!$C$32,★サイズ表記!$F$4:$H$55,3,FALSE)="切り上げ",ROUNDUP(L792*IF(AK792="◎",I792,J792)/100,2),ROUND(L792*IF(AK792="◎",I792,J792)/100,2))),0)</f>
        <v>2.2599999999999998</v>
      </c>
      <c r="AG792" s="203">
        <f t="shared" ca="1" si="99"/>
        <v>10561</v>
      </c>
      <c r="AJ792" s="460" t="str">
        <f>IFERROR(VLOOKUP(申込書!$C$30,★業種!$D$2:$E$87,2,FALSE),"")</f>
        <v>1003</v>
      </c>
      <c r="AK792" s="460" t="str">
        <f>IF(申込書!$C$36="◎",IF(OR(D792="浜坂・温泉",D792="美方・村岡",D792="香住",D792="岡山",D792="大阪"),"",IF(LEFT(F792)="D","◎",IF(AG792=0,"",IFERROR(IF(VLOOKUP(AG792,★仕入先!$A$2:$C$211,3,FALSE)=0,"","◎"),"")))),"")</f>
        <v>◎</v>
      </c>
      <c r="AL792" s="460">
        <f>申込書!$H$14</f>
        <v>0</v>
      </c>
      <c r="AM792" s="460" t="str">
        <f>申込書!$C$32</f>
        <v>B4（折り無し）</v>
      </c>
      <c r="AN792" s="460" t="str">
        <f>VLOOKUP(AM792,★サイズ表記!$D$4:$E$55,2,FALSE)</f>
        <v>1001</v>
      </c>
      <c r="AO792" s="460">
        <f>IF(C792&lt;&gt;"⑧兵庫",VLOOKUP(LEFT(F792),★新聞!$A$4:$B$12,2,FALSE),IF(LEFT(F792)&lt;&gt;"S",VLOOKUP(LEFT(F792),★新聞!$A$4:$B$12,2,FALSE),VLOOKUP("X",★新聞!$A$4:$B$12,2,FALSE)))</f>
        <v>1</v>
      </c>
      <c r="AP792" s="460" t="str">
        <f t="shared" ca="1" si="100"/>
        <v>0</v>
      </c>
      <c r="AQ792" s="460" t="str">
        <f>IF(申込書!$C$38="","",申込書!$C$38)</f>
        <v/>
      </c>
    </row>
    <row r="793" spans="1:43">
      <c r="A793" s="463">
        <f t="shared" si="101"/>
        <v>792</v>
      </c>
      <c r="B793" s="463" t="str">
        <f t="shared" si="94"/>
        <v>東部</v>
      </c>
      <c r="C793" s="464" t="s">
        <v>1020</v>
      </c>
      <c r="D793" s="464" t="s">
        <v>1603</v>
      </c>
      <c r="E793" s="464">
        <f>VLOOKUP(D793,★折込地区!$A$2:$D$10,4,FALSE)</f>
        <v>3</v>
      </c>
      <c r="F793" s="464" t="s">
        <v>385</v>
      </c>
      <c r="G793" s="464" t="str">
        <f>INDEX(★新聞!$E$4:$I$12, MATCH(LEFT(F793),★新聞!$A$4:$A$12,0), MATCH(LEFT(W793),★新聞!$E$3:$I$3,0))</f>
        <v>X</v>
      </c>
      <c r="H793" s="475" t="s">
        <v>1102</v>
      </c>
      <c r="I793" s="464" cm="1">
        <f t="array" ref="I793">IFERROR(INDEX(★原価率!$A$2:$E$50,MATCH($C793&amp;$H793,★原価率!$A$2:$A$50&amp;★原価率!$B$2:$B$50,0),3),0)</f>
        <v>81</v>
      </c>
      <c r="J793" s="464" cm="1">
        <f t="array" ref="J793">IFERROR(INDEX(★原価率!$A$2:$E$50,MATCH($C793&amp;$H793,★原価率!$A$2:$A$50&amp;★原価率!$B$2:$B$50,0),4),0)</f>
        <v>85</v>
      </c>
      <c r="K793" s="464" cm="1">
        <f t="array" ref="K793">IFERROR(INDEX(★原価率!$A$2:$E$50,MATCH($C793&amp;$H793,★原価率!$A$2:$A$50&amp;★原価率!$B$2:$B$50,0),5),0)</f>
        <v>100</v>
      </c>
      <c r="L793" s="528">
        <f>IFERROR(VLOOKUP(W793,★商品!$A$1:$H$1231,8,FALSE),0)</f>
        <v>2.8</v>
      </c>
      <c r="M793" s="203" t="str">
        <f ca="1">CONCATENATE(VLOOKUP(B793,★営業所!$A$2:$B$5,2,FALSE),TEXT(NOW(),"yyyy"))</f>
        <v>T2023</v>
      </c>
      <c r="N793" s="203">
        <v>1</v>
      </c>
      <c r="O793" s="203">
        <v>0</v>
      </c>
      <c r="P793" s="213">
        <f>申込書!$B$6</f>
        <v>0</v>
      </c>
      <c r="Q793" s="203">
        <f>申込書!$C$34</f>
        <v>1000040</v>
      </c>
      <c r="R793" s="203">
        <v>0</v>
      </c>
      <c r="U793" s="203">
        <f>VLOOKUP(B793,★営業所!$A$2:$C$5,3,FALSE)</f>
        <v>8</v>
      </c>
      <c r="V793" s="203">
        <f>申込書!$B$9</f>
        <v>0</v>
      </c>
      <c r="W793" s="203" t="str">
        <f>CONCATENATE(VLOOKUP(B793,★営業所!$A$2:$B$5,2,FALSE),VLOOKUP(申込書!$C$32,★サイズ表記!$D$4:$E$55,2,FALSE),VLOOKUP(D793,★折込地区!$A$2:$B$11,2,FALSE))</f>
        <v>T1001Yng</v>
      </c>
      <c r="X793" s="203" t="str">
        <f>CONCATENATE(申込書!$B$9," ",VLOOKUP(RIGHT(W793,3),★折込地区!$B$2:$C$10,2,FALSE),"")</f>
        <v xml:space="preserve"> 米子</v>
      </c>
      <c r="Z793" s="206">
        <f t="shared" ca="1" si="95"/>
        <v>0</v>
      </c>
      <c r="AB793" s="383">
        <f t="shared" si="96"/>
        <v>2.8</v>
      </c>
      <c r="AC793" s="203" t="str">
        <f t="shared" si="97"/>
        <v>D1001</v>
      </c>
      <c r="AD793" s="203" t="str">
        <f>VLOOKUP(AC793,★原価商品!$E$6:$F$349,2,FALSE)</f>
        <v>日本海/B4（折り無し）</v>
      </c>
      <c r="AE793" s="203">
        <f t="shared" ca="1" si="98"/>
        <v>0</v>
      </c>
      <c r="AF793" s="383">
        <f>IFERROR(IF(VLOOKUP(申込書!$C$32,★サイズ表記!$F$4:$H$55,3,FALSE)="切り捨て",ROUNDDOWN(L793*IF(AK793="◎",I793,J793)/100,2),IF(VLOOKUP(申込書!$C$32,★サイズ表記!$F$4:$H$55,3,FALSE)="切り上げ",ROUNDUP(L793*IF(AK793="◎",I793,J793)/100,2),ROUND(L793*IF(AK793="◎",I793,J793)/100,2))),0)</f>
        <v>2.2599999999999998</v>
      </c>
      <c r="AG793" s="203">
        <f t="shared" ca="1" si="99"/>
        <v>10561</v>
      </c>
      <c r="AJ793" s="460" t="str">
        <f>IFERROR(VLOOKUP(申込書!$C$30,★業種!$D$2:$E$87,2,FALSE),"")</f>
        <v>1003</v>
      </c>
      <c r="AK793" s="460" t="str">
        <f>IF(申込書!$C$36="◎",IF(OR(D793="浜坂・温泉",D793="美方・村岡",D793="香住",D793="岡山",D793="大阪"),"",IF(LEFT(F793)="D","◎",IF(AG793=0,"",IFERROR(IF(VLOOKUP(AG793,★仕入先!$A$2:$C$211,3,FALSE)=0,"","◎"),"")))),"")</f>
        <v>◎</v>
      </c>
      <c r="AL793" s="460">
        <f>申込書!$H$14</f>
        <v>0</v>
      </c>
      <c r="AM793" s="460" t="str">
        <f>申込書!$C$32</f>
        <v>B4（折り無し）</v>
      </c>
      <c r="AN793" s="460" t="str">
        <f>VLOOKUP(AM793,★サイズ表記!$D$4:$E$55,2,FALSE)</f>
        <v>1001</v>
      </c>
      <c r="AO793" s="460">
        <f>IF(C793&lt;&gt;"⑧兵庫",VLOOKUP(LEFT(F793),★新聞!$A$4:$B$12,2,FALSE),IF(LEFT(F793)&lt;&gt;"S",VLOOKUP(LEFT(F793),★新聞!$A$4:$B$12,2,FALSE),VLOOKUP("X",★新聞!$A$4:$B$12,2,FALSE)))</f>
        <v>1</v>
      </c>
      <c r="AP793" s="460" t="str">
        <f t="shared" ca="1" si="100"/>
        <v>0</v>
      </c>
      <c r="AQ793" s="460" t="str">
        <f>IF(申込書!$C$38="","",申込書!$C$38)</f>
        <v/>
      </c>
    </row>
    <row r="794" spans="1:43">
      <c r="A794" s="463">
        <f t="shared" si="101"/>
        <v>793</v>
      </c>
      <c r="B794" s="463" t="str">
        <f t="shared" si="94"/>
        <v>東部</v>
      </c>
      <c r="C794" s="464" t="s">
        <v>1020</v>
      </c>
      <c r="D794" s="464" t="s">
        <v>1603</v>
      </c>
      <c r="E794" s="464">
        <f>VLOOKUP(D794,★折込地区!$A$2:$D$10,4,FALSE)</f>
        <v>3</v>
      </c>
      <c r="F794" s="464" t="s">
        <v>386</v>
      </c>
      <c r="G794" s="464" t="str">
        <f>INDEX(★新聞!$E$4:$I$12, MATCH(LEFT(F794),★新聞!$A$4:$A$12,0), MATCH(LEFT(W794),★新聞!$E$3:$I$3,0))</f>
        <v>X</v>
      </c>
      <c r="H794" s="475" t="s">
        <v>1102</v>
      </c>
      <c r="I794" s="464" cm="1">
        <f t="array" ref="I794">IFERROR(INDEX(★原価率!$A$2:$E$50,MATCH($C794&amp;$H794,★原価率!$A$2:$A$50&amp;★原価率!$B$2:$B$50,0),3),0)</f>
        <v>81</v>
      </c>
      <c r="J794" s="464" cm="1">
        <f t="array" ref="J794">IFERROR(INDEX(★原価率!$A$2:$E$50,MATCH($C794&amp;$H794,★原価率!$A$2:$A$50&amp;★原価率!$B$2:$B$50,0),4),0)</f>
        <v>85</v>
      </c>
      <c r="K794" s="464" cm="1">
        <f t="array" ref="K794">IFERROR(INDEX(★原価率!$A$2:$E$50,MATCH($C794&amp;$H794,★原価率!$A$2:$A$50&amp;★原価率!$B$2:$B$50,0),5),0)</f>
        <v>100</v>
      </c>
      <c r="L794" s="528">
        <f>IFERROR(VLOOKUP(W794,★商品!$A$1:$H$1231,8,FALSE),0)</f>
        <v>2.8</v>
      </c>
      <c r="M794" s="203" t="str">
        <f ca="1">CONCATENATE(VLOOKUP(B794,★営業所!$A$2:$B$5,2,FALSE),TEXT(NOW(),"yyyy"))</f>
        <v>T2023</v>
      </c>
      <c r="N794" s="203">
        <v>1</v>
      </c>
      <c r="O794" s="203">
        <v>0</v>
      </c>
      <c r="P794" s="213">
        <f>申込書!$B$6</f>
        <v>0</v>
      </c>
      <c r="Q794" s="203">
        <f>申込書!$C$34</f>
        <v>1000040</v>
      </c>
      <c r="R794" s="203">
        <v>0</v>
      </c>
      <c r="U794" s="203">
        <f>VLOOKUP(B794,★営業所!$A$2:$C$5,3,FALSE)</f>
        <v>8</v>
      </c>
      <c r="V794" s="203">
        <f>申込書!$B$9</f>
        <v>0</v>
      </c>
      <c r="W794" s="203" t="str">
        <f>CONCATENATE(VLOOKUP(B794,★営業所!$A$2:$B$5,2,FALSE),VLOOKUP(申込書!$C$32,★サイズ表記!$D$4:$E$55,2,FALSE),VLOOKUP(D794,★折込地区!$A$2:$B$11,2,FALSE))</f>
        <v>T1001Yng</v>
      </c>
      <c r="X794" s="203" t="str">
        <f>CONCATENATE(申込書!$B$9," ",VLOOKUP(RIGHT(W794,3),★折込地区!$B$2:$C$10,2,FALSE),"")</f>
        <v xml:space="preserve"> 米子</v>
      </c>
      <c r="Z794" s="206">
        <f t="shared" ca="1" si="95"/>
        <v>0</v>
      </c>
      <c r="AB794" s="383">
        <f t="shared" si="96"/>
        <v>2.8</v>
      </c>
      <c r="AC794" s="203" t="str">
        <f t="shared" si="97"/>
        <v>D1001</v>
      </c>
      <c r="AD794" s="203" t="str">
        <f>VLOOKUP(AC794,★原価商品!$E$6:$F$349,2,FALSE)</f>
        <v>日本海/B4（折り無し）</v>
      </c>
      <c r="AE794" s="203">
        <f t="shared" ca="1" si="98"/>
        <v>0</v>
      </c>
      <c r="AF794" s="383">
        <f>IFERROR(IF(VLOOKUP(申込書!$C$32,★サイズ表記!$F$4:$H$55,3,FALSE)="切り捨て",ROUNDDOWN(L794*IF(AK794="◎",I794,J794)/100,2),IF(VLOOKUP(申込書!$C$32,★サイズ表記!$F$4:$H$55,3,FALSE)="切り上げ",ROUNDUP(L794*IF(AK794="◎",I794,J794)/100,2),ROUND(L794*IF(AK794="◎",I794,J794)/100,2))),0)</f>
        <v>2.2599999999999998</v>
      </c>
      <c r="AG794" s="203">
        <f t="shared" ca="1" si="99"/>
        <v>10561</v>
      </c>
      <c r="AJ794" s="460" t="str">
        <f>IFERROR(VLOOKUP(申込書!$C$30,★業種!$D$2:$E$87,2,FALSE),"")</f>
        <v>1003</v>
      </c>
      <c r="AK794" s="460" t="str">
        <f>IF(申込書!$C$36="◎",IF(OR(D794="浜坂・温泉",D794="美方・村岡",D794="香住",D794="岡山",D794="大阪"),"",IF(LEFT(F794)="D","◎",IF(AG794=0,"",IFERROR(IF(VLOOKUP(AG794,★仕入先!$A$2:$C$211,3,FALSE)=0,"","◎"),"")))),"")</f>
        <v>◎</v>
      </c>
      <c r="AL794" s="460">
        <f>申込書!$H$14</f>
        <v>0</v>
      </c>
      <c r="AM794" s="460" t="str">
        <f>申込書!$C$32</f>
        <v>B4（折り無し）</v>
      </c>
      <c r="AN794" s="460" t="str">
        <f>VLOOKUP(AM794,★サイズ表記!$D$4:$E$55,2,FALSE)</f>
        <v>1001</v>
      </c>
      <c r="AO794" s="460">
        <f>IF(C794&lt;&gt;"⑧兵庫",VLOOKUP(LEFT(F794),★新聞!$A$4:$B$12,2,FALSE),IF(LEFT(F794)&lt;&gt;"S",VLOOKUP(LEFT(F794),★新聞!$A$4:$B$12,2,FALSE),VLOOKUP("X",★新聞!$A$4:$B$12,2,FALSE)))</f>
        <v>1</v>
      </c>
      <c r="AP794" s="460" t="str">
        <f t="shared" ca="1" si="100"/>
        <v>0</v>
      </c>
      <c r="AQ794" s="460" t="str">
        <f>IF(申込書!$C$38="","",申込書!$C$38)</f>
        <v/>
      </c>
    </row>
    <row r="795" spans="1:43">
      <c r="A795" s="463">
        <f t="shared" si="101"/>
        <v>794</v>
      </c>
      <c r="B795" s="463" t="str">
        <f t="shared" si="94"/>
        <v>東部</v>
      </c>
      <c r="C795" s="464" t="s">
        <v>1020</v>
      </c>
      <c r="D795" s="464" t="s">
        <v>1603</v>
      </c>
      <c r="E795" s="464">
        <f>VLOOKUP(D795,★折込地区!$A$2:$D$10,4,FALSE)</f>
        <v>3</v>
      </c>
      <c r="F795" s="464" t="s">
        <v>387</v>
      </c>
      <c r="G795" s="464" t="str">
        <f>INDEX(★新聞!$E$4:$I$12, MATCH(LEFT(F795),★新聞!$A$4:$A$12,0), MATCH(LEFT(W795),★新聞!$E$3:$I$3,0))</f>
        <v>X</v>
      </c>
      <c r="H795" s="475" t="s">
        <v>1102</v>
      </c>
      <c r="I795" s="464" cm="1">
        <f t="array" ref="I795">IFERROR(INDEX(★原価率!$A$2:$E$50,MATCH($C795&amp;$H795,★原価率!$A$2:$A$50&amp;★原価率!$B$2:$B$50,0),3),0)</f>
        <v>81</v>
      </c>
      <c r="J795" s="464" cm="1">
        <f t="array" ref="J795">IFERROR(INDEX(★原価率!$A$2:$E$50,MATCH($C795&amp;$H795,★原価率!$A$2:$A$50&amp;★原価率!$B$2:$B$50,0),4),0)</f>
        <v>85</v>
      </c>
      <c r="K795" s="464" cm="1">
        <f t="array" ref="K795">IFERROR(INDEX(★原価率!$A$2:$E$50,MATCH($C795&amp;$H795,★原価率!$A$2:$A$50&amp;★原価率!$B$2:$B$50,0),5),0)</f>
        <v>100</v>
      </c>
      <c r="L795" s="528">
        <f>IFERROR(VLOOKUP(W795,★商品!$A$1:$H$1231,8,FALSE),0)</f>
        <v>2.8</v>
      </c>
      <c r="M795" s="203" t="str">
        <f ca="1">CONCATENATE(VLOOKUP(B795,★営業所!$A$2:$B$5,2,FALSE),TEXT(NOW(),"yyyy"))</f>
        <v>T2023</v>
      </c>
      <c r="N795" s="203">
        <v>1</v>
      </c>
      <c r="O795" s="203">
        <v>0</v>
      </c>
      <c r="P795" s="213">
        <f>申込書!$B$6</f>
        <v>0</v>
      </c>
      <c r="Q795" s="203">
        <f>申込書!$C$34</f>
        <v>1000040</v>
      </c>
      <c r="R795" s="203">
        <v>0</v>
      </c>
      <c r="U795" s="203">
        <f>VLOOKUP(B795,★営業所!$A$2:$C$5,3,FALSE)</f>
        <v>8</v>
      </c>
      <c r="V795" s="203">
        <f>申込書!$B$9</f>
        <v>0</v>
      </c>
      <c r="W795" s="203" t="str">
        <f>CONCATENATE(VLOOKUP(B795,★営業所!$A$2:$B$5,2,FALSE),VLOOKUP(申込書!$C$32,★サイズ表記!$D$4:$E$55,2,FALSE),VLOOKUP(D795,★折込地区!$A$2:$B$11,2,FALSE))</f>
        <v>T1001Yng</v>
      </c>
      <c r="X795" s="203" t="str">
        <f>CONCATENATE(申込書!$B$9," ",VLOOKUP(RIGHT(W795,3),★折込地区!$B$2:$C$10,2,FALSE),"")</f>
        <v xml:space="preserve"> 米子</v>
      </c>
      <c r="Z795" s="206">
        <f t="shared" ca="1" si="95"/>
        <v>0</v>
      </c>
      <c r="AB795" s="383">
        <f t="shared" si="96"/>
        <v>2.8</v>
      </c>
      <c r="AC795" s="203" t="str">
        <f t="shared" si="97"/>
        <v>D1001</v>
      </c>
      <c r="AD795" s="203" t="str">
        <f>VLOOKUP(AC795,★原価商品!$E$6:$F$349,2,FALSE)</f>
        <v>日本海/B4（折り無し）</v>
      </c>
      <c r="AE795" s="203">
        <f t="shared" ca="1" si="98"/>
        <v>0</v>
      </c>
      <c r="AF795" s="383">
        <f>IFERROR(IF(VLOOKUP(申込書!$C$32,★サイズ表記!$F$4:$H$55,3,FALSE)="切り捨て",ROUNDDOWN(L795*IF(AK795="◎",I795,J795)/100,2),IF(VLOOKUP(申込書!$C$32,★サイズ表記!$F$4:$H$55,3,FALSE)="切り上げ",ROUNDUP(L795*IF(AK795="◎",I795,J795)/100,2),ROUND(L795*IF(AK795="◎",I795,J795)/100,2))),0)</f>
        <v>2.2599999999999998</v>
      </c>
      <c r="AG795" s="203">
        <f t="shared" ca="1" si="99"/>
        <v>10561</v>
      </c>
      <c r="AJ795" s="460" t="str">
        <f>IFERROR(VLOOKUP(申込書!$C$30,★業種!$D$2:$E$87,2,FALSE),"")</f>
        <v>1003</v>
      </c>
      <c r="AK795" s="460" t="str">
        <f>IF(申込書!$C$36="◎",IF(OR(D795="浜坂・温泉",D795="美方・村岡",D795="香住",D795="岡山",D795="大阪"),"",IF(LEFT(F795)="D","◎",IF(AG795=0,"",IFERROR(IF(VLOOKUP(AG795,★仕入先!$A$2:$C$211,3,FALSE)=0,"","◎"),"")))),"")</f>
        <v>◎</v>
      </c>
      <c r="AL795" s="460">
        <f>申込書!$H$14</f>
        <v>0</v>
      </c>
      <c r="AM795" s="460" t="str">
        <f>申込書!$C$32</f>
        <v>B4（折り無し）</v>
      </c>
      <c r="AN795" s="460" t="str">
        <f>VLOOKUP(AM795,★サイズ表記!$D$4:$E$55,2,FALSE)</f>
        <v>1001</v>
      </c>
      <c r="AO795" s="460">
        <f>IF(C795&lt;&gt;"⑧兵庫",VLOOKUP(LEFT(F795),★新聞!$A$4:$B$12,2,FALSE),IF(LEFT(F795)&lt;&gt;"S",VLOOKUP(LEFT(F795),★新聞!$A$4:$B$12,2,FALSE),VLOOKUP("X",★新聞!$A$4:$B$12,2,FALSE)))</f>
        <v>1</v>
      </c>
      <c r="AP795" s="460" t="str">
        <f t="shared" ca="1" si="100"/>
        <v>0</v>
      </c>
      <c r="AQ795" s="460" t="str">
        <f>IF(申込書!$C$38="","",申込書!$C$38)</f>
        <v/>
      </c>
    </row>
    <row r="796" spans="1:43">
      <c r="A796" s="463">
        <f t="shared" si="101"/>
        <v>795</v>
      </c>
      <c r="B796" s="463" t="str">
        <f t="shared" si="94"/>
        <v>東部</v>
      </c>
      <c r="C796" s="464" t="s">
        <v>1020</v>
      </c>
      <c r="D796" s="464" t="s">
        <v>1603</v>
      </c>
      <c r="E796" s="464">
        <f>VLOOKUP(D796,★折込地区!$A$2:$D$10,4,FALSE)</f>
        <v>3</v>
      </c>
      <c r="F796" s="464" t="s">
        <v>388</v>
      </c>
      <c r="G796" s="464" t="str">
        <f>INDEX(★新聞!$E$4:$I$12, MATCH(LEFT(F796),★新聞!$A$4:$A$12,0), MATCH(LEFT(W796),★新聞!$E$3:$I$3,0))</f>
        <v>X</v>
      </c>
      <c r="H796" s="475" t="s">
        <v>1102</v>
      </c>
      <c r="I796" s="464" cm="1">
        <f t="array" ref="I796">IFERROR(INDEX(★原価率!$A$2:$E$50,MATCH($C796&amp;$H796,★原価率!$A$2:$A$50&amp;★原価率!$B$2:$B$50,0),3),0)</f>
        <v>81</v>
      </c>
      <c r="J796" s="464" cm="1">
        <f t="array" ref="J796">IFERROR(INDEX(★原価率!$A$2:$E$50,MATCH($C796&amp;$H796,★原価率!$A$2:$A$50&amp;★原価率!$B$2:$B$50,0),4),0)</f>
        <v>85</v>
      </c>
      <c r="K796" s="464" cm="1">
        <f t="array" ref="K796">IFERROR(INDEX(★原価率!$A$2:$E$50,MATCH($C796&amp;$H796,★原価率!$A$2:$A$50&amp;★原価率!$B$2:$B$50,0),5),0)</f>
        <v>100</v>
      </c>
      <c r="L796" s="528">
        <f>IFERROR(VLOOKUP(W796,★商品!$A$1:$H$1231,8,FALSE),0)</f>
        <v>2.8</v>
      </c>
      <c r="M796" s="203" t="str">
        <f ca="1">CONCATENATE(VLOOKUP(B796,★営業所!$A$2:$B$5,2,FALSE),TEXT(NOW(),"yyyy"))</f>
        <v>T2023</v>
      </c>
      <c r="N796" s="203">
        <v>1</v>
      </c>
      <c r="O796" s="203">
        <v>0</v>
      </c>
      <c r="P796" s="213">
        <f>申込書!$B$6</f>
        <v>0</v>
      </c>
      <c r="Q796" s="203">
        <f>申込書!$C$34</f>
        <v>1000040</v>
      </c>
      <c r="R796" s="203">
        <v>0</v>
      </c>
      <c r="U796" s="203">
        <f>VLOOKUP(B796,★営業所!$A$2:$C$5,3,FALSE)</f>
        <v>8</v>
      </c>
      <c r="V796" s="203">
        <f>申込書!$B$9</f>
        <v>0</v>
      </c>
      <c r="W796" s="203" t="str">
        <f>CONCATENATE(VLOOKUP(B796,★営業所!$A$2:$B$5,2,FALSE),VLOOKUP(申込書!$C$32,★サイズ表記!$D$4:$E$55,2,FALSE),VLOOKUP(D796,★折込地区!$A$2:$B$11,2,FALSE))</f>
        <v>T1001Yng</v>
      </c>
      <c r="X796" s="203" t="str">
        <f>CONCATENATE(申込書!$B$9," ",VLOOKUP(RIGHT(W796,3),★折込地区!$B$2:$C$10,2,FALSE),"")</f>
        <v xml:space="preserve"> 米子</v>
      </c>
      <c r="Z796" s="206">
        <f t="shared" ca="1" si="95"/>
        <v>0</v>
      </c>
      <c r="AB796" s="383">
        <f t="shared" si="96"/>
        <v>2.8</v>
      </c>
      <c r="AC796" s="203" t="str">
        <f t="shared" si="97"/>
        <v>D1001</v>
      </c>
      <c r="AD796" s="203" t="str">
        <f>VLOOKUP(AC796,★原価商品!$E$6:$F$349,2,FALSE)</f>
        <v>日本海/B4（折り無し）</v>
      </c>
      <c r="AE796" s="203">
        <f t="shared" ca="1" si="98"/>
        <v>0</v>
      </c>
      <c r="AF796" s="383">
        <f>IFERROR(IF(VLOOKUP(申込書!$C$32,★サイズ表記!$F$4:$H$55,3,FALSE)="切り捨て",ROUNDDOWN(L796*IF(AK796="◎",I796,J796)/100,2),IF(VLOOKUP(申込書!$C$32,★サイズ表記!$F$4:$H$55,3,FALSE)="切り上げ",ROUNDUP(L796*IF(AK796="◎",I796,J796)/100,2),ROUND(L796*IF(AK796="◎",I796,J796)/100,2))),0)</f>
        <v>2.2599999999999998</v>
      </c>
      <c r="AG796" s="203">
        <f t="shared" ca="1" si="99"/>
        <v>10561</v>
      </c>
      <c r="AJ796" s="460" t="str">
        <f>IFERROR(VLOOKUP(申込書!$C$30,★業種!$D$2:$E$87,2,FALSE),"")</f>
        <v>1003</v>
      </c>
      <c r="AK796" s="460" t="str">
        <f>IF(申込書!$C$36="◎",IF(OR(D796="浜坂・温泉",D796="美方・村岡",D796="香住",D796="岡山",D796="大阪"),"",IF(LEFT(F796)="D","◎",IF(AG796=0,"",IFERROR(IF(VLOOKUP(AG796,★仕入先!$A$2:$C$211,3,FALSE)=0,"","◎"),"")))),"")</f>
        <v>◎</v>
      </c>
      <c r="AL796" s="460">
        <f>申込書!$H$14</f>
        <v>0</v>
      </c>
      <c r="AM796" s="460" t="str">
        <f>申込書!$C$32</f>
        <v>B4（折り無し）</v>
      </c>
      <c r="AN796" s="460" t="str">
        <f>VLOOKUP(AM796,★サイズ表記!$D$4:$E$55,2,FALSE)</f>
        <v>1001</v>
      </c>
      <c r="AO796" s="460">
        <f>IF(C796&lt;&gt;"⑧兵庫",VLOOKUP(LEFT(F796),★新聞!$A$4:$B$12,2,FALSE),IF(LEFT(F796)&lt;&gt;"S",VLOOKUP(LEFT(F796),★新聞!$A$4:$B$12,2,FALSE),VLOOKUP("X",★新聞!$A$4:$B$12,2,FALSE)))</f>
        <v>1</v>
      </c>
      <c r="AP796" s="460" t="str">
        <f t="shared" ca="1" si="100"/>
        <v>0</v>
      </c>
      <c r="AQ796" s="460" t="str">
        <f>IF(申込書!$C$38="","",申込書!$C$38)</f>
        <v/>
      </c>
    </row>
    <row r="797" spans="1:43">
      <c r="A797" s="463">
        <f t="shared" si="101"/>
        <v>796</v>
      </c>
      <c r="B797" s="463" t="str">
        <f t="shared" si="94"/>
        <v>東部</v>
      </c>
      <c r="C797" s="464" t="s">
        <v>1020</v>
      </c>
      <c r="D797" s="464" t="s">
        <v>1603</v>
      </c>
      <c r="E797" s="464">
        <f>VLOOKUP(D797,★折込地区!$A$2:$D$10,4,FALSE)</f>
        <v>3</v>
      </c>
      <c r="F797" s="464" t="s">
        <v>389</v>
      </c>
      <c r="G797" s="464" t="str">
        <f>INDEX(★新聞!$E$4:$I$12, MATCH(LEFT(F797),★新聞!$A$4:$A$12,0), MATCH(LEFT(W797),★新聞!$E$3:$I$3,0))</f>
        <v>X</v>
      </c>
      <c r="H797" s="475" t="s">
        <v>1102</v>
      </c>
      <c r="I797" s="464" cm="1">
        <f t="array" ref="I797">IFERROR(INDEX(★原価率!$A$2:$E$50,MATCH($C797&amp;$H797,★原価率!$A$2:$A$50&amp;★原価率!$B$2:$B$50,0),3),0)</f>
        <v>81</v>
      </c>
      <c r="J797" s="464" cm="1">
        <f t="array" ref="J797">IFERROR(INDEX(★原価率!$A$2:$E$50,MATCH($C797&amp;$H797,★原価率!$A$2:$A$50&amp;★原価率!$B$2:$B$50,0),4),0)</f>
        <v>85</v>
      </c>
      <c r="K797" s="464" cm="1">
        <f t="array" ref="K797">IFERROR(INDEX(★原価率!$A$2:$E$50,MATCH($C797&amp;$H797,★原価率!$A$2:$A$50&amp;★原価率!$B$2:$B$50,0),5),0)</f>
        <v>100</v>
      </c>
      <c r="L797" s="528">
        <f>IFERROR(VLOOKUP(W797,★商品!$A$1:$H$1231,8,FALSE),0)</f>
        <v>2.8</v>
      </c>
      <c r="M797" s="203" t="str">
        <f ca="1">CONCATENATE(VLOOKUP(B797,★営業所!$A$2:$B$5,2,FALSE),TEXT(NOW(),"yyyy"))</f>
        <v>T2023</v>
      </c>
      <c r="N797" s="203">
        <v>1</v>
      </c>
      <c r="O797" s="203">
        <v>0</v>
      </c>
      <c r="P797" s="213">
        <f>申込書!$B$6</f>
        <v>0</v>
      </c>
      <c r="Q797" s="203">
        <f>申込書!$C$34</f>
        <v>1000040</v>
      </c>
      <c r="R797" s="203">
        <v>0</v>
      </c>
      <c r="U797" s="203">
        <f>VLOOKUP(B797,★営業所!$A$2:$C$5,3,FALSE)</f>
        <v>8</v>
      </c>
      <c r="V797" s="203">
        <f>申込書!$B$9</f>
        <v>0</v>
      </c>
      <c r="W797" s="203" t="str">
        <f>CONCATENATE(VLOOKUP(B797,★営業所!$A$2:$B$5,2,FALSE),VLOOKUP(申込書!$C$32,★サイズ表記!$D$4:$E$55,2,FALSE),VLOOKUP(D797,★折込地区!$A$2:$B$11,2,FALSE))</f>
        <v>T1001Yng</v>
      </c>
      <c r="X797" s="203" t="str">
        <f>CONCATENATE(申込書!$B$9," ",VLOOKUP(RIGHT(W797,3),★折込地区!$B$2:$C$10,2,FALSE),"")</f>
        <v xml:space="preserve"> 米子</v>
      </c>
      <c r="Z797" s="206">
        <f t="shared" ca="1" si="95"/>
        <v>0</v>
      </c>
      <c r="AB797" s="383">
        <f t="shared" si="96"/>
        <v>2.8</v>
      </c>
      <c r="AC797" s="203" t="str">
        <f t="shared" si="97"/>
        <v>D1001</v>
      </c>
      <c r="AD797" s="203" t="str">
        <f>VLOOKUP(AC797,★原価商品!$E$6:$F$349,2,FALSE)</f>
        <v>日本海/B4（折り無し）</v>
      </c>
      <c r="AE797" s="203">
        <f t="shared" ca="1" si="98"/>
        <v>0</v>
      </c>
      <c r="AF797" s="383">
        <f>IFERROR(IF(VLOOKUP(申込書!$C$32,★サイズ表記!$F$4:$H$55,3,FALSE)="切り捨て",ROUNDDOWN(L797*IF(AK797="◎",I797,J797)/100,2),IF(VLOOKUP(申込書!$C$32,★サイズ表記!$F$4:$H$55,3,FALSE)="切り上げ",ROUNDUP(L797*IF(AK797="◎",I797,J797)/100,2),ROUND(L797*IF(AK797="◎",I797,J797)/100,2))),0)</f>
        <v>2.2599999999999998</v>
      </c>
      <c r="AG797" s="203">
        <f t="shared" ca="1" si="99"/>
        <v>10561</v>
      </c>
      <c r="AJ797" s="460" t="str">
        <f>IFERROR(VLOOKUP(申込書!$C$30,★業種!$D$2:$E$87,2,FALSE),"")</f>
        <v>1003</v>
      </c>
      <c r="AK797" s="460" t="str">
        <f>IF(申込書!$C$36="◎",IF(OR(D797="浜坂・温泉",D797="美方・村岡",D797="香住",D797="岡山",D797="大阪"),"",IF(LEFT(F797)="D","◎",IF(AG797=0,"",IFERROR(IF(VLOOKUP(AG797,★仕入先!$A$2:$C$211,3,FALSE)=0,"","◎"),"")))),"")</f>
        <v>◎</v>
      </c>
      <c r="AL797" s="460">
        <f>申込書!$H$14</f>
        <v>0</v>
      </c>
      <c r="AM797" s="460" t="str">
        <f>申込書!$C$32</f>
        <v>B4（折り無し）</v>
      </c>
      <c r="AN797" s="460" t="str">
        <f>VLOOKUP(AM797,★サイズ表記!$D$4:$E$55,2,FALSE)</f>
        <v>1001</v>
      </c>
      <c r="AO797" s="460">
        <f>IF(C797&lt;&gt;"⑧兵庫",VLOOKUP(LEFT(F797),★新聞!$A$4:$B$12,2,FALSE),IF(LEFT(F797)&lt;&gt;"S",VLOOKUP(LEFT(F797),★新聞!$A$4:$B$12,2,FALSE),VLOOKUP("X",★新聞!$A$4:$B$12,2,FALSE)))</f>
        <v>1</v>
      </c>
      <c r="AP797" s="460" t="str">
        <f t="shared" ca="1" si="100"/>
        <v>0</v>
      </c>
      <c r="AQ797" s="460" t="str">
        <f>IF(申込書!$C$38="","",申込書!$C$38)</f>
        <v/>
      </c>
    </row>
    <row r="798" spans="1:43">
      <c r="A798" s="463">
        <f t="shared" si="101"/>
        <v>797</v>
      </c>
      <c r="B798" s="463" t="str">
        <f t="shared" si="94"/>
        <v>東部</v>
      </c>
      <c r="C798" s="464" t="s">
        <v>1020</v>
      </c>
      <c r="D798" s="464" t="s">
        <v>41</v>
      </c>
      <c r="E798" s="464">
        <f>VLOOKUP(D798,★折込地区!$A$2:$D$10,4,FALSE)</f>
        <v>8</v>
      </c>
      <c r="F798" s="464" t="s">
        <v>395</v>
      </c>
      <c r="G798" s="464" t="str">
        <f>INDEX(★新聞!$E$4:$I$12, MATCH(LEFT(F798),★新聞!$A$4:$A$12,0), MATCH(LEFT(W798),★新聞!$E$3:$I$3,0))</f>
        <v>X</v>
      </c>
      <c r="H798" s="475" t="s">
        <v>1128</v>
      </c>
      <c r="I798" s="464" cm="1">
        <f t="array" ref="I798">IFERROR(INDEX(★原価率!$A$2:$E$50,MATCH($C798&amp;$H798,★原価率!$A$2:$A$50&amp;★原価率!$B$2:$B$50,0),3),0)</f>
        <v>80</v>
      </c>
      <c r="J798" s="464" cm="1">
        <f t="array" ref="J798">IFERROR(INDEX(★原価率!$A$2:$E$50,MATCH($C798&amp;$H798,★原価率!$A$2:$A$50&amp;★原価率!$B$2:$B$50,0),4),0)</f>
        <v>84</v>
      </c>
      <c r="K798" s="464" cm="1">
        <f t="array" ref="K798">IFERROR(INDEX(★原価率!$A$2:$E$50,MATCH($C798&amp;$H798,★原価率!$A$2:$A$50&amp;★原価率!$B$2:$B$50,0),5),0)</f>
        <v>100</v>
      </c>
      <c r="L798" s="528">
        <f>IFERROR(VLOOKUP(W798,★商品!$A$1:$H$1231,8,FALSE),0)</f>
        <v>3</v>
      </c>
      <c r="M798" s="203" t="str">
        <f ca="1">CONCATENATE(VLOOKUP(B798,★営業所!$A$2:$B$5,2,FALSE),TEXT(NOW(),"yyyy"))</f>
        <v>T2023</v>
      </c>
      <c r="N798" s="203">
        <v>1</v>
      </c>
      <c r="O798" s="203">
        <v>0</v>
      </c>
      <c r="P798" s="213">
        <f>申込書!$B$6</f>
        <v>0</v>
      </c>
      <c r="Q798" s="203">
        <f>申込書!$C$34</f>
        <v>1000040</v>
      </c>
      <c r="R798" s="203">
        <v>0</v>
      </c>
      <c r="U798" s="203">
        <f>VLOOKUP(B798,★営業所!$A$2:$C$5,3,FALSE)</f>
        <v>8</v>
      </c>
      <c r="V798" s="203">
        <f>申込書!$B$9</f>
        <v>0</v>
      </c>
      <c r="W798" s="203" t="str">
        <f>CONCATENATE(VLOOKUP(B798,★営業所!$A$2:$B$5,2,FALSE),VLOOKUP(申込書!$C$32,★サイズ表記!$D$4:$E$55,2,FALSE),VLOOKUP(D798,★折込地区!$A$2:$B$11,2,FALSE))</f>
        <v>T1001Shi</v>
      </c>
      <c r="X798" s="203" t="str">
        <f>CONCATENATE(申込書!$B$9," ",VLOOKUP(RIGHT(W798,3),★折込地区!$B$2:$C$10,2,FALSE),"")</f>
        <v xml:space="preserve"> 島根</v>
      </c>
      <c r="Z798" s="206">
        <f t="shared" ca="1" si="95"/>
        <v>0</v>
      </c>
      <c r="AB798" s="383">
        <f t="shared" si="96"/>
        <v>3</v>
      </c>
      <c r="AC798" s="203" t="str">
        <f t="shared" si="97"/>
        <v>D1001</v>
      </c>
      <c r="AD798" s="203" t="str">
        <f>VLOOKUP(AC798,★原価商品!$E$6:$F$349,2,FALSE)</f>
        <v>日本海/B4（折り無し）</v>
      </c>
      <c r="AE798" s="203">
        <f t="shared" ca="1" si="98"/>
        <v>0</v>
      </c>
      <c r="AF798" s="383">
        <f>IFERROR(IF(VLOOKUP(申込書!$C$32,★サイズ表記!$F$4:$H$55,3,FALSE)="切り捨て",ROUNDDOWN(L798*IF(AK798="◎",I798,J798)/100,2),IF(VLOOKUP(申込書!$C$32,★サイズ表記!$F$4:$H$55,3,FALSE)="切り上げ",ROUNDUP(L798*IF(AK798="◎",I798,J798)/100,2),ROUND(L798*IF(AK798="◎",I798,J798)/100,2))),0)</f>
        <v>2.4</v>
      </c>
      <c r="AG798" s="203">
        <f t="shared" ca="1" si="99"/>
        <v>10561</v>
      </c>
      <c r="AJ798" s="460" t="str">
        <f>IFERROR(VLOOKUP(申込書!$C$30,★業種!$D$2:$E$87,2,FALSE),"")</f>
        <v>1003</v>
      </c>
      <c r="AK798" s="460" t="str">
        <f>IF(申込書!$C$36="◎",IF(OR(D798="浜坂・温泉",D798="美方・村岡",D798="香住",D798="岡山",D798="大阪"),"",IF(LEFT(F798)="D","◎",IF(AG798=0,"",IFERROR(IF(VLOOKUP(AG798,★仕入先!$A$2:$C$211,3,FALSE)=0,"","◎"),"")))),"")</f>
        <v>◎</v>
      </c>
      <c r="AL798" s="460">
        <f>申込書!$H$14</f>
        <v>0</v>
      </c>
      <c r="AM798" s="460" t="str">
        <f>申込書!$C$32</f>
        <v>B4（折り無し）</v>
      </c>
      <c r="AN798" s="460" t="str">
        <f>VLOOKUP(AM798,★サイズ表記!$D$4:$E$55,2,FALSE)</f>
        <v>1001</v>
      </c>
      <c r="AO798" s="460">
        <f>IF(C798&lt;&gt;"⑧兵庫",VLOOKUP(LEFT(F798),★新聞!$A$4:$B$12,2,FALSE),IF(LEFT(F798)&lt;&gt;"S",VLOOKUP(LEFT(F798),★新聞!$A$4:$B$12,2,FALSE),VLOOKUP("X",★新聞!$A$4:$B$12,2,FALSE)))</f>
        <v>1</v>
      </c>
      <c r="AP798" s="460" t="str">
        <f t="shared" ca="1" si="100"/>
        <v>0</v>
      </c>
      <c r="AQ798" s="460" t="str">
        <f>IF(申込書!$C$38="","",申込書!$C$38)</f>
        <v/>
      </c>
    </row>
    <row r="799" spans="1:43">
      <c r="A799" s="463">
        <f t="shared" si="101"/>
        <v>798</v>
      </c>
      <c r="B799" s="463" t="str">
        <f t="shared" si="94"/>
        <v>東部</v>
      </c>
      <c r="C799" s="464" t="s">
        <v>1020</v>
      </c>
      <c r="D799" s="464" t="s">
        <v>41</v>
      </c>
      <c r="E799" s="464">
        <f>VLOOKUP(D799,★折込地区!$A$2:$D$10,4,FALSE)</f>
        <v>8</v>
      </c>
      <c r="F799" s="464" t="s">
        <v>396</v>
      </c>
      <c r="G799" s="464" t="str">
        <f>INDEX(★新聞!$E$4:$I$12, MATCH(LEFT(F799),★新聞!$A$4:$A$12,0), MATCH(LEFT(W799),★新聞!$E$3:$I$3,0))</f>
        <v>X</v>
      </c>
      <c r="H799" s="475" t="s">
        <v>1128</v>
      </c>
      <c r="I799" s="464" cm="1">
        <f t="array" ref="I799">IFERROR(INDEX(★原価率!$A$2:$E$50,MATCH($C799&amp;$H799,★原価率!$A$2:$A$50&amp;★原価率!$B$2:$B$50,0),3),0)</f>
        <v>80</v>
      </c>
      <c r="J799" s="464" cm="1">
        <f t="array" ref="J799">IFERROR(INDEX(★原価率!$A$2:$E$50,MATCH($C799&amp;$H799,★原価率!$A$2:$A$50&amp;★原価率!$B$2:$B$50,0),4),0)</f>
        <v>84</v>
      </c>
      <c r="K799" s="464" cm="1">
        <f t="array" ref="K799">IFERROR(INDEX(★原価率!$A$2:$E$50,MATCH($C799&amp;$H799,★原価率!$A$2:$A$50&amp;★原価率!$B$2:$B$50,0),5),0)</f>
        <v>100</v>
      </c>
      <c r="L799" s="528">
        <f>IFERROR(VLOOKUP(W799,★商品!$A$1:$H$1231,8,FALSE),0)</f>
        <v>3</v>
      </c>
      <c r="M799" s="203" t="str">
        <f ca="1">CONCATENATE(VLOOKUP(B799,★営業所!$A$2:$B$5,2,FALSE),TEXT(NOW(),"yyyy"))</f>
        <v>T2023</v>
      </c>
      <c r="N799" s="203">
        <v>1</v>
      </c>
      <c r="O799" s="203">
        <v>0</v>
      </c>
      <c r="P799" s="213">
        <f>申込書!$B$6</f>
        <v>0</v>
      </c>
      <c r="Q799" s="203">
        <f>申込書!$C$34</f>
        <v>1000040</v>
      </c>
      <c r="R799" s="203">
        <v>0</v>
      </c>
      <c r="U799" s="203">
        <f>VLOOKUP(B799,★営業所!$A$2:$C$5,3,FALSE)</f>
        <v>8</v>
      </c>
      <c r="V799" s="203">
        <f>申込書!$B$9</f>
        <v>0</v>
      </c>
      <c r="W799" s="203" t="str">
        <f>CONCATENATE(VLOOKUP(B799,★営業所!$A$2:$B$5,2,FALSE),VLOOKUP(申込書!$C$32,★サイズ表記!$D$4:$E$55,2,FALSE),VLOOKUP(D799,★折込地区!$A$2:$B$11,2,FALSE))</f>
        <v>T1001Shi</v>
      </c>
      <c r="X799" s="203" t="str">
        <f>CONCATENATE(申込書!$B$9," ",VLOOKUP(RIGHT(W799,3),★折込地区!$B$2:$C$10,2,FALSE),"")</f>
        <v xml:space="preserve"> 島根</v>
      </c>
      <c r="Z799" s="206">
        <f t="shared" ca="1" si="95"/>
        <v>0</v>
      </c>
      <c r="AB799" s="383">
        <f t="shared" si="96"/>
        <v>3</v>
      </c>
      <c r="AC799" s="203" t="str">
        <f t="shared" si="97"/>
        <v>D1001</v>
      </c>
      <c r="AD799" s="203" t="str">
        <f>VLOOKUP(AC799,★原価商品!$E$6:$F$349,2,FALSE)</f>
        <v>日本海/B4（折り無し）</v>
      </c>
      <c r="AE799" s="203">
        <f t="shared" ca="1" si="98"/>
        <v>0</v>
      </c>
      <c r="AF799" s="383">
        <f>IFERROR(IF(VLOOKUP(申込書!$C$32,★サイズ表記!$F$4:$H$55,3,FALSE)="切り捨て",ROUNDDOWN(L799*IF(AK799="◎",I799,J799)/100,2),IF(VLOOKUP(申込書!$C$32,★サイズ表記!$F$4:$H$55,3,FALSE)="切り上げ",ROUNDUP(L799*IF(AK799="◎",I799,J799)/100,2),ROUND(L799*IF(AK799="◎",I799,J799)/100,2))),0)</f>
        <v>2.4</v>
      </c>
      <c r="AG799" s="203">
        <f t="shared" ca="1" si="99"/>
        <v>10561</v>
      </c>
      <c r="AJ799" s="460" t="str">
        <f>IFERROR(VLOOKUP(申込書!$C$30,★業種!$D$2:$E$87,2,FALSE),"")</f>
        <v>1003</v>
      </c>
      <c r="AK799" s="460" t="str">
        <f>IF(申込書!$C$36="◎",IF(OR(D799="浜坂・温泉",D799="美方・村岡",D799="香住",D799="岡山",D799="大阪"),"",IF(LEFT(F799)="D","◎",IF(AG799=0,"",IFERROR(IF(VLOOKUP(AG799,★仕入先!$A$2:$C$211,3,FALSE)=0,"","◎"),"")))),"")</f>
        <v>◎</v>
      </c>
      <c r="AL799" s="460">
        <f>申込書!$H$14</f>
        <v>0</v>
      </c>
      <c r="AM799" s="460" t="str">
        <f>申込書!$C$32</f>
        <v>B4（折り無し）</v>
      </c>
      <c r="AN799" s="460" t="str">
        <f>VLOOKUP(AM799,★サイズ表記!$D$4:$E$55,2,FALSE)</f>
        <v>1001</v>
      </c>
      <c r="AO799" s="460">
        <f>IF(C799&lt;&gt;"⑧兵庫",VLOOKUP(LEFT(F799),★新聞!$A$4:$B$12,2,FALSE),IF(LEFT(F799)&lt;&gt;"S",VLOOKUP(LEFT(F799),★新聞!$A$4:$B$12,2,FALSE),VLOOKUP("X",★新聞!$A$4:$B$12,2,FALSE)))</f>
        <v>1</v>
      </c>
      <c r="AP799" s="460" t="str">
        <f t="shared" ca="1" si="100"/>
        <v>0</v>
      </c>
      <c r="AQ799" s="460" t="str">
        <f>IF(申込書!$C$38="","",申込書!$C$38)</f>
        <v/>
      </c>
    </row>
    <row r="800" spans="1:43">
      <c r="A800" s="463">
        <f t="shared" si="101"/>
        <v>799</v>
      </c>
      <c r="B800" s="463" t="str">
        <f t="shared" si="94"/>
        <v>東部</v>
      </c>
      <c r="C800" s="464" t="s">
        <v>1020</v>
      </c>
      <c r="D800" s="464" t="s">
        <v>41</v>
      </c>
      <c r="E800" s="464">
        <f>VLOOKUP(D800,★折込地区!$A$2:$D$10,4,FALSE)</f>
        <v>8</v>
      </c>
      <c r="F800" s="464" t="s">
        <v>397</v>
      </c>
      <c r="G800" s="464" t="str">
        <f>INDEX(★新聞!$E$4:$I$12, MATCH(LEFT(F800),★新聞!$A$4:$A$12,0), MATCH(LEFT(W800),★新聞!$E$3:$I$3,0))</f>
        <v>X</v>
      </c>
      <c r="H800" s="475" t="s">
        <v>1128</v>
      </c>
      <c r="I800" s="464" cm="1">
        <f t="array" ref="I800">IFERROR(INDEX(★原価率!$A$2:$E$50,MATCH($C800&amp;$H800,★原価率!$A$2:$A$50&amp;★原価率!$B$2:$B$50,0),3),0)</f>
        <v>80</v>
      </c>
      <c r="J800" s="464" cm="1">
        <f t="array" ref="J800">IFERROR(INDEX(★原価率!$A$2:$E$50,MATCH($C800&amp;$H800,★原価率!$A$2:$A$50&amp;★原価率!$B$2:$B$50,0),4),0)</f>
        <v>84</v>
      </c>
      <c r="K800" s="464" cm="1">
        <f t="array" ref="K800">IFERROR(INDEX(★原価率!$A$2:$E$50,MATCH($C800&amp;$H800,★原価率!$A$2:$A$50&amp;★原価率!$B$2:$B$50,0),5),0)</f>
        <v>100</v>
      </c>
      <c r="L800" s="528">
        <f>IFERROR(VLOOKUP(W800,★商品!$A$1:$H$1231,8,FALSE),0)</f>
        <v>3</v>
      </c>
      <c r="M800" s="203" t="str">
        <f ca="1">CONCATENATE(VLOOKUP(B800,★営業所!$A$2:$B$5,2,FALSE),TEXT(NOW(),"yyyy"))</f>
        <v>T2023</v>
      </c>
      <c r="N800" s="203">
        <v>1</v>
      </c>
      <c r="O800" s="203">
        <v>0</v>
      </c>
      <c r="P800" s="213">
        <f>申込書!$B$6</f>
        <v>0</v>
      </c>
      <c r="Q800" s="203">
        <f>申込書!$C$34</f>
        <v>1000040</v>
      </c>
      <c r="R800" s="203">
        <v>0</v>
      </c>
      <c r="U800" s="203">
        <f>VLOOKUP(B800,★営業所!$A$2:$C$5,3,FALSE)</f>
        <v>8</v>
      </c>
      <c r="V800" s="203">
        <f>申込書!$B$9</f>
        <v>0</v>
      </c>
      <c r="W800" s="203" t="str">
        <f>CONCATENATE(VLOOKUP(B800,★営業所!$A$2:$B$5,2,FALSE),VLOOKUP(申込書!$C$32,★サイズ表記!$D$4:$E$55,2,FALSE),VLOOKUP(D800,★折込地区!$A$2:$B$11,2,FALSE))</f>
        <v>T1001Shi</v>
      </c>
      <c r="X800" s="203" t="str">
        <f>CONCATENATE(申込書!$B$9," ",VLOOKUP(RIGHT(W800,3),★折込地区!$B$2:$C$10,2,FALSE),"")</f>
        <v xml:space="preserve"> 島根</v>
      </c>
      <c r="Z800" s="206">
        <f t="shared" ca="1" si="95"/>
        <v>0</v>
      </c>
      <c r="AB800" s="383">
        <f t="shared" si="96"/>
        <v>3</v>
      </c>
      <c r="AC800" s="203" t="str">
        <f t="shared" si="97"/>
        <v>D1001</v>
      </c>
      <c r="AD800" s="203" t="str">
        <f>VLOOKUP(AC800,★原価商品!$E$6:$F$349,2,FALSE)</f>
        <v>日本海/B4（折り無し）</v>
      </c>
      <c r="AE800" s="203">
        <f t="shared" ca="1" si="98"/>
        <v>0</v>
      </c>
      <c r="AF800" s="383">
        <f>IFERROR(IF(VLOOKUP(申込書!$C$32,★サイズ表記!$F$4:$H$55,3,FALSE)="切り捨て",ROUNDDOWN(L800*IF(AK800="◎",I800,J800)/100,2),IF(VLOOKUP(申込書!$C$32,★サイズ表記!$F$4:$H$55,3,FALSE)="切り上げ",ROUNDUP(L800*IF(AK800="◎",I800,J800)/100,2),ROUND(L800*IF(AK800="◎",I800,J800)/100,2))),0)</f>
        <v>2.4</v>
      </c>
      <c r="AG800" s="203">
        <f t="shared" ca="1" si="99"/>
        <v>10561</v>
      </c>
      <c r="AJ800" s="460" t="str">
        <f>IFERROR(VLOOKUP(申込書!$C$30,★業種!$D$2:$E$87,2,FALSE),"")</f>
        <v>1003</v>
      </c>
      <c r="AK800" s="460" t="str">
        <f>IF(申込書!$C$36="◎",IF(OR(D800="浜坂・温泉",D800="美方・村岡",D800="香住",D800="岡山",D800="大阪"),"",IF(LEFT(F800)="D","◎",IF(AG800=0,"",IFERROR(IF(VLOOKUP(AG800,★仕入先!$A$2:$C$211,3,FALSE)=0,"","◎"),"")))),"")</f>
        <v>◎</v>
      </c>
      <c r="AL800" s="460">
        <f>申込書!$H$14</f>
        <v>0</v>
      </c>
      <c r="AM800" s="460" t="str">
        <f>申込書!$C$32</f>
        <v>B4（折り無し）</v>
      </c>
      <c r="AN800" s="460" t="str">
        <f>VLOOKUP(AM800,★サイズ表記!$D$4:$E$55,2,FALSE)</f>
        <v>1001</v>
      </c>
      <c r="AO800" s="460">
        <f>IF(C800&lt;&gt;"⑧兵庫",VLOOKUP(LEFT(F800),★新聞!$A$4:$B$12,2,FALSE),IF(LEFT(F800)&lt;&gt;"S",VLOOKUP(LEFT(F800),★新聞!$A$4:$B$12,2,FALSE),VLOOKUP("X",★新聞!$A$4:$B$12,2,FALSE)))</f>
        <v>1</v>
      </c>
      <c r="AP800" s="460" t="str">
        <f t="shared" ca="1" si="100"/>
        <v>0</v>
      </c>
      <c r="AQ800" s="460" t="str">
        <f>IF(申込書!$C$38="","",申込書!$C$38)</f>
        <v/>
      </c>
    </row>
    <row r="801" spans="1:43">
      <c r="A801" s="463">
        <f t="shared" si="101"/>
        <v>800</v>
      </c>
      <c r="B801" s="463" t="str">
        <f t="shared" si="94"/>
        <v>東部</v>
      </c>
      <c r="C801" s="464" t="s">
        <v>1020</v>
      </c>
      <c r="D801" s="464" t="s">
        <v>41</v>
      </c>
      <c r="E801" s="464">
        <f>VLOOKUP(D801,★折込地区!$A$2:$D$10,4,FALSE)</f>
        <v>8</v>
      </c>
      <c r="F801" s="464" t="s">
        <v>398</v>
      </c>
      <c r="G801" s="464" t="str">
        <f>INDEX(★新聞!$E$4:$I$12, MATCH(LEFT(F801),★新聞!$A$4:$A$12,0), MATCH(LEFT(W801),★新聞!$E$3:$I$3,0))</f>
        <v>X</v>
      </c>
      <c r="H801" s="556" t="str">
        <f>CONCATENATE("日本海新聞（島根２）","/",VLOOKUP(申込書!$C$32,★サイズ表記!$D$4:$E$55,1,FALSE))</f>
        <v>日本海新聞（島根２）/B4（折り無し）</v>
      </c>
      <c r="I801" s="464" cm="1">
        <f t="array" ref="I801">IFERROR(INDEX(★原価率!$A$2:$E$50,MATCH($C801&amp;$H801,★原価率!$A$2:$A$50&amp;★原価率!$B$2:$B$50,0),3),0)</f>
        <v>72</v>
      </c>
      <c r="J801" s="464" cm="1">
        <f t="array" ref="J801">IFERROR(INDEX(★原価率!$A$2:$E$50,MATCH($C801&amp;$H801,★原価率!$A$2:$A$50&amp;★原価率!$B$2:$B$50,0),4),0)</f>
        <v>75.400000000000006</v>
      </c>
      <c r="K801" s="464" cm="1">
        <f t="array" ref="K801">IFERROR(INDEX(★原価率!$A$2:$E$50,MATCH($C801&amp;$H801,★原価率!$A$2:$A$50&amp;★原価率!$B$2:$B$50,0),5),0)</f>
        <v>100</v>
      </c>
      <c r="L801" s="528">
        <f>IFERROR(VLOOKUP(W801,★商品!$A$1:$H$1231,8,FALSE),0)</f>
        <v>3</v>
      </c>
      <c r="M801" s="203" t="str">
        <f ca="1">CONCATENATE(VLOOKUP(B801,★営業所!$A$2:$B$5,2,FALSE),TEXT(NOW(),"yyyy"))</f>
        <v>T2023</v>
      </c>
      <c r="N801" s="203">
        <v>1</v>
      </c>
      <c r="O801" s="203">
        <v>0</v>
      </c>
      <c r="P801" s="213">
        <f>申込書!$B$6</f>
        <v>0</v>
      </c>
      <c r="Q801" s="203">
        <f>申込書!$C$34</f>
        <v>1000040</v>
      </c>
      <c r="R801" s="203">
        <v>0</v>
      </c>
      <c r="U801" s="203">
        <f>VLOOKUP(B801,★営業所!$A$2:$C$5,3,FALSE)</f>
        <v>8</v>
      </c>
      <c r="V801" s="203">
        <f>申込書!$B$9</f>
        <v>0</v>
      </c>
      <c r="W801" s="203" t="str">
        <f>CONCATENATE(VLOOKUP(B801,★営業所!$A$2:$B$5,2,FALSE),VLOOKUP(申込書!$C$32,★サイズ表記!$D$4:$E$55,2,FALSE),VLOOKUP(D801,★折込地区!$A$2:$B$11,2,FALSE))</f>
        <v>T1001Shi</v>
      </c>
      <c r="X801" s="203" t="str">
        <f>CONCATENATE(申込書!$B$9," ",VLOOKUP(RIGHT(W801,3),★折込地区!$B$2:$C$10,2,FALSE),"")</f>
        <v xml:space="preserve"> 島根</v>
      </c>
      <c r="Z801" s="206">
        <f t="shared" ca="1" si="95"/>
        <v>0</v>
      </c>
      <c r="AB801" s="383">
        <f t="shared" si="96"/>
        <v>3</v>
      </c>
      <c r="AC801" s="203" t="str">
        <f t="shared" si="97"/>
        <v>D1001</v>
      </c>
      <c r="AD801" s="203" t="str">
        <f>VLOOKUP(AC801,★原価商品!$E$6:$F$349,2,FALSE)</f>
        <v>日本海/B4（折り無し）</v>
      </c>
      <c r="AE801" s="203">
        <f t="shared" ca="1" si="98"/>
        <v>0</v>
      </c>
      <c r="AF801" s="383">
        <f>IFERROR(IF(VLOOKUP(申込書!$C$32,★サイズ表記!$F$4:$H$55,3,FALSE)="切り捨て",ROUNDDOWN(L801*IF(AK801="◎",I801,J801)/100,2),IF(VLOOKUP(申込書!$C$32,★サイズ表記!$F$4:$H$55,3,FALSE)="切り上げ",ROUNDUP(L801*IF(AK801="◎",I801,J801)/100,2),ROUND(L801*IF(AK801="◎",I801,J801)/100,2))),0)</f>
        <v>2.16</v>
      </c>
      <c r="AG801" s="203">
        <f t="shared" ca="1" si="99"/>
        <v>10561</v>
      </c>
      <c r="AJ801" s="460" t="str">
        <f>IFERROR(VLOOKUP(申込書!$C$30,★業種!$D$2:$E$87,2,FALSE),"")</f>
        <v>1003</v>
      </c>
      <c r="AK801" s="460" t="str">
        <f>IF(申込書!$C$36="◎",IF(OR(D801="浜坂・温泉",D801="美方・村岡",D801="香住",D801="岡山",D801="大阪"),"",IF(LEFT(F801)="D","◎",IF(AG801=0,"",IFERROR(IF(VLOOKUP(AG801,★仕入先!$A$2:$C$211,3,FALSE)=0,"","◎"),"")))),"")</f>
        <v>◎</v>
      </c>
      <c r="AL801" s="460">
        <f>申込書!$H$14</f>
        <v>0</v>
      </c>
      <c r="AM801" s="460" t="str">
        <f>申込書!$C$32</f>
        <v>B4（折り無し）</v>
      </c>
      <c r="AN801" s="460" t="str">
        <f>VLOOKUP(AM801,★サイズ表記!$D$4:$E$55,2,FALSE)</f>
        <v>1001</v>
      </c>
      <c r="AO801" s="460">
        <f>IF(C801&lt;&gt;"⑧兵庫",VLOOKUP(LEFT(F801),★新聞!$A$4:$B$12,2,FALSE),IF(LEFT(F801)&lt;&gt;"S",VLOOKUP(LEFT(F801),★新聞!$A$4:$B$12,2,FALSE),VLOOKUP("X",★新聞!$A$4:$B$12,2,FALSE)))</f>
        <v>1</v>
      </c>
      <c r="AP801" s="460" t="str">
        <f t="shared" ca="1" si="100"/>
        <v>0</v>
      </c>
      <c r="AQ801" s="460" t="str">
        <f>IF(申込書!$C$38="","",申込書!$C$38)</f>
        <v/>
      </c>
    </row>
    <row r="802" spans="1:43">
      <c r="A802" s="463">
        <f t="shared" si="101"/>
        <v>801</v>
      </c>
      <c r="B802" s="463" t="str">
        <f t="shared" si="94"/>
        <v>東部</v>
      </c>
      <c r="C802" s="464" t="s">
        <v>1020</v>
      </c>
      <c r="D802" s="464" t="s">
        <v>41</v>
      </c>
      <c r="E802" s="464">
        <f>VLOOKUP(D802,★折込地区!$A$2:$D$10,4,FALSE)</f>
        <v>8</v>
      </c>
      <c r="F802" s="464" t="s">
        <v>399</v>
      </c>
      <c r="G802" s="464" t="str">
        <f>INDEX(★新聞!$E$4:$I$12, MATCH(LEFT(F802),★新聞!$A$4:$A$12,0), MATCH(LEFT(W802),★新聞!$E$3:$I$3,0))</f>
        <v>X</v>
      </c>
      <c r="H802" s="556" t="str">
        <f>CONCATENATE("日本海新聞（島根２）","/",VLOOKUP(申込書!$C$32,★サイズ表記!$D$4:$E$55,1,FALSE))</f>
        <v>日本海新聞（島根２）/B4（折り無し）</v>
      </c>
      <c r="I802" s="464" cm="1">
        <f t="array" ref="I802">IFERROR(INDEX(★原価率!$A$2:$E$50,MATCH($C802&amp;$H802,★原価率!$A$2:$A$50&amp;★原価率!$B$2:$B$50,0),3),0)</f>
        <v>72</v>
      </c>
      <c r="J802" s="464" cm="1">
        <f t="array" ref="J802">IFERROR(INDEX(★原価率!$A$2:$E$50,MATCH($C802&amp;$H802,★原価率!$A$2:$A$50&amp;★原価率!$B$2:$B$50,0),4),0)</f>
        <v>75.400000000000006</v>
      </c>
      <c r="K802" s="464" cm="1">
        <f t="array" ref="K802">IFERROR(INDEX(★原価率!$A$2:$E$50,MATCH($C802&amp;$H802,★原価率!$A$2:$A$50&amp;★原価率!$B$2:$B$50,0),5),0)</f>
        <v>100</v>
      </c>
      <c r="L802" s="528">
        <f>IFERROR(VLOOKUP(W802,★商品!$A$1:$H$1231,8,FALSE),0)</f>
        <v>3</v>
      </c>
      <c r="M802" s="203" t="str">
        <f ca="1">CONCATENATE(VLOOKUP(B802,★営業所!$A$2:$B$5,2,FALSE),TEXT(NOW(),"yyyy"))</f>
        <v>T2023</v>
      </c>
      <c r="N802" s="203">
        <v>1</v>
      </c>
      <c r="O802" s="203">
        <v>0</v>
      </c>
      <c r="P802" s="213">
        <f>申込書!$B$6</f>
        <v>0</v>
      </c>
      <c r="Q802" s="203">
        <f>申込書!$C$34</f>
        <v>1000040</v>
      </c>
      <c r="R802" s="203">
        <v>0</v>
      </c>
      <c r="U802" s="203">
        <f>VLOOKUP(B802,★営業所!$A$2:$C$5,3,FALSE)</f>
        <v>8</v>
      </c>
      <c r="V802" s="203">
        <f>申込書!$B$9</f>
        <v>0</v>
      </c>
      <c r="W802" s="203" t="str">
        <f>CONCATENATE(VLOOKUP(B802,★営業所!$A$2:$B$5,2,FALSE),VLOOKUP(申込書!$C$32,★サイズ表記!$D$4:$E$55,2,FALSE),VLOOKUP(D802,★折込地区!$A$2:$B$11,2,FALSE))</f>
        <v>T1001Shi</v>
      </c>
      <c r="X802" s="203" t="str">
        <f>CONCATENATE(申込書!$B$9," ",VLOOKUP(RIGHT(W802,3),★折込地区!$B$2:$C$10,2,FALSE),"")</f>
        <v xml:space="preserve"> 島根</v>
      </c>
      <c r="Z802" s="206">
        <f t="shared" ca="1" si="95"/>
        <v>0</v>
      </c>
      <c r="AB802" s="383">
        <f t="shared" si="96"/>
        <v>3</v>
      </c>
      <c r="AC802" s="203" t="str">
        <f t="shared" si="97"/>
        <v>D1001</v>
      </c>
      <c r="AD802" s="203" t="str">
        <f>VLOOKUP(AC802,★原価商品!$E$6:$F$349,2,FALSE)</f>
        <v>日本海/B4（折り無し）</v>
      </c>
      <c r="AE802" s="203">
        <f t="shared" ca="1" si="98"/>
        <v>0</v>
      </c>
      <c r="AF802" s="383">
        <f>IFERROR(IF(VLOOKUP(申込書!$C$32,★サイズ表記!$F$4:$H$55,3,FALSE)="切り捨て",ROUNDDOWN(L802*IF(AK802="◎",I802,J802)/100,2),IF(VLOOKUP(申込書!$C$32,★サイズ表記!$F$4:$H$55,3,FALSE)="切り上げ",ROUNDUP(L802*IF(AK802="◎",I802,J802)/100,2),ROUND(L802*IF(AK802="◎",I802,J802)/100,2))),0)</f>
        <v>2.16</v>
      </c>
      <c r="AG802" s="203">
        <f t="shared" ca="1" si="99"/>
        <v>10561</v>
      </c>
      <c r="AJ802" s="460" t="str">
        <f>IFERROR(VLOOKUP(申込書!$C$30,★業種!$D$2:$E$87,2,FALSE),"")</f>
        <v>1003</v>
      </c>
      <c r="AK802" s="460" t="str">
        <f>IF(申込書!$C$36="◎",IF(OR(D802="浜坂・温泉",D802="美方・村岡",D802="香住",D802="岡山",D802="大阪"),"",IF(LEFT(F802)="D","◎",IF(AG802=0,"",IFERROR(IF(VLOOKUP(AG802,★仕入先!$A$2:$C$211,3,FALSE)=0,"","◎"),"")))),"")</f>
        <v>◎</v>
      </c>
      <c r="AL802" s="460">
        <f>申込書!$H$14</f>
        <v>0</v>
      </c>
      <c r="AM802" s="460" t="str">
        <f>申込書!$C$32</f>
        <v>B4（折り無し）</v>
      </c>
      <c r="AN802" s="460" t="str">
        <f>VLOOKUP(AM802,★サイズ表記!$D$4:$E$55,2,FALSE)</f>
        <v>1001</v>
      </c>
      <c r="AO802" s="460">
        <f>IF(C802&lt;&gt;"⑧兵庫",VLOOKUP(LEFT(F802),★新聞!$A$4:$B$12,2,FALSE),IF(LEFT(F802)&lt;&gt;"S",VLOOKUP(LEFT(F802),★新聞!$A$4:$B$12,2,FALSE),VLOOKUP("X",★新聞!$A$4:$B$12,2,FALSE)))</f>
        <v>1</v>
      </c>
      <c r="AP802" s="460" t="str">
        <f t="shared" ca="1" si="100"/>
        <v>0</v>
      </c>
      <c r="AQ802" s="460" t="str">
        <f>IF(申込書!$C$38="","",申込書!$C$38)</f>
        <v/>
      </c>
    </row>
    <row r="803" spans="1:43">
      <c r="A803" s="463">
        <f t="shared" si="101"/>
        <v>802</v>
      </c>
      <c r="B803" s="463" t="str">
        <f t="shared" si="94"/>
        <v>東部</v>
      </c>
      <c r="C803" s="464" t="s">
        <v>1020</v>
      </c>
      <c r="D803" s="464" t="s">
        <v>41</v>
      </c>
      <c r="E803" s="464">
        <f>VLOOKUP(D803,★折込地区!$A$2:$D$10,4,FALSE)</f>
        <v>8</v>
      </c>
      <c r="F803" s="464" t="s">
        <v>400</v>
      </c>
      <c r="G803" s="464" t="str">
        <f>INDEX(★新聞!$E$4:$I$12, MATCH(LEFT(F803),★新聞!$A$4:$A$12,0), MATCH(LEFT(W803),★新聞!$E$3:$I$3,0))</f>
        <v>X</v>
      </c>
      <c r="H803" s="556" t="str">
        <f>CONCATENATE("日本海新聞（島根２）","/",VLOOKUP(申込書!$C$32,★サイズ表記!$D$4:$E$55,1,FALSE))</f>
        <v>日本海新聞（島根２）/B4（折り無し）</v>
      </c>
      <c r="I803" s="464" cm="1">
        <f t="array" ref="I803">IFERROR(INDEX(★原価率!$A$2:$E$50,MATCH($C803&amp;$H803,★原価率!$A$2:$A$50&amp;★原価率!$B$2:$B$50,0),3),0)</f>
        <v>72</v>
      </c>
      <c r="J803" s="464" cm="1">
        <f t="array" ref="J803">IFERROR(INDEX(★原価率!$A$2:$E$50,MATCH($C803&amp;$H803,★原価率!$A$2:$A$50&amp;★原価率!$B$2:$B$50,0),4),0)</f>
        <v>75.400000000000006</v>
      </c>
      <c r="K803" s="464" cm="1">
        <f t="array" ref="K803">IFERROR(INDEX(★原価率!$A$2:$E$50,MATCH($C803&amp;$H803,★原価率!$A$2:$A$50&amp;★原価率!$B$2:$B$50,0),5),0)</f>
        <v>100</v>
      </c>
      <c r="L803" s="528">
        <f>IFERROR(VLOOKUP(W803,★商品!$A$1:$H$1231,8,FALSE),0)</f>
        <v>3</v>
      </c>
      <c r="M803" s="203" t="str">
        <f ca="1">CONCATENATE(VLOOKUP(B803,★営業所!$A$2:$B$5,2,FALSE),TEXT(NOW(),"yyyy"))</f>
        <v>T2023</v>
      </c>
      <c r="N803" s="203">
        <v>1</v>
      </c>
      <c r="O803" s="203">
        <v>0</v>
      </c>
      <c r="P803" s="213">
        <f>申込書!$B$6</f>
        <v>0</v>
      </c>
      <c r="Q803" s="203">
        <f>申込書!$C$34</f>
        <v>1000040</v>
      </c>
      <c r="R803" s="203">
        <v>0</v>
      </c>
      <c r="U803" s="203">
        <f>VLOOKUP(B803,★営業所!$A$2:$C$5,3,FALSE)</f>
        <v>8</v>
      </c>
      <c r="V803" s="203">
        <f>申込書!$B$9</f>
        <v>0</v>
      </c>
      <c r="W803" s="203" t="str">
        <f>CONCATENATE(VLOOKUP(B803,★営業所!$A$2:$B$5,2,FALSE),VLOOKUP(申込書!$C$32,★サイズ表記!$D$4:$E$55,2,FALSE),VLOOKUP(D803,★折込地区!$A$2:$B$11,2,FALSE))</f>
        <v>T1001Shi</v>
      </c>
      <c r="X803" s="203" t="str">
        <f>CONCATENATE(申込書!$B$9," ",VLOOKUP(RIGHT(W803,3),★折込地区!$B$2:$C$10,2,FALSE),"")</f>
        <v xml:space="preserve"> 島根</v>
      </c>
      <c r="Z803" s="206">
        <f t="shared" ca="1" si="95"/>
        <v>0</v>
      </c>
      <c r="AB803" s="383">
        <f t="shared" si="96"/>
        <v>3</v>
      </c>
      <c r="AC803" s="203" t="str">
        <f t="shared" si="97"/>
        <v>D1001</v>
      </c>
      <c r="AD803" s="203" t="str">
        <f>VLOOKUP(AC803,★原価商品!$E$6:$F$349,2,FALSE)</f>
        <v>日本海/B4（折り無し）</v>
      </c>
      <c r="AE803" s="203">
        <f t="shared" ca="1" si="98"/>
        <v>0</v>
      </c>
      <c r="AF803" s="383">
        <f>IFERROR(IF(VLOOKUP(申込書!$C$32,★サイズ表記!$F$4:$H$55,3,FALSE)="切り捨て",ROUNDDOWN(L803*IF(AK803="◎",I803,J803)/100,2),IF(VLOOKUP(申込書!$C$32,★サイズ表記!$F$4:$H$55,3,FALSE)="切り上げ",ROUNDUP(L803*IF(AK803="◎",I803,J803)/100,2),ROUND(L803*IF(AK803="◎",I803,J803)/100,2))),0)</f>
        <v>2.16</v>
      </c>
      <c r="AG803" s="203">
        <f t="shared" ca="1" si="99"/>
        <v>10561</v>
      </c>
      <c r="AJ803" s="460" t="str">
        <f>IFERROR(VLOOKUP(申込書!$C$30,★業種!$D$2:$E$87,2,FALSE),"")</f>
        <v>1003</v>
      </c>
      <c r="AK803" s="460" t="str">
        <f>IF(申込書!$C$36="◎",IF(OR(D803="浜坂・温泉",D803="美方・村岡",D803="香住",D803="岡山",D803="大阪"),"",IF(LEFT(F803)="D","◎",IF(AG803=0,"",IFERROR(IF(VLOOKUP(AG803,★仕入先!$A$2:$C$211,3,FALSE)=0,"","◎"),"")))),"")</f>
        <v>◎</v>
      </c>
      <c r="AL803" s="460">
        <f>申込書!$H$14</f>
        <v>0</v>
      </c>
      <c r="AM803" s="460" t="str">
        <f>申込書!$C$32</f>
        <v>B4（折り無し）</v>
      </c>
      <c r="AN803" s="460" t="str">
        <f>VLOOKUP(AM803,★サイズ表記!$D$4:$E$55,2,FALSE)</f>
        <v>1001</v>
      </c>
      <c r="AO803" s="460">
        <f>IF(C803&lt;&gt;"⑧兵庫",VLOOKUP(LEFT(F803),★新聞!$A$4:$B$12,2,FALSE),IF(LEFT(F803)&lt;&gt;"S",VLOOKUP(LEFT(F803),★新聞!$A$4:$B$12,2,FALSE),VLOOKUP("X",★新聞!$A$4:$B$12,2,FALSE)))</f>
        <v>1</v>
      </c>
      <c r="AP803" s="460" t="str">
        <f t="shared" ca="1" si="100"/>
        <v>0</v>
      </c>
      <c r="AQ803" s="460" t="str">
        <f>IF(申込書!$C$38="","",申込書!$C$38)</f>
        <v/>
      </c>
    </row>
    <row r="804" spans="1:43">
      <c r="A804" s="463">
        <f t="shared" si="101"/>
        <v>803</v>
      </c>
      <c r="B804" s="463" t="str">
        <f t="shared" si="94"/>
        <v>東部</v>
      </c>
      <c r="C804" s="464" t="s">
        <v>1020</v>
      </c>
      <c r="D804" s="464" t="s">
        <v>41</v>
      </c>
      <c r="E804" s="464">
        <f>VLOOKUP(D804,★折込地区!$A$2:$D$10,4,FALSE)</f>
        <v>8</v>
      </c>
      <c r="F804" s="464" t="s">
        <v>401</v>
      </c>
      <c r="G804" s="464" t="str">
        <f>INDEX(★新聞!$E$4:$I$12, MATCH(LEFT(F804),★新聞!$A$4:$A$12,0), MATCH(LEFT(W804),★新聞!$E$3:$I$3,0))</f>
        <v>X</v>
      </c>
      <c r="H804" s="556" t="str">
        <f>CONCATENATE("日本海新聞（島根２）","/",VLOOKUP(申込書!$C$32,★サイズ表記!$D$4:$E$55,1,FALSE))</f>
        <v>日本海新聞（島根２）/B4（折り無し）</v>
      </c>
      <c r="I804" s="464" cm="1">
        <f t="array" ref="I804">IFERROR(INDEX(★原価率!$A$2:$E$50,MATCH($C804&amp;$H804,★原価率!$A$2:$A$50&amp;★原価率!$B$2:$B$50,0),3),0)</f>
        <v>72</v>
      </c>
      <c r="J804" s="464" cm="1">
        <f t="array" ref="J804">IFERROR(INDEX(★原価率!$A$2:$E$50,MATCH($C804&amp;$H804,★原価率!$A$2:$A$50&amp;★原価率!$B$2:$B$50,0),4),0)</f>
        <v>75.400000000000006</v>
      </c>
      <c r="K804" s="464" cm="1">
        <f t="array" ref="K804">IFERROR(INDEX(★原価率!$A$2:$E$50,MATCH($C804&amp;$H804,★原価率!$A$2:$A$50&amp;★原価率!$B$2:$B$50,0),5),0)</f>
        <v>100</v>
      </c>
      <c r="L804" s="528">
        <f>IFERROR(VLOOKUP(W804,★商品!$A$1:$H$1231,8,FALSE),0)</f>
        <v>3</v>
      </c>
      <c r="M804" s="203" t="str">
        <f ca="1">CONCATENATE(VLOOKUP(B804,★営業所!$A$2:$B$5,2,FALSE),TEXT(NOW(),"yyyy"))</f>
        <v>T2023</v>
      </c>
      <c r="N804" s="203">
        <v>1</v>
      </c>
      <c r="O804" s="203">
        <v>0</v>
      </c>
      <c r="P804" s="213">
        <f>申込書!$B$6</f>
        <v>0</v>
      </c>
      <c r="Q804" s="203">
        <f>申込書!$C$34</f>
        <v>1000040</v>
      </c>
      <c r="R804" s="203">
        <v>0</v>
      </c>
      <c r="U804" s="203">
        <f>VLOOKUP(B804,★営業所!$A$2:$C$5,3,FALSE)</f>
        <v>8</v>
      </c>
      <c r="V804" s="203">
        <f>申込書!$B$9</f>
        <v>0</v>
      </c>
      <c r="W804" s="203" t="str">
        <f>CONCATENATE(VLOOKUP(B804,★営業所!$A$2:$B$5,2,FALSE),VLOOKUP(申込書!$C$32,★サイズ表記!$D$4:$E$55,2,FALSE),VLOOKUP(D804,★折込地区!$A$2:$B$11,2,FALSE))</f>
        <v>T1001Shi</v>
      </c>
      <c r="X804" s="203" t="str">
        <f>CONCATENATE(申込書!$B$9," ",VLOOKUP(RIGHT(W804,3),★折込地区!$B$2:$C$10,2,FALSE),"")</f>
        <v xml:space="preserve"> 島根</v>
      </c>
      <c r="Z804" s="206">
        <f t="shared" ca="1" si="95"/>
        <v>0</v>
      </c>
      <c r="AB804" s="383">
        <f t="shared" si="96"/>
        <v>3</v>
      </c>
      <c r="AC804" s="203" t="str">
        <f t="shared" si="97"/>
        <v>D1001</v>
      </c>
      <c r="AD804" s="203" t="str">
        <f>VLOOKUP(AC804,★原価商品!$E$6:$F$349,2,FALSE)</f>
        <v>日本海/B4（折り無し）</v>
      </c>
      <c r="AE804" s="203">
        <f t="shared" ca="1" si="98"/>
        <v>0</v>
      </c>
      <c r="AF804" s="383">
        <f>IFERROR(IF(VLOOKUP(申込書!$C$32,★サイズ表記!$F$4:$H$55,3,FALSE)="切り捨て",ROUNDDOWN(L804*IF(AK804="◎",I804,J804)/100,2),IF(VLOOKUP(申込書!$C$32,★サイズ表記!$F$4:$H$55,3,FALSE)="切り上げ",ROUNDUP(L804*IF(AK804="◎",I804,J804)/100,2),ROUND(L804*IF(AK804="◎",I804,J804)/100,2))),0)</f>
        <v>2.16</v>
      </c>
      <c r="AG804" s="203">
        <f t="shared" ca="1" si="99"/>
        <v>10561</v>
      </c>
      <c r="AJ804" s="460" t="str">
        <f>IFERROR(VLOOKUP(申込書!$C$30,★業種!$D$2:$E$87,2,FALSE),"")</f>
        <v>1003</v>
      </c>
      <c r="AK804" s="460" t="str">
        <f>IF(申込書!$C$36="◎",IF(OR(D804="浜坂・温泉",D804="美方・村岡",D804="香住",D804="岡山",D804="大阪"),"",IF(LEFT(F804)="D","◎",IF(AG804=0,"",IFERROR(IF(VLOOKUP(AG804,★仕入先!$A$2:$C$211,3,FALSE)=0,"","◎"),"")))),"")</f>
        <v>◎</v>
      </c>
      <c r="AL804" s="460">
        <f>申込書!$H$14</f>
        <v>0</v>
      </c>
      <c r="AM804" s="460" t="str">
        <f>申込書!$C$32</f>
        <v>B4（折り無し）</v>
      </c>
      <c r="AN804" s="460" t="str">
        <f>VLOOKUP(AM804,★サイズ表記!$D$4:$E$55,2,FALSE)</f>
        <v>1001</v>
      </c>
      <c r="AO804" s="460">
        <f>IF(C804&lt;&gt;"⑧兵庫",VLOOKUP(LEFT(F804),★新聞!$A$4:$B$12,2,FALSE),IF(LEFT(F804)&lt;&gt;"S",VLOOKUP(LEFT(F804),★新聞!$A$4:$B$12,2,FALSE),VLOOKUP("X",★新聞!$A$4:$B$12,2,FALSE)))</f>
        <v>1</v>
      </c>
      <c r="AP804" s="460" t="str">
        <f t="shared" ca="1" si="100"/>
        <v>0</v>
      </c>
      <c r="AQ804" s="460" t="str">
        <f>IF(申込書!$C$38="","",申込書!$C$38)</f>
        <v/>
      </c>
    </row>
    <row r="805" spans="1:43">
      <c r="A805" s="463">
        <f t="shared" si="101"/>
        <v>804</v>
      </c>
      <c r="B805" s="463" t="str">
        <f t="shared" si="94"/>
        <v>東部</v>
      </c>
      <c r="C805" s="464" t="s">
        <v>1020</v>
      </c>
      <c r="D805" s="464" t="s">
        <v>41</v>
      </c>
      <c r="E805" s="464">
        <f>VLOOKUP(D805,★折込地区!$A$2:$D$10,4,FALSE)</f>
        <v>8</v>
      </c>
      <c r="F805" s="464" t="s">
        <v>402</v>
      </c>
      <c r="G805" s="464" t="str">
        <f>INDEX(★新聞!$E$4:$I$12, MATCH(LEFT(F805),★新聞!$A$4:$A$12,0), MATCH(LEFT(W805),★新聞!$E$3:$I$3,0))</f>
        <v>X</v>
      </c>
      <c r="H805" s="556" t="str">
        <f>CONCATENATE("日本海新聞（島根２）","/",VLOOKUP(申込書!$C$32,★サイズ表記!$D$4:$E$55,1,FALSE))</f>
        <v>日本海新聞（島根２）/B4（折り無し）</v>
      </c>
      <c r="I805" s="464" cm="1">
        <f t="array" ref="I805">IFERROR(INDEX(★原価率!$A$2:$E$50,MATCH($C805&amp;$H805,★原価率!$A$2:$A$50&amp;★原価率!$B$2:$B$50,0),3),0)</f>
        <v>72</v>
      </c>
      <c r="J805" s="464" cm="1">
        <f t="array" ref="J805">IFERROR(INDEX(★原価率!$A$2:$E$50,MATCH($C805&amp;$H805,★原価率!$A$2:$A$50&amp;★原価率!$B$2:$B$50,0),4),0)</f>
        <v>75.400000000000006</v>
      </c>
      <c r="K805" s="464" cm="1">
        <f t="array" ref="K805">IFERROR(INDEX(★原価率!$A$2:$E$50,MATCH($C805&amp;$H805,★原価率!$A$2:$A$50&amp;★原価率!$B$2:$B$50,0),5),0)</f>
        <v>100</v>
      </c>
      <c r="L805" s="528">
        <f>IFERROR(VLOOKUP(W805,★商品!$A$1:$H$1231,8,FALSE),0)</f>
        <v>3</v>
      </c>
      <c r="M805" s="203" t="str">
        <f ca="1">CONCATENATE(VLOOKUP(B805,★営業所!$A$2:$B$5,2,FALSE),TEXT(NOW(),"yyyy"))</f>
        <v>T2023</v>
      </c>
      <c r="N805" s="203">
        <v>1</v>
      </c>
      <c r="O805" s="203">
        <v>0</v>
      </c>
      <c r="P805" s="213">
        <f>申込書!$B$6</f>
        <v>0</v>
      </c>
      <c r="Q805" s="203">
        <f>申込書!$C$34</f>
        <v>1000040</v>
      </c>
      <c r="R805" s="203">
        <v>0</v>
      </c>
      <c r="U805" s="203">
        <f>VLOOKUP(B805,★営業所!$A$2:$C$5,3,FALSE)</f>
        <v>8</v>
      </c>
      <c r="V805" s="203">
        <f>申込書!$B$9</f>
        <v>0</v>
      </c>
      <c r="W805" s="203" t="str">
        <f>CONCATENATE(VLOOKUP(B805,★営業所!$A$2:$B$5,2,FALSE),VLOOKUP(申込書!$C$32,★サイズ表記!$D$4:$E$55,2,FALSE),VLOOKUP(D805,★折込地区!$A$2:$B$11,2,FALSE))</f>
        <v>T1001Shi</v>
      </c>
      <c r="X805" s="203" t="str">
        <f>CONCATENATE(申込書!$B$9," ",VLOOKUP(RIGHT(W805,3),★折込地区!$B$2:$C$10,2,FALSE),"")</f>
        <v xml:space="preserve"> 島根</v>
      </c>
      <c r="Z805" s="206">
        <f t="shared" ca="1" si="95"/>
        <v>0</v>
      </c>
      <c r="AB805" s="383">
        <f t="shared" si="96"/>
        <v>3</v>
      </c>
      <c r="AC805" s="203" t="str">
        <f t="shared" si="97"/>
        <v>D1001</v>
      </c>
      <c r="AD805" s="203" t="str">
        <f>VLOOKUP(AC805,★原価商品!$E$6:$F$349,2,FALSE)</f>
        <v>日本海/B4（折り無し）</v>
      </c>
      <c r="AE805" s="203">
        <f t="shared" ca="1" si="98"/>
        <v>0</v>
      </c>
      <c r="AF805" s="383">
        <f>IFERROR(IF(VLOOKUP(申込書!$C$32,★サイズ表記!$F$4:$H$55,3,FALSE)="切り捨て",ROUNDDOWN(L805*IF(AK805="◎",I805,J805)/100,2),IF(VLOOKUP(申込書!$C$32,★サイズ表記!$F$4:$H$55,3,FALSE)="切り上げ",ROUNDUP(L805*IF(AK805="◎",I805,J805)/100,2),ROUND(L805*IF(AK805="◎",I805,J805)/100,2))),0)</f>
        <v>2.16</v>
      </c>
      <c r="AG805" s="203">
        <f t="shared" ca="1" si="99"/>
        <v>10561</v>
      </c>
      <c r="AJ805" s="460" t="str">
        <f>IFERROR(VLOOKUP(申込書!$C$30,★業種!$D$2:$E$87,2,FALSE),"")</f>
        <v>1003</v>
      </c>
      <c r="AK805" s="460" t="str">
        <f>IF(申込書!$C$36="◎",IF(OR(D805="浜坂・温泉",D805="美方・村岡",D805="香住",D805="岡山",D805="大阪"),"",IF(LEFT(F805)="D","◎",IF(AG805=0,"",IFERROR(IF(VLOOKUP(AG805,★仕入先!$A$2:$C$211,3,FALSE)=0,"","◎"),"")))),"")</f>
        <v>◎</v>
      </c>
      <c r="AL805" s="460">
        <f>申込書!$H$14</f>
        <v>0</v>
      </c>
      <c r="AM805" s="460" t="str">
        <f>申込書!$C$32</f>
        <v>B4（折り無し）</v>
      </c>
      <c r="AN805" s="460" t="str">
        <f>VLOOKUP(AM805,★サイズ表記!$D$4:$E$55,2,FALSE)</f>
        <v>1001</v>
      </c>
      <c r="AO805" s="460">
        <f>IF(C805&lt;&gt;"⑧兵庫",VLOOKUP(LEFT(F805),★新聞!$A$4:$B$12,2,FALSE),IF(LEFT(F805)&lt;&gt;"S",VLOOKUP(LEFT(F805),★新聞!$A$4:$B$12,2,FALSE),VLOOKUP("X",★新聞!$A$4:$B$12,2,FALSE)))</f>
        <v>1</v>
      </c>
      <c r="AP805" s="460" t="str">
        <f t="shared" ca="1" si="100"/>
        <v>0</v>
      </c>
      <c r="AQ805" s="460" t="str">
        <f>IF(申込書!$C$38="","",申込書!$C$38)</f>
        <v/>
      </c>
    </row>
    <row r="806" spans="1:43">
      <c r="A806" s="463">
        <f t="shared" si="101"/>
        <v>805</v>
      </c>
      <c r="B806" s="463" t="str">
        <f t="shared" si="94"/>
        <v>東部</v>
      </c>
      <c r="C806" s="464" t="s">
        <v>1020</v>
      </c>
      <c r="D806" s="464" t="s">
        <v>41</v>
      </c>
      <c r="E806" s="464">
        <f>VLOOKUP(D806,★折込地区!$A$2:$D$10,4,FALSE)</f>
        <v>8</v>
      </c>
      <c r="F806" s="464" t="s">
        <v>1147</v>
      </c>
      <c r="G806" s="464" t="str">
        <f>INDEX(★新聞!$E$4:$I$12, MATCH(LEFT(F806),★新聞!$A$4:$A$12,0), MATCH(LEFT(W806),★新聞!$E$3:$I$3,0))</f>
        <v>X</v>
      </c>
      <c r="H806" s="556" t="str">
        <f>CONCATENATE("日本海新聞（島根２）","/",VLOOKUP(申込書!$C$32,★サイズ表記!$D$4:$E$55,1,FALSE))</f>
        <v>日本海新聞（島根２）/B4（折り無し）</v>
      </c>
      <c r="I806" s="464" cm="1">
        <f t="array" ref="I806">IFERROR(INDEX(★原価率!$A$2:$E$50,MATCH($C806&amp;$H806,★原価率!$A$2:$A$50&amp;★原価率!$B$2:$B$50,0),3),0)</f>
        <v>72</v>
      </c>
      <c r="J806" s="464" cm="1">
        <f t="array" ref="J806">IFERROR(INDEX(★原価率!$A$2:$E$50,MATCH($C806&amp;$H806,★原価率!$A$2:$A$50&amp;★原価率!$B$2:$B$50,0),4),0)</f>
        <v>75.400000000000006</v>
      </c>
      <c r="K806" s="464" cm="1">
        <f t="array" ref="K806">IFERROR(INDEX(★原価率!$A$2:$E$50,MATCH($C806&amp;$H806,★原価率!$A$2:$A$50&amp;★原価率!$B$2:$B$50,0),5),0)</f>
        <v>100</v>
      </c>
      <c r="L806" s="528">
        <f>IFERROR(VLOOKUP(W806,★商品!$A$1:$H$1231,8,FALSE),0)</f>
        <v>3</v>
      </c>
      <c r="M806" s="203" t="str">
        <f ca="1">CONCATENATE(VLOOKUP(B806,★営業所!$A$2:$B$5,2,FALSE),TEXT(NOW(),"yyyy"))</f>
        <v>T2023</v>
      </c>
      <c r="N806" s="203">
        <v>1</v>
      </c>
      <c r="O806" s="203">
        <v>0</v>
      </c>
      <c r="P806" s="213">
        <f>申込書!$B$6</f>
        <v>0</v>
      </c>
      <c r="Q806" s="203">
        <f>申込書!$C$34</f>
        <v>1000040</v>
      </c>
      <c r="R806" s="203">
        <v>0</v>
      </c>
      <c r="U806" s="203">
        <f>VLOOKUP(B806,★営業所!$A$2:$C$5,3,FALSE)</f>
        <v>8</v>
      </c>
      <c r="V806" s="203">
        <f>申込書!$B$9</f>
        <v>0</v>
      </c>
      <c r="W806" s="203" t="str">
        <f>CONCATENATE(VLOOKUP(B806,★営業所!$A$2:$B$5,2,FALSE),VLOOKUP(申込書!$C$32,★サイズ表記!$D$4:$E$55,2,FALSE),VLOOKUP(D806,★折込地区!$A$2:$B$11,2,FALSE))</f>
        <v>T1001Shi</v>
      </c>
      <c r="X806" s="203" t="str">
        <f>CONCATENATE(申込書!$B$9," ",VLOOKUP(RIGHT(W806,3),★折込地区!$B$2:$C$10,2,FALSE),"")</f>
        <v xml:space="preserve"> 島根</v>
      </c>
      <c r="Z806" s="206">
        <f t="shared" ca="1" si="95"/>
        <v>0</v>
      </c>
      <c r="AB806" s="383">
        <f t="shared" si="96"/>
        <v>3</v>
      </c>
      <c r="AC806" s="203" t="str">
        <f t="shared" si="97"/>
        <v>D1001</v>
      </c>
      <c r="AD806" s="203" t="str">
        <f>VLOOKUP(AC806,★原価商品!$E$6:$F$349,2,FALSE)</f>
        <v>日本海/B4（折り無し）</v>
      </c>
      <c r="AE806" s="203">
        <f t="shared" ca="1" si="98"/>
        <v>0</v>
      </c>
      <c r="AF806" s="383">
        <f>IFERROR(IF(VLOOKUP(申込書!$C$32,★サイズ表記!$F$4:$H$55,3,FALSE)="切り捨て",ROUNDDOWN(L806*IF(AK806="◎",I806,J806)/100,2),IF(VLOOKUP(申込書!$C$32,★サイズ表記!$F$4:$H$55,3,FALSE)="切り上げ",ROUNDUP(L806*IF(AK806="◎",I806,J806)/100,2),ROUND(L806*IF(AK806="◎",I806,J806)/100,2))),0)</f>
        <v>2.16</v>
      </c>
      <c r="AG806" s="203">
        <f t="shared" ca="1" si="99"/>
        <v>10561</v>
      </c>
      <c r="AJ806" s="460" t="str">
        <f>IFERROR(VLOOKUP(申込書!$C$30,★業種!$D$2:$E$87,2,FALSE),"")</f>
        <v>1003</v>
      </c>
      <c r="AK806" s="460" t="str">
        <f>IF(申込書!$C$36="◎",IF(OR(D806="浜坂・温泉",D806="美方・村岡",D806="香住",D806="岡山",D806="大阪"),"",IF(LEFT(F806)="D","◎",IF(AG806=0,"",IFERROR(IF(VLOOKUP(AG806,★仕入先!$A$2:$C$211,3,FALSE)=0,"","◎"),"")))),"")</f>
        <v>◎</v>
      </c>
      <c r="AL806" s="460">
        <f>申込書!$H$14</f>
        <v>0</v>
      </c>
      <c r="AM806" s="460" t="str">
        <f>申込書!$C$32</f>
        <v>B4（折り無し）</v>
      </c>
      <c r="AN806" s="460" t="str">
        <f>VLOOKUP(AM806,★サイズ表記!$D$4:$E$55,2,FALSE)</f>
        <v>1001</v>
      </c>
      <c r="AO806" s="460">
        <f>IF(C806&lt;&gt;"⑧兵庫",VLOOKUP(LEFT(F806),★新聞!$A$4:$B$12,2,FALSE),IF(LEFT(F806)&lt;&gt;"S",VLOOKUP(LEFT(F806),★新聞!$A$4:$B$12,2,FALSE),VLOOKUP("X",★新聞!$A$4:$B$12,2,FALSE)))</f>
        <v>1</v>
      </c>
      <c r="AP806" s="460" t="str">
        <f t="shared" ca="1" si="100"/>
        <v>0</v>
      </c>
      <c r="AQ806" s="460" t="str">
        <f>IF(申込書!$C$38="","",申込書!$C$38)</f>
        <v/>
      </c>
    </row>
    <row r="807" spans="1:43">
      <c r="A807" s="463">
        <f t="shared" si="101"/>
        <v>806</v>
      </c>
      <c r="B807" s="463" t="str">
        <f t="shared" si="94"/>
        <v>東部</v>
      </c>
      <c r="C807" s="464" t="s">
        <v>1020</v>
      </c>
      <c r="D807" s="464" t="s">
        <v>41</v>
      </c>
      <c r="E807" s="464">
        <f>VLOOKUP(D807,★折込地区!$A$2:$D$10,4,FALSE)</f>
        <v>8</v>
      </c>
      <c r="F807" s="464" t="s">
        <v>1148</v>
      </c>
      <c r="G807" s="464" t="str">
        <f>INDEX(★新聞!$E$4:$I$12, MATCH(LEFT(F807),★新聞!$A$4:$A$12,0), MATCH(LEFT(W807),★新聞!$E$3:$I$3,0))</f>
        <v>X</v>
      </c>
      <c r="H807" s="475" t="s">
        <v>1128</v>
      </c>
      <c r="I807" s="464" cm="1">
        <f t="array" ref="I807">IFERROR(INDEX(★原価率!$A$2:$E$50,MATCH($C807&amp;$H807,★原価率!$A$2:$A$50&amp;★原価率!$B$2:$B$50,0),3),0)</f>
        <v>80</v>
      </c>
      <c r="J807" s="464" cm="1">
        <f t="array" ref="J807">IFERROR(INDEX(★原価率!$A$2:$E$50,MATCH($C807&amp;$H807,★原価率!$A$2:$A$50&amp;★原価率!$B$2:$B$50,0),4),0)</f>
        <v>84</v>
      </c>
      <c r="K807" s="464" cm="1">
        <f t="array" ref="K807">IFERROR(INDEX(★原価率!$A$2:$E$50,MATCH($C807&amp;$H807,★原価率!$A$2:$A$50&amp;★原価率!$B$2:$B$50,0),5),0)</f>
        <v>100</v>
      </c>
      <c r="L807" s="528">
        <f>IFERROR(VLOOKUP(W807,★商品!$A$1:$H$1231,8,FALSE),0)</f>
        <v>3</v>
      </c>
      <c r="M807" s="203" t="str">
        <f ca="1">CONCATENATE(VLOOKUP(B807,★営業所!$A$2:$B$5,2,FALSE),TEXT(NOW(),"yyyy"))</f>
        <v>T2023</v>
      </c>
      <c r="N807" s="203">
        <v>1</v>
      </c>
      <c r="O807" s="203">
        <v>0</v>
      </c>
      <c r="P807" s="213">
        <f>申込書!$B$6</f>
        <v>0</v>
      </c>
      <c r="Q807" s="203">
        <f>申込書!$C$34</f>
        <v>1000040</v>
      </c>
      <c r="R807" s="203">
        <v>0</v>
      </c>
      <c r="U807" s="203">
        <f>VLOOKUP(B807,★営業所!$A$2:$C$5,3,FALSE)</f>
        <v>8</v>
      </c>
      <c r="V807" s="203">
        <f>申込書!$B$9</f>
        <v>0</v>
      </c>
      <c r="W807" s="203" t="str">
        <f>CONCATENATE(VLOOKUP(B807,★営業所!$A$2:$B$5,2,FALSE),VLOOKUP(申込書!$C$32,★サイズ表記!$D$4:$E$55,2,FALSE),VLOOKUP(D807,★折込地区!$A$2:$B$11,2,FALSE))</f>
        <v>T1001Shi</v>
      </c>
      <c r="X807" s="203" t="str">
        <f>CONCATENATE(申込書!$B$9," ",VLOOKUP(RIGHT(W807,3),★折込地区!$B$2:$C$10,2,FALSE),"")</f>
        <v xml:space="preserve"> 島根</v>
      </c>
      <c r="Z807" s="206">
        <f t="shared" ca="1" si="95"/>
        <v>0</v>
      </c>
      <c r="AB807" s="383">
        <f t="shared" si="96"/>
        <v>3</v>
      </c>
      <c r="AC807" s="203" t="str">
        <f t="shared" si="97"/>
        <v>D1001</v>
      </c>
      <c r="AD807" s="203" t="str">
        <f>VLOOKUP(AC807,★原価商品!$E$6:$F$349,2,FALSE)</f>
        <v>日本海/B4（折り無し）</v>
      </c>
      <c r="AE807" s="203">
        <f t="shared" ca="1" si="98"/>
        <v>0</v>
      </c>
      <c r="AF807" s="383">
        <f>IFERROR(IF(VLOOKUP(申込書!$C$32,★サイズ表記!$F$4:$H$55,3,FALSE)="切り捨て",ROUNDDOWN(L807*IF(AK807="◎",I807,J807)/100,2),IF(VLOOKUP(申込書!$C$32,★サイズ表記!$F$4:$H$55,3,FALSE)="切り上げ",ROUNDUP(L807*IF(AK807="◎",I807,J807)/100,2),ROUND(L807*IF(AK807="◎",I807,J807)/100,2))),0)</f>
        <v>2.4</v>
      </c>
      <c r="AG807" s="203">
        <f t="shared" ca="1" si="99"/>
        <v>10561</v>
      </c>
      <c r="AJ807" s="460" t="str">
        <f>IFERROR(VLOOKUP(申込書!$C$30,★業種!$D$2:$E$87,2,FALSE),"")</f>
        <v>1003</v>
      </c>
      <c r="AK807" s="460" t="str">
        <f>IF(申込書!$C$36="◎",IF(OR(D807="浜坂・温泉",D807="美方・村岡",D807="香住",D807="岡山",D807="大阪"),"",IF(LEFT(F807)="D","◎",IF(AG807=0,"",IFERROR(IF(VLOOKUP(AG807,★仕入先!$A$2:$C$211,3,FALSE)=0,"","◎"),"")))),"")</f>
        <v>◎</v>
      </c>
      <c r="AL807" s="460">
        <f>申込書!$H$14</f>
        <v>0</v>
      </c>
      <c r="AM807" s="460" t="str">
        <f>申込書!$C$32</f>
        <v>B4（折り無し）</v>
      </c>
      <c r="AN807" s="460" t="str">
        <f>VLOOKUP(AM807,★サイズ表記!$D$4:$E$55,2,FALSE)</f>
        <v>1001</v>
      </c>
      <c r="AO807" s="460">
        <f>IF(C807&lt;&gt;"⑧兵庫",VLOOKUP(LEFT(F807),★新聞!$A$4:$B$12,2,FALSE),IF(LEFT(F807)&lt;&gt;"S",VLOOKUP(LEFT(F807),★新聞!$A$4:$B$12,2,FALSE),VLOOKUP("X",★新聞!$A$4:$B$12,2,FALSE)))</f>
        <v>1</v>
      </c>
      <c r="AP807" s="460" t="str">
        <f t="shared" ca="1" si="100"/>
        <v>0</v>
      </c>
      <c r="AQ807" s="460" t="str">
        <f>IF(申込書!$C$38="","",申込書!$C$38)</f>
        <v/>
      </c>
    </row>
    <row r="808" spans="1:43">
      <c r="A808" s="463">
        <f t="shared" si="101"/>
        <v>807</v>
      </c>
      <c r="B808" s="463" t="str">
        <f t="shared" si="94"/>
        <v>東部</v>
      </c>
      <c r="C808" s="464" t="s">
        <v>1020</v>
      </c>
      <c r="D808" s="464" t="s">
        <v>41</v>
      </c>
      <c r="E808" s="464">
        <f>VLOOKUP(D808,★折込地区!$A$2:$D$10,4,FALSE)</f>
        <v>8</v>
      </c>
      <c r="F808" s="464" t="s">
        <v>1140</v>
      </c>
      <c r="G808" s="464" t="str">
        <f>INDEX(★新聞!$E$4:$I$12, MATCH(LEFT(F808),★新聞!$A$4:$A$12,0), MATCH(LEFT(W808),★新聞!$E$3:$I$3,0))</f>
        <v>X</v>
      </c>
      <c r="H808" s="556" t="str">
        <f>CONCATENATE("日本海新聞（島根２）","/",VLOOKUP(申込書!$C$32,★サイズ表記!$D$4:$E$55,1,FALSE))</f>
        <v>日本海新聞（島根２）/B4（折り無し）</v>
      </c>
      <c r="I808" s="464" cm="1">
        <f t="array" ref="I808">IFERROR(INDEX(★原価率!$A$2:$E$50,MATCH($C808&amp;$H808,★原価率!$A$2:$A$50&amp;★原価率!$B$2:$B$50,0),3),0)</f>
        <v>72</v>
      </c>
      <c r="J808" s="464" cm="1">
        <f t="array" ref="J808">IFERROR(INDEX(★原価率!$A$2:$E$50,MATCH($C808&amp;$H808,★原価率!$A$2:$A$50&amp;★原価率!$B$2:$B$50,0),4),0)</f>
        <v>75.400000000000006</v>
      </c>
      <c r="K808" s="464" cm="1">
        <f t="array" ref="K808">IFERROR(INDEX(★原価率!$A$2:$E$50,MATCH($C808&amp;$H808,★原価率!$A$2:$A$50&amp;★原価率!$B$2:$B$50,0),5),0)</f>
        <v>100</v>
      </c>
      <c r="L808" s="528">
        <f>IFERROR(VLOOKUP(W808,★商品!$A$1:$H$1231,8,FALSE),0)</f>
        <v>3</v>
      </c>
      <c r="M808" s="203" t="str">
        <f ca="1">CONCATENATE(VLOOKUP(B808,★営業所!$A$2:$B$5,2,FALSE),TEXT(NOW(),"yyyy"))</f>
        <v>T2023</v>
      </c>
      <c r="N808" s="203">
        <v>1</v>
      </c>
      <c r="O808" s="203">
        <v>0</v>
      </c>
      <c r="P808" s="213">
        <f>申込書!$B$6</f>
        <v>0</v>
      </c>
      <c r="Q808" s="203">
        <f>申込書!$C$34</f>
        <v>1000040</v>
      </c>
      <c r="R808" s="203">
        <v>0</v>
      </c>
      <c r="U808" s="203">
        <f>VLOOKUP(B808,★営業所!$A$2:$C$5,3,FALSE)</f>
        <v>8</v>
      </c>
      <c r="V808" s="203">
        <f>申込書!$B$9</f>
        <v>0</v>
      </c>
      <c r="W808" s="203" t="str">
        <f>CONCATENATE(VLOOKUP(B808,★営業所!$A$2:$B$5,2,FALSE),VLOOKUP(申込書!$C$32,★サイズ表記!$D$4:$E$55,2,FALSE),VLOOKUP(D808,★折込地区!$A$2:$B$11,2,FALSE))</f>
        <v>T1001Shi</v>
      </c>
      <c r="X808" s="203" t="str">
        <f>CONCATENATE(申込書!$B$9," ",VLOOKUP(RIGHT(W808,3),★折込地区!$B$2:$C$10,2,FALSE),"")</f>
        <v xml:space="preserve"> 島根</v>
      </c>
      <c r="Z808" s="206">
        <f t="shared" ca="1" si="95"/>
        <v>0</v>
      </c>
      <c r="AB808" s="383">
        <f t="shared" si="96"/>
        <v>3</v>
      </c>
      <c r="AC808" s="203" t="str">
        <f t="shared" si="97"/>
        <v>D1001</v>
      </c>
      <c r="AD808" s="203" t="str">
        <f>VLOOKUP(AC808,★原価商品!$E$6:$F$349,2,FALSE)</f>
        <v>日本海/B4（折り無し）</v>
      </c>
      <c r="AE808" s="203">
        <f t="shared" ca="1" si="98"/>
        <v>0</v>
      </c>
      <c r="AF808" s="383">
        <f>IFERROR(IF(VLOOKUP(申込書!$C$32,★サイズ表記!$F$4:$H$55,3,FALSE)="切り捨て",ROUNDDOWN(L808*IF(AK808="◎",I808,J808)/100,2),IF(VLOOKUP(申込書!$C$32,★サイズ表記!$F$4:$H$55,3,FALSE)="切り上げ",ROUNDUP(L808*IF(AK808="◎",I808,J808)/100,2),ROUND(L808*IF(AK808="◎",I808,J808)/100,2))),0)</f>
        <v>2.16</v>
      </c>
      <c r="AG808" s="203">
        <f t="shared" ca="1" si="99"/>
        <v>10561</v>
      </c>
      <c r="AJ808" s="460" t="str">
        <f>IFERROR(VLOOKUP(申込書!$C$30,★業種!$D$2:$E$87,2,FALSE),"")</f>
        <v>1003</v>
      </c>
      <c r="AK808" s="460" t="str">
        <f>IF(申込書!$C$36="◎",IF(OR(D808="浜坂・温泉",D808="美方・村岡",D808="香住",D808="岡山",D808="大阪"),"",IF(LEFT(F808)="D","◎",IF(AG808=0,"",IFERROR(IF(VLOOKUP(AG808,★仕入先!$A$2:$C$211,3,FALSE)=0,"","◎"),"")))),"")</f>
        <v>◎</v>
      </c>
      <c r="AL808" s="460">
        <f>申込書!$H$14</f>
        <v>0</v>
      </c>
      <c r="AM808" s="460" t="str">
        <f>申込書!$C$32</f>
        <v>B4（折り無し）</v>
      </c>
      <c r="AN808" s="460" t="str">
        <f>VLOOKUP(AM808,★サイズ表記!$D$4:$E$55,2,FALSE)</f>
        <v>1001</v>
      </c>
      <c r="AO808" s="460">
        <f>IF(C808&lt;&gt;"⑧兵庫",VLOOKUP(LEFT(F808),★新聞!$A$4:$B$12,2,FALSE),IF(LEFT(F808)&lt;&gt;"S",VLOOKUP(LEFT(F808),★新聞!$A$4:$B$12,2,FALSE),VLOOKUP("X",★新聞!$A$4:$B$12,2,FALSE)))</f>
        <v>1</v>
      </c>
      <c r="AP808" s="460" t="str">
        <f t="shared" ca="1" si="100"/>
        <v>0</v>
      </c>
      <c r="AQ808" s="460" t="str">
        <f>IF(申込書!$C$38="","",申込書!$C$38)</f>
        <v/>
      </c>
    </row>
    <row r="809" spans="1:43">
      <c r="A809" s="463">
        <f t="shared" si="101"/>
        <v>808</v>
      </c>
      <c r="B809" s="463" t="str">
        <f t="shared" si="94"/>
        <v>東部</v>
      </c>
      <c r="C809" s="464" t="s">
        <v>1020</v>
      </c>
      <c r="D809" s="464" t="s">
        <v>1603</v>
      </c>
      <c r="E809" s="464">
        <f>VLOOKUP(D809,★折込地区!$A$2:$D$10,4,FALSE)</f>
        <v>3</v>
      </c>
      <c r="F809" s="464" t="s">
        <v>364</v>
      </c>
      <c r="G809" s="464" t="str">
        <f>INDEX(★新聞!$E$4:$I$12, MATCH(LEFT(F809),★新聞!$A$4:$A$12,0), MATCH(LEFT(W809),★新聞!$E$3:$I$3,0))</f>
        <v>AA</v>
      </c>
      <c r="H809" s="475" t="s">
        <v>1104</v>
      </c>
      <c r="I809" s="464" cm="1">
        <f t="array" ref="I809">IFERROR(INDEX(★原価率!$A$2:$E$50,MATCH($C809&amp;$H809,★原価率!$A$2:$A$50&amp;★原価率!$B$2:$B$50,0),3),0)</f>
        <v>85</v>
      </c>
      <c r="J809" s="464" cm="1">
        <f t="array" ref="J809">IFERROR(INDEX(★原価率!$A$2:$E$50,MATCH($C809&amp;$H809,★原価率!$A$2:$A$50&amp;★原価率!$B$2:$B$50,0),4),0)</f>
        <v>85</v>
      </c>
      <c r="K809" s="464" cm="1">
        <f t="array" ref="K809">IFERROR(INDEX(★原価率!$A$2:$E$50,MATCH($C809&amp;$H809,★原価率!$A$2:$A$50&amp;★原価率!$B$2:$B$50,0),5),0)</f>
        <v>100</v>
      </c>
      <c r="L809" s="528">
        <f>IFERROR(VLOOKUP(W809,★商品!$A$1:$H$1231,8,FALSE),0)</f>
        <v>2.8</v>
      </c>
      <c r="M809" s="203" t="str">
        <f ca="1">CONCATENATE(VLOOKUP(B809,★営業所!$A$2:$B$5,2,FALSE),TEXT(NOW(),"yyyy"))</f>
        <v>T2023</v>
      </c>
      <c r="N809" s="203">
        <v>1</v>
      </c>
      <c r="O809" s="203">
        <v>0</v>
      </c>
      <c r="P809" s="213">
        <f>申込書!$B$6</f>
        <v>0</v>
      </c>
      <c r="Q809" s="203">
        <f>申込書!$C$34</f>
        <v>1000040</v>
      </c>
      <c r="R809" s="203">
        <v>0</v>
      </c>
      <c r="U809" s="203">
        <f>VLOOKUP(B809,★営業所!$A$2:$C$5,3,FALSE)</f>
        <v>8</v>
      </c>
      <c r="V809" s="203">
        <f>申込書!$B$9</f>
        <v>0</v>
      </c>
      <c r="W809" s="203" t="str">
        <f>CONCATENATE(VLOOKUP(B809,★営業所!$A$2:$B$5,2,FALSE),VLOOKUP(申込書!$C$32,★サイズ表記!$D$4:$E$55,2,FALSE),VLOOKUP(D809,★折込地区!$A$2:$B$11,2,FALSE))</f>
        <v>T1001Yng</v>
      </c>
      <c r="X809" s="203" t="str">
        <f>CONCATENATE(申込書!$B$9," ",VLOOKUP(RIGHT(W809,3),★折込地区!$B$2:$C$10,2,FALSE),"")</f>
        <v xml:space="preserve"> 米子</v>
      </c>
      <c r="Z809" s="206">
        <f t="shared" ca="1" si="95"/>
        <v>0</v>
      </c>
      <c r="AB809" s="383">
        <f t="shared" si="96"/>
        <v>2.8</v>
      </c>
      <c r="AC809" s="203" t="str">
        <f t="shared" si="97"/>
        <v>G1001</v>
      </c>
      <c r="AD809" s="203" t="str">
        <f>VLOOKUP(AC809,★原価商品!$E$6:$F$349,2,FALSE)</f>
        <v>朝日/B4（折り無し）</v>
      </c>
      <c r="AE809" s="203">
        <f t="shared" ca="1" si="98"/>
        <v>0</v>
      </c>
      <c r="AF809" s="383">
        <f ca="1">IFERROR(IF(VLOOKUP(申込書!$C$32,★サイズ表記!$F$4:$H$55,3,FALSE)="切り捨て",ROUNDDOWN(L809*IF(AK809="◎",I809,J809)/100,2),IF(VLOOKUP(申込書!$C$32,★サイズ表記!$F$4:$H$55,3,FALSE)="切り上げ",ROUNDUP(L809*IF(AK809="◎",I809,J809)/100,2),ROUND(L809*IF(AK809="◎",I809,J809)/100,2))),0)</f>
        <v>2.38</v>
      </c>
      <c r="AG809" s="203">
        <f t="shared" ca="1" si="99"/>
        <v>10561</v>
      </c>
      <c r="AJ809" s="460" t="str">
        <f>IFERROR(VLOOKUP(申込書!$C$30,★業種!$D$2:$E$87,2,FALSE),"")</f>
        <v>1003</v>
      </c>
      <c r="AK809" s="460" t="str">
        <f ca="1">IF(申込書!$C$36="◎",IF(OR(D809="浜坂・温泉",D809="美方・村岡",D809="香住",D809="岡山",D809="大阪"),"",IF(LEFT(F809)="D","◎",IF(AG809=0,"",IFERROR(IF(VLOOKUP(AG809,★仕入先!$A$2:$C$211,3,FALSE)=0,"","◎"),"")))),"")</f>
        <v/>
      </c>
      <c r="AL809" s="460">
        <f>申込書!$H$14</f>
        <v>0</v>
      </c>
      <c r="AM809" s="460" t="str">
        <f>申込書!$C$32</f>
        <v>B4（折り無し）</v>
      </c>
      <c r="AN809" s="460" t="str">
        <f>VLOOKUP(AM809,★サイズ表記!$D$4:$E$55,2,FALSE)</f>
        <v>1001</v>
      </c>
      <c r="AO809" s="460">
        <f>IF(C809&lt;&gt;"⑧兵庫",VLOOKUP(LEFT(F809),★新聞!$A$4:$B$12,2,FALSE),IF(LEFT(F809)&lt;&gt;"S",VLOOKUP(LEFT(F809),★新聞!$A$4:$B$12,2,FALSE),VLOOKUP("X",★新聞!$A$4:$B$12,2,FALSE)))</f>
        <v>2</v>
      </c>
      <c r="AP809" s="460" t="str">
        <f t="shared" ca="1" si="100"/>
        <v>0</v>
      </c>
      <c r="AQ809" s="460" t="str">
        <f>IF(申込書!$C$38="","",申込書!$C$38)</f>
        <v/>
      </c>
    </row>
    <row r="810" spans="1:43">
      <c r="A810" s="463">
        <f t="shared" si="101"/>
        <v>809</v>
      </c>
      <c r="B810" s="463" t="str">
        <f t="shared" si="94"/>
        <v>東部</v>
      </c>
      <c r="C810" s="464" t="s">
        <v>1020</v>
      </c>
      <c r="D810" s="464" t="s">
        <v>1603</v>
      </c>
      <c r="E810" s="464">
        <f>VLOOKUP(D810,★折込地区!$A$2:$D$10,4,FALSE)</f>
        <v>3</v>
      </c>
      <c r="F810" s="464" t="s">
        <v>406</v>
      </c>
      <c r="G810" s="464" t="str">
        <f>INDEX(★新聞!$E$4:$I$12, MATCH(LEFT(F810),★新聞!$A$4:$A$12,0), MATCH(LEFT(W810),★新聞!$E$3:$I$3,0))</f>
        <v>AA</v>
      </c>
      <c r="H810" s="475" t="s">
        <v>1104</v>
      </c>
      <c r="I810" s="464" cm="1">
        <f t="array" ref="I810">IFERROR(INDEX(★原価率!$A$2:$E$50,MATCH($C810&amp;$H810,★原価率!$A$2:$A$50&amp;★原価率!$B$2:$B$50,0),3),0)</f>
        <v>85</v>
      </c>
      <c r="J810" s="464" cm="1">
        <f t="array" ref="J810">IFERROR(INDEX(★原価率!$A$2:$E$50,MATCH($C810&amp;$H810,★原価率!$A$2:$A$50&amp;★原価率!$B$2:$B$50,0),4),0)</f>
        <v>85</v>
      </c>
      <c r="K810" s="464" cm="1">
        <f t="array" ref="K810">IFERROR(INDEX(★原価率!$A$2:$E$50,MATCH($C810&amp;$H810,★原価率!$A$2:$A$50&amp;★原価率!$B$2:$B$50,0),5),0)</f>
        <v>100</v>
      </c>
      <c r="L810" s="528">
        <f>IFERROR(VLOOKUP(W810,★商品!$A$1:$H$1231,8,FALSE),0)</f>
        <v>2.8</v>
      </c>
      <c r="M810" s="203" t="str">
        <f ca="1">CONCATENATE(VLOOKUP(B810,★営業所!$A$2:$B$5,2,FALSE),TEXT(NOW(),"yyyy"))</f>
        <v>T2023</v>
      </c>
      <c r="N810" s="203">
        <v>1</v>
      </c>
      <c r="O810" s="203">
        <v>0</v>
      </c>
      <c r="P810" s="213">
        <f>申込書!$B$6</f>
        <v>0</v>
      </c>
      <c r="Q810" s="203">
        <f>申込書!$C$34</f>
        <v>1000040</v>
      </c>
      <c r="R810" s="203">
        <v>0</v>
      </c>
      <c r="U810" s="203">
        <f>VLOOKUP(B810,★営業所!$A$2:$C$5,3,FALSE)</f>
        <v>8</v>
      </c>
      <c r="V810" s="203">
        <f>申込書!$B$9</f>
        <v>0</v>
      </c>
      <c r="W810" s="203" t="str">
        <f>CONCATENATE(VLOOKUP(B810,★営業所!$A$2:$B$5,2,FALSE),VLOOKUP(申込書!$C$32,★サイズ表記!$D$4:$E$55,2,FALSE),VLOOKUP(D810,★折込地区!$A$2:$B$11,2,FALSE))</f>
        <v>T1001Yng</v>
      </c>
      <c r="X810" s="203" t="str">
        <f>CONCATENATE(申込書!$B$9," ",VLOOKUP(RIGHT(W810,3),★折込地区!$B$2:$C$10,2,FALSE),"")</f>
        <v xml:space="preserve"> 米子</v>
      </c>
      <c r="Z810" s="206">
        <f t="shared" ca="1" si="95"/>
        <v>0</v>
      </c>
      <c r="AB810" s="383">
        <f t="shared" si="96"/>
        <v>2.8</v>
      </c>
      <c r="AC810" s="203" t="str">
        <f t="shared" si="97"/>
        <v>G1001</v>
      </c>
      <c r="AD810" s="203" t="str">
        <f>VLOOKUP(AC810,★原価商品!$E$6:$F$349,2,FALSE)</f>
        <v>朝日/B4（折り無し）</v>
      </c>
      <c r="AE810" s="203">
        <f t="shared" ca="1" si="98"/>
        <v>0</v>
      </c>
      <c r="AF810" s="383">
        <f ca="1">IFERROR(IF(VLOOKUP(申込書!$C$32,★サイズ表記!$F$4:$H$55,3,FALSE)="切り捨て",ROUNDDOWN(L810*IF(AK810="◎",I810,J810)/100,2),IF(VLOOKUP(申込書!$C$32,★サイズ表記!$F$4:$H$55,3,FALSE)="切り上げ",ROUNDUP(L810*IF(AK810="◎",I810,J810)/100,2),ROUND(L810*IF(AK810="◎",I810,J810)/100,2))),0)</f>
        <v>2.38</v>
      </c>
      <c r="AG810" s="203">
        <f t="shared" ca="1" si="99"/>
        <v>10561</v>
      </c>
      <c r="AJ810" s="460" t="str">
        <f>IFERROR(VLOOKUP(申込書!$C$30,★業種!$D$2:$E$87,2,FALSE),"")</f>
        <v>1003</v>
      </c>
      <c r="AK810" s="460" t="str">
        <f ca="1">IF(申込書!$C$36="◎",IF(OR(D810="浜坂・温泉",D810="美方・村岡",D810="香住",D810="岡山",D810="大阪"),"",IF(LEFT(F810)="D","◎",IF(AG810=0,"",IFERROR(IF(VLOOKUP(AG810,★仕入先!$A$2:$C$211,3,FALSE)=0,"","◎"),"")))),"")</f>
        <v/>
      </c>
      <c r="AL810" s="460">
        <f>申込書!$H$14</f>
        <v>0</v>
      </c>
      <c r="AM810" s="460" t="str">
        <f>申込書!$C$32</f>
        <v>B4（折り無し）</v>
      </c>
      <c r="AN810" s="460" t="str">
        <f>VLOOKUP(AM810,★サイズ表記!$D$4:$E$55,2,FALSE)</f>
        <v>1001</v>
      </c>
      <c r="AO810" s="460">
        <f>IF(C810&lt;&gt;"⑧兵庫",VLOOKUP(LEFT(F810),★新聞!$A$4:$B$12,2,FALSE),IF(LEFT(F810)&lt;&gt;"S",VLOOKUP(LEFT(F810),★新聞!$A$4:$B$12,2,FALSE),VLOOKUP("X",★新聞!$A$4:$B$12,2,FALSE)))</f>
        <v>2</v>
      </c>
      <c r="AP810" s="460" t="str">
        <f t="shared" ca="1" si="100"/>
        <v>0</v>
      </c>
      <c r="AQ810" s="460" t="str">
        <f>IF(申込書!$C$38="","",申込書!$C$38)</f>
        <v/>
      </c>
    </row>
    <row r="811" spans="1:43">
      <c r="A811" s="463">
        <f t="shared" si="101"/>
        <v>810</v>
      </c>
      <c r="B811" s="463" t="str">
        <f t="shared" si="94"/>
        <v>東部</v>
      </c>
      <c r="C811" s="464" t="s">
        <v>1020</v>
      </c>
      <c r="D811" s="464" t="s">
        <v>1603</v>
      </c>
      <c r="E811" s="464">
        <f>VLOOKUP(D811,★折込地区!$A$2:$D$10,4,FALSE)</f>
        <v>3</v>
      </c>
      <c r="F811" s="464" t="s">
        <v>407</v>
      </c>
      <c r="G811" s="464" t="str">
        <f>INDEX(★新聞!$E$4:$I$12, MATCH(LEFT(F811),★新聞!$A$4:$A$12,0), MATCH(LEFT(W811),★新聞!$E$3:$I$3,0))</f>
        <v>AA</v>
      </c>
      <c r="H811" s="475" t="s">
        <v>1104</v>
      </c>
      <c r="I811" s="464" cm="1">
        <f t="array" ref="I811">IFERROR(INDEX(★原価率!$A$2:$E$50,MATCH($C811&amp;$H811,★原価率!$A$2:$A$50&amp;★原価率!$B$2:$B$50,0),3),0)</f>
        <v>85</v>
      </c>
      <c r="J811" s="464" cm="1">
        <f t="array" ref="J811">IFERROR(INDEX(★原価率!$A$2:$E$50,MATCH($C811&amp;$H811,★原価率!$A$2:$A$50&amp;★原価率!$B$2:$B$50,0),4),0)</f>
        <v>85</v>
      </c>
      <c r="K811" s="464" cm="1">
        <f t="array" ref="K811">IFERROR(INDEX(★原価率!$A$2:$E$50,MATCH($C811&amp;$H811,★原価率!$A$2:$A$50&amp;★原価率!$B$2:$B$50,0),5),0)</f>
        <v>100</v>
      </c>
      <c r="L811" s="528">
        <f>IFERROR(VLOOKUP(W811,★商品!$A$1:$H$1231,8,FALSE),0)</f>
        <v>2.8</v>
      </c>
      <c r="M811" s="203" t="str">
        <f ca="1">CONCATENATE(VLOOKUP(B811,★営業所!$A$2:$B$5,2,FALSE),TEXT(NOW(),"yyyy"))</f>
        <v>T2023</v>
      </c>
      <c r="N811" s="203">
        <v>1</v>
      </c>
      <c r="O811" s="203">
        <v>0</v>
      </c>
      <c r="P811" s="213">
        <f>申込書!$B$6</f>
        <v>0</v>
      </c>
      <c r="Q811" s="203">
        <f>申込書!$C$34</f>
        <v>1000040</v>
      </c>
      <c r="R811" s="203">
        <v>0</v>
      </c>
      <c r="U811" s="203">
        <f>VLOOKUP(B811,★営業所!$A$2:$C$5,3,FALSE)</f>
        <v>8</v>
      </c>
      <c r="V811" s="203">
        <f>申込書!$B$9</f>
        <v>0</v>
      </c>
      <c r="W811" s="203" t="str">
        <f>CONCATENATE(VLOOKUP(B811,★営業所!$A$2:$B$5,2,FALSE),VLOOKUP(申込書!$C$32,★サイズ表記!$D$4:$E$55,2,FALSE),VLOOKUP(D811,★折込地区!$A$2:$B$11,2,FALSE))</f>
        <v>T1001Yng</v>
      </c>
      <c r="X811" s="203" t="str">
        <f>CONCATENATE(申込書!$B$9," ",VLOOKUP(RIGHT(W811,3),★折込地区!$B$2:$C$10,2,FALSE),"")</f>
        <v xml:space="preserve"> 米子</v>
      </c>
      <c r="Z811" s="206">
        <f t="shared" ca="1" si="95"/>
        <v>0</v>
      </c>
      <c r="AB811" s="383">
        <f t="shared" si="96"/>
        <v>2.8</v>
      </c>
      <c r="AC811" s="203" t="str">
        <f t="shared" si="97"/>
        <v>G1001</v>
      </c>
      <c r="AD811" s="203" t="str">
        <f>VLOOKUP(AC811,★原価商品!$E$6:$F$349,2,FALSE)</f>
        <v>朝日/B4（折り無し）</v>
      </c>
      <c r="AE811" s="203">
        <f t="shared" ca="1" si="98"/>
        <v>0</v>
      </c>
      <c r="AF811" s="383">
        <f ca="1">IFERROR(IF(VLOOKUP(申込書!$C$32,★サイズ表記!$F$4:$H$55,3,FALSE)="切り捨て",ROUNDDOWN(L811*IF(AK811="◎",I811,J811)/100,2),IF(VLOOKUP(申込書!$C$32,★サイズ表記!$F$4:$H$55,3,FALSE)="切り上げ",ROUNDUP(L811*IF(AK811="◎",I811,J811)/100,2),ROUND(L811*IF(AK811="◎",I811,J811)/100,2))),0)</f>
        <v>2.38</v>
      </c>
      <c r="AG811" s="203">
        <f t="shared" ca="1" si="99"/>
        <v>10561</v>
      </c>
      <c r="AJ811" s="460" t="str">
        <f>IFERROR(VLOOKUP(申込書!$C$30,★業種!$D$2:$E$87,2,FALSE),"")</f>
        <v>1003</v>
      </c>
      <c r="AK811" s="460" t="str">
        <f ca="1">IF(申込書!$C$36="◎",IF(OR(D811="浜坂・温泉",D811="美方・村岡",D811="香住",D811="岡山",D811="大阪"),"",IF(LEFT(F811)="D","◎",IF(AG811=0,"",IFERROR(IF(VLOOKUP(AG811,★仕入先!$A$2:$C$211,3,FALSE)=0,"","◎"),"")))),"")</f>
        <v/>
      </c>
      <c r="AL811" s="460">
        <f>申込書!$H$14</f>
        <v>0</v>
      </c>
      <c r="AM811" s="460" t="str">
        <f>申込書!$C$32</f>
        <v>B4（折り無し）</v>
      </c>
      <c r="AN811" s="460" t="str">
        <f>VLOOKUP(AM811,★サイズ表記!$D$4:$E$55,2,FALSE)</f>
        <v>1001</v>
      </c>
      <c r="AO811" s="460">
        <f>IF(C811&lt;&gt;"⑧兵庫",VLOOKUP(LEFT(F811),★新聞!$A$4:$B$12,2,FALSE),IF(LEFT(F811)&lt;&gt;"S",VLOOKUP(LEFT(F811),★新聞!$A$4:$B$12,2,FALSE),VLOOKUP("X",★新聞!$A$4:$B$12,2,FALSE)))</f>
        <v>2</v>
      </c>
      <c r="AP811" s="460" t="str">
        <f t="shared" ca="1" si="100"/>
        <v>0</v>
      </c>
      <c r="AQ811" s="460" t="str">
        <f>IF(申込書!$C$38="","",申込書!$C$38)</f>
        <v/>
      </c>
    </row>
    <row r="812" spans="1:43">
      <c r="A812" s="463">
        <f t="shared" si="101"/>
        <v>811</v>
      </c>
      <c r="B812" s="463" t="str">
        <f t="shared" si="94"/>
        <v>東部</v>
      </c>
      <c r="C812" s="464" t="s">
        <v>1020</v>
      </c>
      <c r="D812" s="464" t="s">
        <v>1603</v>
      </c>
      <c r="E812" s="464">
        <f>VLOOKUP(D812,★折込地区!$A$2:$D$10,4,FALSE)</f>
        <v>3</v>
      </c>
      <c r="F812" s="464" t="s">
        <v>408</v>
      </c>
      <c r="G812" s="464" t="str">
        <f>INDEX(★新聞!$E$4:$I$12, MATCH(LEFT(F812),★新聞!$A$4:$A$12,0), MATCH(LEFT(W812),★新聞!$E$3:$I$3,0))</f>
        <v>AA</v>
      </c>
      <c r="H812" s="475" t="s">
        <v>1104</v>
      </c>
      <c r="I812" s="464" cm="1">
        <f t="array" ref="I812">IFERROR(INDEX(★原価率!$A$2:$E$50,MATCH($C812&amp;$H812,★原価率!$A$2:$A$50&amp;★原価率!$B$2:$B$50,0),3),0)</f>
        <v>85</v>
      </c>
      <c r="J812" s="464" cm="1">
        <f t="array" ref="J812">IFERROR(INDEX(★原価率!$A$2:$E$50,MATCH($C812&amp;$H812,★原価率!$A$2:$A$50&amp;★原価率!$B$2:$B$50,0),4),0)</f>
        <v>85</v>
      </c>
      <c r="K812" s="464" cm="1">
        <f t="array" ref="K812">IFERROR(INDEX(★原価率!$A$2:$E$50,MATCH($C812&amp;$H812,★原価率!$A$2:$A$50&amp;★原価率!$B$2:$B$50,0),5),0)</f>
        <v>100</v>
      </c>
      <c r="L812" s="528">
        <f>IFERROR(VLOOKUP(W812,★商品!$A$1:$H$1231,8,FALSE),0)</f>
        <v>2.8</v>
      </c>
      <c r="M812" s="203" t="str">
        <f ca="1">CONCATENATE(VLOOKUP(B812,★営業所!$A$2:$B$5,2,FALSE),TEXT(NOW(),"yyyy"))</f>
        <v>T2023</v>
      </c>
      <c r="N812" s="203">
        <v>1</v>
      </c>
      <c r="O812" s="203">
        <v>0</v>
      </c>
      <c r="P812" s="213">
        <f>申込書!$B$6</f>
        <v>0</v>
      </c>
      <c r="Q812" s="203">
        <f>申込書!$C$34</f>
        <v>1000040</v>
      </c>
      <c r="R812" s="203">
        <v>0</v>
      </c>
      <c r="U812" s="203">
        <f>VLOOKUP(B812,★営業所!$A$2:$C$5,3,FALSE)</f>
        <v>8</v>
      </c>
      <c r="V812" s="203">
        <f>申込書!$B$9</f>
        <v>0</v>
      </c>
      <c r="W812" s="203" t="str">
        <f>CONCATENATE(VLOOKUP(B812,★営業所!$A$2:$B$5,2,FALSE),VLOOKUP(申込書!$C$32,★サイズ表記!$D$4:$E$55,2,FALSE),VLOOKUP(D812,★折込地区!$A$2:$B$11,2,FALSE))</f>
        <v>T1001Yng</v>
      </c>
      <c r="X812" s="203" t="str">
        <f>CONCATENATE(申込書!$B$9," ",VLOOKUP(RIGHT(W812,3),★折込地区!$B$2:$C$10,2,FALSE),"")</f>
        <v xml:space="preserve"> 米子</v>
      </c>
      <c r="Z812" s="206">
        <f t="shared" ca="1" si="95"/>
        <v>0</v>
      </c>
      <c r="AB812" s="383">
        <f t="shared" si="96"/>
        <v>2.8</v>
      </c>
      <c r="AC812" s="203" t="str">
        <f t="shared" si="97"/>
        <v>G1001</v>
      </c>
      <c r="AD812" s="203" t="str">
        <f>VLOOKUP(AC812,★原価商品!$E$6:$F$349,2,FALSE)</f>
        <v>朝日/B4（折り無し）</v>
      </c>
      <c r="AE812" s="203">
        <f t="shared" ca="1" si="98"/>
        <v>0</v>
      </c>
      <c r="AF812" s="383">
        <f ca="1">IFERROR(IF(VLOOKUP(申込書!$C$32,★サイズ表記!$F$4:$H$55,3,FALSE)="切り捨て",ROUNDDOWN(L812*IF(AK812="◎",I812,J812)/100,2),IF(VLOOKUP(申込書!$C$32,★サイズ表記!$F$4:$H$55,3,FALSE)="切り上げ",ROUNDUP(L812*IF(AK812="◎",I812,J812)/100,2),ROUND(L812*IF(AK812="◎",I812,J812)/100,2))),0)</f>
        <v>2.38</v>
      </c>
      <c r="AG812" s="203">
        <f t="shared" ca="1" si="99"/>
        <v>10561</v>
      </c>
      <c r="AJ812" s="460" t="str">
        <f>IFERROR(VLOOKUP(申込書!$C$30,★業種!$D$2:$E$87,2,FALSE),"")</f>
        <v>1003</v>
      </c>
      <c r="AK812" s="460" t="str">
        <f ca="1">IF(申込書!$C$36="◎",IF(OR(D812="浜坂・温泉",D812="美方・村岡",D812="香住",D812="岡山",D812="大阪"),"",IF(LEFT(F812)="D","◎",IF(AG812=0,"",IFERROR(IF(VLOOKUP(AG812,★仕入先!$A$2:$C$211,3,FALSE)=0,"","◎"),"")))),"")</f>
        <v/>
      </c>
      <c r="AL812" s="460">
        <f>申込書!$H$14</f>
        <v>0</v>
      </c>
      <c r="AM812" s="460" t="str">
        <f>申込書!$C$32</f>
        <v>B4（折り無し）</v>
      </c>
      <c r="AN812" s="460" t="str">
        <f>VLOOKUP(AM812,★サイズ表記!$D$4:$E$55,2,FALSE)</f>
        <v>1001</v>
      </c>
      <c r="AO812" s="460">
        <f>IF(C812&lt;&gt;"⑧兵庫",VLOOKUP(LEFT(F812),★新聞!$A$4:$B$12,2,FALSE),IF(LEFT(F812)&lt;&gt;"S",VLOOKUP(LEFT(F812),★新聞!$A$4:$B$12,2,FALSE),VLOOKUP("X",★新聞!$A$4:$B$12,2,FALSE)))</f>
        <v>2</v>
      </c>
      <c r="AP812" s="460" t="str">
        <f t="shared" ca="1" si="100"/>
        <v>0</v>
      </c>
      <c r="AQ812" s="460" t="str">
        <f>IF(申込書!$C$38="","",申込書!$C$38)</f>
        <v/>
      </c>
    </row>
    <row r="813" spans="1:43">
      <c r="A813" s="463">
        <f t="shared" si="101"/>
        <v>812</v>
      </c>
      <c r="B813" s="463" t="str">
        <f t="shared" si="94"/>
        <v>東部</v>
      </c>
      <c r="C813" s="464" t="s">
        <v>1020</v>
      </c>
      <c r="D813" s="464" t="s">
        <v>1603</v>
      </c>
      <c r="E813" s="464">
        <f>VLOOKUP(D813,★折込地区!$A$2:$D$10,4,FALSE)</f>
        <v>3</v>
      </c>
      <c r="F813" s="464" t="s">
        <v>409</v>
      </c>
      <c r="G813" s="464" t="str">
        <f>INDEX(★新聞!$E$4:$I$12, MATCH(LEFT(F813),★新聞!$A$4:$A$12,0), MATCH(LEFT(W813),★新聞!$E$3:$I$3,0))</f>
        <v>AA</v>
      </c>
      <c r="H813" s="475" t="s">
        <v>1104</v>
      </c>
      <c r="I813" s="464" cm="1">
        <f t="array" ref="I813">IFERROR(INDEX(★原価率!$A$2:$E$50,MATCH($C813&amp;$H813,★原価率!$A$2:$A$50&amp;★原価率!$B$2:$B$50,0),3),0)</f>
        <v>85</v>
      </c>
      <c r="J813" s="464" cm="1">
        <f t="array" ref="J813">IFERROR(INDEX(★原価率!$A$2:$E$50,MATCH($C813&amp;$H813,★原価率!$A$2:$A$50&amp;★原価率!$B$2:$B$50,0),4),0)</f>
        <v>85</v>
      </c>
      <c r="K813" s="464" cm="1">
        <f t="array" ref="K813">IFERROR(INDEX(★原価率!$A$2:$E$50,MATCH($C813&amp;$H813,★原価率!$A$2:$A$50&amp;★原価率!$B$2:$B$50,0),5),0)</f>
        <v>100</v>
      </c>
      <c r="L813" s="528">
        <f>IFERROR(VLOOKUP(W813,★商品!$A$1:$H$1231,8,FALSE),0)</f>
        <v>2.8</v>
      </c>
      <c r="M813" s="203" t="str">
        <f ca="1">CONCATENATE(VLOOKUP(B813,★営業所!$A$2:$B$5,2,FALSE),TEXT(NOW(),"yyyy"))</f>
        <v>T2023</v>
      </c>
      <c r="N813" s="203">
        <v>1</v>
      </c>
      <c r="O813" s="203">
        <v>0</v>
      </c>
      <c r="P813" s="213">
        <f>申込書!$B$6</f>
        <v>0</v>
      </c>
      <c r="Q813" s="203">
        <f>申込書!$C$34</f>
        <v>1000040</v>
      </c>
      <c r="R813" s="203">
        <v>0</v>
      </c>
      <c r="U813" s="203">
        <f>VLOOKUP(B813,★営業所!$A$2:$C$5,3,FALSE)</f>
        <v>8</v>
      </c>
      <c r="V813" s="203">
        <f>申込書!$B$9</f>
        <v>0</v>
      </c>
      <c r="W813" s="203" t="str">
        <f>CONCATENATE(VLOOKUP(B813,★営業所!$A$2:$B$5,2,FALSE),VLOOKUP(申込書!$C$32,★サイズ表記!$D$4:$E$55,2,FALSE),VLOOKUP(D813,★折込地区!$A$2:$B$11,2,FALSE))</f>
        <v>T1001Yng</v>
      </c>
      <c r="X813" s="203" t="str">
        <f>CONCATENATE(申込書!$B$9," ",VLOOKUP(RIGHT(W813,3),★折込地区!$B$2:$C$10,2,FALSE),"")</f>
        <v xml:space="preserve"> 米子</v>
      </c>
      <c r="Z813" s="206">
        <f t="shared" ca="1" si="95"/>
        <v>0</v>
      </c>
      <c r="AB813" s="383">
        <f t="shared" si="96"/>
        <v>2.8</v>
      </c>
      <c r="AC813" s="203" t="str">
        <f t="shared" si="97"/>
        <v>G1001</v>
      </c>
      <c r="AD813" s="203" t="str">
        <f>VLOOKUP(AC813,★原価商品!$E$6:$F$349,2,FALSE)</f>
        <v>朝日/B4（折り無し）</v>
      </c>
      <c r="AE813" s="203">
        <f t="shared" ca="1" si="98"/>
        <v>0</v>
      </c>
      <c r="AF813" s="383">
        <f ca="1">IFERROR(IF(VLOOKUP(申込書!$C$32,★サイズ表記!$F$4:$H$55,3,FALSE)="切り捨て",ROUNDDOWN(L813*IF(AK813="◎",I813,J813)/100,2),IF(VLOOKUP(申込書!$C$32,★サイズ表記!$F$4:$H$55,3,FALSE)="切り上げ",ROUNDUP(L813*IF(AK813="◎",I813,J813)/100,2),ROUND(L813*IF(AK813="◎",I813,J813)/100,2))),0)</f>
        <v>2.38</v>
      </c>
      <c r="AG813" s="203">
        <f t="shared" ca="1" si="99"/>
        <v>10561</v>
      </c>
      <c r="AJ813" s="460" t="str">
        <f>IFERROR(VLOOKUP(申込書!$C$30,★業種!$D$2:$E$87,2,FALSE),"")</f>
        <v>1003</v>
      </c>
      <c r="AK813" s="460" t="str">
        <f ca="1">IF(申込書!$C$36="◎",IF(OR(D813="浜坂・温泉",D813="美方・村岡",D813="香住",D813="岡山",D813="大阪"),"",IF(LEFT(F813)="D","◎",IF(AG813=0,"",IFERROR(IF(VLOOKUP(AG813,★仕入先!$A$2:$C$211,3,FALSE)=0,"","◎"),"")))),"")</f>
        <v/>
      </c>
      <c r="AL813" s="460">
        <f>申込書!$H$14</f>
        <v>0</v>
      </c>
      <c r="AM813" s="460" t="str">
        <f>申込書!$C$32</f>
        <v>B4（折り無し）</v>
      </c>
      <c r="AN813" s="460" t="str">
        <f>VLOOKUP(AM813,★サイズ表記!$D$4:$E$55,2,FALSE)</f>
        <v>1001</v>
      </c>
      <c r="AO813" s="460">
        <f>IF(C813&lt;&gt;"⑧兵庫",VLOOKUP(LEFT(F813),★新聞!$A$4:$B$12,2,FALSE),IF(LEFT(F813)&lt;&gt;"S",VLOOKUP(LEFT(F813),★新聞!$A$4:$B$12,2,FALSE),VLOOKUP("X",★新聞!$A$4:$B$12,2,FALSE)))</f>
        <v>2</v>
      </c>
      <c r="AP813" s="460" t="str">
        <f t="shared" ca="1" si="100"/>
        <v>0</v>
      </c>
      <c r="AQ813" s="460" t="str">
        <f>IF(申込書!$C$38="","",申込書!$C$38)</f>
        <v/>
      </c>
    </row>
    <row r="814" spans="1:43">
      <c r="A814" s="463">
        <f t="shared" si="101"/>
        <v>813</v>
      </c>
      <c r="B814" s="463" t="str">
        <f t="shared" si="94"/>
        <v>東部</v>
      </c>
      <c r="C814" s="464" t="s">
        <v>1020</v>
      </c>
      <c r="D814" s="464" t="s">
        <v>1603</v>
      </c>
      <c r="E814" s="464">
        <f>VLOOKUP(D814,★折込地区!$A$2:$D$10,4,FALSE)</f>
        <v>3</v>
      </c>
      <c r="F814" s="464" t="s">
        <v>410</v>
      </c>
      <c r="G814" s="464" t="str">
        <f>INDEX(★新聞!$E$4:$I$12, MATCH(LEFT(F814),★新聞!$A$4:$A$12,0), MATCH(LEFT(W814),★新聞!$E$3:$I$3,0))</f>
        <v>AA</v>
      </c>
      <c r="H814" s="475" t="s">
        <v>1104</v>
      </c>
      <c r="I814" s="464" cm="1">
        <f t="array" ref="I814">IFERROR(INDEX(★原価率!$A$2:$E$50,MATCH($C814&amp;$H814,★原価率!$A$2:$A$50&amp;★原価率!$B$2:$B$50,0),3),0)</f>
        <v>85</v>
      </c>
      <c r="J814" s="464" cm="1">
        <f t="array" ref="J814">IFERROR(INDEX(★原価率!$A$2:$E$50,MATCH($C814&amp;$H814,★原価率!$A$2:$A$50&amp;★原価率!$B$2:$B$50,0),4),0)</f>
        <v>85</v>
      </c>
      <c r="K814" s="464" cm="1">
        <f t="array" ref="K814">IFERROR(INDEX(★原価率!$A$2:$E$50,MATCH($C814&amp;$H814,★原価率!$A$2:$A$50&amp;★原価率!$B$2:$B$50,0),5),0)</f>
        <v>100</v>
      </c>
      <c r="L814" s="528">
        <f>IFERROR(VLOOKUP(W814,★商品!$A$1:$H$1231,8,FALSE),0)</f>
        <v>2.8</v>
      </c>
      <c r="M814" s="203" t="str">
        <f ca="1">CONCATENATE(VLOOKUP(B814,★営業所!$A$2:$B$5,2,FALSE),TEXT(NOW(),"yyyy"))</f>
        <v>T2023</v>
      </c>
      <c r="N814" s="203">
        <v>1</v>
      </c>
      <c r="O814" s="203">
        <v>0</v>
      </c>
      <c r="P814" s="213">
        <f>申込書!$B$6</f>
        <v>0</v>
      </c>
      <c r="Q814" s="203">
        <f>申込書!$C$34</f>
        <v>1000040</v>
      </c>
      <c r="R814" s="203">
        <v>0</v>
      </c>
      <c r="U814" s="203">
        <f>VLOOKUP(B814,★営業所!$A$2:$C$5,3,FALSE)</f>
        <v>8</v>
      </c>
      <c r="V814" s="203">
        <f>申込書!$B$9</f>
        <v>0</v>
      </c>
      <c r="W814" s="203" t="str">
        <f>CONCATENATE(VLOOKUP(B814,★営業所!$A$2:$B$5,2,FALSE),VLOOKUP(申込書!$C$32,★サイズ表記!$D$4:$E$55,2,FALSE),VLOOKUP(D814,★折込地区!$A$2:$B$11,2,FALSE))</f>
        <v>T1001Yng</v>
      </c>
      <c r="X814" s="203" t="str">
        <f>CONCATENATE(申込書!$B$9," ",VLOOKUP(RIGHT(W814,3),★折込地区!$B$2:$C$10,2,FALSE),"")</f>
        <v xml:space="preserve"> 米子</v>
      </c>
      <c r="Z814" s="206">
        <f t="shared" ca="1" si="95"/>
        <v>0</v>
      </c>
      <c r="AB814" s="383">
        <f t="shared" si="96"/>
        <v>2.8</v>
      </c>
      <c r="AC814" s="203" t="str">
        <f t="shared" si="97"/>
        <v>G1001</v>
      </c>
      <c r="AD814" s="203" t="str">
        <f>VLOOKUP(AC814,★原価商品!$E$6:$F$349,2,FALSE)</f>
        <v>朝日/B4（折り無し）</v>
      </c>
      <c r="AE814" s="203">
        <f t="shared" ca="1" si="98"/>
        <v>0</v>
      </c>
      <c r="AF814" s="383">
        <f ca="1">IFERROR(IF(VLOOKUP(申込書!$C$32,★サイズ表記!$F$4:$H$55,3,FALSE)="切り捨て",ROUNDDOWN(L814*IF(AK814="◎",I814,J814)/100,2),IF(VLOOKUP(申込書!$C$32,★サイズ表記!$F$4:$H$55,3,FALSE)="切り上げ",ROUNDUP(L814*IF(AK814="◎",I814,J814)/100,2),ROUND(L814*IF(AK814="◎",I814,J814)/100,2))),0)</f>
        <v>2.38</v>
      </c>
      <c r="AG814" s="203">
        <f t="shared" ca="1" si="99"/>
        <v>10561</v>
      </c>
      <c r="AJ814" s="460" t="str">
        <f>IFERROR(VLOOKUP(申込書!$C$30,★業種!$D$2:$E$87,2,FALSE),"")</f>
        <v>1003</v>
      </c>
      <c r="AK814" s="460" t="str">
        <f ca="1">IF(申込書!$C$36="◎",IF(OR(D814="浜坂・温泉",D814="美方・村岡",D814="香住",D814="岡山",D814="大阪"),"",IF(LEFT(F814)="D","◎",IF(AG814=0,"",IFERROR(IF(VLOOKUP(AG814,★仕入先!$A$2:$C$211,3,FALSE)=0,"","◎"),"")))),"")</f>
        <v/>
      </c>
      <c r="AL814" s="460">
        <f>申込書!$H$14</f>
        <v>0</v>
      </c>
      <c r="AM814" s="460" t="str">
        <f>申込書!$C$32</f>
        <v>B4（折り無し）</v>
      </c>
      <c r="AN814" s="460" t="str">
        <f>VLOOKUP(AM814,★サイズ表記!$D$4:$E$55,2,FALSE)</f>
        <v>1001</v>
      </c>
      <c r="AO814" s="460">
        <f>IF(C814&lt;&gt;"⑧兵庫",VLOOKUP(LEFT(F814),★新聞!$A$4:$B$12,2,FALSE),IF(LEFT(F814)&lt;&gt;"S",VLOOKUP(LEFT(F814),★新聞!$A$4:$B$12,2,FALSE),VLOOKUP("X",★新聞!$A$4:$B$12,2,FALSE)))</f>
        <v>2</v>
      </c>
      <c r="AP814" s="460" t="str">
        <f t="shared" ca="1" si="100"/>
        <v>0</v>
      </c>
      <c r="AQ814" s="460" t="str">
        <f>IF(申込書!$C$38="","",申込書!$C$38)</f>
        <v/>
      </c>
    </row>
    <row r="815" spans="1:43">
      <c r="A815" s="463">
        <f t="shared" si="101"/>
        <v>814</v>
      </c>
      <c r="B815" s="463" t="str">
        <f t="shared" si="94"/>
        <v>東部</v>
      </c>
      <c r="C815" s="464" t="s">
        <v>1020</v>
      </c>
      <c r="D815" s="464" t="s">
        <v>1603</v>
      </c>
      <c r="E815" s="464">
        <f>VLOOKUP(D815,★折込地区!$A$2:$D$10,4,FALSE)</f>
        <v>3</v>
      </c>
      <c r="F815" s="464" t="s">
        <v>384</v>
      </c>
      <c r="G815" s="464" t="str">
        <f>INDEX(★新聞!$E$4:$I$12, MATCH(LEFT(F815),★新聞!$A$4:$A$12,0), MATCH(LEFT(W815),★新聞!$E$3:$I$3,0))</f>
        <v>AD</v>
      </c>
      <c r="H815" s="475" t="s">
        <v>1104</v>
      </c>
      <c r="I815" s="464" cm="1">
        <f t="array" ref="I815">IFERROR(INDEX(★原価率!$A$2:$E$50,MATCH($C815&amp;$H815,★原価率!$A$2:$A$50&amp;★原価率!$B$2:$B$50,0),3),0)</f>
        <v>85</v>
      </c>
      <c r="J815" s="464" cm="1">
        <f t="array" ref="J815">IFERROR(INDEX(★原価率!$A$2:$E$50,MATCH($C815&amp;$H815,★原価率!$A$2:$A$50&amp;★原価率!$B$2:$B$50,0),4),0)</f>
        <v>85</v>
      </c>
      <c r="K815" s="464" cm="1">
        <f t="array" ref="K815">IFERROR(INDEX(★原価率!$A$2:$E$50,MATCH($C815&amp;$H815,★原価率!$A$2:$A$50&amp;★原価率!$B$2:$B$50,0),5),0)</f>
        <v>100</v>
      </c>
      <c r="L815" s="528">
        <f>IFERROR(VLOOKUP(W815,★商品!$A$1:$H$1231,8,FALSE),0)</f>
        <v>2.8</v>
      </c>
      <c r="M815" s="203" t="str">
        <f ca="1">CONCATENATE(VLOOKUP(B815,★営業所!$A$2:$B$5,2,FALSE),TEXT(NOW(),"yyyy"))</f>
        <v>T2023</v>
      </c>
      <c r="N815" s="203">
        <v>1</v>
      </c>
      <c r="O815" s="203">
        <v>0</v>
      </c>
      <c r="P815" s="213">
        <f>申込書!$B$6</f>
        <v>0</v>
      </c>
      <c r="Q815" s="203">
        <f>申込書!$C$34</f>
        <v>1000040</v>
      </c>
      <c r="R815" s="203">
        <v>0</v>
      </c>
      <c r="U815" s="203">
        <f>VLOOKUP(B815,★営業所!$A$2:$C$5,3,FALSE)</f>
        <v>8</v>
      </c>
      <c r="V815" s="203">
        <f>申込書!$B$9</f>
        <v>0</v>
      </c>
      <c r="W815" s="203" t="str">
        <f>CONCATENATE(VLOOKUP(B815,★営業所!$A$2:$B$5,2,FALSE),VLOOKUP(申込書!$C$32,★サイズ表記!$D$4:$E$55,2,FALSE),VLOOKUP(D815,★折込地区!$A$2:$B$11,2,FALSE))</f>
        <v>T1001Yng</v>
      </c>
      <c r="X815" s="203" t="str">
        <f>CONCATENATE(申込書!$B$9," ",VLOOKUP(RIGHT(W815,3),★折込地区!$B$2:$C$10,2,FALSE),"")</f>
        <v xml:space="preserve"> 米子</v>
      </c>
      <c r="Z815" s="206">
        <f t="shared" ca="1" si="95"/>
        <v>0</v>
      </c>
      <c r="AB815" s="383">
        <f t="shared" si="96"/>
        <v>2.8</v>
      </c>
      <c r="AC815" s="203" t="str">
        <f t="shared" si="97"/>
        <v>J1001</v>
      </c>
      <c r="AD815" s="203" t="str">
        <f>VLOOKUP(AC815,★原価商品!$E$6:$F$349,2,FALSE)</f>
        <v>読売/B4（折り無し）</v>
      </c>
      <c r="AE815" s="203">
        <f t="shared" ca="1" si="98"/>
        <v>0</v>
      </c>
      <c r="AF815" s="383">
        <f ca="1">IFERROR(IF(VLOOKUP(申込書!$C$32,★サイズ表記!$F$4:$H$55,3,FALSE)="切り捨て",ROUNDDOWN(L815*IF(AK815="◎",I815,J815)/100,2),IF(VLOOKUP(申込書!$C$32,★サイズ表記!$F$4:$H$55,3,FALSE)="切り上げ",ROUNDUP(L815*IF(AK815="◎",I815,J815)/100,2),ROUND(L815*IF(AK815="◎",I815,J815)/100,2))),0)</f>
        <v>2.38</v>
      </c>
      <c r="AG815" s="203">
        <f t="shared" ca="1" si="99"/>
        <v>10561</v>
      </c>
      <c r="AJ815" s="460" t="str">
        <f>IFERROR(VLOOKUP(申込書!$C$30,★業種!$D$2:$E$87,2,FALSE),"")</f>
        <v>1003</v>
      </c>
      <c r="AK815" s="460" t="str">
        <f ca="1">IF(申込書!$C$36="◎",IF(OR(D815="浜坂・温泉",D815="美方・村岡",D815="香住",D815="岡山",D815="大阪"),"",IF(LEFT(F815)="D","◎",IF(AG815=0,"",IFERROR(IF(VLOOKUP(AG815,★仕入先!$A$2:$C$211,3,FALSE)=0,"","◎"),"")))),"")</f>
        <v/>
      </c>
      <c r="AL815" s="460">
        <f>申込書!$H$14</f>
        <v>0</v>
      </c>
      <c r="AM815" s="460" t="str">
        <f>申込書!$C$32</f>
        <v>B4（折り無し）</v>
      </c>
      <c r="AN815" s="460" t="str">
        <f>VLOOKUP(AM815,★サイズ表記!$D$4:$E$55,2,FALSE)</f>
        <v>1001</v>
      </c>
      <c r="AO815" s="460">
        <f>IF(C815&lt;&gt;"⑧兵庫",VLOOKUP(LEFT(F815),★新聞!$A$4:$B$12,2,FALSE),IF(LEFT(F815)&lt;&gt;"S",VLOOKUP(LEFT(F815),★新聞!$A$4:$B$12,2,FALSE),VLOOKUP("X",★新聞!$A$4:$B$12,2,FALSE)))</f>
        <v>3</v>
      </c>
      <c r="AP815" s="460" t="str">
        <f t="shared" ca="1" si="100"/>
        <v>0</v>
      </c>
      <c r="AQ815" s="460" t="str">
        <f>IF(申込書!$C$38="","",申込書!$C$38)</f>
        <v/>
      </c>
    </row>
    <row r="816" spans="1:43">
      <c r="A816" s="463">
        <f t="shared" si="101"/>
        <v>815</v>
      </c>
      <c r="B816" s="463" t="str">
        <f t="shared" si="94"/>
        <v>東部</v>
      </c>
      <c r="C816" s="464" t="s">
        <v>1020</v>
      </c>
      <c r="D816" s="464" t="s">
        <v>1603</v>
      </c>
      <c r="E816" s="464">
        <f>VLOOKUP(D816,★折込地区!$A$2:$D$10,4,FALSE)</f>
        <v>3</v>
      </c>
      <c r="F816" s="464" t="s">
        <v>427</v>
      </c>
      <c r="G816" s="464" t="str">
        <f>INDEX(★新聞!$E$4:$I$12, MATCH(LEFT(F816),★新聞!$A$4:$A$12,0), MATCH(LEFT(W816),★新聞!$E$3:$I$3,0))</f>
        <v>AD</v>
      </c>
      <c r="H816" s="475" t="s">
        <v>1104</v>
      </c>
      <c r="I816" s="464" cm="1">
        <f t="array" ref="I816">IFERROR(INDEX(★原価率!$A$2:$E$50,MATCH($C816&amp;$H816,★原価率!$A$2:$A$50&amp;★原価率!$B$2:$B$50,0),3),0)</f>
        <v>85</v>
      </c>
      <c r="J816" s="464" cm="1">
        <f t="array" ref="J816">IFERROR(INDEX(★原価率!$A$2:$E$50,MATCH($C816&amp;$H816,★原価率!$A$2:$A$50&amp;★原価率!$B$2:$B$50,0),4),0)</f>
        <v>85</v>
      </c>
      <c r="K816" s="464" cm="1">
        <f t="array" ref="K816">IFERROR(INDEX(★原価率!$A$2:$E$50,MATCH($C816&amp;$H816,★原価率!$A$2:$A$50&amp;★原価率!$B$2:$B$50,0),5),0)</f>
        <v>100</v>
      </c>
      <c r="L816" s="528">
        <f>IFERROR(VLOOKUP(W816,★商品!$A$1:$H$1231,8,FALSE),0)</f>
        <v>2.8</v>
      </c>
      <c r="M816" s="203" t="str">
        <f ca="1">CONCATENATE(VLOOKUP(B816,★営業所!$A$2:$B$5,2,FALSE),TEXT(NOW(),"yyyy"))</f>
        <v>T2023</v>
      </c>
      <c r="N816" s="203">
        <v>1</v>
      </c>
      <c r="O816" s="203">
        <v>0</v>
      </c>
      <c r="P816" s="213">
        <f>申込書!$B$6</f>
        <v>0</v>
      </c>
      <c r="Q816" s="203">
        <f>申込書!$C$34</f>
        <v>1000040</v>
      </c>
      <c r="R816" s="203">
        <v>0</v>
      </c>
      <c r="U816" s="203">
        <f>VLOOKUP(B816,★営業所!$A$2:$C$5,3,FALSE)</f>
        <v>8</v>
      </c>
      <c r="V816" s="203">
        <f>申込書!$B$9</f>
        <v>0</v>
      </c>
      <c r="W816" s="203" t="str">
        <f>CONCATENATE(VLOOKUP(B816,★営業所!$A$2:$B$5,2,FALSE),VLOOKUP(申込書!$C$32,★サイズ表記!$D$4:$E$55,2,FALSE),VLOOKUP(D816,★折込地区!$A$2:$B$11,2,FALSE))</f>
        <v>T1001Yng</v>
      </c>
      <c r="X816" s="203" t="str">
        <f>CONCATENATE(申込書!$B$9," ",VLOOKUP(RIGHT(W816,3),★折込地区!$B$2:$C$10,2,FALSE),"")</f>
        <v xml:space="preserve"> 米子</v>
      </c>
      <c r="Z816" s="206">
        <f t="shared" ca="1" si="95"/>
        <v>0</v>
      </c>
      <c r="AB816" s="383">
        <f t="shared" si="96"/>
        <v>2.8</v>
      </c>
      <c r="AC816" s="203" t="str">
        <f t="shared" si="97"/>
        <v>J1001</v>
      </c>
      <c r="AD816" s="203" t="str">
        <f>VLOOKUP(AC816,★原価商品!$E$6:$F$349,2,FALSE)</f>
        <v>読売/B4（折り無し）</v>
      </c>
      <c r="AE816" s="203">
        <f t="shared" ca="1" si="98"/>
        <v>0</v>
      </c>
      <c r="AF816" s="383">
        <f ca="1">IFERROR(IF(VLOOKUP(申込書!$C$32,★サイズ表記!$F$4:$H$55,3,FALSE)="切り捨て",ROUNDDOWN(L816*IF(AK816="◎",I816,J816)/100,2),IF(VLOOKUP(申込書!$C$32,★サイズ表記!$F$4:$H$55,3,FALSE)="切り上げ",ROUNDUP(L816*IF(AK816="◎",I816,J816)/100,2),ROUND(L816*IF(AK816="◎",I816,J816)/100,2))),0)</f>
        <v>2.38</v>
      </c>
      <c r="AG816" s="203">
        <f t="shared" ca="1" si="99"/>
        <v>10561</v>
      </c>
      <c r="AJ816" s="460" t="str">
        <f>IFERROR(VLOOKUP(申込書!$C$30,★業種!$D$2:$E$87,2,FALSE),"")</f>
        <v>1003</v>
      </c>
      <c r="AK816" s="460" t="str">
        <f ca="1">IF(申込書!$C$36="◎",IF(OR(D816="浜坂・温泉",D816="美方・村岡",D816="香住",D816="岡山",D816="大阪"),"",IF(LEFT(F816)="D","◎",IF(AG816=0,"",IFERROR(IF(VLOOKUP(AG816,★仕入先!$A$2:$C$211,3,FALSE)=0,"","◎"),"")))),"")</f>
        <v/>
      </c>
      <c r="AL816" s="460">
        <f>申込書!$H$14</f>
        <v>0</v>
      </c>
      <c r="AM816" s="460" t="str">
        <f>申込書!$C$32</f>
        <v>B4（折り無し）</v>
      </c>
      <c r="AN816" s="460" t="str">
        <f>VLOOKUP(AM816,★サイズ表記!$D$4:$E$55,2,FALSE)</f>
        <v>1001</v>
      </c>
      <c r="AO816" s="460">
        <f>IF(C816&lt;&gt;"⑧兵庫",VLOOKUP(LEFT(F816),★新聞!$A$4:$B$12,2,FALSE),IF(LEFT(F816)&lt;&gt;"S",VLOOKUP(LEFT(F816),★新聞!$A$4:$B$12,2,FALSE),VLOOKUP("X",★新聞!$A$4:$B$12,2,FALSE)))</f>
        <v>3</v>
      </c>
      <c r="AP816" s="460" t="str">
        <f t="shared" ca="1" si="100"/>
        <v>0</v>
      </c>
      <c r="AQ816" s="460" t="str">
        <f>IF(申込書!$C$38="","",申込書!$C$38)</f>
        <v/>
      </c>
    </row>
    <row r="817" spans="1:43">
      <c r="A817" s="463">
        <f t="shared" si="101"/>
        <v>816</v>
      </c>
      <c r="B817" s="463" t="str">
        <f t="shared" si="94"/>
        <v>東部</v>
      </c>
      <c r="C817" s="464" t="s">
        <v>1020</v>
      </c>
      <c r="D817" s="464" t="s">
        <v>1603</v>
      </c>
      <c r="E817" s="464">
        <f>VLOOKUP(D817,★折込地区!$A$2:$D$10,4,FALSE)</f>
        <v>3</v>
      </c>
      <c r="F817" s="464" t="s">
        <v>428</v>
      </c>
      <c r="G817" s="464" t="str">
        <f>INDEX(★新聞!$E$4:$I$12, MATCH(LEFT(F817),★新聞!$A$4:$A$12,0), MATCH(LEFT(W817),★新聞!$E$3:$I$3,0))</f>
        <v>AD</v>
      </c>
      <c r="H817" s="475" t="s">
        <v>1104</v>
      </c>
      <c r="I817" s="464" cm="1">
        <f t="array" ref="I817">IFERROR(INDEX(★原価率!$A$2:$E$50,MATCH($C817&amp;$H817,★原価率!$A$2:$A$50&amp;★原価率!$B$2:$B$50,0),3),0)</f>
        <v>85</v>
      </c>
      <c r="J817" s="464" cm="1">
        <f t="array" ref="J817">IFERROR(INDEX(★原価率!$A$2:$E$50,MATCH($C817&amp;$H817,★原価率!$A$2:$A$50&amp;★原価率!$B$2:$B$50,0),4),0)</f>
        <v>85</v>
      </c>
      <c r="K817" s="464" cm="1">
        <f t="array" ref="K817">IFERROR(INDEX(★原価率!$A$2:$E$50,MATCH($C817&amp;$H817,★原価率!$A$2:$A$50&amp;★原価率!$B$2:$B$50,0),5),0)</f>
        <v>100</v>
      </c>
      <c r="L817" s="528">
        <f>IFERROR(VLOOKUP(W817,★商品!$A$1:$H$1231,8,FALSE),0)</f>
        <v>2.8</v>
      </c>
      <c r="M817" s="203" t="str">
        <f ca="1">CONCATENATE(VLOOKUP(B817,★営業所!$A$2:$B$5,2,FALSE),TEXT(NOW(),"yyyy"))</f>
        <v>T2023</v>
      </c>
      <c r="N817" s="203">
        <v>1</v>
      </c>
      <c r="O817" s="203">
        <v>0</v>
      </c>
      <c r="P817" s="213">
        <f>申込書!$B$6</f>
        <v>0</v>
      </c>
      <c r="Q817" s="203">
        <f>申込書!$C$34</f>
        <v>1000040</v>
      </c>
      <c r="R817" s="203">
        <v>0</v>
      </c>
      <c r="U817" s="203">
        <f>VLOOKUP(B817,★営業所!$A$2:$C$5,3,FALSE)</f>
        <v>8</v>
      </c>
      <c r="V817" s="203">
        <f>申込書!$B$9</f>
        <v>0</v>
      </c>
      <c r="W817" s="203" t="str">
        <f>CONCATENATE(VLOOKUP(B817,★営業所!$A$2:$B$5,2,FALSE),VLOOKUP(申込書!$C$32,★サイズ表記!$D$4:$E$55,2,FALSE),VLOOKUP(D817,★折込地区!$A$2:$B$11,2,FALSE))</f>
        <v>T1001Yng</v>
      </c>
      <c r="X817" s="203" t="str">
        <f>CONCATENATE(申込書!$B$9," ",VLOOKUP(RIGHT(W817,3),★折込地区!$B$2:$C$10,2,FALSE),"")</f>
        <v xml:space="preserve"> 米子</v>
      </c>
      <c r="Z817" s="206">
        <f t="shared" ca="1" si="95"/>
        <v>0</v>
      </c>
      <c r="AB817" s="383">
        <f t="shared" si="96"/>
        <v>2.8</v>
      </c>
      <c r="AC817" s="203" t="str">
        <f t="shared" si="97"/>
        <v>J1001</v>
      </c>
      <c r="AD817" s="203" t="str">
        <f>VLOOKUP(AC817,★原価商品!$E$6:$F$349,2,FALSE)</f>
        <v>読売/B4（折り無し）</v>
      </c>
      <c r="AE817" s="203">
        <f t="shared" ca="1" si="98"/>
        <v>0</v>
      </c>
      <c r="AF817" s="383">
        <f ca="1">IFERROR(IF(VLOOKUP(申込書!$C$32,★サイズ表記!$F$4:$H$55,3,FALSE)="切り捨て",ROUNDDOWN(L817*IF(AK817="◎",I817,J817)/100,2),IF(VLOOKUP(申込書!$C$32,★サイズ表記!$F$4:$H$55,3,FALSE)="切り上げ",ROUNDUP(L817*IF(AK817="◎",I817,J817)/100,2),ROUND(L817*IF(AK817="◎",I817,J817)/100,2))),0)</f>
        <v>2.38</v>
      </c>
      <c r="AG817" s="203">
        <f t="shared" ca="1" si="99"/>
        <v>10561</v>
      </c>
      <c r="AJ817" s="460" t="str">
        <f>IFERROR(VLOOKUP(申込書!$C$30,★業種!$D$2:$E$87,2,FALSE),"")</f>
        <v>1003</v>
      </c>
      <c r="AK817" s="460" t="str">
        <f ca="1">IF(申込書!$C$36="◎",IF(OR(D817="浜坂・温泉",D817="美方・村岡",D817="香住",D817="岡山",D817="大阪"),"",IF(LEFT(F817)="D","◎",IF(AG817=0,"",IFERROR(IF(VLOOKUP(AG817,★仕入先!$A$2:$C$211,3,FALSE)=0,"","◎"),"")))),"")</f>
        <v/>
      </c>
      <c r="AL817" s="460">
        <f>申込書!$H$14</f>
        <v>0</v>
      </c>
      <c r="AM817" s="460" t="str">
        <f>申込書!$C$32</f>
        <v>B4（折り無し）</v>
      </c>
      <c r="AN817" s="460" t="str">
        <f>VLOOKUP(AM817,★サイズ表記!$D$4:$E$55,2,FALSE)</f>
        <v>1001</v>
      </c>
      <c r="AO817" s="460">
        <f>IF(C817&lt;&gt;"⑧兵庫",VLOOKUP(LEFT(F817),★新聞!$A$4:$B$12,2,FALSE),IF(LEFT(F817)&lt;&gt;"S",VLOOKUP(LEFT(F817),★新聞!$A$4:$B$12,2,FALSE),VLOOKUP("X",★新聞!$A$4:$B$12,2,FALSE)))</f>
        <v>3</v>
      </c>
      <c r="AP817" s="460" t="str">
        <f t="shared" ca="1" si="100"/>
        <v>0</v>
      </c>
      <c r="AQ817" s="460" t="str">
        <f>IF(申込書!$C$38="","",申込書!$C$38)</f>
        <v/>
      </c>
    </row>
    <row r="818" spans="1:43">
      <c r="A818" s="463">
        <f t="shared" si="101"/>
        <v>817</v>
      </c>
      <c r="B818" s="463" t="str">
        <f t="shared" si="94"/>
        <v>東部</v>
      </c>
      <c r="C818" s="464" t="s">
        <v>1020</v>
      </c>
      <c r="D818" s="464" t="s">
        <v>1603</v>
      </c>
      <c r="E818" s="464">
        <f>VLOOKUP(D818,★折込地区!$A$2:$D$10,4,FALSE)</f>
        <v>3</v>
      </c>
      <c r="F818" s="464" t="s">
        <v>429</v>
      </c>
      <c r="G818" s="464" t="str">
        <f>INDEX(★新聞!$E$4:$I$12, MATCH(LEFT(F818),★新聞!$A$4:$A$12,0), MATCH(LEFT(W818),★新聞!$E$3:$I$3,0))</f>
        <v>AD</v>
      </c>
      <c r="H818" s="475" t="s">
        <v>1104</v>
      </c>
      <c r="I818" s="464" cm="1">
        <f t="array" ref="I818">IFERROR(INDEX(★原価率!$A$2:$E$50,MATCH($C818&amp;$H818,★原価率!$A$2:$A$50&amp;★原価率!$B$2:$B$50,0),3),0)</f>
        <v>85</v>
      </c>
      <c r="J818" s="464" cm="1">
        <f t="array" ref="J818">IFERROR(INDEX(★原価率!$A$2:$E$50,MATCH($C818&amp;$H818,★原価率!$A$2:$A$50&amp;★原価率!$B$2:$B$50,0),4),0)</f>
        <v>85</v>
      </c>
      <c r="K818" s="464" cm="1">
        <f t="array" ref="K818">IFERROR(INDEX(★原価率!$A$2:$E$50,MATCH($C818&amp;$H818,★原価率!$A$2:$A$50&amp;★原価率!$B$2:$B$50,0),5),0)</f>
        <v>100</v>
      </c>
      <c r="L818" s="528">
        <f>IFERROR(VLOOKUP(W818,★商品!$A$1:$H$1231,8,FALSE),0)</f>
        <v>2.8</v>
      </c>
      <c r="M818" s="203" t="str">
        <f ca="1">CONCATENATE(VLOOKUP(B818,★営業所!$A$2:$B$5,2,FALSE),TEXT(NOW(),"yyyy"))</f>
        <v>T2023</v>
      </c>
      <c r="N818" s="203">
        <v>1</v>
      </c>
      <c r="O818" s="203">
        <v>0</v>
      </c>
      <c r="P818" s="213">
        <f>申込書!$B$6</f>
        <v>0</v>
      </c>
      <c r="Q818" s="203">
        <f>申込書!$C$34</f>
        <v>1000040</v>
      </c>
      <c r="R818" s="203">
        <v>0</v>
      </c>
      <c r="U818" s="203">
        <f>VLOOKUP(B818,★営業所!$A$2:$C$5,3,FALSE)</f>
        <v>8</v>
      </c>
      <c r="V818" s="203">
        <f>申込書!$B$9</f>
        <v>0</v>
      </c>
      <c r="W818" s="203" t="str">
        <f>CONCATENATE(VLOOKUP(B818,★営業所!$A$2:$B$5,2,FALSE),VLOOKUP(申込書!$C$32,★サイズ表記!$D$4:$E$55,2,FALSE),VLOOKUP(D818,★折込地区!$A$2:$B$11,2,FALSE))</f>
        <v>T1001Yng</v>
      </c>
      <c r="X818" s="203" t="str">
        <f>CONCATENATE(申込書!$B$9," ",VLOOKUP(RIGHT(W818,3),★折込地区!$B$2:$C$10,2,FALSE),"")</f>
        <v xml:space="preserve"> 米子</v>
      </c>
      <c r="Z818" s="206">
        <f t="shared" ca="1" si="95"/>
        <v>0</v>
      </c>
      <c r="AB818" s="383">
        <f t="shared" si="96"/>
        <v>2.8</v>
      </c>
      <c r="AC818" s="203" t="str">
        <f t="shared" si="97"/>
        <v>J1001</v>
      </c>
      <c r="AD818" s="203" t="str">
        <f>VLOOKUP(AC818,★原価商品!$E$6:$F$349,2,FALSE)</f>
        <v>読売/B4（折り無し）</v>
      </c>
      <c r="AE818" s="203">
        <f t="shared" ca="1" si="98"/>
        <v>0</v>
      </c>
      <c r="AF818" s="383">
        <f ca="1">IFERROR(IF(VLOOKUP(申込書!$C$32,★サイズ表記!$F$4:$H$55,3,FALSE)="切り捨て",ROUNDDOWN(L818*IF(AK818="◎",I818,J818)/100,2),IF(VLOOKUP(申込書!$C$32,★サイズ表記!$F$4:$H$55,3,FALSE)="切り上げ",ROUNDUP(L818*IF(AK818="◎",I818,J818)/100,2),ROUND(L818*IF(AK818="◎",I818,J818)/100,2))),0)</f>
        <v>2.38</v>
      </c>
      <c r="AG818" s="203">
        <f t="shared" ca="1" si="99"/>
        <v>10561</v>
      </c>
      <c r="AJ818" s="460" t="str">
        <f>IFERROR(VLOOKUP(申込書!$C$30,★業種!$D$2:$E$87,2,FALSE),"")</f>
        <v>1003</v>
      </c>
      <c r="AK818" s="460" t="str">
        <f ca="1">IF(申込書!$C$36="◎",IF(OR(D818="浜坂・温泉",D818="美方・村岡",D818="香住",D818="岡山",D818="大阪"),"",IF(LEFT(F818)="D","◎",IF(AG818=0,"",IFERROR(IF(VLOOKUP(AG818,★仕入先!$A$2:$C$211,3,FALSE)=0,"","◎"),"")))),"")</f>
        <v/>
      </c>
      <c r="AL818" s="460">
        <f>申込書!$H$14</f>
        <v>0</v>
      </c>
      <c r="AM818" s="460" t="str">
        <f>申込書!$C$32</f>
        <v>B4（折り無し）</v>
      </c>
      <c r="AN818" s="460" t="str">
        <f>VLOOKUP(AM818,★サイズ表記!$D$4:$E$55,2,FALSE)</f>
        <v>1001</v>
      </c>
      <c r="AO818" s="460">
        <f>IF(C818&lt;&gt;"⑧兵庫",VLOOKUP(LEFT(F818),★新聞!$A$4:$B$12,2,FALSE),IF(LEFT(F818)&lt;&gt;"S",VLOOKUP(LEFT(F818),★新聞!$A$4:$B$12,2,FALSE),VLOOKUP("X",★新聞!$A$4:$B$12,2,FALSE)))</f>
        <v>3</v>
      </c>
      <c r="AP818" s="460" t="str">
        <f t="shared" ca="1" si="100"/>
        <v>0</v>
      </c>
      <c r="AQ818" s="460" t="str">
        <f>IF(申込書!$C$38="","",申込書!$C$38)</f>
        <v/>
      </c>
    </row>
    <row r="819" spans="1:43">
      <c r="A819" s="463">
        <f t="shared" si="101"/>
        <v>818</v>
      </c>
      <c r="B819" s="463" t="str">
        <f t="shared" si="94"/>
        <v>東部</v>
      </c>
      <c r="C819" s="464" t="s">
        <v>1020</v>
      </c>
      <c r="D819" s="464" t="s">
        <v>1603</v>
      </c>
      <c r="E819" s="464">
        <f>VLOOKUP(D819,★折込地区!$A$2:$D$10,4,FALSE)</f>
        <v>3</v>
      </c>
      <c r="F819" s="464" t="s">
        <v>430</v>
      </c>
      <c r="G819" s="464" t="str">
        <f>INDEX(★新聞!$E$4:$I$12, MATCH(LEFT(F819),★新聞!$A$4:$A$12,0), MATCH(LEFT(W819),★新聞!$E$3:$I$3,0))</f>
        <v>AD</v>
      </c>
      <c r="H819" s="475" t="s">
        <v>1104</v>
      </c>
      <c r="I819" s="464" cm="1">
        <f t="array" ref="I819">IFERROR(INDEX(★原価率!$A$2:$E$50,MATCH($C819&amp;$H819,★原価率!$A$2:$A$50&amp;★原価率!$B$2:$B$50,0),3),0)</f>
        <v>85</v>
      </c>
      <c r="J819" s="464" cm="1">
        <f t="array" ref="J819">IFERROR(INDEX(★原価率!$A$2:$E$50,MATCH($C819&amp;$H819,★原価率!$A$2:$A$50&amp;★原価率!$B$2:$B$50,0),4),0)</f>
        <v>85</v>
      </c>
      <c r="K819" s="464" cm="1">
        <f t="array" ref="K819">IFERROR(INDEX(★原価率!$A$2:$E$50,MATCH($C819&amp;$H819,★原価率!$A$2:$A$50&amp;★原価率!$B$2:$B$50,0),5),0)</f>
        <v>100</v>
      </c>
      <c r="L819" s="528">
        <f>IFERROR(VLOOKUP(W819,★商品!$A$1:$H$1231,8,FALSE),0)</f>
        <v>2.8</v>
      </c>
      <c r="M819" s="203" t="str">
        <f ca="1">CONCATENATE(VLOOKUP(B819,★営業所!$A$2:$B$5,2,FALSE),TEXT(NOW(),"yyyy"))</f>
        <v>T2023</v>
      </c>
      <c r="N819" s="203">
        <v>1</v>
      </c>
      <c r="O819" s="203">
        <v>0</v>
      </c>
      <c r="P819" s="213">
        <f>申込書!$B$6</f>
        <v>0</v>
      </c>
      <c r="Q819" s="203">
        <f>申込書!$C$34</f>
        <v>1000040</v>
      </c>
      <c r="R819" s="203">
        <v>0</v>
      </c>
      <c r="U819" s="203">
        <f>VLOOKUP(B819,★営業所!$A$2:$C$5,3,FALSE)</f>
        <v>8</v>
      </c>
      <c r="V819" s="203">
        <f>申込書!$B$9</f>
        <v>0</v>
      </c>
      <c r="W819" s="203" t="str">
        <f>CONCATENATE(VLOOKUP(B819,★営業所!$A$2:$B$5,2,FALSE),VLOOKUP(申込書!$C$32,★サイズ表記!$D$4:$E$55,2,FALSE),VLOOKUP(D819,★折込地区!$A$2:$B$11,2,FALSE))</f>
        <v>T1001Yng</v>
      </c>
      <c r="X819" s="203" t="str">
        <f>CONCATENATE(申込書!$B$9," ",VLOOKUP(RIGHT(W819,3),★折込地区!$B$2:$C$10,2,FALSE),"")</f>
        <v xml:space="preserve"> 米子</v>
      </c>
      <c r="Z819" s="206">
        <f t="shared" ca="1" si="95"/>
        <v>0</v>
      </c>
      <c r="AB819" s="383">
        <f t="shared" si="96"/>
        <v>2.8</v>
      </c>
      <c r="AC819" s="203" t="str">
        <f t="shared" si="97"/>
        <v>J1001</v>
      </c>
      <c r="AD819" s="203" t="str">
        <f>VLOOKUP(AC819,★原価商品!$E$6:$F$349,2,FALSE)</f>
        <v>読売/B4（折り無し）</v>
      </c>
      <c r="AE819" s="203">
        <f t="shared" ca="1" si="98"/>
        <v>0</v>
      </c>
      <c r="AF819" s="383">
        <f ca="1">IFERROR(IF(VLOOKUP(申込書!$C$32,★サイズ表記!$F$4:$H$55,3,FALSE)="切り捨て",ROUNDDOWN(L819*IF(AK819="◎",I819,J819)/100,2),IF(VLOOKUP(申込書!$C$32,★サイズ表記!$F$4:$H$55,3,FALSE)="切り上げ",ROUNDUP(L819*IF(AK819="◎",I819,J819)/100,2),ROUND(L819*IF(AK819="◎",I819,J819)/100,2))),0)</f>
        <v>2.38</v>
      </c>
      <c r="AG819" s="203">
        <f t="shared" ca="1" si="99"/>
        <v>10561</v>
      </c>
      <c r="AJ819" s="460" t="str">
        <f>IFERROR(VLOOKUP(申込書!$C$30,★業種!$D$2:$E$87,2,FALSE),"")</f>
        <v>1003</v>
      </c>
      <c r="AK819" s="460" t="str">
        <f ca="1">IF(申込書!$C$36="◎",IF(OR(D819="浜坂・温泉",D819="美方・村岡",D819="香住",D819="岡山",D819="大阪"),"",IF(LEFT(F819)="D","◎",IF(AG819=0,"",IFERROR(IF(VLOOKUP(AG819,★仕入先!$A$2:$C$211,3,FALSE)=0,"","◎"),"")))),"")</f>
        <v/>
      </c>
      <c r="AL819" s="460">
        <f>申込書!$H$14</f>
        <v>0</v>
      </c>
      <c r="AM819" s="460" t="str">
        <f>申込書!$C$32</f>
        <v>B4（折り無し）</v>
      </c>
      <c r="AN819" s="460" t="str">
        <f>VLOOKUP(AM819,★サイズ表記!$D$4:$E$55,2,FALSE)</f>
        <v>1001</v>
      </c>
      <c r="AO819" s="460">
        <f>IF(C819&lt;&gt;"⑧兵庫",VLOOKUP(LEFT(F819),★新聞!$A$4:$B$12,2,FALSE),IF(LEFT(F819)&lt;&gt;"S",VLOOKUP(LEFT(F819),★新聞!$A$4:$B$12,2,FALSE),VLOOKUP("X",★新聞!$A$4:$B$12,2,FALSE)))</f>
        <v>3</v>
      </c>
      <c r="AP819" s="460" t="str">
        <f t="shared" ca="1" si="100"/>
        <v>0</v>
      </c>
      <c r="AQ819" s="460" t="str">
        <f>IF(申込書!$C$38="","",申込書!$C$38)</f>
        <v/>
      </c>
    </row>
    <row r="820" spans="1:43">
      <c r="A820" s="463">
        <f t="shared" si="101"/>
        <v>819</v>
      </c>
      <c r="B820" s="463" t="str">
        <f t="shared" si="94"/>
        <v>東部</v>
      </c>
      <c r="C820" s="464" t="s">
        <v>1020</v>
      </c>
      <c r="D820" s="464" t="s">
        <v>1603</v>
      </c>
      <c r="E820" s="464">
        <f>VLOOKUP(D820,★折込地区!$A$2:$D$10,4,FALSE)</f>
        <v>3</v>
      </c>
      <c r="F820" s="464" t="s">
        <v>431</v>
      </c>
      <c r="G820" s="464" t="str">
        <f>INDEX(★新聞!$E$4:$I$12, MATCH(LEFT(F820),★新聞!$A$4:$A$12,0), MATCH(LEFT(W820),★新聞!$E$3:$I$3,0))</f>
        <v>AD</v>
      </c>
      <c r="H820" s="475" t="s">
        <v>1104</v>
      </c>
      <c r="I820" s="464" cm="1">
        <f t="array" ref="I820">IFERROR(INDEX(★原価率!$A$2:$E$50,MATCH($C820&amp;$H820,★原価率!$A$2:$A$50&amp;★原価率!$B$2:$B$50,0),3),0)</f>
        <v>85</v>
      </c>
      <c r="J820" s="464" cm="1">
        <f t="array" ref="J820">IFERROR(INDEX(★原価率!$A$2:$E$50,MATCH($C820&amp;$H820,★原価率!$A$2:$A$50&amp;★原価率!$B$2:$B$50,0),4),0)</f>
        <v>85</v>
      </c>
      <c r="K820" s="464" cm="1">
        <f t="array" ref="K820">IFERROR(INDEX(★原価率!$A$2:$E$50,MATCH($C820&amp;$H820,★原価率!$A$2:$A$50&amp;★原価率!$B$2:$B$50,0),5),0)</f>
        <v>100</v>
      </c>
      <c r="L820" s="528">
        <f>IFERROR(VLOOKUP(W820,★商品!$A$1:$H$1231,8,FALSE),0)</f>
        <v>2.8</v>
      </c>
      <c r="M820" s="203" t="str">
        <f ca="1">CONCATENATE(VLOOKUP(B820,★営業所!$A$2:$B$5,2,FALSE),TEXT(NOW(),"yyyy"))</f>
        <v>T2023</v>
      </c>
      <c r="N820" s="203">
        <v>1</v>
      </c>
      <c r="O820" s="203">
        <v>0</v>
      </c>
      <c r="P820" s="213">
        <f>申込書!$B$6</f>
        <v>0</v>
      </c>
      <c r="Q820" s="203">
        <f>申込書!$C$34</f>
        <v>1000040</v>
      </c>
      <c r="R820" s="203">
        <v>0</v>
      </c>
      <c r="U820" s="203">
        <f>VLOOKUP(B820,★営業所!$A$2:$C$5,3,FALSE)</f>
        <v>8</v>
      </c>
      <c r="V820" s="203">
        <f>申込書!$B$9</f>
        <v>0</v>
      </c>
      <c r="W820" s="203" t="str">
        <f>CONCATENATE(VLOOKUP(B820,★営業所!$A$2:$B$5,2,FALSE),VLOOKUP(申込書!$C$32,★サイズ表記!$D$4:$E$55,2,FALSE),VLOOKUP(D820,★折込地区!$A$2:$B$11,2,FALSE))</f>
        <v>T1001Yng</v>
      </c>
      <c r="X820" s="203" t="str">
        <f>CONCATENATE(申込書!$B$9," ",VLOOKUP(RIGHT(W820,3),★折込地区!$B$2:$C$10,2,FALSE),"")</f>
        <v xml:space="preserve"> 米子</v>
      </c>
      <c r="Z820" s="206">
        <f t="shared" ca="1" si="95"/>
        <v>0</v>
      </c>
      <c r="AB820" s="383">
        <f t="shared" si="96"/>
        <v>2.8</v>
      </c>
      <c r="AC820" s="203" t="str">
        <f t="shared" si="97"/>
        <v>J1001</v>
      </c>
      <c r="AD820" s="203" t="str">
        <f>VLOOKUP(AC820,★原価商品!$E$6:$F$349,2,FALSE)</f>
        <v>読売/B4（折り無し）</v>
      </c>
      <c r="AE820" s="203">
        <f t="shared" ca="1" si="98"/>
        <v>0</v>
      </c>
      <c r="AF820" s="383">
        <f ca="1">IFERROR(IF(VLOOKUP(申込書!$C$32,★サイズ表記!$F$4:$H$55,3,FALSE)="切り捨て",ROUNDDOWN(L820*IF(AK820="◎",I820,J820)/100,2),IF(VLOOKUP(申込書!$C$32,★サイズ表記!$F$4:$H$55,3,FALSE)="切り上げ",ROUNDUP(L820*IF(AK820="◎",I820,J820)/100,2),ROUND(L820*IF(AK820="◎",I820,J820)/100,2))),0)</f>
        <v>2.38</v>
      </c>
      <c r="AG820" s="203">
        <f t="shared" ca="1" si="99"/>
        <v>0</v>
      </c>
      <c r="AJ820" s="460" t="str">
        <f>IFERROR(VLOOKUP(申込書!$C$30,★業種!$D$2:$E$87,2,FALSE),"")</f>
        <v>1003</v>
      </c>
      <c r="AK820" s="460" t="str">
        <f ca="1">IF(申込書!$C$36="◎",IF(OR(D820="浜坂・温泉",D820="美方・村岡",D820="香住",D820="岡山",D820="大阪"),"",IF(LEFT(F820)="D","◎",IF(AG820=0,"",IFERROR(IF(VLOOKUP(AG820,★仕入先!$A$2:$C$211,3,FALSE)=0,"","◎"),"")))),"")</f>
        <v/>
      </c>
      <c r="AL820" s="460">
        <f>申込書!$H$14</f>
        <v>0</v>
      </c>
      <c r="AM820" s="460" t="str">
        <f>申込書!$C$32</f>
        <v>B4（折り無し）</v>
      </c>
      <c r="AN820" s="460" t="str">
        <f>VLOOKUP(AM820,★サイズ表記!$D$4:$E$55,2,FALSE)</f>
        <v>1001</v>
      </c>
      <c r="AO820" s="460">
        <f>IF(C820&lt;&gt;"⑧兵庫",VLOOKUP(LEFT(F820),★新聞!$A$4:$B$12,2,FALSE),IF(LEFT(F820)&lt;&gt;"S",VLOOKUP(LEFT(F820),★新聞!$A$4:$B$12,2,FALSE),VLOOKUP("X",★新聞!$A$4:$B$12,2,FALSE)))</f>
        <v>3</v>
      </c>
      <c r="AP820" s="460" t="str">
        <f t="shared" ca="1" si="100"/>
        <v>0</v>
      </c>
      <c r="AQ820" s="460" t="str">
        <f>IF(申込書!$C$38="","",申込書!$C$38)</f>
        <v/>
      </c>
    </row>
    <row r="821" spans="1:43">
      <c r="A821" s="463">
        <f t="shared" si="101"/>
        <v>820</v>
      </c>
      <c r="B821" s="463" t="str">
        <f t="shared" si="94"/>
        <v>東部</v>
      </c>
      <c r="C821" s="464" t="s">
        <v>1020</v>
      </c>
      <c r="D821" s="464" t="s">
        <v>1603</v>
      </c>
      <c r="E821" s="464">
        <f>VLOOKUP(D821,★折込地区!$A$2:$D$10,4,FALSE)</f>
        <v>3</v>
      </c>
      <c r="F821" s="464" t="s">
        <v>383</v>
      </c>
      <c r="G821" s="464" t="str">
        <f>INDEX(★新聞!$E$4:$I$12, MATCH(LEFT(F821),★新聞!$A$4:$A$12,0), MATCH(LEFT(W821),★新聞!$E$3:$I$3,0))</f>
        <v>AG</v>
      </c>
      <c r="H821" s="475" t="s">
        <v>1104</v>
      </c>
      <c r="I821" s="464" cm="1">
        <f t="array" ref="I821">IFERROR(INDEX(★原価率!$A$2:$E$50,MATCH($C821&amp;$H821,★原価率!$A$2:$A$50&amp;★原価率!$B$2:$B$50,0),3),0)</f>
        <v>85</v>
      </c>
      <c r="J821" s="464" cm="1">
        <f t="array" ref="J821">IFERROR(INDEX(★原価率!$A$2:$E$50,MATCH($C821&amp;$H821,★原価率!$A$2:$A$50&amp;★原価率!$B$2:$B$50,0),4),0)</f>
        <v>85</v>
      </c>
      <c r="K821" s="464" cm="1">
        <f t="array" ref="K821">IFERROR(INDEX(★原価率!$A$2:$E$50,MATCH($C821&amp;$H821,★原価率!$A$2:$A$50&amp;★原価率!$B$2:$B$50,0),5),0)</f>
        <v>100</v>
      </c>
      <c r="L821" s="528">
        <f>IFERROR(VLOOKUP(W821,★商品!$A$1:$H$1231,8,FALSE),0)</f>
        <v>2.8</v>
      </c>
      <c r="M821" s="203" t="str">
        <f ca="1">CONCATENATE(VLOOKUP(B821,★営業所!$A$2:$B$5,2,FALSE),TEXT(NOW(),"yyyy"))</f>
        <v>T2023</v>
      </c>
      <c r="N821" s="203">
        <v>1</v>
      </c>
      <c r="O821" s="203">
        <v>0</v>
      </c>
      <c r="P821" s="213">
        <f>申込書!$B$6</f>
        <v>0</v>
      </c>
      <c r="Q821" s="203">
        <f>申込書!$C$34</f>
        <v>1000040</v>
      </c>
      <c r="R821" s="203">
        <v>0</v>
      </c>
      <c r="U821" s="203">
        <f>VLOOKUP(B821,★営業所!$A$2:$C$5,3,FALSE)</f>
        <v>8</v>
      </c>
      <c r="V821" s="203">
        <f>申込書!$B$9</f>
        <v>0</v>
      </c>
      <c r="W821" s="203" t="str">
        <f>CONCATENATE(VLOOKUP(B821,★営業所!$A$2:$B$5,2,FALSE),VLOOKUP(申込書!$C$32,★サイズ表記!$D$4:$E$55,2,FALSE),VLOOKUP(D821,★折込地区!$A$2:$B$11,2,FALSE))</f>
        <v>T1001Yng</v>
      </c>
      <c r="X821" s="203" t="str">
        <f>CONCATENATE(申込書!$B$9," ",VLOOKUP(RIGHT(W821,3),★折込地区!$B$2:$C$10,2,FALSE),"")</f>
        <v xml:space="preserve"> 米子</v>
      </c>
      <c r="Z821" s="206">
        <f t="shared" ca="1" si="95"/>
        <v>0</v>
      </c>
      <c r="AB821" s="383">
        <f t="shared" si="96"/>
        <v>2.8</v>
      </c>
      <c r="AC821" s="203" t="str">
        <f t="shared" si="97"/>
        <v>M1001</v>
      </c>
      <c r="AD821" s="203" t="str">
        <f>VLOOKUP(AC821,★原価商品!$E$6:$F$349,2,FALSE)</f>
        <v>毎日/B4（折り無し）</v>
      </c>
      <c r="AE821" s="203">
        <f t="shared" ca="1" si="98"/>
        <v>0</v>
      </c>
      <c r="AF821" s="383">
        <f ca="1">IFERROR(IF(VLOOKUP(申込書!$C$32,★サイズ表記!$F$4:$H$55,3,FALSE)="切り捨て",ROUNDDOWN(L821*IF(AK821="◎",I821,J821)/100,2),IF(VLOOKUP(申込書!$C$32,★サイズ表記!$F$4:$H$55,3,FALSE)="切り上げ",ROUNDUP(L821*IF(AK821="◎",I821,J821)/100,2),ROUND(L821*IF(AK821="◎",I821,J821)/100,2))),0)</f>
        <v>2.38</v>
      </c>
      <c r="AG821" s="203">
        <f t="shared" ca="1" si="99"/>
        <v>10561</v>
      </c>
      <c r="AJ821" s="460" t="str">
        <f>IFERROR(VLOOKUP(申込書!$C$30,★業種!$D$2:$E$87,2,FALSE),"")</f>
        <v>1003</v>
      </c>
      <c r="AK821" s="460" t="str">
        <f ca="1">IF(申込書!$C$36="◎",IF(OR(D821="浜坂・温泉",D821="美方・村岡",D821="香住",D821="岡山",D821="大阪"),"",IF(LEFT(F821)="D","◎",IF(AG821=0,"",IFERROR(IF(VLOOKUP(AG821,★仕入先!$A$2:$C$211,3,FALSE)=0,"","◎"),"")))),"")</f>
        <v/>
      </c>
      <c r="AL821" s="460">
        <f>申込書!$H$14</f>
        <v>0</v>
      </c>
      <c r="AM821" s="460" t="str">
        <f>申込書!$C$32</f>
        <v>B4（折り無し）</v>
      </c>
      <c r="AN821" s="460" t="str">
        <f>VLOOKUP(AM821,★サイズ表記!$D$4:$E$55,2,FALSE)</f>
        <v>1001</v>
      </c>
      <c r="AO821" s="460">
        <f>IF(C821&lt;&gt;"⑧兵庫",VLOOKUP(LEFT(F821),★新聞!$A$4:$B$12,2,FALSE),IF(LEFT(F821)&lt;&gt;"S",VLOOKUP(LEFT(F821),★新聞!$A$4:$B$12,2,FALSE),VLOOKUP("X",★新聞!$A$4:$B$12,2,FALSE)))</f>
        <v>4</v>
      </c>
      <c r="AP821" s="460" t="str">
        <f t="shared" ca="1" si="100"/>
        <v>0</v>
      </c>
      <c r="AQ821" s="460" t="str">
        <f>IF(申込書!$C$38="","",申込書!$C$38)</f>
        <v/>
      </c>
    </row>
    <row r="822" spans="1:43">
      <c r="A822" s="463">
        <f t="shared" si="101"/>
        <v>821</v>
      </c>
      <c r="B822" s="463" t="str">
        <f t="shared" si="94"/>
        <v>東部</v>
      </c>
      <c r="C822" s="464" t="s">
        <v>1020</v>
      </c>
      <c r="D822" s="464" t="s">
        <v>1603</v>
      </c>
      <c r="E822" s="464">
        <f>VLOOKUP(D822,★折込地区!$A$2:$D$10,4,FALSE)</f>
        <v>3</v>
      </c>
      <c r="F822" s="464" t="s">
        <v>448</v>
      </c>
      <c r="G822" s="464" t="str">
        <f>INDEX(★新聞!$E$4:$I$12, MATCH(LEFT(F822),★新聞!$A$4:$A$12,0), MATCH(LEFT(W822),★新聞!$E$3:$I$3,0))</f>
        <v>AG</v>
      </c>
      <c r="H822" s="475" t="s">
        <v>1104</v>
      </c>
      <c r="I822" s="464" cm="1">
        <f t="array" ref="I822">IFERROR(INDEX(★原価率!$A$2:$E$50,MATCH($C822&amp;$H822,★原価率!$A$2:$A$50&amp;★原価率!$B$2:$B$50,0),3),0)</f>
        <v>85</v>
      </c>
      <c r="J822" s="464" cm="1">
        <f t="array" ref="J822">IFERROR(INDEX(★原価率!$A$2:$E$50,MATCH($C822&amp;$H822,★原価率!$A$2:$A$50&amp;★原価率!$B$2:$B$50,0),4),0)</f>
        <v>85</v>
      </c>
      <c r="K822" s="464" cm="1">
        <f t="array" ref="K822">IFERROR(INDEX(★原価率!$A$2:$E$50,MATCH($C822&amp;$H822,★原価率!$A$2:$A$50&amp;★原価率!$B$2:$B$50,0),5),0)</f>
        <v>100</v>
      </c>
      <c r="L822" s="528">
        <f>IFERROR(VLOOKUP(W822,★商品!$A$1:$H$1231,8,FALSE),0)</f>
        <v>2.8</v>
      </c>
      <c r="M822" s="203" t="str">
        <f ca="1">CONCATENATE(VLOOKUP(B822,★営業所!$A$2:$B$5,2,FALSE),TEXT(NOW(),"yyyy"))</f>
        <v>T2023</v>
      </c>
      <c r="N822" s="203">
        <v>1</v>
      </c>
      <c r="O822" s="203">
        <v>0</v>
      </c>
      <c r="P822" s="213">
        <f>申込書!$B$6</f>
        <v>0</v>
      </c>
      <c r="Q822" s="203">
        <f>申込書!$C$34</f>
        <v>1000040</v>
      </c>
      <c r="R822" s="203">
        <v>0</v>
      </c>
      <c r="U822" s="203">
        <f>VLOOKUP(B822,★営業所!$A$2:$C$5,3,FALSE)</f>
        <v>8</v>
      </c>
      <c r="V822" s="203">
        <f>申込書!$B$9</f>
        <v>0</v>
      </c>
      <c r="W822" s="203" t="str">
        <f>CONCATENATE(VLOOKUP(B822,★営業所!$A$2:$B$5,2,FALSE),VLOOKUP(申込書!$C$32,★サイズ表記!$D$4:$E$55,2,FALSE),VLOOKUP(D822,★折込地区!$A$2:$B$11,2,FALSE))</f>
        <v>T1001Yng</v>
      </c>
      <c r="X822" s="203" t="str">
        <f>CONCATENATE(申込書!$B$9," ",VLOOKUP(RIGHT(W822,3),★折込地区!$B$2:$C$10,2,FALSE),"")</f>
        <v xml:space="preserve"> 米子</v>
      </c>
      <c r="Z822" s="206">
        <f t="shared" ca="1" si="95"/>
        <v>0</v>
      </c>
      <c r="AB822" s="383">
        <f t="shared" si="96"/>
        <v>2.8</v>
      </c>
      <c r="AC822" s="203" t="str">
        <f t="shared" si="97"/>
        <v>M1001</v>
      </c>
      <c r="AD822" s="203" t="str">
        <f>VLOOKUP(AC822,★原価商品!$E$6:$F$349,2,FALSE)</f>
        <v>毎日/B4（折り無し）</v>
      </c>
      <c r="AE822" s="203">
        <f t="shared" ca="1" si="98"/>
        <v>0</v>
      </c>
      <c r="AF822" s="383">
        <f ca="1">IFERROR(IF(VLOOKUP(申込書!$C$32,★サイズ表記!$F$4:$H$55,3,FALSE)="切り捨て",ROUNDDOWN(L822*IF(AK822="◎",I822,J822)/100,2),IF(VLOOKUP(申込書!$C$32,★サイズ表記!$F$4:$H$55,3,FALSE)="切り上げ",ROUNDUP(L822*IF(AK822="◎",I822,J822)/100,2),ROUND(L822*IF(AK822="◎",I822,J822)/100,2))),0)</f>
        <v>2.38</v>
      </c>
      <c r="AG822" s="203">
        <f t="shared" ca="1" si="99"/>
        <v>10561</v>
      </c>
      <c r="AJ822" s="460" t="str">
        <f>IFERROR(VLOOKUP(申込書!$C$30,★業種!$D$2:$E$87,2,FALSE),"")</f>
        <v>1003</v>
      </c>
      <c r="AK822" s="460" t="str">
        <f ca="1">IF(申込書!$C$36="◎",IF(OR(D822="浜坂・温泉",D822="美方・村岡",D822="香住",D822="岡山",D822="大阪"),"",IF(LEFT(F822)="D","◎",IF(AG822=0,"",IFERROR(IF(VLOOKUP(AG822,★仕入先!$A$2:$C$211,3,FALSE)=0,"","◎"),"")))),"")</f>
        <v/>
      </c>
      <c r="AL822" s="460">
        <f>申込書!$H$14</f>
        <v>0</v>
      </c>
      <c r="AM822" s="460" t="str">
        <f>申込書!$C$32</f>
        <v>B4（折り無し）</v>
      </c>
      <c r="AN822" s="460" t="str">
        <f>VLOOKUP(AM822,★サイズ表記!$D$4:$E$55,2,FALSE)</f>
        <v>1001</v>
      </c>
      <c r="AO822" s="460">
        <f>IF(C822&lt;&gt;"⑧兵庫",VLOOKUP(LEFT(F822),★新聞!$A$4:$B$12,2,FALSE),IF(LEFT(F822)&lt;&gt;"S",VLOOKUP(LEFT(F822),★新聞!$A$4:$B$12,2,FALSE),VLOOKUP("X",★新聞!$A$4:$B$12,2,FALSE)))</f>
        <v>4</v>
      </c>
      <c r="AP822" s="460" t="str">
        <f t="shared" ca="1" si="100"/>
        <v>0</v>
      </c>
      <c r="AQ822" s="460" t="str">
        <f>IF(申込書!$C$38="","",申込書!$C$38)</f>
        <v/>
      </c>
    </row>
    <row r="823" spans="1:43">
      <c r="A823" s="463">
        <f t="shared" si="101"/>
        <v>822</v>
      </c>
      <c r="B823" s="463" t="str">
        <f t="shared" si="94"/>
        <v>東部</v>
      </c>
      <c r="C823" s="464" t="s">
        <v>1020</v>
      </c>
      <c r="D823" s="464" t="s">
        <v>1603</v>
      </c>
      <c r="E823" s="464">
        <f>VLOOKUP(D823,★折込地区!$A$2:$D$10,4,FALSE)</f>
        <v>3</v>
      </c>
      <c r="F823" s="464" t="s">
        <v>449</v>
      </c>
      <c r="G823" s="464" t="str">
        <f>INDEX(★新聞!$E$4:$I$12, MATCH(LEFT(F823),★新聞!$A$4:$A$12,0), MATCH(LEFT(W823),★新聞!$E$3:$I$3,0))</f>
        <v>AG</v>
      </c>
      <c r="H823" s="475" t="s">
        <v>1104</v>
      </c>
      <c r="I823" s="464" cm="1">
        <f t="array" ref="I823">IFERROR(INDEX(★原価率!$A$2:$E$50,MATCH($C823&amp;$H823,★原価率!$A$2:$A$50&amp;★原価率!$B$2:$B$50,0),3),0)</f>
        <v>85</v>
      </c>
      <c r="J823" s="464" cm="1">
        <f t="array" ref="J823">IFERROR(INDEX(★原価率!$A$2:$E$50,MATCH($C823&amp;$H823,★原価率!$A$2:$A$50&amp;★原価率!$B$2:$B$50,0),4),0)</f>
        <v>85</v>
      </c>
      <c r="K823" s="464" cm="1">
        <f t="array" ref="K823">IFERROR(INDEX(★原価率!$A$2:$E$50,MATCH($C823&amp;$H823,★原価率!$A$2:$A$50&amp;★原価率!$B$2:$B$50,0),5),0)</f>
        <v>100</v>
      </c>
      <c r="L823" s="528">
        <f>IFERROR(VLOOKUP(W823,★商品!$A$1:$H$1231,8,FALSE),0)</f>
        <v>2.8</v>
      </c>
      <c r="M823" s="203" t="str">
        <f ca="1">CONCATENATE(VLOOKUP(B823,★営業所!$A$2:$B$5,2,FALSE),TEXT(NOW(),"yyyy"))</f>
        <v>T2023</v>
      </c>
      <c r="N823" s="203">
        <v>1</v>
      </c>
      <c r="O823" s="203">
        <v>0</v>
      </c>
      <c r="P823" s="213">
        <f>申込書!$B$6</f>
        <v>0</v>
      </c>
      <c r="Q823" s="203">
        <f>申込書!$C$34</f>
        <v>1000040</v>
      </c>
      <c r="R823" s="203">
        <v>0</v>
      </c>
      <c r="U823" s="203">
        <f>VLOOKUP(B823,★営業所!$A$2:$C$5,3,FALSE)</f>
        <v>8</v>
      </c>
      <c r="V823" s="203">
        <f>申込書!$B$9</f>
        <v>0</v>
      </c>
      <c r="W823" s="203" t="str">
        <f>CONCATENATE(VLOOKUP(B823,★営業所!$A$2:$B$5,2,FALSE),VLOOKUP(申込書!$C$32,★サイズ表記!$D$4:$E$55,2,FALSE),VLOOKUP(D823,★折込地区!$A$2:$B$11,2,FALSE))</f>
        <v>T1001Yng</v>
      </c>
      <c r="X823" s="203" t="str">
        <f>CONCATENATE(申込書!$B$9," ",VLOOKUP(RIGHT(W823,3),★折込地区!$B$2:$C$10,2,FALSE),"")</f>
        <v xml:space="preserve"> 米子</v>
      </c>
      <c r="Z823" s="206">
        <f t="shared" ca="1" si="95"/>
        <v>0</v>
      </c>
      <c r="AB823" s="383">
        <f t="shared" si="96"/>
        <v>2.8</v>
      </c>
      <c r="AC823" s="203" t="str">
        <f t="shared" si="97"/>
        <v>M1001</v>
      </c>
      <c r="AD823" s="203" t="str">
        <f>VLOOKUP(AC823,★原価商品!$E$6:$F$349,2,FALSE)</f>
        <v>毎日/B4（折り無し）</v>
      </c>
      <c r="AE823" s="203">
        <f t="shared" ca="1" si="98"/>
        <v>0</v>
      </c>
      <c r="AF823" s="383">
        <f ca="1">IFERROR(IF(VLOOKUP(申込書!$C$32,★サイズ表記!$F$4:$H$55,3,FALSE)="切り捨て",ROUNDDOWN(L823*IF(AK823="◎",I823,J823)/100,2),IF(VLOOKUP(申込書!$C$32,★サイズ表記!$F$4:$H$55,3,FALSE)="切り上げ",ROUNDUP(L823*IF(AK823="◎",I823,J823)/100,2),ROUND(L823*IF(AK823="◎",I823,J823)/100,2))),0)</f>
        <v>2.38</v>
      </c>
      <c r="AG823" s="203">
        <f t="shared" ca="1" si="99"/>
        <v>10561</v>
      </c>
      <c r="AJ823" s="460" t="str">
        <f>IFERROR(VLOOKUP(申込書!$C$30,★業種!$D$2:$E$87,2,FALSE),"")</f>
        <v>1003</v>
      </c>
      <c r="AK823" s="460" t="str">
        <f ca="1">IF(申込書!$C$36="◎",IF(OR(D823="浜坂・温泉",D823="美方・村岡",D823="香住",D823="岡山",D823="大阪"),"",IF(LEFT(F823)="D","◎",IF(AG823=0,"",IFERROR(IF(VLOOKUP(AG823,★仕入先!$A$2:$C$211,3,FALSE)=0,"","◎"),"")))),"")</f>
        <v/>
      </c>
      <c r="AL823" s="460">
        <f>申込書!$H$14</f>
        <v>0</v>
      </c>
      <c r="AM823" s="460" t="str">
        <f>申込書!$C$32</f>
        <v>B4（折り無し）</v>
      </c>
      <c r="AN823" s="460" t="str">
        <f>VLOOKUP(AM823,★サイズ表記!$D$4:$E$55,2,FALSE)</f>
        <v>1001</v>
      </c>
      <c r="AO823" s="460">
        <f>IF(C823&lt;&gt;"⑧兵庫",VLOOKUP(LEFT(F823),★新聞!$A$4:$B$12,2,FALSE),IF(LEFT(F823)&lt;&gt;"S",VLOOKUP(LEFT(F823),★新聞!$A$4:$B$12,2,FALSE),VLOOKUP("X",★新聞!$A$4:$B$12,2,FALSE)))</f>
        <v>4</v>
      </c>
      <c r="AP823" s="460" t="str">
        <f t="shared" ca="1" si="100"/>
        <v>0</v>
      </c>
      <c r="AQ823" s="460" t="str">
        <f>IF(申込書!$C$38="","",申込書!$C$38)</f>
        <v/>
      </c>
    </row>
    <row r="824" spans="1:43">
      <c r="A824" s="463">
        <f t="shared" si="101"/>
        <v>823</v>
      </c>
      <c r="B824" s="463" t="str">
        <f t="shared" si="94"/>
        <v>東部</v>
      </c>
      <c r="C824" s="464" t="s">
        <v>1020</v>
      </c>
      <c r="D824" s="464" t="s">
        <v>1603</v>
      </c>
      <c r="E824" s="464">
        <f>VLOOKUP(D824,★折込地区!$A$2:$D$10,4,FALSE)</f>
        <v>3</v>
      </c>
      <c r="F824" s="464" t="s">
        <v>450</v>
      </c>
      <c r="G824" s="464" t="str">
        <f>INDEX(★新聞!$E$4:$I$12, MATCH(LEFT(F824),★新聞!$A$4:$A$12,0), MATCH(LEFT(W824),★新聞!$E$3:$I$3,0))</f>
        <v>AG</v>
      </c>
      <c r="H824" s="475" t="s">
        <v>1104</v>
      </c>
      <c r="I824" s="464" cm="1">
        <f t="array" ref="I824">IFERROR(INDEX(★原価率!$A$2:$E$50,MATCH($C824&amp;$H824,★原価率!$A$2:$A$50&amp;★原価率!$B$2:$B$50,0),3),0)</f>
        <v>85</v>
      </c>
      <c r="J824" s="464" cm="1">
        <f t="array" ref="J824">IFERROR(INDEX(★原価率!$A$2:$E$50,MATCH($C824&amp;$H824,★原価率!$A$2:$A$50&amp;★原価率!$B$2:$B$50,0),4),0)</f>
        <v>85</v>
      </c>
      <c r="K824" s="464" cm="1">
        <f t="array" ref="K824">IFERROR(INDEX(★原価率!$A$2:$E$50,MATCH($C824&amp;$H824,★原価率!$A$2:$A$50&amp;★原価率!$B$2:$B$50,0),5),0)</f>
        <v>100</v>
      </c>
      <c r="L824" s="528">
        <f>IFERROR(VLOOKUP(W824,★商品!$A$1:$H$1231,8,FALSE),0)</f>
        <v>2.8</v>
      </c>
      <c r="M824" s="203" t="str">
        <f ca="1">CONCATENATE(VLOOKUP(B824,★営業所!$A$2:$B$5,2,FALSE),TEXT(NOW(),"yyyy"))</f>
        <v>T2023</v>
      </c>
      <c r="N824" s="203">
        <v>1</v>
      </c>
      <c r="O824" s="203">
        <v>0</v>
      </c>
      <c r="P824" s="213">
        <f>申込書!$B$6</f>
        <v>0</v>
      </c>
      <c r="Q824" s="203">
        <f>申込書!$C$34</f>
        <v>1000040</v>
      </c>
      <c r="R824" s="203">
        <v>0</v>
      </c>
      <c r="U824" s="203">
        <f>VLOOKUP(B824,★営業所!$A$2:$C$5,3,FALSE)</f>
        <v>8</v>
      </c>
      <c r="V824" s="203">
        <f>申込書!$B$9</f>
        <v>0</v>
      </c>
      <c r="W824" s="203" t="str">
        <f>CONCATENATE(VLOOKUP(B824,★営業所!$A$2:$B$5,2,FALSE),VLOOKUP(申込書!$C$32,★サイズ表記!$D$4:$E$55,2,FALSE),VLOOKUP(D824,★折込地区!$A$2:$B$11,2,FALSE))</f>
        <v>T1001Yng</v>
      </c>
      <c r="X824" s="203" t="str">
        <f>CONCATENATE(申込書!$B$9," ",VLOOKUP(RIGHT(W824,3),★折込地区!$B$2:$C$10,2,FALSE),"")</f>
        <v xml:space="preserve"> 米子</v>
      </c>
      <c r="Z824" s="206">
        <f t="shared" ca="1" si="95"/>
        <v>0</v>
      </c>
      <c r="AB824" s="383">
        <f t="shared" si="96"/>
        <v>2.8</v>
      </c>
      <c r="AC824" s="203" t="str">
        <f t="shared" si="97"/>
        <v>M1001</v>
      </c>
      <c r="AD824" s="203" t="str">
        <f>VLOOKUP(AC824,★原価商品!$E$6:$F$349,2,FALSE)</f>
        <v>毎日/B4（折り無し）</v>
      </c>
      <c r="AE824" s="203">
        <f t="shared" ca="1" si="98"/>
        <v>0</v>
      </c>
      <c r="AF824" s="383">
        <f ca="1">IFERROR(IF(VLOOKUP(申込書!$C$32,★サイズ表記!$F$4:$H$55,3,FALSE)="切り捨て",ROUNDDOWN(L824*IF(AK824="◎",I824,J824)/100,2),IF(VLOOKUP(申込書!$C$32,★サイズ表記!$F$4:$H$55,3,FALSE)="切り上げ",ROUNDUP(L824*IF(AK824="◎",I824,J824)/100,2),ROUND(L824*IF(AK824="◎",I824,J824)/100,2))),0)</f>
        <v>2.38</v>
      </c>
      <c r="AG824" s="203">
        <f t="shared" ca="1" si="99"/>
        <v>10561</v>
      </c>
      <c r="AJ824" s="460" t="str">
        <f>IFERROR(VLOOKUP(申込書!$C$30,★業種!$D$2:$E$87,2,FALSE),"")</f>
        <v>1003</v>
      </c>
      <c r="AK824" s="460" t="str">
        <f ca="1">IF(申込書!$C$36="◎",IF(OR(D824="浜坂・温泉",D824="美方・村岡",D824="香住",D824="岡山",D824="大阪"),"",IF(LEFT(F824)="D","◎",IF(AG824=0,"",IFERROR(IF(VLOOKUP(AG824,★仕入先!$A$2:$C$211,3,FALSE)=0,"","◎"),"")))),"")</f>
        <v/>
      </c>
      <c r="AL824" s="460">
        <f>申込書!$H$14</f>
        <v>0</v>
      </c>
      <c r="AM824" s="460" t="str">
        <f>申込書!$C$32</f>
        <v>B4（折り無し）</v>
      </c>
      <c r="AN824" s="460" t="str">
        <f>VLOOKUP(AM824,★サイズ表記!$D$4:$E$55,2,FALSE)</f>
        <v>1001</v>
      </c>
      <c r="AO824" s="460">
        <f>IF(C824&lt;&gt;"⑧兵庫",VLOOKUP(LEFT(F824),★新聞!$A$4:$B$12,2,FALSE),IF(LEFT(F824)&lt;&gt;"S",VLOOKUP(LEFT(F824),★新聞!$A$4:$B$12,2,FALSE),VLOOKUP("X",★新聞!$A$4:$B$12,2,FALSE)))</f>
        <v>4</v>
      </c>
      <c r="AP824" s="460" t="str">
        <f t="shared" ca="1" si="100"/>
        <v>0</v>
      </c>
      <c r="AQ824" s="460" t="str">
        <f>IF(申込書!$C$38="","",申込書!$C$38)</f>
        <v/>
      </c>
    </row>
    <row r="825" spans="1:43">
      <c r="A825" s="463">
        <f t="shared" si="101"/>
        <v>824</v>
      </c>
      <c r="B825" s="463" t="str">
        <f t="shared" si="94"/>
        <v>東部</v>
      </c>
      <c r="C825" s="464" t="s">
        <v>1020</v>
      </c>
      <c r="D825" s="464" t="s">
        <v>1603</v>
      </c>
      <c r="E825" s="464">
        <f>VLOOKUP(D825,★折込地区!$A$2:$D$10,4,FALSE)</f>
        <v>3</v>
      </c>
      <c r="F825" s="464" t="s">
        <v>451</v>
      </c>
      <c r="G825" s="464" t="str">
        <f>INDEX(★新聞!$E$4:$I$12, MATCH(LEFT(F825),★新聞!$A$4:$A$12,0), MATCH(LEFT(W825),★新聞!$E$3:$I$3,0))</f>
        <v>AG</v>
      </c>
      <c r="H825" s="475" t="s">
        <v>1104</v>
      </c>
      <c r="I825" s="464" cm="1">
        <f t="array" ref="I825">IFERROR(INDEX(★原価率!$A$2:$E$50,MATCH($C825&amp;$H825,★原価率!$A$2:$A$50&amp;★原価率!$B$2:$B$50,0),3),0)</f>
        <v>85</v>
      </c>
      <c r="J825" s="464" cm="1">
        <f t="array" ref="J825">IFERROR(INDEX(★原価率!$A$2:$E$50,MATCH($C825&amp;$H825,★原価率!$A$2:$A$50&amp;★原価率!$B$2:$B$50,0),4),0)</f>
        <v>85</v>
      </c>
      <c r="K825" s="464" cm="1">
        <f t="array" ref="K825">IFERROR(INDEX(★原価率!$A$2:$E$50,MATCH($C825&amp;$H825,★原価率!$A$2:$A$50&amp;★原価率!$B$2:$B$50,0),5),0)</f>
        <v>100</v>
      </c>
      <c r="L825" s="528">
        <f>IFERROR(VLOOKUP(W825,★商品!$A$1:$H$1231,8,FALSE),0)</f>
        <v>2.8</v>
      </c>
      <c r="M825" s="203" t="str">
        <f ca="1">CONCATENATE(VLOOKUP(B825,★営業所!$A$2:$B$5,2,FALSE),TEXT(NOW(),"yyyy"))</f>
        <v>T2023</v>
      </c>
      <c r="N825" s="203">
        <v>1</v>
      </c>
      <c r="O825" s="203">
        <v>0</v>
      </c>
      <c r="P825" s="213">
        <f>申込書!$B$6</f>
        <v>0</v>
      </c>
      <c r="Q825" s="203">
        <f>申込書!$C$34</f>
        <v>1000040</v>
      </c>
      <c r="R825" s="203">
        <v>0</v>
      </c>
      <c r="U825" s="203">
        <f>VLOOKUP(B825,★営業所!$A$2:$C$5,3,FALSE)</f>
        <v>8</v>
      </c>
      <c r="V825" s="203">
        <f>申込書!$B$9</f>
        <v>0</v>
      </c>
      <c r="W825" s="203" t="str">
        <f>CONCATENATE(VLOOKUP(B825,★営業所!$A$2:$B$5,2,FALSE),VLOOKUP(申込書!$C$32,★サイズ表記!$D$4:$E$55,2,FALSE),VLOOKUP(D825,★折込地区!$A$2:$B$11,2,FALSE))</f>
        <v>T1001Yng</v>
      </c>
      <c r="X825" s="203" t="str">
        <f>CONCATENATE(申込書!$B$9," ",VLOOKUP(RIGHT(W825,3),★折込地区!$B$2:$C$10,2,FALSE),"")</f>
        <v xml:space="preserve"> 米子</v>
      </c>
      <c r="Z825" s="206">
        <f t="shared" ca="1" si="95"/>
        <v>0</v>
      </c>
      <c r="AB825" s="383">
        <f t="shared" si="96"/>
        <v>2.8</v>
      </c>
      <c r="AC825" s="203" t="str">
        <f t="shared" si="97"/>
        <v>M1001</v>
      </c>
      <c r="AD825" s="203" t="str">
        <f>VLOOKUP(AC825,★原価商品!$E$6:$F$349,2,FALSE)</f>
        <v>毎日/B4（折り無し）</v>
      </c>
      <c r="AE825" s="203">
        <f t="shared" ca="1" si="98"/>
        <v>0</v>
      </c>
      <c r="AF825" s="383">
        <f ca="1">IFERROR(IF(VLOOKUP(申込書!$C$32,★サイズ表記!$F$4:$H$55,3,FALSE)="切り捨て",ROUNDDOWN(L825*IF(AK825="◎",I825,J825)/100,2),IF(VLOOKUP(申込書!$C$32,★サイズ表記!$F$4:$H$55,3,FALSE)="切り上げ",ROUNDUP(L825*IF(AK825="◎",I825,J825)/100,2),ROUND(L825*IF(AK825="◎",I825,J825)/100,2))),0)</f>
        <v>2.38</v>
      </c>
      <c r="AG825" s="203">
        <f t="shared" ca="1" si="99"/>
        <v>10561</v>
      </c>
      <c r="AJ825" s="460" t="str">
        <f>IFERROR(VLOOKUP(申込書!$C$30,★業種!$D$2:$E$87,2,FALSE),"")</f>
        <v>1003</v>
      </c>
      <c r="AK825" s="460" t="str">
        <f ca="1">IF(申込書!$C$36="◎",IF(OR(D825="浜坂・温泉",D825="美方・村岡",D825="香住",D825="岡山",D825="大阪"),"",IF(LEFT(F825)="D","◎",IF(AG825=0,"",IFERROR(IF(VLOOKUP(AG825,★仕入先!$A$2:$C$211,3,FALSE)=0,"","◎"),"")))),"")</f>
        <v/>
      </c>
      <c r="AL825" s="460">
        <f>申込書!$H$14</f>
        <v>0</v>
      </c>
      <c r="AM825" s="460" t="str">
        <f>申込書!$C$32</f>
        <v>B4（折り無し）</v>
      </c>
      <c r="AN825" s="460" t="str">
        <f>VLOOKUP(AM825,★サイズ表記!$D$4:$E$55,2,FALSE)</f>
        <v>1001</v>
      </c>
      <c r="AO825" s="460">
        <f>IF(C825&lt;&gt;"⑧兵庫",VLOOKUP(LEFT(F825),★新聞!$A$4:$B$12,2,FALSE),IF(LEFT(F825)&lt;&gt;"S",VLOOKUP(LEFT(F825),★新聞!$A$4:$B$12,2,FALSE),VLOOKUP("X",★新聞!$A$4:$B$12,2,FALSE)))</f>
        <v>4</v>
      </c>
      <c r="AP825" s="460" t="str">
        <f t="shared" ca="1" si="100"/>
        <v>0</v>
      </c>
      <c r="AQ825" s="460" t="str">
        <f>IF(申込書!$C$38="","",申込書!$C$38)</f>
        <v/>
      </c>
    </row>
    <row r="826" spans="1:43">
      <c r="A826" s="463">
        <f t="shared" si="101"/>
        <v>825</v>
      </c>
      <c r="B826" s="463" t="str">
        <f t="shared" si="94"/>
        <v>東部</v>
      </c>
      <c r="C826" s="464" t="s">
        <v>1020</v>
      </c>
      <c r="D826" s="464" t="s">
        <v>1603</v>
      </c>
      <c r="E826" s="464">
        <f>VLOOKUP(D826,★折込地区!$A$2:$D$10,4,FALSE)</f>
        <v>3</v>
      </c>
      <c r="F826" s="464" t="s">
        <v>452</v>
      </c>
      <c r="G826" s="464" t="str">
        <f>INDEX(★新聞!$E$4:$I$12, MATCH(LEFT(F826),★新聞!$A$4:$A$12,0), MATCH(LEFT(W826),★新聞!$E$3:$I$3,0))</f>
        <v>AG</v>
      </c>
      <c r="H826" s="475" t="s">
        <v>1104</v>
      </c>
      <c r="I826" s="464" cm="1">
        <f t="array" ref="I826">IFERROR(INDEX(★原価率!$A$2:$E$50,MATCH($C826&amp;$H826,★原価率!$A$2:$A$50&amp;★原価率!$B$2:$B$50,0),3),0)</f>
        <v>85</v>
      </c>
      <c r="J826" s="464" cm="1">
        <f t="array" ref="J826">IFERROR(INDEX(★原価率!$A$2:$E$50,MATCH($C826&amp;$H826,★原価率!$A$2:$A$50&amp;★原価率!$B$2:$B$50,0),4),0)</f>
        <v>85</v>
      </c>
      <c r="K826" s="464" cm="1">
        <f t="array" ref="K826">IFERROR(INDEX(★原価率!$A$2:$E$50,MATCH($C826&amp;$H826,★原価率!$A$2:$A$50&amp;★原価率!$B$2:$B$50,0),5),0)</f>
        <v>100</v>
      </c>
      <c r="L826" s="528">
        <f>IFERROR(VLOOKUP(W826,★商品!$A$1:$H$1231,8,FALSE),0)</f>
        <v>2.8</v>
      </c>
      <c r="M826" s="203" t="str">
        <f ca="1">CONCATENATE(VLOOKUP(B826,★営業所!$A$2:$B$5,2,FALSE),TEXT(NOW(),"yyyy"))</f>
        <v>T2023</v>
      </c>
      <c r="N826" s="203">
        <v>1</v>
      </c>
      <c r="O826" s="203">
        <v>0</v>
      </c>
      <c r="P826" s="213">
        <f>申込書!$B$6</f>
        <v>0</v>
      </c>
      <c r="Q826" s="203">
        <f>申込書!$C$34</f>
        <v>1000040</v>
      </c>
      <c r="R826" s="203">
        <v>0</v>
      </c>
      <c r="U826" s="203">
        <f>VLOOKUP(B826,★営業所!$A$2:$C$5,3,FALSE)</f>
        <v>8</v>
      </c>
      <c r="V826" s="203">
        <f>申込書!$B$9</f>
        <v>0</v>
      </c>
      <c r="W826" s="203" t="str">
        <f>CONCATENATE(VLOOKUP(B826,★営業所!$A$2:$B$5,2,FALSE),VLOOKUP(申込書!$C$32,★サイズ表記!$D$4:$E$55,2,FALSE),VLOOKUP(D826,★折込地区!$A$2:$B$11,2,FALSE))</f>
        <v>T1001Yng</v>
      </c>
      <c r="X826" s="203" t="str">
        <f>CONCATENATE(申込書!$B$9," ",VLOOKUP(RIGHT(W826,3),★折込地区!$B$2:$C$10,2,FALSE),"")</f>
        <v xml:space="preserve"> 米子</v>
      </c>
      <c r="Z826" s="206">
        <f t="shared" ca="1" si="95"/>
        <v>0</v>
      </c>
      <c r="AB826" s="383">
        <f t="shared" si="96"/>
        <v>2.8</v>
      </c>
      <c r="AC826" s="203" t="str">
        <f t="shared" si="97"/>
        <v>M1001</v>
      </c>
      <c r="AD826" s="203" t="str">
        <f>VLOOKUP(AC826,★原価商品!$E$6:$F$349,2,FALSE)</f>
        <v>毎日/B4（折り無し）</v>
      </c>
      <c r="AE826" s="203">
        <f t="shared" ca="1" si="98"/>
        <v>0</v>
      </c>
      <c r="AF826" s="383">
        <f ca="1">IFERROR(IF(VLOOKUP(申込書!$C$32,★サイズ表記!$F$4:$H$55,3,FALSE)="切り捨て",ROUNDDOWN(L826*IF(AK826="◎",I826,J826)/100,2),IF(VLOOKUP(申込書!$C$32,★サイズ表記!$F$4:$H$55,3,FALSE)="切り上げ",ROUNDUP(L826*IF(AK826="◎",I826,J826)/100,2),ROUND(L826*IF(AK826="◎",I826,J826)/100,2))),0)</f>
        <v>2.38</v>
      </c>
      <c r="AG826" s="203">
        <f t="shared" ca="1" si="99"/>
        <v>10561</v>
      </c>
      <c r="AJ826" s="460" t="str">
        <f>IFERROR(VLOOKUP(申込書!$C$30,★業種!$D$2:$E$87,2,FALSE),"")</f>
        <v>1003</v>
      </c>
      <c r="AK826" s="460" t="str">
        <f ca="1">IF(申込書!$C$36="◎",IF(OR(D826="浜坂・温泉",D826="美方・村岡",D826="香住",D826="岡山",D826="大阪"),"",IF(LEFT(F826)="D","◎",IF(AG826=0,"",IFERROR(IF(VLOOKUP(AG826,★仕入先!$A$2:$C$211,3,FALSE)=0,"","◎"),"")))),"")</f>
        <v/>
      </c>
      <c r="AL826" s="460">
        <f>申込書!$H$14</f>
        <v>0</v>
      </c>
      <c r="AM826" s="460" t="str">
        <f>申込書!$C$32</f>
        <v>B4（折り無し）</v>
      </c>
      <c r="AN826" s="460" t="str">
        <f>VLOOKUP(AM826,★サイズ表記!$D$4:$E$55,2,FALSE)</f>
        <v>1001</v>
      </c>
      <c r="AO826" s="460">
        <f>IF(C826&lt;&gt;"⑧兵庫",VLOOKUP(LEFT(F826),★新聞!$A$4:$B$12,2,FALSE),IF(LEFT(F826)&lt;&gt;"S",VLOOKUP(LEFT(F826),★新聞!$A$4:$B$12,2,FALSE),VLOOKUP("X",★新聞!$A$4:$B$12,2,FALSE)))</f>
        <v>4</v>
      </c>
      <c r="AP826" s="460" t="str">
        <f t="shared" ca="1" si="100"/>
        <v>0</v>
      </c>
      <c r="AQ826" s="460" t="str">
        <f>IF(申込書!$C$38="","",申込書!$C$38)</f>
        <v/>
      </c>
    </row>
    <row r="827" spans="1:43">
      <c r="A827" s="463">
        <f t="shared" si="101"/>
        <v>826</v>
      </c>
      <c r="B827" s="463" t="str">
        <f t="shared" si="94"/>
        <v>東部</v>
      </c>
      <c r="C827" s="464" t="s">
        <v>1020</v>
      </c>
      <c r="D827" s="464" t="s">
        <v>1603</v>
      </c>
      <c r="E827" s="464">
        <f>VLOOKUP(D827,★折込地区!$A$2:$D$10,4,FALSE)</f>
        <v>3</v>
      </c>
      <c r="F827" s="464" t="s">
        <v>469</v>
      </c>
      <c r="G827" s="464" t="str">
        <f>INDEX(★新聞!$E$4:$I$12, MATCH(LEFT(F827),★新聞!$A$4:$A$12,0), MATCH(LEFT(W827),★新聞!$E$3:$I$3,0))</f>
        <v>AJ</v>
      </c>
      <c r="H827" s="475" t="s">
        <v>1104</v>
      </c>
      <c r="I827" s="464" cm="1">
        <f t="array" ref="I827">IFERROR(INDEX(★原価率!$A$2:$E$50,MATCH($C827&amp;$H827,★原価率!$A$2:$A$50&amp;★原価率!$B$2:$B$50,0),3),0)</f>
        <v>85</v>
      </c>
      <c r="J827" s="464" cm="1">
        <f t="array" ref="J827">IFERROR(INDEX(★原価率!$A$2:$E$50,MATCH($C827&amp;$H827,★原価率!$A$2:$A$50&amp;★原価率!$B$2:$B$50,0),4),0)</f>
        <v>85</v>
      </c>
      <c r="K827" s="464" cm="1">
        <f t="array" ref="K827">IFERROR(INDEX(★原価率!$A$2:$E$50,MATCH($C827&amp;$H827,★原価率!$A$2:$A$50&amp;★原価率!$B$2:$B$50,0),5),0)</f>
        <v>100</v>
      </c>
      <c r="L827" s="528">
        <f>IFERROR(VLOOKUP(W827,★商品!$A$1:$H$1231,8,FALSE),0)</f>
        <v>2.8</v>
      </c>
      <c r="M827" s="203" t="str">
        <f ca="1">CONCATENATE(VLOOKUP(B827,★営業所!$A$2:$B$5,2,FALSE),TEXT(NOW(),"yyyy"))</f>
        <v>T2023</v>
      </c>
      <c r="N827" s="203">
        <v>1</v>
      </c>
      <c r="O827" s="203">
        <v>0</v>
      </c>
      <c r="P827" s="213">
        <f>申込書!$B$6</f>
        <v>0</v>
      </c>
      <c r="Q827" s="203">
        <f>申込書!$C$34</f>
        <v>1000040</v>
      </c>
      <c r="R827" s="203">
        <v>0</v>
      </c>
      <c r="U827" s="203">
        <f>VLOOKUP(B827,★営業所!$A$2:$C$5,3,FALSE)</f>
        <v>8</v>
      </c>
      <c r="V827" s="203">
        <f>申込書!$B$9</f>
        <v>0</v>
      </c>
      <c r="W827" s="203" t="str">
        <f>CONCATENATE(VLOOKUP(B827,★営業所!$A$2:$B$5,2,FALSE),VLOOKUP(申込書!$C$32,★サイズ表記!$D$4:$E$55,2,FALSE),VLOOKUP(D827,★折込地区!$A$2:$B$11,2,FALSE))</f>
        <v>T1001Yng</v>
      </c>
      <c r="X827" s="203" t="str">
        <f>CONCATENATE(申込書!$B$9," ",VLOOKUP(RIGHT(W827,3),★折込地区!$B$2:$C$10,2,FALSE),"")</f>
        <v xml:space="preserve"> 米子</v>
      </c>
      <c r="Z827" s="206">
        <f t="shared" ca="1" si="95"/>
        <v>0</v>
      </c>
      <c r="AB827" s="383">
        <f t="shared" si="96"/>
        <v>2.8</v>
      </c>
      <c r="AC827" s="203" t="str">
        <f t="shared" si="97"/>
        <v>P1001</v>
      </c>
      <c r="AD827" s="203" t="str">
        <f>VLOOKUP(AC827,★原価商品!$E$6:$F$349,2,FALSE)</f>
        <v>産経/B4（折り無し）</v>
      </c>
      <c r="AE827" s="203">
        <f t="shared" ca="1" si="98"/>
        <v>0</v>
      </c>
      <c r="AF827" s="383">
        <f ca="1">IFERROR(IF(VLOOKUP(申込書!$C$32,★サイズ表記!$F$4:$H$55,3,FALSE)="切り捨て",ROUNDDOWN(L827*IF(AK827="◎",I827,J827)/100,2),IF(VLOOKUP(申込書!$C$32,★サイズ表記!$F$4:$H$55,3,FALSE)="切り上げ",ROUNDUP(L827*IF(AK827="◎",I827,J827)/100,2),ROUND(L827*IF(AK827="◎",I827,J827)/100,2))),0)</f>
        <v>2.38</v>
      </c>
      <c r="AG827" s="203">
        <f t="shared" ca="1" si="99"/>
        <v>10561</v>
      </c>
      <c r="AJ827" s="460" t="str">
        <f>IFERROR(VLOOKUP(申込書!$C$30,★業種!$D$2:$E$87,2,FALSE),"")</f>
        <v>1003</v>
      </c>
      <c r="AK827" s="460" t="str">
        <f ca="1">IF(申込書!$C$36="◎",IF(OR(D827="浜坂・温泉",D827="美方・村岡",D827="香住",D827="岡山",D827="大阪"),"",IF(LEFT(F827)="D","◎",IF(AG827=0,"",IFERROR(IF(VLOOKUP(AG827,★仕入先!$A$2:$C$211,3,FALSE)=0,"","◎"),"")))),"")</f>
        <v/>
      </c>
      <c r="AL827" s="460">
        <f>申込書!$H$14</f>
        <v>0</v>
      </c>
      <c r="AM827" s="460" t="str">
        <f>申込書!$C$32</f>
        <v>B4（折り無し）</v>
      </c>
      <c r="AN827" s="460" t="str">
        <f>VLOOKUP(AM827,★サイズ表記!$D$4:$E$55,2,FALSE)</f>
        <v>1001</v>
      </c>
      <c r="AO827" s="460">
        <f>IF(C827&lt;&gt;"⑧兵庫",VLOOKUP(LEFT(F827),★新聞!$A$4:$B$12,2,FALSE),IF(LEFT(F827)&lt;&gt;"S",VLOOKUP(LEFT(F827),★新聞!$A$4:$B$12,2,FALSE),VLOOKUP("X",★新聞!$A$4:$B$12,2,FALSE)))</f>
        <v>5</v>
      </c>
      <c r="AP827" s="460" t="str">
        <f t="shared" ca="1" si="100"/>
        <v>0</v>
      </c>
      <c r="AQ827" s="460" t="str">
        <f>IF(申込書!$C$38="","",申込書!$C$38)</f>
        <v/>
      </c>
    </row>
    <row r="828" spans="1:43">
      <c r="A828" s="463">
        <f t="shared" si="101"/>
        <v>827</v>
      </c>
      <c r="B828" s="463" t="str">
        <f t="shared" si="94"/>
        <v>東部</v>
      </c>
      <c r="C828" s="464" t="s">
        <v>1020</v>
      </c>
      <c r="D828" s="464" t="s">
        <v>1603</v>
      </c>
      <c r="E828" s="464">
        <f>VLOOKUP(D828,★折込地区!$A$2:$D$10,4,FALSE)</f>
        <v>3</v>
      </c>
      <c r="F828" s="464" t="s">
        <v>470</v>
      </c>
      <c r="G828" s="464" t="str">
        <f>INDEX(★新聞!$E$4:$I$12, MATCH(LEFT(F828),★新聞!$A$4:$A$12,0), MATCH(LEFT(W828),★新聞!$E$3:$I$3,0))</f>
        <v>AJ</v>
      </c>
      <c r="H828" s="475" t="s">
        <v>1104</v>
      </c>
      <c r="I828" s="464" cm="1">
        <f t="array" ref="I828">IFERROR(INDEX(★原価率!$A$2:$E$50,MATCH($C828&amp;$H828,★原価率!$A$2:$A$50&amp;★原価率!$B$2:$B$50,0),3),0)</f>
        <v>85</v>
      </c>
      <c r="J828" s="464" cm="1">
        <f t="array" ref="J828">IFERROR(INDEX(★原価率!$A$2:$E$50,MATCH($C828&amp;$H828,★原価率!$A$2:$A$50&amp;★原価率!$B$2:$B$50,0),4),0)</f>
        <v>85</v>
      </c>
      <c r="K828" s="464" cm="1">
        <f t="array" ref="K828">IFERROR(INDEX(★原価率!$A$2:$E$50,MATCH($C828&amp;$H828,★原価率!$A$2:$A$50&amp;★原価率!$B$2:$B$50,0),5),0)</f>
        <v>100</v>
      </c>
      <c r="L828" s="528">
        <f>IFERROR(VLOOKUP(W828,★商品!$A$1:$H$1231,8,FALSE),0)</f>
        <v>2.8</v>
      </c>
      <c r="M828" s="203" t="str">
        <f ca="1">CONCATENATE(VLOOKUP(B828,★営業所!$A$2:$B$5,2,FALSE),TEXT(NOW(),"yyyy"))</f>
        <v>T2023</v>
      </c>
      <c r="N828" s="203">
        <v>1</v>
      </c>
      <c r="O828" s="203">
        <v>0</v>
      </c>
      <c r="P828" s="213">
        <f>申込書!$B$6</f>
        <v>0</v>
      </c>
      <c r="Q828" s="203">
        <f>申込書!$C$34</f>
        <v>1000040</v>
      </c>
      <c r="R828" s="203">
        <v>0</v>
      </c>
      <c r="U828" s="203">
        <f>VLOOKUP(B828,★営業所!$A$2:$C$5,3,FALSE)</f>
        <v>8</v>
      </c>
      <c r="V828" s="203">
        <f>申込書!$B$9</f>
        <v>0</v>
      </c>
      <c r="W828" s="203" t="str">
        <f>CONCATENATE(VLOOKUP(B828,★営業所!$A$2:$B$5,2,FALSE),VLOOKUP(申込書!$C$32,★サイズ表記!$D$4:$E$55,2,FALSE),VLOOKUP(D828,★折込地区!$A$2:$B$11,2,FALSE))</f>
        <v>T1001Yng</v>
      </c>
      <c r="X828" s="203" t="str">
        <f>CONCATENATE(申込書!$B$9," ",VLOOKUP(RIGHT(W828,3),★折込地区!$B$2:$C$10,2,FALSE),"")</f>
        <v xml:space="preserve"> 米子</v>
      </c>
      <c r="Z828" s="206">
        <f t="shared" ca="1" si="95"/>
        <v>0</v>
      </c>
      <c r="AB828" s="383">
        <f t="shared" si="96"/>
        <v>2.8</v>
      </c>
      <c r="AC828" s="203" t="str">
        <f t="shared" si="97"/>
        <v>P1001</v>
      </c>
      <c r="AD828" s="203" t="str">
        <f>VLOOKUP(AC828,★原価商品!$E$6:$F$349,2,FALSE)</f>
        <v>産経/B4（折り無し）</v>
      </c>
      <c r="AE828" s="203">
        <f t="shared" ca="1" si="98"/>
        <v>0</v>
      </c>
      <c r="AF828" s="383">
        <f ca="1">IFERROR(IF(VLOOKUP(申込書!$C$32,★サイズ表記!$F$4:$H$55,3,FALSE)="切り捨て",ROUNDDOWN(L828*IF(AK828="◎",I828,J828)/100,2),IF(VLOOKUP(申込書!$C$32,★サイズ表記!$F$4:$H$55,3,FALSE)="切り上げ",ROUNDUP(L828*IF(AK828="◎",I828,J828)/100,2),ROUND(L828*IF(AK828="◎",I828,J828)/100,2))),0)</f>
        <v>2.38</v>
      </c>
      <c r="AG828" s="203">
        <f t="shared" ca="1" si="99"/>
        <v>10561</v>
      </c>
      <c r="AJ828" s="460" t="str">
        <f>IFERROR(VLOOKUP(申込書!$C$30,★業種!$D$2:$E$87,2,FALSE),"")</f>
        <v>1003</v>
      </c>
      <c r="AK828" s="460" t="str">
        <f ca="1">IF(申込書!$C$36="◎",IF(OR(D828="浜坂・温泉",D828="美方・村岡",D828="香住",D828="岡山",D828="大阪"),"",IF(LEFT(F828)="D","◎",IF(AG828=0,"",IFERROR(IF(VLOOKUP(AG828,★仕入先!$A$2:$C$211,3,FALSE)=0,"","◎"),"")))),"")</f>
        <v/>
      </c>
      <c r="AL828" s="460">
        <f>申込書!$H$14</f>
        <v>0</v>
      </c>
      <c r="AM828" s="460" t="str">
        <f>申込書!$C$32</f>
        <v>B4（折り無し）</v>
      </c>
      <c r="AN828" s="460" t="str">
        <f>VLOOKUP(AM828,★サイズ表記!$D$4:$E$55,2,FALSE)</f>
        <v>1001</v>
      </c>
      <c r="AO828" s="460">
        <f>IF(C828&lt;&gt;"⑧兵庫",VLOOKUP(LEFT(F828),★新聞!$A$4:$B$12,2,FALSE),IF(LEFT(F828)&lt;&gt;"S",VLOOKUP(LEFT(F828),★新聞!$A$4:$B$12,2,FALSE),VLOOKUP("X",★新聞!$A$4:$B$12,2,FALSE)))</f>
        <v>5</v>
      </c>
      <c r="AP828" s="460" t="str">
        <f t="shared" ca="1" si="100"/>
        <v>0</v>
      </c>
      <c r="AQ828" s="460" t="str">
        <f>IF(申込書!$C$38="","",申込書!$C$38)</f>
        <v/>
      </c>
    </row>
    <row r="829" spans="1:43">
      <c r="A829" s="463">
        <f t="shared" si="101"/>
        <v>828</v>
      </c>
      <c r="B829" s="463" t="str">
        <f t="shared" si="94"/>
        <v>東部</v>
      </c>
      <c r="C829" s="464" t="s">
        <v>1020</v>
      </c>
      <c r="D829" s="464" t="s">
        <v>1603</v>
      </c>
      <c r="E829" s="464">
        <f>VLOOKUP(D829,★折込地区!$A$2:$D$10,4,FALSE)</f>
        <v>3</v>
      </c>
      <c r="F829" s="464" t="s">
        <v>471</v>
      </c>
      <c r="G829" s="464" t="str">
        <f>INDEX(★新聞!$E$4:$I$12, MATCH(LEFT(F829),★新聞!$A$4:$A$12,0), MATCH(LEFT(W829),★新聞!$E$3:$I$3,0))</f>
        <v>AJ</v>
      </c>
      <c r="H829" s="475" t="s">
        <v>1104</v>
      </c>
      <c r="I829" s="464" cm="1">
        <f t="array" ref="I829">IFERROR(INDEX(★原価率!$A$2:$E$50,MATCH($C829&amp;$H829,★原価率!$A$2:$A$50&amp;★原価率!$B$2:$B$50,0),3),0)</f>
        <v>85</v>
      </c>
      <c r="J829" s="464" cm="1">
        <f t="array" ref="J829">IFERROR(INDEX(★原価率!$A$2:$E$50,MATCH($C829&amp;$H829,★原価率!$A$2:$A$50&amp;★原価率!$B$2:$B$50,0),4),0)</f>
        <v>85</v>
      </c>
      <c r="K829" s="464" cm="1">
        <f t="array" ref="K829">IFERROR(INDEX(★原価率!$A$2:$E$50,MATCH($C829&amp;$H829,★原価率!$A$2:$A$50&amp;★原価率!$B$2:$B$50,0),5),0)</f>
        <v>100</v>
      </c>
      <c r="L829" s="528">
        <f>IFERROR(VLOOKUP(W829,★商品!$A$1:$H$1231,8,FALSE),0)</f>
        <v>2.8</v>
      </c>
      <c r="M829" s="203" t="str">
        <f ca="1">CONCATENATE(VLOOKUP(B829,★営業所!$A$2:$B$5,2,FALSE),TEXT(NOW(),"yyyy"))</f>
        <v>T2023</v>
      </c>
      <c r="N829" s="203">
        <v>1</v>
      </c>
      <c r="O829" s="203">
        <v>0</v>
      </c>
      <c r="P829" s="213">
        <f>申込書!$B$6</f>
        <v>0</v>
      </c>
      <c r="Q829" s="203">
        <f>申込書!$C$34</f>
        <v>1000040</v>
      </c>
      <c r="R829" s="203">
        <v>0</v>
      </c>
      <c r="U829" s="203">
        <f>VLOOKUP(B829,★営業所!$A$2:$C$5,3,FALSE)</f>
        <v>8</v>
      </c>
      <c r="V829" s="203">
        <f>申込書!$B$9</f>
        <v>0</v>
      </c>
      <c r="W829" s="203" t="str">
        <f>CONCATENATE(VLOOKUP(B829,★営業所!$A$2:$B$5,2,FALSE),VLOOKUP(申込書!$C$32,★サイズ表記!$D$4:$E$55,2,FALSE),VLOOKUP(D829,★折込地区!$A$2:$B$11,2,FALSE))</f>
        <v>T1001Yng</v>
      </c>
      <c r="X829" s="203" t="str">
        <f>CONCATENATE(申込書!$B$9," ",VLOOKUP(RIGHT(W829,3),★折込地区!$B$2:$C$10,2,FALSE),"")</f>
        <v xml:space="preserve"> 米子</v>
      </c>
      <c r="Z829" s="206">
        <f t="shared" ca="1" si="95"/>
        <v>0</v>
      </c>
      <c r="AB829" s="383">
        <f t="shared" si="96"/>
        <v>2.8</v>
      </c>
      <c r="AC829" s="203" t="str">
        <f t="shared" si="97"/>
        <v>P1001</v>
      </c>
      <c r="AD829" s="203" t="str">
        <f>VLOOKUP(AC829,★原価商品!$E$6:$F$349,2,FALSE)</f>
        <v>産経/B4（折り無し）</v>
      </c>
      <c r="AE829" s="203">
        <f t="shared" ca="1" si="98"/>
        <v>0</v>
      </c>
      <c r="AF829" s="383">
        <f ca="1">IFERROR(IF(VLOOKUP(申込書!$C$32,★サイズ表記!$F$4:$H$55,3,FALSE)="切り捨て",ROUNDDOWN(L829*IF(AK829="◎",I829,J829)/100,2),IF(VLOOKUP(申込書!$C$32,★サイズ表記!$F$4:$H$55,3,FALSE)="切り上げ",ROUNDUP(L829*IF(AK829="◎",I829,J829)/100,2),ROUND(L829*IF(AK829="◎",I829,J829)/100,2))),0)</f>
        <v>2.38</v>
      </c>
      <c r="AG829" s="203">
        <f t="shared" ca="1" si="99"/>
        <v>10561</v>
      </c>
      <c r="AJ829" s="460" t="str">
        <f>IFERROR(VLOOKUP(申込書!$C$30,★業種!$D$2:$E$87,2,FALSE),"")</f>
        <v>1003</v>
      </c>
      <c r="AK829" s="460" t="str">
        <f ca="1">IF(申込書!$C$36="◎",IF(OR(D829="浜坂・温泉",D829="美方・村岡",D829="香住",D829="岡山",D829="大阪"),"",IF(LEFT(F829)="D","◎",IF(AG829=0,"",IFERROR(IF(VLOOKUP(AG829,★仕入先!$A$2:$C$211,3,FALSE)=0,"","◎"),"")))),"")</f>
        <v/>
      </c>
      <c r="AL829" s="460">
        <f>申込書!$H$14</f>
        <v>0</v>
      </c>
      <c r="AM829" s="460" t="str">
        <f>申込書!$C$32</f>
        <v>B4（折り無し）</v>
      </c>
      <c r="AN829" s="460" t="str">
        <f>VLOOKUP(AM829,★サイズ表記!$D$4:$E$55,2,FALSE)</f>
        <v>1001</v>
      </c>
      <c r="AO829" s="460">
        <f>IF(C829&lt;&gt;"⑧兵庫",VLOOKUP(LEFT(F829),★新聞!$A$4:$B$12,2,FALSE),IF(LEFT(F829)&lt;&gt;"S",VLOOKUP(LEFT(F829),★新聞!$A$4:$B$12,2,FALSE),VLOOKUP("X",★新聞!$A$4:$B$12,2,FALSE)))</f>
        <v>5</v>
      </c>
      <c r="AP829" s="460" t="str">
        <f t="shared" ca="1" si="100"/>
        <v>0</v>
      </c>
      <c r="AQ829" s="460" t="str">
        <f>IF(申込書!$C$38="","",申込書!$C$38)</f>
        <v/>
      </c>
    </row>
    <row r="830" spans="1:43">
      <c r="A830" s="463">
        <f t="shared" si="101"/>
        <v>829</v>
      </c>
      <c r="B830" s="463" t="str">
        <f t="shared" ref="B830:B893" si="102">$B$2</f>
        <v>東部</v>
      </c>
      <c r="C830" s="464" t="s">
        <v>1020</v>
      </c>
      <c r="D830" s="464" t="s">
        <v>1603</v>
      </c>
      <c r="E830" s="464">
        <f>VLOOKUP(D830,★折込地区!$A$2:$D$10,4,FALSE)</f>
        <v>3</v>
      </c>
      <c r="F830" s="464" t="s">
        <v>472</v>
      </c>
      <c r="G830" s="464" t="str">
        <f>INDEX(★新聞!$E$4:$I$12, MATCH(LEFT(F830),★新聞!$A$4:$A$12,0), MATCH(LEFT(W830),★新聞!$E$3:$I$3,0))</f>
        <v>AJ</v>
      </c>
      <c r="H830" s="475" t="s">
        <v>1104</v>
      </c>
      <c r="I830" s="464" cm="1">
        <f t="array" ref="I830">IFERROR(INDEX(★原価率!$A$2:$E$50,MATCH($C830&amp;$H830,★原価率!$A$2:$A$50&amp;★原価率!$B$2:$B$50,0),3),0)</f>
        <v>85</v>
      </c>
      <c r="J830" s="464" cm="1">
        <f t="array" ref="J830">IFERROR(INDEX(★原価率!$A$2:$E$50,MATCH($C830&amp;$H830,★原価率!$A$2:$A$50&amp;★原価率!$B$2:$B$50,0),4),0)</f>
        <v>85</v>
      </c>
      <c r="K830" s="464" cm="1">
        <f t="array" ref="K830">IFERROR(INDEX(★原価率!$A$2:$E$50,MATCH($C830&amp;$H830,★原価率!$A$2:$A$50&amp;★原価率!$B$2:$B$50,0),5),0)</f>
        <v>100</v>
      </c>
      <c r="L830" s="528">
        <f>IFERROR(VLOOKUP(W830,★商品!$A$1:$H$1231,8,FALSE),0)</f>
        <v>2.8</v>
      </c>
      <c r="M830" s="203" t="str">
        <f ca="1">CONCATENATE(VLOOKUP(B830,★営業所!$A$2:$B$5,2,FALSE),TEXT(NOW(),"yyyy"))</f>
        <v>T2023</v>
      </c>
      <c r="N830" s="203">
        <v>1</v>
      </c>
      <c r="O830" s="203">
        <v>0</v>
      </c>
      <c r="P830" s="213">
        <f>申込書!$B$6</f>
        <v>0</v>
      </c>
      <c r="Q830" s="203">
        <f>申込書!$C$34</f>
        <v>1000040</v>
      </c>
      <c r="R830" s="203">
        <v>0</v>
      </c>
      <c r="U830" s="203">
        <f>VLOOKUP(B830,★営業所!$A$2:$C$5,3,FALSE)</f>
        <v>8</v>
      </c>
      <c r="V830" s="203">
        <f>申込書!$B$9</f>
        <v>0</v>
      </c>
      <c r="W830" s="203" t="str">
        <f>CONCATENATE(VLOOKUP(B830,★営業所!$A$2:$B$5,2,FALSE),VLOOKUP(申込書!$C$32,★サイズ表記!$D$4:$E$55,2,FALSE),VLOOKUP(D830,★折込地区!$A$2:$B$11,2,FALSE))</f>
        <v>T1001Yng</v>
      </c>
      <c r="X830" s="203" t="str">
        <f>CONCATENATE(申込書!$B$9," ",VLOOKUP(RIGHT(W830,3),★折込地区!$B$2:$C$10,2,FALSE),"")</f>
        <v xml:space="preserve"> 米子</v>
      </c>
      <c r="Z830" s="206">
        <f t="shared" ca="1" si="95"/>
        <v>0</v>
      </c>
      <c r="AB830" s="383">
        <f t="shared" si="96"/>
        <v>2.8</v>
      </c>
      <c r="AC830" s="203" t="str">
        <f t="shared" si="97"/>
        <v>P1001</v>
      </c>
      <c r="AD830" s="203" t="str">
        <f>VLOOKUP(AC830,★原価商品!$E$6:$F$349,2,FALSE)</f>
        <v>産経/B4（折り無し）</v>
      </c>
      <c r="AE830" s="203">
        <f t="shared" ca="1" si="98"/>
        <v>0</v>
      </c>
      <c r="AF830" s="383">
        <f ca="1">IFERROR(IF(VLOOKUP(申込書!$C$32,★サイズ表記!$F$4:$H$55,3,FALSE)="切り捨て",ROUNDDOWN(L830*IF(AK830="◎",I830,J830)/100,2),IF(VLOOKUP(申込書!$C$32,★サイズ表記!$F$4:$H$55,3,FALSE)="切り上げ",ROUNDUP(L830*IF(AK830="◎",I830,J830)/100,2),ROUND(L830*IF(AK830="◎",I830,J830)/100,2))),0)</f>
        <v>2.38</v>
      </c>
      <c r="AG830" s="203">
        <f t="shared" ca="1" si="99"/>
        <v>10561</v>
      </c>
      <c r="AJ830" s="460" t="str">
        <f>IFERROR(VLOOKUP(申込書!$C$30,★業種!$D$2:$E$87,2,FALSE),"")</f>
        <v>1003</v>
      </c>
      <c r="AK830" s="460" t="str">
        <f ca="1">IF(申込書!$C$36="◎",IF(OR(D830="浜坂・温泉",D830="美方・村岡",D830="香住",D830="岡山",D830="大阪"),"",IF(LEFT(F830)="D","◎",IF(AG830=0,"",IFERROR(IF(VLOOKUP(AG830,★仕入先!$A$2:$C$211,3,FALSE)=0,"","◎"),"")))),"")</f>
        <v/>
      </c>
      <c r="AL830" s="460">
        <f>申込書!$H$14</f>
        <v>0</v>
      </c>
      <c r="AM830" s="460" t="str">
        <f>申込書!$C$32</f>
        <v>B4（折り無し）</v>
      </c>
      <c r="AN830" s="460" t="str">
        <f>VLOOKUP(AM830,★サイズ表記!$D$4:$E$55,2,FALSE)</f>
        <v>1001</v>
      </c>
      <c r="AO830" s="460">
        <f>IF(C830&lt;&gt;"⑧兵庫",VLOOKUP(LEFT(F830),★新聞!$A$4:$B$12,2,FALSE),IF(LEFT(F830)&lt;&gt;"S",VLOOKUP(LEFT(F830),★新聞!$A$4:$B$12,2,FALSE),VLOOKUP("X",★新聞!$A$4:$B$12,2,FALSE)))</f>
        <v>5</v>
      </c>
      <c r="AP830" s="460" t="str">
        <f t="shared" ca="1" si="100"/>
        <v>0</v>
      </c>
      <c r="AQ830" s="460" t="str">
        <f>IF(申込書!$C$38="","",申込書!$C$38)</f>
        <v/>
      </c>
    </row>
    <row r="831" spans="1:43">
      <c r="A831" s="463">
        <f t="shared" si="101"/>
        <v>830</v>
      </c>
      <c r="B831" s="463" t="str">
        <f t="shared" si="102"/>
        <v>東部</v>
      </c>
      <c r="C831" s="464" t="s">
        <v>1020</v>
      </c>
      <c r="D831" s="464" t="s">
        <v>1603</v>
      </c>
      <c r="E831" s="464">
        <f>VLOOKUP(D831,★折込地区!$A$2:$D$10,4,FALSE)</f>
        <v>3</v>
      </c>
      <c r="F831" s="464" t="s">
        <v>473</v>
      </c>
      <c r="G831" s="464" t="str">
        <f>INDEX(★新聞!$E$4:$I$12, MATCH(LEFT(F831),★新聞!$A$4:$A$12,0), MATCH(LEFT(W831),★新聞!$E$3:$I$3,0))</f>
        <v>AJ</v>
      </c>
      <c r="H831" s="475" t="s">
        <v>1104</v>
      </c>
      <c r="I831" s="464" cm="1">
        <f t="array" ref="I831">IFERROR(INDEX(★原価率!$A$2:$E$50,MATCH($C831&amp;$H831,★原価率!$A$2:$A$50&amp;★原価率!$B$2:$B$50,0),3),0)</f>
        <v>85</v>
      </c>
      <c r="J831" s="464" cm="1">
        <f t="array" ref="J831">IFERROR(INDEX(★原価率!$A$2:$E$50,MATCH($C831&amp;$H831,★原価率!$A$2:$A$50&amp;★原価率!$B$2:$B$50,0),4),0)</f>
        <v>85</v>
      </c>
      <c r="K831" s="464" cm="1">
        <f t="array" ref="K831">IFERROR(INDEX(★原価率!$A$2:$E$50,MATCH($C831&amp;$H831,★原価率!$A$2:$A$50&amp;★原価率!$B$2:$B$50,0),5),0)</f>
        <v>100</v>
      </c>
      <c r="L831" s="528">
        <f>IFERROR(VLOOKUP(W831,★商品!$A$1:$H$1231,8,FALSE),0)</f>
        <v>2.8</v>
      </c>
      <c r="M831" s="203" t="str">
        <f ca="1">CONCATENATE(VLOOKUP(B831,★営業所!$A$2:$B$5,2,FALSE),TEXT(NOW(),"yyyy"))</f>
        <v>T2023</v>
      </c>
      <c r="N831" s="203">
        <v>1</v>
      </c>
      <c r="O831" s="203">
        <v>0</v>
      </c>
      <c r="P831" s="213">
        <f>申込書!$B$6</f>
        <v>0</v>
      </c>
      <c r="Q831" s="203">
        <f>申込書!$C$34</f>
        <v>1000040</v>
      </c>
      <c r="R831" s="203">
        <v>0</v>
      </c>
      <c r="U831" s="203">
        <f>VLOOKUP(B831,★営業所!$A$2:$C$5,3,FALSE)</f>
        <v>8</v>
      </c>
      <c r="V831" s="203">
        <f>申込書!$B$9</f>
        <v>0</v>
      </c>
      <c r="W831" s="203" t="str">
        <f>CONCATENATE(VLOOKUP(B831,★営業所!$A$2:$B$5,2,FALSE),VLOOKUP(申込書!$C$32,★サイズ表記!$D$4:$E$55,2,FALSE),VLOOKUP(D831,★折込地区!$A$2:$B$11,2,FALSE))</f>
        <v>T1001Yng</v>
      </c>
      <c r="X831" s="203" t="str">
        <f>CONCATENATE(申込書!$B$9," ",VLOOKUP(RIGHT(W831,3),★折込地区!$B$2:$C$10,2,FALSE),"")</f>
        <v xml:space="preserve"> 米子</v>
      </c>
      <c r="Z831" s="206">
        <f t="shared" ca="1" si="95"/>
        <v>0</v>
      </c>
      <c r="AB831" s="383">
        <f t="shared" si="96"/>
        <v>2.8</v>
      </c>
      <c r="AC831" s="203" t="str">
        <f t="shared" si="97"/>
        <v>P1001</v>
      </c>
      <c r="AD831" s="203" t="str">
        <f>VLOOKUP(AC831,★原価商品!$E$6:$F$349,2,FALSE)</f>
        <v>産経/B4（折り無し）</v>
      </c>
      <c r="AE831" s="203">
        <f t="shared" ca="1" si="98"/>
        <v>0</v>
      </c>
      <c r="AF831" s="383">
        <f ca="1">IFERROR(IF(VLOOKUP(申込書!$C$32,★サイズ表記!$F$4:$H$55,3,FALSE)="切り捨て",ROUNDDOWN(L831*IF(AK831="◎",I831,J831)/100,2),IF(VLOOKUP(申込書!$C$32,★サイズ表記!$F$4:$H$55,3,FALSE)="切り上げ",ROUNDUP(L831*IF(AK831="◎",I831,J831)/100,2),ROUND(L831*IF(AK831="◎",I831,J831)/100,2))),0)</f>
        <v>2.38</v>
      </c>
      <c r="AG831" s="203">
        <f t="shared" ca="1" si="99"/>
        <v>10561</v>
      </c>
      <c r="AJ831" s="460" t="str">
        <f>IFERROR(VLOOKUP(申込書!$C$30,★業種!$D$2:$E$87,2,FALSE),"")</f>
        <v>1003</v>
      </c>
      <c r="AK831" s="460" t="str">
        <f ca="1">IF(申込書!$C$36="◎",IF(OR(D831="浜坂・温泉",D831="美方・村岡",D831="香住",D831="岡山",D831="大阪"),"",IF(LEFT(F831)="D","◎",IF(AG831=0,"",IFERROR(IF(VLOOKUP(AG831,★仕入先!$A$2:$C$211,3,FALSE)=0,"","◎"),"")))),"")</f>
        <v/>
      </c>
      <c r="AL831" s="460">
        <f>申込書!$H$14</f>
        <v>0</v>
      </c>
      <c r="AM831" s="460" t="str">
        <f>申込書!$C$32</f>
        <v>B4（折り無し）</v>
      </c>
      <c r="AN831" s="460" t="str">
        <f>VLOOKUP(AM831,★サイズ表記!$D$4:$E$55,2,FALSE)</f>
        <v>1001</v>
      </c>
      <c r="AO831" s="460">
        <f>IF(C831&lt;&gt;"⑧兵庫",VLOOKUP(LEFT(F831),★新聞!$A$4:$B$12,2,FALSE),IF(LEFT(F831)&lt;&gt;"S",VLOOKUP(LEFT(F831),★新聞!$A$4:$B$12,2,FALSE),VLOOKUP("X",★新聞!$A$4:$B$12,2,FALSE)))</f>
        <v>5</v>
      </c>
      <c r="AP831" s="460" t="str">
        <f t="shared" ca="1" si="100"/>
        <v>0</v>
      </c>
      <c r="AQ831" s="460" t="str">
        <f>IF(申込書!$C$38="","",申込書!$C$38)</f>
        <v/>
      </c>
    </row>
    <row r="832" spans="1:43">
      <c r="A832" s="463">
        <f t="shared" si="101"/>
        <v>831</v>
      </c>
      <c r="B832" s="463" t="str">
        <f t="shared" si="102"/>
        <v>東部</v>
      </c>
      <c r="C832" s="464" t="s">
        <v>1020</v>
      </c>
      <c r="D832" s="464" t="s">
        <v>1603</v>
      </c>
      <c r="E832" s="464">
        <f>VLOOKUP(D832,★折込地区!$A$2:$D$10,4,FALSE)</f>
        <v>3</v>
      </c>
      <c r="F832" s="464" t="s">
        <v>474</v>
      </c>
      <c r="G832" s="464" t="str">
        <f>INDEX(★新聞!$E$4:$I$12, MATCH(LEFT(F832),★新聞!$A$4:$A$12,0), MATCH(LEFT(W832),★新聞!$E$3:$I$3,0))</f>
        <v>AJ</v>
      </c>
      <c r="H832" s="475" t="s">
        <v>1104</v>
      </c>
      <c r="I832" s="464" cm="1">
        <f t="array" ref="I832">IFERROR(INDEX(★原価率!$A$2:$E$50,MATCH($C832&amp;$H832,★原価率!$A$2:$A$50&amp;★原価率!$B$2:$B$50,0),3),0)</f>
        <v>85</v>
      </c>
      <c r="J832" s="464" cm="1">
        <f t="array" ref="J832">IFERROR(INDEX(★原価率!$A$2:$E$50,MATCH($C832&amp;$H832,★原価率!$A$2:$A$50&amp;★原価率!$B$2:$B$50,0),4),0)</f>
        <v>85</v>
      </c>
      <c r="K832" s="464" cm="1">
        <f t="array" ref="K832">IFERROR(INDEX(★原価率!$A$2:$E$50,MATCH($C832&amp;$H832,★原価率!$A$2:$A$50&amp;★原価率!$B$2:$B$50,0),5),0)</f>
        <v>100</v>
      </c>
      <c r="L832" s="528">
        <f>IFERROR(VLOOKUP(W832,★商品!$A$1:$H$1231,8,FALSE),0)</f>
        <v>2.8</v>
      </c>
      <c r="M832" s="203" t="str">
        <f ca="1">CONCATENATE(VLOOKUP(B832,★営業所!$A$2:$B$5,2,FALSE),TEXT(NOW(),"yyyy"))</f>
        <v>T2023</v>
      </c>
      <c r="N832" s="203">
        <v>1</v>
      </c>
      <c r="O832" s="203">
        <v>0</v>
      </c>
      <c r="P832" s="213">
        <f>申込書!$B$6</f>
        <v>0</v>
      </c>
      <c r="Q832" s="203">
        <f>申込書!$C$34</f>
        <v>1000040</v>
      </c>
      <c r="R832" s="203">
        <v>0</v>
      </c>
      <c r="U832" s="203">
        <f>VLOOKUP(B832,★営業所!$A$2:$C$5,3,FALSE)</f>
        <v>8</v>
      </c>
      <c r="V832" s="203">
        <f>申込書!$B$9</f>
        <v>0</v>
      </c>
      <c r="W832" s="203" t="str">
        <f>CONCATENATE(VLOOKUP(B832,★営業所!$A$2:$B$5,2,FALSE),VLOOKUP(申込書!$C$32,★サイズ表記!$D$4:$E$55,2,FALSE),VLOOKUP(D832,★折込地区!$A$2:$B$11,2,FALSE))</f>
        <v>T1001Yng</v>
      </c>
      <c r="X832" s="203" t="str">
        <f>CONCATENATE(申込書!$B$9," ",VLOOKUP(RIGHT(W832,3),★折込地区!$B$2:$C$10,2,FALSE),"")</f>
        <v xml:space="preserve"> 米子</v>
      </c>
      <c r="Z832" s="206">
        <f t="shared" ca="1" si="95"/>
        <v>0</v>
      </c>
      <c r="AB832" s="383">
        <f t="shared" si="96"/>
        <v>2.8</v>
      </c>
      <c r="AC832" s="203" t="str">
        <f t="shared" si="97"/>
        <v>P1001</v>
      </c>
      <c r="AD832" s="203" t="str">
        <f>VLOOKUP(AC832,★原価商品!$E$6:$F$349,2,FALSE)</f>
        <v>産経/B4（折り無し）</v>
      </c>
      <c r="AE832" s="203">
        <f t="shared" ca="1" si="98"/>
        <v>0</v>
      </c>
      <c r="AF832" s="383">
        <f ca="1">IFERROR(IF(VLOOKUP(申込書!$C$32,★サイズ表記!$F$4:$H$55,3,FALSE)="切り捨て",ROUNDDOWN(L832*IF(AK832="◎",I832,J832)/100,2),IF(VLOOKUP(申込書!$C$32,★サイズ表記!$F$4:$H$55,3,FALSE)="切り上げ",ROUNDUP(L832*IF(AK832="◎",I832,J832)/100,2),ROUND(L832*IF(AK832="◎",I832,J832)/100,2))),0)</f>
        <v>2.38</v>
      </c>
      <c r="AG832" s="203">
        <f t="shared" ca="1" si="99"/>
        <v>10561</v>
      </c>
      <c r="AJ832" s="460" t="str">
        <f>IFERROR(VLOOKUP(申込書!$C$30,★業種!$D$2:$E$87,2,FALSE),"")</f>
        <v>1003</v>
      </c>
      <c r="AK832" s="460" t="str">
        <f ca="1">IF(申込書!$C$36="◎",IF(OR(D832="浜坂・温泉",D832="美方・村岡",D832="香住",D832="岡山",D832="大阪"),"",IF(LEFT(F832)="D","◎",IF(AG832=0,"",IFERROR(IF(VLOOKUP(AG832,★仕入先!$A$2:$C$211,3,FALSE)=0,"","◎"),"")))),"")</f>
        <v/>
      </c>
      <c r="AL832" s="460">
        <f>申込書!$H$14</f>
        <v>0</v>
      </c>
      <c r="AM832" s="460" t="str">
        <f>申込書!$C$32</f>
        <v>B4（折り無し）</v>
      </c>
      <c r="AN832" s="460" t="str">
        <f>VLOOKUP(AM832,★サイズ表記!$D$4:$E$55,2,FALSE)</f>
        <v>1001</v>
      </c>
      <c r="AO832" s="460">
        <f>IF(C832&lt;&gt;"⑧兵庫",VLOOKUP(LEFT(F832),★新聞!$A$4:$B$12,2,FALSE),IF(LEFT(F832)&lt;&gt;"S",VLOOKUP(LEFT(F832),★新聞!$A$4:$B$12,2,FALSE),VLOOKUP("X",★新聞!$A$4:$B$12,2,FALSE)))</f>
        <v>5</v>
      </c>
      <c r="AP832" s="460" t="str">
        <f t="shared" ca="1" si="100"/>
        <v>0</v>
      </c>
      <c r="AQ832" s="460" t="str">
        <f>IF(申込書!$C$38="","",申込書!$C$38)</f>
        <v/>
      </c>
    </row>
    <row r="833" spans="1:43">
      <c r="A833" s="463">
        <f t="shared" si="101"/>
        <v>832</v>
      </c>
      <c r="B833" s="463" t="str">
        <f t="shared" si="102"/>
        <v>東部</v>
      </c>
      <c r="C833" s="464" t="s">
        <v>1020</v>
      </c>
      <c r="D833" s="464" t="s">
        <v>1603</v>
      </c>
      <c r="E833" s="464">
        <f>VLOOKUP(D833,★折込地区!$A$2:$D$10,4,FALSE)</f>
        <v>3</v>
      </c>
      <c r="F833" s="464" t="s">
        <v>491</v>
      </c>
      <c r="G833" s="464" t="str">
        <f>INDEX(★新聞!$E$4:$I$12, MATCH(LEFT(F833),★新聞!$A$4:$A$12,0), MATCH(LEFT(W833),★新聞!$E$3:$I$3,0))</f>
        <v>AM</v>
      </c>
      <c r="H833" s="475" t="s">
        <v>1103</v>
      </c>
      <c r="I833" s="464" cm="1">
        <f t="array" ref="I833">IFERROR(INDEX(★原価率!$A$2:$E$50,MATCH($C833&amp;$H833,★原価率!$A$2:$A$50&amp;★原価率!$B$2:$B$50,0),3),0)</f>
        <v>85</v>
      </c>
      <c r="J833" s="464" cm="1">
        <f t="array" ref="J833">IFERROR(INDEX(★原価率!$A$2:$E$50,MATCH($C833&amp;$H833,★原価率!$A$2:$A$50&amp;★原価率!$B$2:$B$50,0),4),0)</f>
        <v>85</v>
      </c>
      <c r="K833" s="464" cm="1">
        <f t="array" ref="K833">IFERROR(INDEX(★原価率!$A$2:$E$50,MATCH($C833&amp;$H833,★原価率!$A$2:$A$50&amp;★原価率!$B$2:$B$50,0),5),0)</f>
        <v>100</v>
      </c>
      <c r="L833" s="528">
        <f>IFERROR(VLOOKUP(W833,★商品!$A$1:$H$1231,8,FALSE),0)</f>
        <v>2.8</v>
      </c>
      <c r="M833" s="203" t="str">
        <f ca="1">CONCATENATE(VLOOKUP(B833,★営業所!$A$2:$B$5,2,FALSE),TEXT(NOW(),"yyyy"))</f>
        <v>T2023</v>
      </c>
      <c r="N833" s="203">
        <v>1</v>
      </c>
      <c r="O833" s="203">
        <v>0</v>
      </c>
      <c r="P833" s="213">
        <f>申込書!$B$6</f>
        <v>0</v>
      </c>
      <c r="Q833" s="203">
        <f>申込書!$C$34</f>
        <v>1000040</v>
      </c>
      <c r="R833" s="203">
        <v>0</v>
      </c>
      <c r="U833" s="203">
        <f>VLOOKUP(B833,★営業所!$A$2:$C$5,3,FALSE)</f>
        <v>8</v>
      </c>
      <c r="V833" s="203">
        <f>申込書!$B$9</f>
        <v>0</v>
      </c>
      <c r="W833" s="203" t="str">
        <f>CONCATENATE(VLOOKUP(B833,★営業所!$A$2:$B$5,2,FALSE),VLOOKUP(申込書!$C$32,★サイズ表記!$D$4:$E$55,2,FALSE),VLOOKUP(D833,★折込地区!$A$2:$B$11,2,FALSE))</f>
        <v>T1001Yng</v>
      </c>
      <c r="X833" s="203" t="str">
        <f>CONCATENATE(申込書!$B$9," ",VLOOKUP(RIGHT(W833,3),★折込地区!$B$2:$C$10,2,FALSE),"")</f>
        <v xml:space="preserve"> 米子</v>
      </c>
      <c r="Z833" s="206">
        <f t="shared" ca="1" si="95"/>
        <v>0</v>
      </c>
      <c r="AB833" s="383">
        <f t="shared" si="96"/>
        <v>2.8</v>
      </c>
      <c r="AC833" s="203" t="str">
        <f t="shared" si="97"/>
        <v>S1001</v>
      </c>
      <c r="AD833" s="203" t="str">
        <f>VLOOKUP(AC833,★原価商品!$E$6:$F$349,2,FALSE)</f>
        <v>山陰中央/B4（折り無し）</v>
      </c>
      <c r="AE833" s="203">
        <f t="shared" ca="1" si="98"/>
        <v>0</v>
      </c>
      <c r="AF833" s="383">
        <f ca="1">IFERROR(IF(VLOOKUP(申込書!$C$32,★サイズ表記!$F$4:$H$55,3,FALSE)="切り捨て",ROUNDDOWN(L833*IF(AK833="◎",I833,J833)/100,2),IF(VLOOKUP(申込書!$C$32,★サイズ表記!$F$4:$H$55,3,FALSE)="切り上げ",ROUNDUP(L833*IF(AK833="◎",I833,J833)/100,2),ROUND(L833*IF(AK833="◎",I833,J833)/100,2))),0)</f>
        <v>2.38</v>
      </c>
      <c r="AG833" s="203">
        <f t="shared" ca="1" si="99"/>
        <v>10561</v>
      </c>
      <c r="AJ833" s="460" t="str">
        <f>IFERROR(VLOOKUP(申込書!$C$30,★業種!$D$2:$E$87,2,FALSE),"")</f>
        <v>1003</v>
      </c>
      <c r="AK833" s="460" t="str">
        <f ca="1">IF(申込書!$C$36="◎",IF(OR(D833="浜坂・温泉",D833="美方・村岡",D833="香住",D833="岡山",D833="大阪"),"",IF(LEFT(F833)="D","◎",IF(AG833=0,"",IFERROR(IF(VLOOKUP(AG833,★仕入先!$A$2:$C$211,3,FALSE)=0,"","◎"),"")))),"")</f>
        <v/>
      </c>
      <c r="AL833" s="460">
        <f>申込書!$H$14</f>
        <v>0</v>
      </c>
      <c r="AM833" s="460" t="str">
        <f>申込書!$C$32</f>
        <v>B4（折り無し）</v>
      </c>
      <c r="AN833" s="460" t="str">
        <f>VLOOKUP(AM833,★サイズ表記!$D$4:$E$55,2,FALSE)</f>
        <v>1001</v>
      </c>
      <c r="AO833" s="460">
        <f>IF(C833&lt;&gt;"⑧兵庫",VLOOKUP(LEFT(F833),★新聞!$A$4:$B$12,2,FALSE),IF(LEFT(F833)&lt;&gt;"S",VLOOKUP(LEFT(F833),★新聞!$A$4:$B$12,2,FALSE),VLOOKUP("X",★新聞!$A$4:$B$12,2,FALSE)))</f>
        <v>6</v>
      </c>
      <c r="AP833" s="460" t="str">
        <f t="shared" ca="1" si="100"/>
        <v>0</v>
      </c>
      <c r="AQ833" s="460" t="str">
        <f>IF(申込書!$C$38="","",申込書!$C$38)</f>
        <v/>
      </c>
    </row>
    <row r="834" spans="1:43">
      <c r="A834" s="463">
        <f t="shared" si="101"/>
        <v>833</v>
      </c>
      <c r="B834" s="463" t="str">
        <f t="shared" si="102"/>
        <v>東部</v>
      </c>
      <c r="C834" s="464" t="s">
        <v>1020</v>
      </c>
      <c r="D834" s="464" t="s">
        <v>1603</v>
      </c>
      <c r="E834" s="464">
        <f>VLOOKUP(D834,★折込地区!$A$2:$D$10,4,FALSE)</f>
        <v>3</v>
      </c>
      <c r="F834" s="464" t="s">
        <v>492</v>
      </c>
      <c r="G834" s="464" t="str">
        <f>INDEX(★新聞!$E$4:$I$12, MATCH(LEFT(F834),★新聞!$A$4:$A$12,0), MATCH(LEFT(W834),★新聞!$E$3:$I$3,0))</f>
        <v>AM</v>
      </c>
      <c r="H834" s="475" t="s">
        <v>1103</v>
      </c>
      <c r="I834" s="464" cm="1">
        <f t="array" ref="I834">IFERROR(INDEX(★原価率!$A$2:$E$50,MATCH($C834&amp;$H834,★原価率!$A$2:$A$50&amp;★原価率!$B$2:$B$50,0),3),0)</f>
        <v>85</v>
      </c>
      <c r="J834" s="464" cm="1">
        <f t="array" ref="J834">IFERROR(INDEX(★原価率!$A$2:$E$50,MATCH($C834&amp;$H834,★原価率!$A$2:$A$50&amp;★原価率!$B$2:$B$50,0),4),0)</f>
        <v>85</v>
      </c>
      <c r="K834" s="464" cm="1">
        <f t="array" ref="K834">IFERROR(INDEX(★原価率!$A$2:$E$50,MATCH($C834&amp;$H834,★原価率!$A$2:$A$50&amp;★原価率!$B$2:$B$50,0),5),0)</f>
        <v>100</v>
      </c>
      <c r="L834" s="528">
        <f>IFERROR(VLOOKUP(W834,★商品!$A$1:$H$1231,8,FALSE),0)</f>
        <v>2.8</v>
      </c>
      <c r="M834" s="203" t="str">
        <f ca="1">CONCATENATE(VLOOKUP(B834,★営業所!$A$2:$B$5,2,FALSE),TEXT(NOW(),"yyyy"))</f>
        <v>T2023</v>
      </c>
      <c r="N834" s="203">
        <v>1</v>
      </c>
      <c r="O834" s="203">
        <v>0</v>
      </c>
      <c r="P834" s="213">
        <f>申込書!$B$6</f>
        <v>0</v>
      </c>
      <c r="Q834" s="203">
        <f>申込書!$C$34</f>
        <v>1000040</v>
      </c>
      <c r="R834" s="203">
        <v>0</v>
      </c>
      <c r="U834" s="203">
        <f>VLOOKUP(B834,★営業所!$A$2:$C$5,3,FALSE)</f>
        <v>8</v>
      </c>
      <c r="V834" s="203">
        <f>申込書!$B$9</f>
        <v>0</v>
      </c>
      <c r="W834" s="203" t="str">
        <f>CONCATENATE(VLOOKUP(B834,★営業所!$A$2:$B$5,2,FALSE),VLOOKUP(申込書!$C$32,★サイズ表記!$D$4:$E$55,2,FALSE),VLOOKUP(D834,★折込地区!$A$2:$B$11,2,FALSE))</f>
        <v>T1001Yng</v>
      </c>
      <c r="X834" s="203" t="str">
        <f>CONCATENATE(申込書!$B$9," ",VLOOKUP(RIGHT(W834,3),★折込地区!$B$2:$C$10,2,FALSE),"")</f>
        <v xml:space="preserve"> 米子</v>
      </c>
      <c r="Z834" s="206">
        <f t="shared" ref="Z834:Z897" ca="1" si="103">SUMIFS($AE$2:$AE$977,$W$2:$W$977,W834,$AG$2:$AG$977,"&lt;&gt;0")</f>
        <v>0</v>
      </c>
      <c r="AB834" s="383">
        <f t="shared" ref="AB834:AB897" si="104">IFERROR(L834*K834/100,0)</f>
        <v>2.8</v>
      </c>
      <c r="AC834" s="203" t="str">
        <f t="shared" ref="AC834:AC897" si="105">CONCATENATE(LEFT(F834),AN834)</f>
        <v>S1001</v>
      </c>
      <c r="AD834" s="203" t="str">
        <f>VLOOKUP(AC834,★原価商品!$E$6:$F$349,2,FALSE)</f>
        <v>山陰中央/B4（折り無し）</v>
      </c>
      <c r="AE834" s="203">
        <f t="shared" ref="AE834:AE897" ca="1" si="106">INDIRECT(C834 &amp; "!" &amp; F834)</f>
        <v>0</v>
      </c>
      <c r="AF834" s="383">
        <f ca="1">IFERROR(IF(VLOOKUP(申込書!$C$32,★サイズ表記!$F$4:$H$55,3,FALSE)="切り捨て",ROUNDDOWN(L834*IF(AK834="◎",I834,J834)/100,2),IF(VLOOKUP(申込書!$C$32,★サイズ表記!$F$4:$H$55,3,FALSE)="切り上げ",ROUNDUP(L834*IF(AK834="◎",I834,J834)/100,2),ROUND(L834*IF(AK834="◎",I834,J834)/100,2))),0)</f>
        <v>2.38</v>
      </c>
      <c r="AG834" s="203">
        <f t="shared" ref="AG834:AG897" ca="1" si="107">IFERROR(INDIRECT(C834 &amp; "!" &amp; G834 &amp; MID(F834,2,1000)),0)</f>
        <v>10561</v>
      </c>
      <c r="AJ834" s="460" t="str">
        <f>IFERROR(VLOOKUP(申込書!$C$30,★業種!$D$2:$E$87,2,FALSE),"")</f>
        <v>1003</v>
      </c>
      <c r="AK834" s="460" t="str">
        <f ca="1">IF(申込書!$C$36="◎",IF(OR(D834="浜坂・温泉",D834="美方・村岡",D834="香住",D834="岡山",D834="大阪"),"",IF(LEFT(F834)="D","◎",IF(AG834=0,"",IFERROR(IF(VLOOKUP(AG834,★仕入先!$A$2:$C$211,3,FALSE)=0,"","◎"),"")))),"")</f>
        <v/>
      </c>
      <c r="AL834" s="460">
        <f>申込書!$H$14</f>
        <v>0</v>
      </c>
      <c r="AM834" s="460" t="str">
        <f>申込書!$C$32</f>
        <v>B4（折り無し）</v>
      </c>
      <c r="AN834" s="460" t="str">
        <f>VLOOKUP(AM834,★サイズ表記!$D$4:$E$55,2,FALSE)</f>
        <v>1001</v>
      </c>
      <c r="AO834" s="460">
        <f>IF(C834&lt;&gt;"⑧兵庫",VLOOKUP(LEFT(F834),★新聞!$A$4:$B$12,2,FALSE),IF(LEFT(F834)&lt;&gt;"S",VLOOKUP(LEFT(F834),★新聞!$A$4:$B$12,2,FALSE),VLOOKUP("X",★新聞!$A$4:$B$12,2,FALSE)))</f>
        <v>6</v>
      </c>
      <c r="AP834" s="460" t="str">
        <f t="shared" ref="AP834:AP897" ca="1" si="108">FIXED(SUM($AE$2:$AE$977),0,FALSE)</f>
        <v>0</v>
      </c>
      <c r="AQ834" s="460" t="str">
        <f>IF(申込書!$C$38="","",申込書!$C$38)</f>
        <v/>
      </c>
    </row>
    <row r="835" spans="1:43">
      <c r="A835" s="463">
        <f t="shared" si="101"/>
        <v>834</v>
      </c>
      <c r="B835" s="463" t="str">
        <f t="shared" si="102"/>
        <v>東部</v>
      </c>
      <c r="C835" s="464" t="s">
        <v>1020</v>
      </c>
      <c r="D835" s="464" t="s">
        <v>1603</v>
      </c>
      <c r="E835" s="464">
        <f>VLOOKUP(D835,★折込地区!$A$2:$D$10,4,FALSE)</f>
        <v>3</v>
      </c>
      <c r="F835" s="464" t="s">
        <v>493</v>
      </c>
      <c r="G835" s="464" t="str">
        <f>INDEX(★新聞!$E$4:$I$12, MATCH(LEFT(F835),★新聞!$A$4:$A$12,0), MATCH(LEFT(W835),★新聞!$E$3:$I$3,0))</f>
        <v>AM</v>
      </c>
      <c r="H835" s="475" t="s">
        <v>1103</v>
      </c>
      <c r="I835" s="464" cm="1">
        <f t="array" ref="I835">IFERROR(INDEX(★原価率!$A$2:$E$50,MATCH($C835&amp;$H835,★原価率!$A$2:$A$50&amp;★原価率!$B$2:$B$50,0),3),0)</f>
        <v>85</v>
      </c>
      <c r="J835" s="464" cm="1">
        <f t="array" ref="J835">IFERROR(INDEX(★原価率!$A$2:$E$50,MATCH($C835&amp;$H835,★原価率!$A$2:$A$50&amp;★原価率!$B$2:$B$50,0),4),0)</f>
        <v>85</v>
      </c>
      <c r="K835" s="464" cm="1">
        <f t="array" ref="K835">IFERROR(INDEX(★原価率!$A$2:$E$50,MATCH($C835&amp;$H835,★原価率!$A$2:$A$50&amp;★原価率!$B$2:$B$50,0),5),0)</f>
        <v>100</v>
      </c>
      <c r="L835" s="528">
        <f>IFERROR(VLOOKUP(W835,★商品!$A$1:$H$1231,8,FALSE),0)</f>
        <v>2.8</v>
      </c>
      <c r="M835" s="203" t="str">
        <f ca="1">CONCATENATE(VLOOKUP(B835,★営業所!$A$2:$B$5,2,FALSE),TEXT(NOW(),"yyyy"))</f>
        <v>T2023</v>
      </c>
      <c r="N835" s="203">
        <v>1</v>
      </c>
      <c r="O835" s="203">
        <v>0</v>
      </c>
      <c r="P835" s="213">
        <f>申込書!$B$6</f>
        <v>0</v>
      </c>
      <c r="Q835" s="203">
        <f>申込書!$C$34</f>
        <v>1000040</v>
      </c>
      <c r="R835" s="203">
        <v>0</v>
      </c>
      <c r="U835" s="203">
        <f>VLOOKUP(B835,★営業所!$A$2:$C$5,3,FALSE)</f>
        <v>8</v>
      </c>
      <c r="V835" s="203">
        <f>申込書!$B$9</f>
        <v>0</v>
      </c>
      <c r="W835" s="203" t="str">
        <f>CONCATENATE(VLOOKUP(B835,★営業所!$A$2:$B$5,2,FALSE),VLOOKUP(申込書!$C$32,★サイズ表記!$D$4:$E$55,2,FALSE),VLOOKUP(D835,★折込地区!$A$2:$B$11,2,FALSE))</f>
        <v>T1001Yng</v>
      </c>
      <c r="X835" s="203" t="str">
        <f>CONCATENATE(申込書!$B$9," ",VLOOKUP(RIGHT(W835,3),★折込地区!$B$2:$C$10,2,FALSE),"")</f>
        <v xml:space="preserve"> 米子</v>
      </c>
      <c r="Z835" s="206">
        <f t="shared" ca="1" si="103"/>
        <v>0</v>
      </c>
      <c r="AB835" s="383">
        <f t="shared" si="104"/>
        <v>2.8</v>
      </c>
      <c r="AC835" s="203" t="str">
        <f t="shared" si="105"/>
        <v>S1001</v>
      </c>
      <c r="AD835" s="203" t="str">
        <f>VLOOKUP(AC835,★原価商品!$E$6:$F$349,2,FALSE)</f>
        <v>山陰中央/B4（折り無し）</v>
      </c>
      <c r="AE835" s="203">
        <f t="shared" ca="1" si="106"/>
        <v>0</v>
      </c>
      <c r="AF835" s="383">
        <f ca="1">IFERROR(IF(VLOOKUP(申込書!$C$32,★サイズ表記!$F$4:$H$55,3,FALSE)="切り捨て",ROUNDDOWN(L835*IF(AK835="◎",I835,J835)/100,2),IF(VLOOKUP(申込書!$C$32,★サイズ表記!$F$4:$H$55,3,FALSE)="切り上げ",ROUNDUP(L835*IF(AK835="◎",I835,J835)/100,2),ROUND(L835*IF(AK835="◎",I835,J835)/100,2))),0)</f>
        <v>2.38</v>
      </c>
      <c r="AG835" s="203">
        <f t="shared" ca="1" si="107"/>
        <v>10561</v>
      </c>
      <c r="AJ835" s="460" t="str">
        <f>IFERROR(VLOOKUP(申込書!$C$30,★業種!$D$2:$E$87,2,FALSE),"")</f>
        <v>1003</v>
      </c>
      <c r="AK835" s="460" t="str">
        <f ca="1">IF(申込書!$C$36="◎",IF(OR(D835="浜坂・温泉",D835="美方・村岡",D835="香住",D835="岡山",D835="大阪"),"",IF(LEFT(F835)="D","◎",IF(AG835=0,"",IFERROR(IF(VLOOKUP(AG835,★仕入先!$A$2:$C$211,3,FALSE)=0,"","◎"),"")))),"")</f>
        <v/>
      </c>
      <c r="AL835" s="460">
        <f>申込書!$H$14</f>
        <v>0</v>
      </c>
      <c r="AM835" s="460" t="str">
        <f>申込書!$C$32</f>
        <v>B4（折り無し）</v>
      </c>
      <c r="AN835" s="460" t="str">
        <f>VLOOKUP(AM835,★サイズ表記!$D$4:$E$55,2,FALSE)</f>
        <v>1001</v>
      </c>
      <c r="AO835" s="460">
        <f>IF(C835&lt;&gt;"⑧兵庫",VLOOKUP(LEFT(F835),★新聞!$A$4:$B$12,2,FALSE),IF(LEFT(F835)&lt;&gt;"S",VLOOKUP(LEFT(F835),★新聞!$A$4:$B$12,2,FALSE),VLOOKUP("X",★新聞!$A$4:$B$12,2,FALSE)))</f>
        <v>6</v>
      </c>
      <c r="AP835" s="460" t="str">
        <f t="shared" ca="1" si="108"/>
        <v>0</v>
      </c>
      <c r="AQ835" s="460" t="str">
        <f>IF(申込書!$C$38="","",申込書!$C$38)</f>
        <v/>
      </c>
    </row>
    <row r="836" spans="1:43">
      <c r="A836" s="463">
        <f t="shared" ref="A836:A974" si="109">A835+1</f>
        <v>835</v>
      </c>
      <c r="B836" s="463" t="str">
        <f t="shared" si="102"/>
        <v>東部</v>
      </c>
      <c r="C836" s="464" t="s">
        <v>1020</v>
      </c>
      <c r="D836" s="464" t="s">
        <v>1603</v>
      </c>
      <c r="E836" s="464">
        <f>VLOOKUP(D836,★折込地区!$A$2:$D$10,4,FALSE)</f>
        <v>3</v>
      </c>
      <c r="F836" s="464" t="s">
        <v>494</v>
      </c>
      <c r="G836" s="464" t="str">
        <f>INDEX(★新聞!$E$4:$I$12, MATCH(LEFT(F836),★新聞!$A$4:$A$12,0), MATCH(LEFT(W836),★新聞!$E$3:$I$3,0))</f>
        <v>AM</v>
      </c>
      <c r="H836" s="475" t="s">
        <v>1103</v>
      </c>
      <c r="I836" s="464" cm="1">
        <f t="array" ref="I836">IFERROR(INDEX(★原価率!$A$2:$E$50,MATCH($C836&amp;$H836,★原価率!$A$2:$A$50&amp;★原価率!$B$2:$B$50,0),3),0)</f>
        <v>85</v>
      </c>
      <c r="J836" s="464" cm="1">
        <f t="array" ref="J836">IFERROR(INDEX(★原価率!$A$2:$E$50,MATCH($C836&amp;$H836,★原価率!$A$2:$A$50&amp;★原価率!$B$2:$B$50,0),4),0)</f>
        <v>85</v>
      </c>
      <c r="K836" s="464" cm="1">
        <f t="array" ref="K836">IFERROR(INDEX(★原価率!$A$2:$E$50,MATCH($C836&amp;$H836,★原価率!$A$2:$A$50&amp;★原価率!$B$2:$B$50,0),5),0)</f>
        <v>100</v>
      </c>
      <c r="L836" s="528">
        <f>IFERROR(VLOOKUP(W836,★商品!$A$1:$H$1231,8,FALSE),0)</f>
        <v>2.8</v>
      </c>
      <c r="M836" s="203" t="str">
        <f ca="1">CONCATENATE(VLOOKUP(B836,★営業所!$A$2:$B$5,2,FALSE),TEXT(NOW(),"yyyy"))</f>
        <v>T2023</v>
      </c>
      <c r="N836" s="203">
        <v>1</v>
      </c>
      <c r="O836" s="203">
        <v>0</v>
      </c>
      <c r="P836" s="213">
        <f>申込書!$B$6</f>
        <v>0</v>
      </c>
      <c r="Q836" s="203">
        <f>申込書!$C$34</f>
        <v>1000040</v>
      </c>
      <c r="R836" s="203">
        <v>0</v>
      </c>
      <c r="U836" s="203">
        <f>VLOOKUP(B836,★営業所!$A$2:$C$5,3,FALSE)</f>
        <v>8</v>
      </c>
      <c r="V836" s="203">
        <f>申込書!$B$9</f>
        <v>0</v>
      </c>
      <c r="W836" s="203" t="str">
        <f>CONCATENATE(VLOOKUP(B836,★営業所!$A$2:$B$5,2,FALSE),VLOOKUP(申込書!$C$32,★サイズ表記!$D$4:$E$55,2,FALSE),VLOOKUP(D836,★折込地区!$A$2:$B$11,2,FALSE))</f>
        <v>T1001Yng</v>
      </c>
      <c r="X836" s="203" t="str">
        <f>CONCATENATE(申込書!$B$9," ",VLOOKUP(RIGHT(W836,3),★折込地区!$B$2:$C$10,2,FALSE),"")</f>
        <v xml:space="preserve"> 米子</v>
      </c>
      <c r="Z836" s="206">
        <f t="shared" ca="1" si="103"/>
        <v>0</v>
      </c>
      <c r="AB836" s="383">
        <f t="shared" si="104"/>
        <v>2.8</v>
      </c>
      <c r="AC836" s="203" t="str">
        <f t="shared" si="105"/>
        <v>S1001</v>
      </c>
      <c r="AD836" s="203" t="str">
        <f>VLOOKUP(AC836,★原価商品!$E$6:$F$349,2,FALSE)</f>
        <v>山陰中央/B4（折り無し）</v>
      </c>
      <c r="AE836" s="203">
        <f t="shared" ca="1" si="106"/>
        <v>0</v>
      </c>
      <c r="AF836" s="383">
        <f ca="1">IFERROR(IF(VLOOKUP(申込書!$C$32,★サイズ表記!$F$4:$H$55,3,FALSE)="切り捨て",ROUNDDOWN(L836*IF(AK836="◎",I836,J836)/100,2),IF(VLOOKUP(申込書!$C$32,★サイズ表記!$F$4:$H$55,3,FALSE)="切り上げ",ROUNDUP(L836*IF(AK836="◎",I836,J836)/100,2),ROUND(L836*IF(AK836="◎",I836,J836)/100,2))),0)</f>
        <v>2.38</v>
      </c>
      <c r="AG836" s="203">
        <f t="shared" ca="1" si="107"/>
        <v>10561</v>
      </c>
      <c r="AJ836" s="460" t="str">
        <f>IFERROR(VLOOKUP(申込書!$C$30,★業種!$D$2:$E$87,2,FALSE),"")</f>
        <v>1003</v>
      </c>
      <c r="AK836" s="460" t="str">
        <f ca="1">IF(申込書!$C$36="◎",IF(OR(D836="浜坂・温泉",D836="美方・村岡",D836="香住",D836="岡山",D836="大阪"),"",IF(LEFT(F836)="D","◎",IF(AG836=0,"",IFERROR(IF(VLOOKUP(AG836,★仕入先!$A$2:$C$211,3,FALSE)=0,"","◎"),"")))),"")</f>
        <v/>
      </c>
      <c r="AL836" s="460">
        <f>申込書!$H$14</f>
        <v>0</v>
      </c>
      <c r="AM836" s="460" t="str">
        <f>申込書!$C$32</f>
        <v>B4（折り無し）</v>
      </c>
      <c r="AN836" s="460" t="str">
        <f>VLOOKUP(AM836,★サイズ表記!$D$4:$E$55,2,FALSE)</f>
        <v>1001</v>
      </c>
      <c r="AO836" s="460">
        <f>IF(C836&lt;&gt;"⑧兵庫",VLOOKUP(LEFT(F836),★新聞!$A$4:$B$12,2,FALSE),IF(LEFT(F836)&lt;&gt;"S",VLOOKUP(LEFT(F836),★新聞!$A$4:$B$12,2,FALSE),VLOOKUP("X",★新聞!$A$4:$B$12,2,FALSE)))</f>
        <v>6</v>
      </c>
      <c r="AP836" s="460" t="str">
        <f t="shared" ca="1" si="108"/>
        <v>0</v>
      </c>
      <c r="AQ836" s="460" t="str">
        <f>IF(申込書!$C$38="","",申込書!$C$38)</f>
        <v/>
      </c>
    </row>
    <row r="837" spans="1:43">
      <c r="A837" s="463">
        <f t="shared" si="109"/>
        <v>836</v>
      </c>
      <c r="B837" s="463" t="str">
        <f t="shared" si="102"/>
        <v>東部</v>
      </c>
      <c r="C837" s="464" t="s">
        <v>1020</v>
      </c>
      <c r="D837" s="464" t="s">
        <v>1603</v>
      </c>
      <c r="E837" s="464">
        <f>VLOOKUP(D837,★折込地区!$A$2:$D$10,4,FALSE)</f>
        <v>3</v>
      </c>
      <c r="F837" s="464" t="s">
        <v>495</v>
      </c>
      <c r="G837" s="464" t="str">
        <f>INDEX(★新聞!$E$4:$I$12, MATCH(LEFT(F837),★新聞!$A$4:$A$12,0), MATCH(LEFT(W837),★新聞!$E$3:$I$3,0))</f>
        <v>AM</v>
      </c>
      <c r="H837" s="475" t="s">
        <v>1103</v>
      </c>
      <c r="I837" s="464" cm="1">
        <f t="array" ref="I837">IFERROR(INDEX(★原価率!$A$2:$E$50,MATCH($C837&amp;$H837,★原価率!$A$2:$A$50&amp;★原価率!$B$2:$B$50,0),3),0)</f>
        <v>85</v>
      </c>
      <c r="J837" s="464" cm="1">
        <f t="array" ref="J837">IFERROR(INDEX(★原価率!$A$2:$E$50,MATCH($C837&amp;$H837,★原価率!$A$2:$A$50&amp;★原価率!$B$2:$B$50,0),4),0)</f>
        <v>85</v>
      </c>
      <c r="K837" s="464" cm="1">
        <f t="array" ref="K837">IFERROR(INDEX(★原価率!$A$2:$E$50,MATCH($C837&amp;$H837,★原価率!$A$2:$A$50&amp;★原価率!$B$2:$B$50,0),5),0)</f>
        <v>100</v>
      </c>
      <c r="L837" s="528">
        <f>IFERROR(VLOOKUP(W837,★商品!$A$1:$H$1231,8,FALSE),0)</f>
        <v>2.8</v>
      </c>
      <c r="M837" s="203" t="str">
        <f ca="1">CONCATENATE(VLOOKUP(B837,★営業所!$A$2:$B$5,2,FALSE),TEXT(NOW(),"yyyy"))</f>
        <v>T2023</v>
      </c>
      <c r="N837" s="203">
        <v>1</v>
      </c>
      <c r="O837" s="203">
        <v>0</v>
      </c>
      <c r="P837" s="213">
        <f>申込書!$B$6</f>
        <v>0</v>
      </c>
      <c r="Q837" s="203">
        <f>申込書!$C$34</f>
        <v>1000040</v>
      </c>
      <c r="R837" s="203">
        <v>0</v>
      </c>
      <c r="U837" s="203">
        <f>VLOOKUP(B837,★営業所!$A$2:$C$5,3,FALSE)</f>
        <v>8</v>
      </c>
      <c r="V837" s="203">
        <f>申込書!$B$9</f>
        <v>0</v>
      </c>
      <c r="W837" s="203" t="str">
        <f>CONCATENATE(VLOOKUP(B837,★営業所!$A$2:$B$5,2,FALSE),VLOOKUP(申込書!$C$32,★サイズ表記!$D$4:$E$55,2,FALSE),VLOOKUP(D837,★折込地区!$A$2:$B$11,2,FALSE))</f>
        <v>T1001Yng</v>
      </c>
      <c r="X837" s="203" t="str">
        <f>CONCATENATE(申込書!$B$9," ",VLOOKUP(RIGHT(W837,3),★折込地区!$B$2:$C$10,2,FALSE),"")</f>
        <v xml:space="preserve"> 米子</v>
      </c>
      <c r="Z837" s="206">
        <f t="shared" ca="1" si="103"/>
        <v>0</v>
      </c>
      <c r="AB837" s="383">
        <f t="shared" si="104"/>
        <v>2.8</v>
      </c>
      <c r="AC837" s="203" t="str">
        <f t="shared" si="105"/>
        <v>S1001</v>
      </c>
      <c r="AD837" s="203" t="str">
        <f>VLOOKUP(AC837,★原価商品!$E$6:$F$349,2,FALSE)</f>
        <v>山陰中央/B4（折り無し）</v>
      </c>
      <c r="AE837" s="203">
        <f t="shared" ca="1" si="106"/>
        <v>0</v>
      </c>
      <c r="AF837" s="383">
        <f ca="1">IFERROR(IF(VLOOKUP(申込書!$C$32,★サイズ表記!$F$4:$H$55,3,FALSE)="切り捨て",ROUNDDOWN(L837*IF(AK837="◎",I837,J837)/100,2),IF(VLOOKUP(申込書!$C$32,★サイズ表記!$F$4:$H$55,3,FALSE)="切り上げ",ROUNDUP(L837*IF(AK837="◎",I837,J837)/100,2),ROUND(L837*IF(AK837="◎",I837,J837)/100,2))),0)</f>
        <v>2.38</v>
      </c>
      <c r="AG837" s="203">
        <f t="shared" ca="1" si="107"/>
        <v>10561</v>
      </c>
      <c r="AJ837" s="460" t="str">
        <f>IFERROR(VLOOKUP(申込書!$C$30,★業種!$D$2:$E$87,2,FALSE),"")</f>
        <v>1003</v>
      </c>
      <c r="AK837" s="460" t="str">
        <f ca="1">IF(申込書!$C$36="◎",IF(OR(D837="浜坂・温泉",D837="美方・村岡",D837="香住",D837="岡山",D837="大阪"),"",IF(LEFT(F837)="D","◎",IF(AG837=0,"",IFERROR(IF(VLOOKUP(AG837,★仕入先!$A$2:$C$211,3,FALSE)=0,"","◎"),"")))),"")</f>
        <v/>
      </c>
      <c r="AL837" s="460">
        <f>申込書!$H$14</f>
        <v>0</v>
      </c>
      <c r="AM837" s="460" t="str">
        <f>申込書!$C$32</f>
        <v>B4（折り無し）</v>
      </c>
      <c r="AN837" s="460" t="str">
        <f>VLOOKUP(AM837,★サイズ表記!$D$4:$E$55,2,FALSE)</f>
        <v>1001</v>
      </c>
      <c r="AO837" s="460">
        <f>IF(C837&lt;&gt;"⑧兵庫",VLOOKUP(LEFT(F837),★新聞!$A$4:$B$12,2,FALSE),IF(LEFT(F837)&lt;&gt;"S",VLOOKUP(LEFT(F837),★新聞!$A$4:$B$12,2,FALSE),VLOOKUP("X",★新聞!$A$4:$B$12,2,FALSE)))</f>
        <v>6</v>
      </c>
      <c r="AP837" s="460" t="str">
        <f t="shared" ca="1" si="108"/>
        <v>0</v>
      </c>
      <c r="AQ837" s="460" t="str">
        <f>IF(申込書!$C$38="","",申込書!$C$38)</f>
        <v/>
      </c>
    </row>
    <row r="838" spans="1:43">
      <c r="A838" s="463">
        <f t="shared" si="109"/>
        <v>837</v>
      </c>
      <c r="B838" s="463" t="str">
        <f t="shared" si="102"/>
        <v>東部</v>
      </c>
      <c r="C838" s="464" t="s">
        <v>1020</v>
      </c>
      <c r="D838" s="464" t="s">
        <v>1603</v>
      </c>
      <c r="E838" s="464">
        <f>VLOOKUP(D838,★折込地区!$A$2:$D$10,4,FALSE)</f>
        <v>3</v>
      </c>
      <c r="F838" s="464" t="s">
        <v>496</v>
      </c>
      <c r="G838" s="464" t="str">
        <f>INDEX(★新聞!$E$4:$I$12, MATCH(LEFT(F838),★新聞!$A$4:$A$12,0), MATCH(LEFT(W838),★新聞!$E$3:$I$3,0))</f>
        <v>AM</v>
      </c>
      <c r="H838" s="475" t="s">
        <v>1103</v>
      </c>
      <c r="I838" s="464" cm="1">
        <f t="array" ref="I838">IFERROR(INDEX(★原価率!$A$2:$E$50,MATCH($C838&amp;$H838,★原価率!$A$2:$A$50&amp;★原価率!$B$2:$B$50,0),3),0)</f>
        <v>85</v>
      </c>
      <c r="J838" s="464" cm="1">
        <f t="array" ref="J838">IFERROR(INDEX(★原価率!$A$2:$E$50,MATCH($C838&amp;$H838,★原価率!$A$2:$A$50&amp;★原価率!$B$2:$B$50,0),4),0)</f>
        <v>85</v>
      </c>
      <c r="K838" s="464" cm="1">
        <f t="array" ref="K838">IFERROR(INDEX(★原価率!$A$2:$E$50,MATCH($C838&amp;$H838,★原価率!$A$2:$A$50&amp;★原価率!$B$2:$B$50,0),5),0)</f>
        <v>100</v>
      </c>
      <c r="L838" s="528">
        <f>IFERROR(VLOOKUP(W838,★商品!$A$1:$H$1231,8,FALSE),0)</f>
        <v>2.8</v>
      </c>
      <c r="M838" s="203" t="str">
        <f ca="1">CONCATENATE(VLOOKUP(B838,★営業所!$A$2:$B$5,2,FALSE),TEXT(NOW(),"yyyy"))</f>
        <v>T2023</v>
      </c>
      <c r="N838" s="203">
        <v>1</v>
      </c>
      <c r="O838" s="203">
        <v>0</v>
      </c>
      <c r="P838" s="213">
        <f>申込書!$B$6</f>
        <v>0</v>
      </c>
      <c r="Q838" s="203">
        <f>申込書!$C$34</f>
        <v>1000040</v>
      </c>
      <c r="R838" s="203">
        <v>0</v>
      </c>
      <c r="U838" s="203">
        <f>VLOOKUP(B838,★営業所!$A$2:$C$5,3,FALSE)</f>
        <v>8</v>
      </c>
      <c r="V838" s="203">
        <f>申込書!$B$9</f>
        <v>0</v>
      </c>
      <c r="W838" s="203" t="str">
        <f>CONCATENATE(VLOOKUP(B838,★営業所!$A$2:$B$5,2,FALSE),VLOOKUP(申込書!$C$32,★サイズ表記!$D$4:$E$55,2,FALSE),VLOOKUP(D838,★折込地区!$A$2:$B$11,2,FALSE))</f>
        <v>T1001Yng</v>
      </c>
      <c r="X838" s="203" t="str">
        <f>CONCATENATE(申込書!$B$9," ",VLOOKUP(RIGHT(W838,3),★折込地区!$B$2:$C$10,2,FALSE),"")</f>
        <v xml:space="preserve"> 米子</v>
      </c>
      <c r="Z838" s="206">
        <f t="shared" ca="1" si="103"/>
        <v>0</v>
      </c>
      <c r="AB838" s="383">
        <f t="shared" si="104"/>
        <v>2.8</v>
      </c>
      <c r="AC838" s="203" t="str">
        <f t="shared" si="105"/>
        <v>S1001</v>
      </c>
      <c r="AD838" s="203" t="str">
        <f>VLOOKUP(AC838,★原価商品!$E$6:$F$349,2,FALSE)</f>
        <v>山陰中央/B4（折り無し）</v>
      </c>
      <c r="AE838" s="203">
        <f t="shared" ca="1" si="106"/>
        <v>0</v>
      </c>
      <c r="AF838" s="383">
        <f ca="1">IFERROR(IF(VLOOKUP(申込書!$C$32,★サイズ表記!$F$4:$H$55,3,FALSE)="切り捨て",ROUNDDOWN(L838*IF(AK838="◎",I838,J838)/100,2),IF(VLOOKUP(申込書!$C$32,★サイズ表記!$F$4:$H$55,3,FALSE)="切り上げ",ROUNDUP(L838*IF(AK838="◎",I838,J838)/100,2),ROUND(L838*IF(AK838="◎",I838,J838)/100,2))),0)</f>
        <v>2.38</v>
      </c>
      <c r="AG838" s="203">
        <f t="shared" ca="1" si="107"/>
        <v>10561</v>
      </c>
      <c r="AJ838" s="460" t="str">
        <f>IFERROR(VLOOKUP(申込書!$C$30,★業種!$D$2:$E$87,2,FALSE),"")</f>
        <v>1003</v>
      </c>
      <c r="AK838" s="460" t="str">
        <f ca="1">IF(申込書!$C$36="◎",IF(OR(D838="浜坂・温泉",D838="美方・村岡",D838="香住",D838="岡山",D838="大阪"),"",IF(LEFT(F838)="D","◎",IF(AG838=0,"",IFERROR(IF(VLOOKUP(AG838,★仕入先!$A$2:$C$211,3,FALSE)=0,"","◎"),"")))),"")</f>
        <v/>
      </c>
      <c r="AL838" s="460">
        <f>申込書!$H$14</f>
        <v>0</v>
      </c>
      <c r="AM838" s="460" t="str">
        <f>申込書!$C$32</f>
        <v>B4（折り無し）</v>
      </c>
      <c r="AN838" s="460" t="str">
        <f>VLOOKUP(AM838,★サイズ表記!$D$4:$E$55,2,FALSE)</f>
        <v>1001</v>
      </c>
      <c r="AO838" s="460">
        <f>IF(C838&lt;&gt;"⑧兵庫",VLOOKUP(LEFT(F838),★新聞!$A$4:$B$12,2,FALSE),IF(LEFT(F838)&lt;&gt;"S",VLOOKUP(LEFT(F838),★新聞!$A$4:$B$12,2,FALSE),VLOOKUP("X",★新聞!$A$4:$B$12,2,FALSE)))</f>
        <v>6</v>
      </c>
      <c r="AP838" s="460" t="str">
        <f t="shared" ca="1" si="108"/>
        <v>0</v>
      </c>
      <c r="AQ838" s="460" t="str">
        <f>IF(申込書!$C$38="","",申込書!$C$38)</f>
        <v/>
      </c>
    </row>
    <row r="839" spans="1:43">
      <c r="A839" s="463">
        <f t="shared" si="109"/>
        <v>838</v>
      </c>
      <c r="B839" s="463" t="str">
        <f t="shared" si="102"/>
        <v>東部</v>
      </c>
      <c r="C839" s="464" t="s">
        <v>1020</v>
      </c>
      <c r="D839" s="464" t="s">
        <v>1603</v>
      </c>
      <c r="E839" s="464">
        <f>VLOOKUP(D839,★折込地区!$A$2:$D$10,4,FALSE)</f>
        <v>3</v>
      </c>
      <c r="F839" s="464" t="s">
        <v>513</v>
      </c>
      <c r="G839" s="464" t="str">
        <f>INDEX(★新聞!$E$4:$I$12, MATCH(LEFT(F839),★新聞!$A$4:$A$12,0), MATCH(LEFT(W839),★新聞!$E$3:$I$3,0))</f>
        <v>AP</v>
      </c>
      <c r="H839" s="475" t="s">
        <v>1104</v>
      </c>
      <c r="I839" s="464" cm="1">
        <f t="array" ref="I839">IFERROR(INDEX(★原価率!$A$2:$E$50,MATCH($C839&amp;$H839,★原価率!$A$2:$A$50&amp;★原価率!$B$2:$B$50,0),3),0)</f>
        <v>85</v>
      </c>
      <c r="J839" s="464" cm="1">
        <f t="array" ref="J839">IFERROR(INDEX(★原価率!$A$2:$E$50,MATCH($C839&amp;$H839,★原価率!$A$2:$A$50&amp;★原価率!$B$2:$B$50,0),4),0)</f>
        <v>85</v>
      </c>
      <c r="K839" s="464" cm="1">
        <f t="array" ref="K839">IFERROR(INDEX(★原価率!$A$2:$E$50,MATCH($C839&amp;$H839,★原価率!$A$2:$A$50&amp;★原価率!$B$2:$B$50,0),5),0)</f>
        <v>100</v>
      </c>
      <c r="L839" s="528">
        <f>IFERROR(VLOOKUP(W839,★商品!$A$1:$H$1231,8,FALSE),0)</f>
        <v>2.8</v>
      </c>
      <c r="M839" s="203" t="str">
        <f ca="1">CONCATENATE(VLOOKUP(B839,★営業所!$A$2:$B$5,2,FALSE),TEXT(NOW(),"yyyy"))</f>
        <v>T2023</v>
      </c>
      <c r="N839" s="203">
        <v>1</v>
      </c>
      <c r="O839" s="203">
        <v>0</v>
      </c>
      <c r="P839" s="213">
        <f>申込書!$B$6</f>
        <v>0</v>
      </c>
      <c r="Q839" s="203">
        <f>申込書!$C$34</f>
        <v>1000040</v>
      </c>
      <c r="R839" s="203">
        <v>0</v>
      </c>
      <c r="U839" s="203">
        <f>VLOOKUP(B839,★営業所!$A$2:$C$5,3,FALSE)</f>
        <v>8</v>
      </c>
      <c r="V839" s="203">
        <f>申込書!$B$9</f>
        <v>0</v>
      </c>
      <c r="W839" s="203" t="str">
        <f>CONCATENATE(VLOOKUP(B839,★営業所!$A$2:$B$5,2,FALSE),VLOOKUP(申込書!$C$32,★サイズ表記!$D$4:$E$55,2,FALSE),VLOOKUP(D839,★折込地区!$A$2:$B$11,2,FALSE))</f>
        <v>T1001Yng</v>
      </c>
      <c r="X839" s="203" t="str">
        <f>CONCATENATE(申込書!$B$9," ",VLOOKUP(RIGHT(W839,3),★折込地区!$B$2:$C$10,2,FALSE),"")</f>
        <v xml:space="preserve"> 米子</v>
      </c>
      <c r="Z839" s="206">
        <f t="shared" ca="1" si="103"/>
        <v>0</v>
      </c>
      <c r="AB839" s="383">
        <f t="shared" si="104"/>
        <v>2.8</v>
      </c>
      <c r="AC839" s="203" t="str">
        <f t="shared" si="105"/>
        <v>V1001</v>
      </c>
      <c r="AD839" s="203" t="str">
        <f>VLOOKUP(AC839,★原価商品!$E$6:$F$349,2,FALSE)</f>
        <v>日経/B4（折り無し）</v>
      </c>
      <c r="AE839" s="203">
        <f t="shared" ca="1" si="106"/>
        <v>0</v>
      </c>
      <c r="AF839" s="383">
        <f ca="1">IFERROR(IF(VLOOKUP(申込書!$C$32,★サイズ表記!$F$4:$H$55,3,FALSE)="切り捨て",ROUNDDOWN(L839*IF(AK839="◎",I839,J839)/100,2),IF(VLOOKUP(申込書!$C$32,★サイズ表記!$F$4:$H$55,3,FALSE)="切り上げ",ROUNDUP(L839*IF(AK839="◎",I839,J839)/100,2),ROUND(L839*IF(AK839="◎",I839,J839)/100,2))),0)</f>
        <v>2.38</v>
      </c>
      <c r="AG839" s="203">
        <f t="shared" ca="1" si="107"/>
        <v>10561</v>
      </c>
      <c r="AJ839" s="460" t="str">
        <f>IFERROR(VLOOKUP(申込書!$C$30,★業種!$D$2:$E$87,2,FALSE),"")</f>
        <v>1003</v>
      </c>
      <c r="AK839" s="460" t="str">
        <f ca="1">IF(申込書!$C$36="◎",IF(OR(D839="浜坂・温泉",D839="美方・村岡",D839="香住",D839="岡山",D839="大阪"),"",IF(LEFT(F839)="D","◎",IF(AG839=0,"",IFERROR(IF(VLOOKUP(AG839,★仕入先!$A$2:$C$211,3,FALSE)=0,"","◎"),"")))),"")</f>
        <v/>
      </c>
      <c r="AL839" s="460">
        <f>申込書!$H$14</f>
        <v>0</v>
      </c>
      <c r="AM839" s="460" t="str">
        <f>申込書!$C$32</f>
        <v>B4（折り無し）</v>
      </c>
      <c r="AN839" s="460" t="str">
        <f>VLOOKUP(AM839,★サイズ表記!$D$4:$E$55,2,FALSE)</f>
        <v>1001</v>
      </c>
      <c r="AO839" s="460">
        <f>IF(C839&lt;&gt;"⑧兵庫",VLOOKUP(LEFT(F839),★新聞!$A$4:$B$12,2,FALSE),IF(LEFT(F839)&lt;&gt;"S",VLOOKUP(LEFT(F839),★新聞!$A$4:$B$12,2,FALSE),VLOOKUP("X",★新聞!$A$4:$B$12,2,FALSE)))</f>
        <v>7</v>
      </c>
      <c r="AP839" s="460" t="str">
        <f t="shared" ca="1" si="108"/>
        <v>0</v>
      </c>
      <c r="AQ839" s="460" t="str">
        <f>IF(申込書!$C$38="","",申込書!$C$38)</f>
        <v/>
      </c>
    </row>
    <row r="840" spans="1:43">
      <c r="A840" s="463">
        <f t="shared" si="109"/>
        <v>839</v>
      </c>
      <c r="B840" s="463" t="str">
        <f t="shared" si="102"/>
        <v>東部</v>
      </c>
      <c r="C840" s="464" t="s">
        <v>1020</v>
      </c>
      <c r="D840" s="464" t="s">
        <v>1603</v>
      </c>
      <c r="E840" s="464">
        <f>VLOOKUP(D840,★折込地区!$A$2:$D$10,4,FALSE)</f>
        <v>3</v>
      </c>
      <c r="F840" s="464" t="s">
        <v>514</v>
      </c>
      <c r="G840" s="464" t="str">
        <f>INDEX(★新聞!$E$4:$I$12, MATCH(LEFT(F840),★新聞!$A$4:$A$12,0), MATCH(LEFT(W840),★新聞!$E$3:$I$3,0))</f>
        <v>AP</v>
      </c>
      <c r="H840" s="475" t="s">
        <v>1104</v>
      </c>
      <c r="I840" s="464" cm="1">
        <f t="array" ref="I840">IFERROR(INDEX(★原価率!$A$2:$E$50,MATCH($C840&amp;$H840,★原価率!$A$2:$A$50&amp;★原価率!$B$2:$B$50,0),3),0)</f>
        <v>85</v>
      </c>
      <c r="J840" s="464" cm="1">
        <f t="array" ref="J840">IFERROR(INDEX(★原価率!$A$2:$E$50,MATCH($C840&amp;$H840,★原価率!$A$2:$A$50&amp;★原価率!$B$2:$B$50,0),4),0)</f>
        <v>85</v>
      </c>
      <c r="K840" s="464" cm="1">
        <f t="array" ref="K840">IFERROR(INDEX(★原価率!$A$2:$E$50,MATCH($C840&amp;$H840,★原価率!$A$2:$A$50&amp;★原価率!$B$2:$B$50,0),5),0)</f>
        <v>100</v>
      </c>
      <c r="L840" s="528">
        <f>IFERROR(VLOOKUP(W840,★商品!$A$1:$H$1231,8,FALSE),0)</f>
        <v>2.8</v>
      </c>
      <c r="M840" s="203" t="str">
        <f ca="1">CONCATENATE(VLOOKUP(B840,★営業所!$A$2:$B$5,2,FALSE),TEXT(NOW(),"yyyy"))</f>
        <v>T2023</v>
      </c>
      <c r="N840" s="203">
        <v>1</v>
      </c>
      <c r="O840" s="203">
        <v>0</v>
      </c>
      <c r="P840" s="213">
        <f>申込書!$B$6</f>
        <v>0</v>
      </c>
      <c r="Q840" s="203">
        <f>申込書!$C$34</f>
        <v>1000040</v>
      </c>
      <c r="R840" s="203">
        <v>0</v>
      </c>
      <c r="U840" s="203">
        <f>VLOOKUP(B840,★営業所!$A$2:$C$5,3,FALSE)</f>
        <v>8</v>
      </c>
      <c r="V840" s="203">
        <f>申込書!$B$9</f>
        <v>0</v>
      </c>
      <c r="W840" s="203" t="str">
        <f>CONCATENATE(VLOOKUP(B840,★営業所!$A$2:$B$5,2,FALSE),VLOOKUP(申込書!$C$32,★サイズ表記!$D$4:$E$55,2,FALSE),VLOOKUP(D840,★折込地区!$A$2:$B$11,2,FALSE))</f>
        <v>T1001Yng</v>
      </c>
      <c r="X840" s="203" t="str">
        <f>CONCATENATE(申込書!$B$9," ",VLOOKUP(RIGHT(W840,3),★折込地区!$B$2:$C$10,2,FALSE),"")</f>
        <v xml:space="preserve"> 米子</v>
      </c>
      <c r="Z840" s="206">
        <f t="shared" ca="1" si="103"/>
        <v>0</v>
      </c>
      <c r="AB840" s="383">
        <f t="shared" si="104"/>
        <v>2.8</v>
      </c>
      <c r="AC840" s="203" t="str">
        <f t="shared" si="105"/>
        <v>V1001</v>
      </c>
      <c r="AD840" s="203" t="str">
        <f>VLOOKUP(AC840,★原価商品!$E$6:$F$349,2,FALSE)</f>
        <v>日経/B4（折り無し）</v>
      </c>
      <c r="AE840" s="203">
        <f t="shared" ca="1" si="106"/>
        <v>0</v>
      </c>
      <c r="AF840" s="383">
        <f ca="1">IFERROR(IF(VLOOKUP(申込書!$C$32,★サイズ表記!$F$4:$H$55,3,FALSE)="切り捨て",ROUNDDOWN(L840*IF(AK840="◎",I840,J840)/100,2),IF(VLOOKUP(申込書!$C$32,★サイズ表記!$F$4:$H$55,3,FALSE)="切り上げ",ROUNDUP(L840*IF(AK840="◎",I840,J840)/100,2),ROUND(L840*IF(AK840="◎",I840,J840)/100,2))),0)</f>
        <v>2.38</v>
      </c>
      <c r="AG840" s="203">
        <f t="shared" ca="1" si="107"/>
        <v>0</v>
      </c>
      <c r="AJ840" s="460" t="str">
        <f>IFERROR(VLOOKUP(申込書!$C$30,★業種!$D$2:$E$87,2,FALSE),"")</f>
        <v>1003</v>
      </c>
      <c r="AK840" s="460" t="str">
        <f ca="1">IF(申込書!$C$36="◎",IF(OR(D840="浜坂・温泉",D840="美方・村岡",D840="香住",D840="岡山",D840="大阪"),"",IF(LEFT(F840)="D","◎",IF(AG840=0,"",IFERROR(IF(VLOOKUP(AG840,★仕入先!$A$2:$C$211,3,FALSE)=0,"","◎"),"")))),"")</f>
        <v/>
      </c>
      <c r="AL840" s="460">
        <f>申込書!$H$14</f>
        <v>0</v>
      </c>
      <c r="AM840" s="460" t="str">
        <f>申込書!$C$32</f>
        <v>B4（折り無し）</v>
      </c>
      <c r="AN840" s="460" t="str">
        <f>VLOOKUP(AM840,★サイズ表記!$D$4:$E$55,2,FALSE)</f>
        <v>1001</v>
      </c>
      <c r="AO840" s="460">
        <f>IF(C840&lt;&gt;"⑧兵庫",VLOOKUP(LEFT(F840),★新聞!$A$4:$B$12,2,FALSE),IF(LEFT(F840)&lt;&gt;"S",VLOOKUP(LEFT(F840),★新聞!$A$4:$B$12,2,FALSE),VLOOKUP("X",★新聞!$A$4:$B$12,2,FALSE)))</f>
        <v>7</v>
      </c>
      <c r="AP840" s="460" t="str">
        <f t="shared" ca="1" si="108"/>
        <v>0</v>
      </c>
      <c r="AQ840" s="460" t="str">
        <f>IF(申込書!$C$38="","",申込書!$C$38)</f>
        <v/>
      </c>
    </row>
    <row r="841" spans="1:43">
      <c r="A841" s="463">
        <f t="shared" si="109"/>
        <v>840</v>
      </c>
      <c r="B841" s="463" t="str">
        <f t="shared" si="102"/>
        <v>東部</v>
      </c>
      <c r="C841" s="464" t="s">
        <v>1020</v>
      </c>
      <c r="D841" s="464" t="s">
        <v>1603</v>
      </c>
      <c r="E841" s="464">
        <f>VLOOKUP(D841,★折込地区!$A$2:$D$10,4,FALSE)</f>
        <v>3</v>
      </c>
      <c r="F841" s="464" t="s">
        <v>515</v>
      </c>
      <c r="G841" s="464" t="str">
        <f>INDEX(★新聞!$E$4:$I$12, MATCH(LEFT(F841),★新聞!$A$4:$A$12,0), MATCH(LEFT(W841),★新聞!$E$3:$I$3,0))</f>
        <v>AP</v>
      </c>
      <c r="H841" s="475" t="s">
        <v>1104</v>
      </c>
      <c r="I841" s="464" cm="1">
        <f t="array" ref="I841">IFERROR(INDEX(★原価率!$A$2:$E$50,MATCH($C841&amp;$H841,★原価率!$A$2:$A$50&amp;★原価率!$B$2:$B$50,0),3),0)</f>
        <v>85</v>
      </c>
      <c r="J841" s="464" cm="1">
        <f t="array" ref="J841">IFERROR(INDEX(★原価率!$A$2:$E$50,MATCH($C841&amp;$H841,★原価率!$A$2:$A$50&amp;★原価率!$B$2:$B$50,0),4),0)</f>
        <v>85</v>
      </c>
      <c r="K841" s="464" cm="1">
        <f t="array" ref="K841">IFERROR(INDEX(★原価率!$A$2:$E$50,MATCH($C841&amp;$H841,★原価率!$A$2:$A$50&amp;★原価率!$B$2:$B$50,0),5),0)</f>
        <v>100</v>
      </c>
      <c r="L841" s="528">
        <f>IFERROR(VLOOKUP(W841,★商品!$A$1:$H$1231,8,FALSE),0)</f>
        <v>2.8</v>
      </c>
      <c r="M841" s="203" t="str">
        <f ca="1">CONCATENATE(VLOOKUP(B841,★営業所!$A$2:$B$5,2,FALSE),TEXT(NOW(),"yyyy"))</f>
        <v>T2023</v>
      </c>
      <c r="N841" s="203">
        <v>1</v>
      </c>
      <c r="O841" s="203">
        <v>0</v>
      </c>
      <c r="P841" s="213">
        <f>申込書!$B$6</f>
        <v>0</v>
      </c>
      <c r="Q841" s="203">
        <f>申込書!$C$34</f>
        <v>1000040</v>
      </c>
      <c r="R841" s="203">
        <v>0</v>
      </c>
      <c r="U841" s="203">
        <f>VLOOKUP(B841,★営業所!$A$2:$C$5,3,FALSE)</f>
        <v>8</v>
      </c>
      <c r="V841" s="203">
        <f>申込書!$B$9</f>
        <v>0</v>
      </c>
      <c r="W841" s="203" t="str">
        <f>CONCATENATE(VLOOKUP(B841,★営業所!$A$2:$B$5,2,FALSE),VLOOKUP(申込書!$C$32,★サイズ表記!$D$4:$E$55,2,FALSE),VLOOKUP(D841,★折込地区!$A$2:$B$11,2,FALSE))</f>
        <v>T1001Yng</v>
      </c>
      <c r="X841" s="203" t="str">
        <f>CONCATENATE(申込書!$B$9," ",VLOOKUP(RIGHT(W841,3),★折込地区!$B$2:$C$10,2,FALSE),"")</f>
        <v xml:space="preserve"> 米子</v>
      </c>
      <c r="Z841" s="206">
        <f t="shared" ca="1" si="103"/>
        <v>0</v>
      </c>
      <c r="AB841" s="383">
        <f t="shared" si="104"/>
        <v>2.8</v>
      </c>
      <c r="AC841" s="203" t="str">
        <f t="shared" si="105"/>
        <v>V1001</v>
      </c>
      <c r="AD841" s="203" t="str">
        <f>VLOOKUP(AC841,★原価商品!$E$6:$F$349,2,FALSE)</f>
        <v>日経/B4（折り無し）</v>
      </c>
      <c r="AE841" s="203">
        <f t="shared" ca="1" si="106"/>
        <v>0</v>
      </c>
      <c r="AF841" s="383">
        <f ca="1">IFERROR(IF(VLOOKUP(申込書!$C$32,★サイズ表記!$F$4:$H$55,3,FALSE)="切り捨て",ROUNDDOWN(L841*IF(AK841="◎",I841,J841)/100,2),IF(VLOOKUP(申込書!$C$32,★サイズ表記!$F$4:$H$55,3,FALSE)="切り上げ",ROUNDUP(L841*IF(AK841="◎",I841,J841)/100,2),ROUND(L841*IF(AK841="◎",I841,J841)/100,2))),0)</f>
        <v>2.38</v>
      </c>
      <c r="AG841" s="203">
        <f t="shared" ca="1" si="107"/>
        <v>0</v>
      </c>
      <c r="AJ841" s="460" t="str">
        <f>IFERROR(VLOOKUP(申込書!$C$30,★業種!$D$2:$E$87,2,FALSE),"")</f>
        <v>1003</v>
      </c>
      <c r="AK841" s="460" t="str">
        <f ca="1">IF(申込書!$C$36="◎",IF(OR(D841="浜坂・温泉",D841="美方・村岡",D841="香住",D841="岡山",D841="大阪"),"",IF(LEFT(F841)="D","◎",IF(AG841=0,"",IFERROR(IF(VLOOKUP(AG841,★仕入先!$A$2:$C$211,3,FALSE)=0,"","◎"),"")))),"")</f>
        <v/>
      </c>
      <c r="AL841" s="460">
        <f>申込書!$H$14</f>
        <v>0</v>
      </c>
      <c r="AM841" s="460" t="str">
        <f>申込書!$C$32</f>
        <v>B4（折り無し）</v>
      </c>
      <c r="AN841" s="460" t="str">
        <f>VLOOKUP(AM841,★サイズ表記!$D$4:$E$55,2,FALSE)</f>
        <v>1001</v>
      </c>
      <c r="AO841" s="460">
        <f>IF(C841&lt;&gt;"⑧兵庫",VLOOKUP(LEFT(F841),★新聞!$A$4:$B$12,2,FALSE),IF(LEFT(F841)&lt;&gt;"S",VLOOKUP(LEFT(F841),★新聞!$A$4:$B$12,2,FALSE),VLOOKUP("X",★新聞!$A$4:$B$12,2,FALSE)))</f>
        <v>7</v>
      </c>
      <c r="AP841" s="460" t="str">
        <f t="shared" ca="1" si="108"/>
        <v>0</v>
      </c>
      <c r="AQ841" s="460" t="str">
        <f>IF(申込書!$C$38="","",申込書!$C$38)</f>
        <v/>
      </c>
    </row>
    <row r="842" spans="1:43">
      <c r="A842" s="463">
        <f t="shared" si="109"/>
        <v>841</v>
      </c>
      <c r="B842" s="463" t="str">
        <f t="shared" si="102"/>
        <v>東部</v>
      </c>
      <c r="C842" s="464" t="s">
        <v>1020</v>
      </c>
      <c r="D842" s="464" t="s">
        <v>1603</v>
      </c>
      <c r="E842" s="464">
        <f>VLOOKUP(D842,★折込地区!$A$2:$D$10,4,FALSE)</f>
        <v>3</v>
      </c>
      <c r="F842" s="464" t="s">
        <v>516</v>
      </c>
      <c r="G842" s="464" t="str">
        <f>INDEX(★新聞!$E$4:$I$12, MATCH(LEFT(F842),★新聞!$A$4:$A$12,0), MATCH(LEFT(W842),★新聞!$E$3:$I$3,0))</f>
        <v>AP</v>
      </c>
      <c r="H842" s="475" t="s">
        <v>1104</v>
      </c>
      <c r="I842" s="464" cm="1">
        <f t="array" ref="I842">IFERROR(INDEX(★原価率!$A$2:$E$50,MATCH($C842&amp;$H842,★原価率!$A$2:$A$50&amp;★原価率!$B$2:$B$50,0),3),0)</f>
        <v>85</v>
      </c>
      <c r="J842" s="464" cm="1">
        <f t="array" ref="J842">IFERROR(INDEX(★原価率!$A$2:$E$50,MATCH($C842&amp;$H842,★原価率!$A$2:$A$50&amp;★原価率!$B$2:$B$50,0),4),0)</f>
        <v>85</v>
      </c>
      <c r="K842" s="464" cm="1">
        <f t="array" ref="K842">IFERROR(INDEX(★原価率!$A$2:$E$50,MATCH($C842&amp;$H842,★原価率!$A$2:$A$50&amp;★原価率!$B$2:$B$50,0),5),0)</f>
        <v>100</v>
      </c>
      <c r="L842" s="528">
        <f>IFERROR(VLOOKUP(W842,★商品!$A$1:$H$1231,8,FALSE),0)</f>
        <v>2.8</v>
      </c>
      <c r="M842" s="203" t="str">
        <f ca="1">CONCATENATE(VLOOKUP(B842,★営業所!$A$2:$B$5,2,FALSE),TEXT(NOW(),"yyyy"))</f>
        <v>T2023</v>
      </c>
      <c r="N842" s="203">
        <v>1</v>
      </c>
      <c r="O842" s="203">
        <v>0</v>
      </c>
      <c r="P842" s="213">
        <f>申込書!$B$6</f>
        <v>0</v>
      </c>
      <c r="Q842" s="203">
        <f>申込書!$C$34</f>
        <v>1000040</v>
      </c>
      <c r="R842" s="203">
        <v>0</v>
      </c>
      <c r="U842" s="203">
        <f>VLOOKUP(B842,★営業所!$A$2:$C$5,3,FALSE)</f>
        <v>8</v>
      </c>
      <c r="V842" s="203">
        <f>申込書!$B$9</f>
        <v>0</v>
      </c>
      <c r="W842" s="203" t="str">
        <f>CONCATENATE(VLOOKUP(B842,★営業所!$A$2:$B$5,2,FALSE),VLOOKUP(申込書!$C$32,★サイズ表記!$D$4:$E$55,2,FALSE),VLOOKUP(D842,★折込地区!$A$2:$B$11,2,FALSE))</f>
        <v>T1001Yng</v>
      </c>
      <c r="X842" s="203" t="str">
        <f>CONCATENATE(申込書!$B$9," ",VLOOKUP(RIGHT(W842,3),★折込地区!$B$2:$C$10,2,FALSE),"")</f>
        <v xml:space="preserve"> 米子</v>
      </c>
      <c r="Z842" s="206">
        <f t="shared" ca="1" si="103"/>
        <v>0</v>
      </c>
      <c r="AB842" s="383">
        <f t="shared" si="104"/>
        <v>2.8</v>
      </c>
      <c r="AC842" s="203" t="str">
        <f t="shared" si="105"/>
        <v>V1001</v>
      </c>
      <c r="AD842" s="203" t="str">
        <f>VLOOKUP(AC842,★原価商品!$E$6:$F$349,2,FALSE)</f>
        <v>日経/B4（折り無し）</v>
      </c>
      <c r="AE842" s="203">
        <f t="shared" ca="1" si="106"/>
        <v>0</v>
      </c>
      <c r="AF842" s="383">
        <f ca="1">IFERROR(IF(VLOOKUP(申込書!$C$32,★サイズ表記!$F$4:$H$55,3,FALSE)="切り捨て",ROUNDDOWN(L842*IF(AK842="◎",I842,J842)/100,2),IF(VLOOKUP(申込書!$C$32,★サイズ表記!$F$4:$H$55,3,FALSE)="切り上げ",ROUNDUP(L842*IF(AK842="◎",I842,J842)/100,2),ROUND(L842*IF(AK842="◎",I842,J842)/100,2))),0)</f>
        <v>2.38</v>
      </c>
      <c r="AG842" s="203">
        <f t="shared" ca="1" si="107"/>
        <v>0</v>
      </c>
      <c r="AJ842" s="460" t="str">
        <f>IFERROR(VLOOKUP(申込書!$C$30,★業種!$D$2:$E$87,2,FALSE),"")</f>
        <v>1003</v>
      </c>
      <c r="AK842" s="460" t="str">
        <f ca="1">IF(申込書!$C$36="◎",IF(OR(D842="浜坂・温泉",D842="美方・村岡",D842="香住",D842="岡山",D842="大阪"),"",IF(LEFT(F842)="D","◎",IF(AG842=0,"",IFERROR(IF(VLOOKUP(AG842,★仕入先!$A$2:$C$211,3,FALSE)=0,"","◎"),"")))),"")</f>
        <v/>
      </c>
      <c r="AL842" s="460">
        <f>申込書!$H$14</f>
        <v>0</v>
      </c>
      <c r="AM842" s="460" t="str">
        <f>申込書!$C$32</f>
        <v>B4（折り無し）</v>
      </c>
      <c r="AN842" s="460" t="str">
        <f>VLOOKUP(AM842,★サイズ表記!$D$4:$E$55,2,FALSE)</f>
        <v>1001</v>
      </c>
      <c r="AO842" s="460">
        <f>IF(C842&lt;&gt;"⑧兵庫",VLOOKUP(LEFT(F842),★新聞!$A$4:$B$12,2,FALSE),IF(LEFT(F842)&lt;&gt;"S",VLOOKUP(LEFT(F842),★新聞!$A$4:$B$12,2,FALSE),VLOOKUP("X",★新聞!$A$4:$B$12,2,FALSE)))</f>
        <v>7</v>
      </c>
      <c r="AP842" s="460" t="str">
        <f t="shared" ca="1" si="108"/>
        <v>0</v>
      </c>
      <c r="AQ842" s="460" t="str">
        <f>IF(申込書!$C$38="","",申込書!$C$38)</f>
        <v/>
      </c>
    </row>
    <row r="843" spans="1:43">
      <c r="A843" s="463">
        <f t="shared" si="109"/>
        <v>842</v>
      </c>
      <c r="B843" s="463" t="str">
        <f t="shared" si="102"/>
        <v>東部</v>
      </c>
      <c r="C843" s="464" t="s">
        <v>1020</v>
      </c>
      <c r="D843" s="464" t="s">
        <v>1603</v>
      </c>
      <c r="E843" s="464">
        <f>VLOOKUP(D843,★折込地区!$A$2:$D$10,4,FALSE)</f>
        <v>3</v>
      </c>
      <c r="F843" s="464" t="s">
        <v>517</v>
      </c>
      <c r="G843" s="464" t="str">
        <f>INDEX(★新聞!$E$4:$I$12, MATCH(LEFT(F843),★新聞!$A$4:$A$12,0), MATCH(LEFT(W843),★新聞!$E$3:$I$3,0))</f>
        <v>AP</v>
      </c>
      <c r="H843" s="475" t="s">
        <v>1104</v>
      </c>
      <c r="I843" s="464" cm="1">
        <f t="array" ref="I843">IFERROR(INDEX(★原価率!$A$2:$E$50,MATCH($C843&amp;$H843,★原価率!$A$2:$A$50&amp;★原価率!$B$2:$B$50,0),3),0)</f>
        <v>85</v>
      </c>
      <c r="J843" s="464" cm="1">
        <f t="array" ref="J843">IFERROR(INDEX(★原価率!$A$2:$E$50,MATCH($C843&amp;$H843,★原価率!$A$2:$A$50&amp;★原価率!$B$2:$B$50,0),4),0)</f>
        <v>85</v>
      </c>
      <c r="K843" s="464" cm="1">
        <f t="array" ref="K843">IFERROR(INDEX(★原価率!$A$2:$E$50,MATCH($C843&amp;$H843,★原価率!$A$2:$A$50&amp;★原価率!$B$2:$B$50,0),5),0)</f>
        <v>100</v>
      </c>
      <c r="L843" s="528">
        <f>IFERROR(VLOOKUP(W843,★商品!$A$1:$H$1231,8,FALSE),0)</f>
        <v>2.8</v>
      </c>
      <c r="M843" s="203" t="str">
        <f ca="1">CONCATENATE(VLOOKUP(B843,★営業所!$A$2:$B$5,2,FALSE),TEXT(NOW(),"yyyy"))</f>
        <v>T2023</v>
      </c>
      <c r="N843" s="203">
        <v>1</v>
      </c>
      <c r="O843" s="203">
        <v>0</v>
      </c>
      <c r="P843" s="213">
        <f>申込書!$B$6</f>
        <v>0</v>
      </c>
      <c r="Q843" s="203">
        <f>申込書!$C$34</f>
        <v>1000040</v>
      </c>
      <c r="R843" s="203">
        <v>0</v>
      </c>
      <c r="U843" s="203">
        <f>VLOOKUP(B843,★営業所!$A$2:$C$5,3,FALSE)</f>
        <v>8</v>
      </c>
      <c r="V843" s="203">
        <f>申込書!$B$9</f>
        <v>0</v>
      </c>
      <c r="W843" s="203" t="str">
        <f>CONCATENATE(VLOOKUP(B843,★営業所!$A$2:$B$5,2,FALSE),VLOOKUP(申込書!$C$32,★サイズ表記!$D$4:$E$55,2,FALSE),VLOOKUP(D843,★折込地区!$A$2:$B$11,2,FALSE))</f>
        <v>T1001Yng</v>
      </c>
      <c r="X843" s="203" t="str">
        <f>CONCATENATE(申込書!$B$9," ",VLOOKUP(RIGHT(W843,3),★折込地区!$B$2:$C$10,2,FALSE),"")</f>
        <v xml:space="preserve"> 米子</v>
      </c>
      <c r="Z843" s="206">
        <f t="shared" ca="1" si="103"/>
        <v>0</v>
      </c>
      <c r="AB843" s="383">
        <f t="shared" si="104"/>
        <v>2.8</v>
      </c>
      <c r="AC843" s="203" t="str">
        <f t="shared" si="105"/>
        <v>V1001</v>
      </c>
      <c r="AD843" s="203" t="str">
        <f>VLOOKUP(AC843,★原価商品!$E$6:$F$349,2,FALSE)</f>
        <v>日経/B4（折り無し）</v>
      </c>
      <c r="AE843" s="203">
        <f t="shared" ca="1" si="106"/>
        <v>0</v>
      </c>
      <c r="AF843" s="383">
        <f ca="1">IFERROR(IF(VLOOKUP(申込書!$C$32,★サイズ表記!$F$4:$H$55,3,FALSE)="切り捨て",ROUNDDOWN(L843*IF(AK843="◎",I843,J843)/100,2),IF(VLOOKUP(申込書!$C$32,★サイズ表記!$F$4:$H$55,3,FALSE)="切り上げ",ROUNDUP(L843*IF(AK843="◎",I843,J843)/100,2),ROUND(L843*IF(AK843="◎",I843,J843)/100,2))),0)</f>
        <v>2.38</v>
      </c>
      <c r="AG843" s="203">
        <f t="shared" ca="1" si="107"/>
        <v>0</v>
      </c>
      <c r="AJ843" s="460" t="str">
        <f>IFERROR(VLOOKUP(申込書!$C$30,★業種!$D$2:$E$87,2,FALSE),"")</f>
        <v>1003</v>
      </c>
      <c r="AK843" s="460" t="str">
        <f ca="1">IF(申込書!$C$36="◎",IF(OR(D843="浜坂・温泉",D843="美方・村岡",D843="香住",D843="岡山",D843="大阪"),"",IF(LEFT(F843)="D","◎",IF(AG843=0,"",IFERROR(IF(VLOOKUP(AG843,★仕入先!$A$2:$C$211,3,FALSE)=0,"","◎"),"")))),"")</f>
        <v/>
      </c>
      <c r="AL843" s="460">
        <f>申込書!$H$14</f>
        <v>0</v>
      </c>
      <c r="AM843" s="460" t="str">
        <f>申込書!$C$32</f>
        <v>B4（折り無し）</v>
      </c>
      <c r="AN843" s="460" t="str">
        <f>VLOOKUP(AM843,★サイズ表記!$D$4:$E$55,2,FALSE)</f>
        <v>1001</v>
      </c>
      <c r="AO843" s="460">
        <f>IF(C843&lt;&gt;"⑧兵庫",VLOOKUP(LEFT(F843),★新聞!$A$4:$B$12,2,FALSE),IF(LEFT(F843)&lt;&gt;"S",VLOOKUP(LEFT(F843),★新聞!$A$4:$B$12,2,FALSE),VLOOKUP("X",★新聞!$A$4:$B$12,2,FALSE)))</f>
        <v>7</v>
      </c>
      <c r="AP843" s="460" t="str">
        <f t="shared" ca="1" si="108"/>
        <v>0</v>
      </c>
      <c r="AQ843" s="460" t="str">
        <f>IF(申込書!$C$38="","",申込書!$C$38)</f>
        <v/>
      </c>
    </row>
    <row r="844" spans="1:43">
      <c r="A844" s="463">
        <f t="shared" si="109"/>
        <v>843</v>
      </c>
      <c r="B844" s="463" t="str">
        <f t="shared" si="102"/>
        <v>東部</v>
      </c>
      <c r="C844" s="464" t="s">
        <v>1020</v>
      </c>
      <c r="D844" s="464" t="s">
        <v>1603</v>
      </c>
      <c r="E844" s="464">
        <f>VLOOKUP(D844,★折込地区!$A$2:$D$10,4,FALSE)</f>
        <v>3</v>
      </c>
      <c r="F844" s="464" t="s">
        <v>518</v>
      </c>
      <c r="G844" s="464" t="str">
        <f>INDEX(★新聞!$E$4:$I$12, MATCH(LEFT(F844),★新聞!$A$4:$A$12,0), MATCH(LEFT(W844),★新聞!$E$3:$I$3,0))</f>
        <v>AP</v>
      </c>
      <c r="H844" s="475" t="s">
        <v>1104</v>
      </c>
      <c r="I844" s="464" cm="1">
        <f t="array" ref="I844">IFERROR(INDEX(★原価率!$A$2:$E$50,MATCH($C844&amp;$H844,★原価率!$A$2:$A$50&amp;★原価率!$B$2:$B$50,0),3),0)</f>
        <v>85</v>
      </c>
      <c r="J844" s="464" cm="1">
        <f t="array" ref="J844">IFERROR(INDEX(★原価率!$A$2:$E$50,MATCH($C844&amp;$H844,★原価率!$A$2:$A$50&amp;★原価率!$B$2:$B$50,0),4),0)</f>
        <v>85</v>
      </c>
      <c r="K844" s="464" cm="1">
        <f t="array" ref="K844">IFERROR(INDEX(★原価率!$A$2:$E$50,MATCH($C844&amp;$H844,★原価率!$A$2:$A$50&amp;★原価率!$B$2:$B$50,0),5),0)</f>
        <v>100</v>
      </c>
      <c r="L844" s="528">
        <f>IFERROR(VLOOKUP(W844,★商品!$A$1:$H$1231,8,FALSE),0)</f>
        <v>2.8</v>
      </c>
      <c r="M844" s="203" t="str">
        <f ca="1">CONCATENATE(VLOOKUP(B844,★営業所!$A$2:$B$5,2,FALSE),TEXT(NOW(),"yyyy"))</f>
        <v>T2023</v>
      </c>
      <c r="N844" s="203">
        <v>1</v>
      </c>
      <c r="O844" s="203">
        <v>0</v>
      </c>
      <c r="P844" s="213">
        <f>申込書!$B$6</f>
        <v>0</v>
      </c>
      <c r="Q844" s="203">
        <f>申込書!$C$34</f>
        <v>1000040</v>
      </c>
      <c r="R844" s="203">
        <v>0</v>
      </c>
      <c r="U844" s="203">
        <f>VLOOKUP(B844,★営業所!$A$2:$C$5,3,FALSE)</f>
        <v>8</v>
      </c>
      <c r="V844" s="203">
        <f>申込書!$B$9</f>
        <v>0</v>
      </c>
      <c r="W844" s="203" t="str">
        <f>CONCATENATE(VLOOKUP(B844,★営業所!$A$2:$B$5,2,FALSE),VLOOKUP(申込書!$C$32,★サイズ表記!$D$4:$E$55,2,FALSE),VLOOKUP(D844,★折込地区!$A$2:$B$11,2,FALSE))</f>
        <v>T1001Yng</v>
      </c>
      <c r="X844" s="203" t="str">
        <f>CONCATENATE(申込書!$B$9," ",VLOOKUP(RIGHT(W844,3),★折込地区!$B$2:$C$10,2,FALSE),"")</f>
        <v xml:space="preserve"> 米子</v>
      </c>
      <c r="Z844" s="206">
        <f t="shared" ca="1" si="103"/>
        <v>0</v>
      </c>
      <c r="AB844" s="383">
        <f t="shared" si="104"/>
        <v>2.8</v>
      </c>
      <c r="AC844" s="203" t="str">
        <f t="shared" si="105"/>
        <v>V1001</v>
      </c>
      <c r="AD844" s="203" t="str">
        <f>VLOOKUP(AC844,★原価商品!$E$6:$F$349,2,FALSE)</f>
        <v>日経/B4（折り無し）</v>
      </c>
      <c r="AE844" s="203">
        <f t="shared" ca="1" si="106"/>
        <v>0</v>
      </c>
      <c r="AF844" s="383">
        <f ca="1">IFERROR(IF(VLOOKUP(申込書!$C$32,★サイズ表記!$F$4:$H$55,3,FALSE)="切り捨て",ROUNDDOWN(L844*IF(AK844="◎",I844,J844)/100,2),IF(VLOOKUP(申込書!$C$32,★サイズ表記!$F$4:$H$55,3,FALSE)="切り上げ",ROUNDUP(L844*IF(AK844="◎",I844,J844)/100,2),ROUND(L844*IF(AK844="◎",I844,J844)/100,2))),0)</f>
        <v>2.38</v>
      </c>
      <c r="AG844" s="203">
        <f t="shared" ca="1" si="107"/>
        <v>0</v>
      </c>
      <c r="AJ844" s="460" t="str">
        <f>IFERROR(VLOOKUP(申込書!$C$30,★業種!$D$2:$E$87,2,FALSE),"")</f>
        <v>1003</v>
      </c>
      <c r="AK844" s="460" t="str">
        <f ca="1">IF(申込書!$C$36="◎",IF(OR(D844="浜坂・温泉",D844="美方・村岡",D844="香住",D844="岡山",D844="大阪"),"",IF(LEFT(F844)="D","◎",IF(AG844=0,"",IFERROR(IF(VLOOKUP(AG844,★仕入先!$A$2:$C$211,3,FALSE)=0,"","◎"),"")))),"")</f>
        <v/>
      </c>
      <c r="AL844" s="460">
        <f>申込書!$H$14</f>
        <v>0</v>
      </c>
      <c r="AM844" s="460" t="str">
        <f>申込書!$C$32</f>
        <v>B4（折り無し）</v>
      </c>
      <c r="AN844" s="460" t="str">
        <f>VLOOKUP(AM844,★サイズ表記!$D$4:$E$55,2,FALSE)</f>
        <v>1001</v>
      </c>
      <c r="AO844" s="460">
        <f>IF(C844&lt;&gt;"⑧兵庫",VLOOKUP(LEFT(F844),★新聞!$A$4:$B$12,2,FALSE),IF(LEFT(F844)&lt;&gt;"S",VLOOKUP(LEFT(F844),★新聞!$A$4:$B$12,2,FALSE),VLOOKUP("X",★新聞!$A$4:$B$12,2,FALSE)))</f>
        <v>7</v>
      </c>
      <c r="AP844" s="460" t="str">
        <f t="shared" ca="1" si="108"/>
        <v>0</v>
      </c>
      <c r="AQ844" s="460" t="str">
        <f>IF(申込書!$C$38="","",申込書!$C$38)</f>
        <v/>
      </c>
    </row>
    <row r="845" spans="1:43">
      <c r="A845" s="463">
        <f t="shared" si="109"/>
        <v>844</v>
      </c>
      <c r="B845" s="463" t="str">
        <f t="shared" si="102"/>
        <v>東部</v>
      </c>
      <c r="C845" s="464" t="s">
        <v>1021</v>
      </c>
      <c r="D845" s="464" t="s">
        <v>158</v>
      </c>
      <c r="E845" s="464">
        <f>VLOOKUP(D845,★折込地区!$A$2:$D$10,4,FALSE)</f>
        <v>4</v>
      </c>
      <c r="F845" s="464" t="s">
        <v>362</v>
      </c>
      <c r="G845" s="464" t="str">
        <f>INDEX(★新聞!$E$4:$I$12, MATCH(LEFT(F845),★新聞!$A$4:$A$12,0), MATCH(LEFT(W845),★新聞!$E$3:$I$3,0))</f>
        <v>X</v>
      </c>
      <c r="H845" s="475" t="s">
        <v>1120</v>
      </c>
      <c r="I845" s="464" cm="1">
        <f t="array" ref="I845">IFERROR(INDEX(★原価率!$A$2:$E$50,MATCH($C845&amp;$H845,★原価率!$A$2:$A$50&amp;★原価率!$B$2:$B$50,0),3),0)</f>
        <v>80</v>
      </c>
      <c r="J845" s="464" cm="1">
        <f t="array" ref="J845">IFERROR(INDEX(★原価率!$A$2:$E$50,MATCH($C845&amp;$H845,★原価率!$A$2:$A$50&amp;★原価率!$B$2:$B$50,0),4),0)</f>
        <v>80</v>
      </c>
      <c r="K845" s="464" cm="1">
        <f t="array" ref="K845">IFERROR(INDEX(★原価率!$A$2:$E$50,MATCH($C845&amp;$H845,★原価率!$A$2:$A$50&amp;★原価率!$B$2:$B$50,0),5),0)</f>
        <v>100</v>
      </c>
      <c r="L845" s="528">
        <f>IFERROR(VLOOKUP(W845,★商品!$A$1:$H$1231,8,FALSE),0)</f>
        <v>3</v>
      </c>
      <c r="M845" s="203" t="str">
        <f ca="1">CONCATENATE(VLOOKUP(B845,★営業所!$A$2:$B$5,2,FALSE),TEXT(NOW(),"yyyy"))</f>
        <v>T2023</v>
      </c>
      <c r="N845" s="203">
        <v>1</v>
      </c>
      <c r="O845" s="203">
        <v>0</v>
      </c>
      <c r="P845" s="213">
        <f>申込書!$B$6</f>
        <v>0</v>
      </c>
      <c r="Q845" s="203">
        <f>申込書!$C$34</f>
        <v>1000040</v>
      </c>
      <c r="R845" s="203">
        <v>0</v>
      </c>
      <c r="U845" s="203">
        <f>VLOOKUP(B845,★営業所!$A$2:$C$5,3,FALSE)</f>
        <v>8</v>
      </c>
      <c r="V845" s="203">
        <f>申込書!$B$9</f>
        <v>0</v>
      </c>
      <c r="W845" s="203" t="str">
        <f>CONCATENATE(VLOOKUP(B845,★営業所!$A$2:$B$5,2,FALSE),VLOOKUP(申込書!$C$32,★サイズ表記!$D$4:$E$55,2,FALSE),VLOOKUP(D845,★折込地区!$A$2:$B$11,2,FALSE))</f>
        <v>T1001Hha</v>
      </c>
      <c r="X845" s="203" t="str">
        <f>CONCATENATE(申込書!$B$9," ",VLOOKUP(RIGHT(W845,3),★折込地区!$B$2:$C$10,2,FALSE),"")</f>
        <v xml:space="preserve"> 浜坂・温泉</v>
      </c>
      <c r="Z845" s="206">
        <f t="shared" ca="1" si="103"/>
        <v>0</v>
      </c>
      <c r="AB845" s="383">
        <f t="shared" si="104"/>
        <v>3</v>
      </c>
      <c r="AC845" s="203" t="str">
        <f t="shared" si="105"/>
        <v>D1001</v>
      </c>
      <c r="AD845" s="203" t="str">
        <f>VLOOKUP(AC845,★原価商品!$E$6:$F$349,2,FALSE)</f>
        <v>日本海/B4（折り無し）</v>
      </c>
      <c r="AE845" s="203">
        <f t="shared" ca="1" si="106"/>
        <v>0</v>
      </c>
      <c r="AF845" s="383">
        <f>IFERROR(IF(VLOOKUP(申込書!$C$32,★サイズ表記!$F$4:$H$55,3,FALSE)="切り捨て",ROUNDDOWN(L845*IF(AK845="◎",I845,J845)/100,2),IF(VLOOKUP(申込書!$C$32,★サイズ表記!$F$4:$H$55,3,FALSE)="切り上げ",ROUNDUP(L845*IF(AK845="◎",I845,J845)/100,2),ROUND(L845*IF(AK845="◎",I845,J845)/100,2))),0)</f>
        <v>2.4</v>
      </c>
      <c r="AG845" s="203">
        <f t="shared" ca="1" si="107"/>
        <v>10502</v>
      </c>
      <c r="AJ845" s="460" t="str">
        <f>IFERROR(VLOOKUP(申込書!$C$30,★業種!$D$2:$E$87,2,FALSE),"")</f>
        <v>1003</v>
      </c>
      <c r="AK845" s="460" t="str">
        <f>IF(申込書!$C$36="◎",IF(OR(D845="浜坂・温泉",D845="美方・村岡",D845="香住",D845="岡山",D845="大阪"),"",IF(LEFT(F845)="D","◎",IF(AG845=0,"",IFERROR(IF(VLOOKUP(AG845,★仕入先!$A$2:$C$211,3,FALSE)=0,"","◎"),"")))),"")</f>
        <v/>
      </c>
      <c r="AL845" s="460">
        <f>申込書!$H$14</f>
        <v>0</v>
      </c>
      <c r="AM845" s="460" t="str">
        <f>申込書!$C$32</f>
        <v>B4（折り無し）</v>
      </c>
      <c r="AN845" s="460" t="str">
        <f>VLOOKUP(AM845,★サイズ表記!$D$4:$E$55,2,FALSE)</f>
        <v>1001</v>
      </c>
      <c r="AO845" s="460">
        <f>IF(C845&lt;&gt;"⑧兵庫",VLOOKUP(LEFT(F845),★新聞!$A$4:$B$12,2,FALSE),IF(LEFT(F845)&lt;&gt;"S",VLOOKUP(LEFT(F845),★新聞!$A$4:$B$12,2,FALSE),VLOOKUP("X",★新聞!$A$4:$B$12,2,FALSE)))</f>
        <v>1</v>
      </c>
      <c r="AP845" s="460" t="str">
        <f t="shared" ca="1" si="108"/>
        <v>0</v>
      </c>
      <c r="AQ845" s="460" t="str">
        <f>IF(申込書!$C$38="","",申込書!$C$38)</f>
        <v/>
      </c>
    </row>
    <row r="846" spans="1:43">
      <c r="A846" s="463">
        <f t="shared" si="109"/>
        <v>845</v>
      </c>
      <c r="B846" s="463" t="str">
        <f t="shared" si="102"/>
        <v>東部</v>
      </c>
      <c r="C846" s="464" t="s">
        <v>1021</v>
      </c>
      <c r="D846" s="464" t="s">
        <v>158</v>
      </c>
      <c r="E846" s="464">
        <f>VLOOKUP(D846,★折込地区!$A$2:$D$10,4,FALSE)</f>
        <v>4</v>
      </c>
      <c r="F846" s="464" t="s">
        <v>385</v>
      </c>
      <c r="G846" s="464" t="str">
        <f>INDEX(★新聞!$E$4:$I$12, MATCH(LEFT(F846),★新聞!$A$4:$A$12,0), MATCH(LEFT(W846),★新聞!$E$3:$I$3,0))</f>
        <v>X</v>
      </c>
      <c r="H846" s="475" t="s">
        <v>1120</v>
      </c>
      <c r="I846" s="464" cm="1">
        <f t="array" ref="I846">IFERROR(INDEX(★原価率!$A$2:$E$50,MATCH($C846&amp;$H846,★原価率!$A$2:$A$50&amp;★原価率!$B$2:$B$50,0),3),0)</f>
        <v>80</v>
      </c>
      <c r="J846" s="464" cm="1">
        <f t="array" ref="J846">IFERROR(INDEX(★原価率!$A$2:$E$50,MATCH($C846&amp;$H846,★原価率!$A$2:$A$50&amp;★原価率!$B$2:$B$50,0),4),0)</f>
        <v>80</v>
      </c>
      <c r="K846" s="464" cm="1">
        <f t="array" ref="K846">IFERROR(INDEX(★原価率!$A$2:$E$50,MATCH($C846&amp;$H846,★原価率!$A$2:$A$50&amp;★原価率!$B$2:$B$50,0),5),0)</f>
        <v>100</v>
      </c>
      <c r="L846" s="528">
        <f>IFERROR(VLOOKUP(W846,★商品!$A$1:$H$1231,8,FALSE),0)</f>
        <v>3</v>
      </c>
      <c r="M846" s="203" t="str">
        <f ca="1">CONCATENATE(VLOOKUP(B846,★営業所!$A$2:$B$5,2,FALSE),TEXT(NOW(),"yyyy"))</f>
        <v>T2023</v>
      </c>
      <c r="N846" s="203">
        <v>1</v>
      </c>
      <c r="O846" s="203">
        <v>0</v>
      </c>
      <c r="P846" s="213">
        <f>申込書!$B$6</f>
        <v>0</v>
      </c>
      <c r="Q846" s="203">
        <f>申込書!$C$34</f>
        <v>1000040</v>
      </c>
      <c r="R846" s="203">
        <v>0</v>
      </c>
      <c r="U846" s="203">
        <f>VLOOKUP(B846,★営業所!$A$2:$C$5,3,FALSE)</f>
        <v>8</v>
      </c>
      <c r="V846" s="203">
        <f>申込書!$B$9</f>
        <v>0</v>
      </c>
      <c r="W846" s="203" t="str">
        <f>CONCATENATE(VLOOKUP(B846,★営業所!$A$2:$B$5,2,FALSE),VLOOKUP(申込書!$C$32,★サイズ表記!$D$4:$E$55,2,FALSE),VLOOKUP(D846,★折込地区!$A$2:$B$11,2,FALSE))</f>
        <v>T1001Hha</v>
      </c>
      <c r="X846" s="203" t="str">
        <f>CONCATENATE(申込書!$B$9," ",VLOOKUP(RIGHT(W846,3),★折込地区!$B$2:$C$10,2,FALSE),"")</f>
        <v xml:space="preserve"> 浜坂・温泉</v>
      </c>
      <c r="Z846" s="206">
        <f t="shared" ca="1" si="103"/>
        <v>0</v>
      </c>
      <c r="AB846" s="383">
        <f t="shared" si="104"/>
        <v>3</v>
      </c>
      <c r="AC846" s="203" t="str">
        <f t="shared" si="105"/>
        <v>D1001</v>
      </c>
      <c r="AD846" s="203" t="str">
        <f>VLOOKUP(AC846,★原価商品!$E$6:$F$349,2,FALSE)</f>
        <v>日本海/B4（折り無し）</v>
      </c>
      <c r="AE846" s="203">
        <f t="shared" ca="1" si="106"/>
        <v>0</v>
      </c>
      <c r="AF846" s="383">
        <f>IFERROR(IF(VLOOKUP(申込書!$C$32,★サイズ表記!$F$4:$H$55,3,FALSE)="切り捨て",ROUNDDOWN(L846*IF(AK846="◎",I846,J846)/100,2),IF(VLOOKUP(申込書!$C$32,★サイズ表記!$F$4:$H$55,3,FALSE)="切り上げ",ROUNDUP(L846*IF(AK846="◎",I846,J846)/100,2),ROUND(L846*IF(AK846="◎",I846,J846)/100,2))),0)</f>
        <v>2.4</v>
      </c>
      <c r="AG846" s="203">
        <f t="shared" ca="1" si="107"/>
        <v>10515</v>
      </c>
      <c r="AJ846" s="460" t="str">
        <f>IFERROR(VLOOKUP(申込書!$C$30,★業種!$D$2:$E$87,2,FALSE),"")</f>
        <v>1003</v>
      </c>
      <c r="AK846" s="460" t="str">
        <f>IF(申込書!$C$36="◎",IF(OR(D846="浜坂・温泉",D846="美方・村岡",D846="香住",D846="岡山",D846="大阪"),"",IF(LEFT(F846)="D","◎",IF(AG846=0,"",IFERROR(IF(VLOOKUP(AG846,★仕入先!$A$2:$C$211,3,FALSE)=0,"","◎"),"")))),"")</f>
        <v/>
      </c>
      <c r="AL846" s="460">
        <f>申込書!$H$14</f>
        <v>0</v>
      </c>
      <c r="AM846" s="460" t="str">
        <f>申込書!$C$32</f>
        <v>B4（折り無し）</v>
      </c>
      <c r="AN846" s="460" t="str">
        <f>VLOOKUP(AM846,★サイズ表記!$D$4:$E$55,2,FALSE)</f>
        <v>1001</v>
      </c>
      <c r="AO846" s="460">
        <f>IF(C846&lt;&gt;"⑧兵庫",VLOOKUP(LEFT(F846),★新聞!$A$4:$B$12,2,FALSE),IF(LEFT(F846)&lt;&gt;"S",VLOOKUP(LEFT(F846),★新聞!$A$4:$B$12,2,FALSE),VLOOKUP("X",★新聞!$A$4:$B$12,2,FALSE)))</f>
        <v>1</v>
      </c>
      <c r="AP846" s="460" t="str">
        <f t="shared" ca="1" si="108"/>
        <v>0</v>
      </c>
      <c r="AQ846" s="460" t="str">
        <f>IF(申込書!$C$38="","",申込書!$C$38)</f>
        <v/>
      </c>
    </row>
    <row r="847" spans="1:43">
      <c r="A847" s="463">
        <f t="shared" si="109"/>
        <v>846</v>
      </c>
      <c r="B847" s="463" t="str">
        <f t="shared" si="102"/>
        <v>東部</v>
      </c>
      <c r="C847" s="464" t="s">
        <v>1021</v>
      </c>
      <c r="D847" s="464" t="s">
        <v>857</v>
      </c>
      <c r="E847" s="464">
        <f>VLOOKUP(D847,★折込地区!$A$2:$D$10,4,FALSE)</f>
        <v>5</v>
      </c>
      <c r="F847" s="464" t="s">
        <v>386</v>
      </c>
      <c r="G847" s="464" t="str">
        <f>INDEX(★新聞!$E$4:$I$12, MATCH(LEFT(F847),★新聞!$A$4:$A$12,0), MATCH(LEFT(W847),★新聞!$E$3:$I$3,0))</f>
        <v>X</v>
      </c>
      <c r="H847" s="475" t="s">
        <v>1122</v>
      </c>
      <c r="I847" s="464" cm="1">
        <f t="array" ref="I847">IFERROR(INDEX(★原価率!$A$2:$E$50,MATCH($C847&amp;$H847,★原価率!$A$2:$A$50&amp;★原価率!$B$2:$B$50,0),3),0)</f>
        <v>100</v>
      </c>
      <c r="J847" s="464" cm="1">
        <f t="array" ref="J847">IFERROR(INDEX(★原価率!$A$2:$E$50,MATCH($C847&amp;$H847,★原価率!$A$2:$A$50&amp;★原価率!$B$2:$B$50,0),4),0)</f>
        <v>100</v>
      </c>
      <c r="K847" s="464" cm="1">
        <f t="array" ref="K847">IFERROR(INDEX(★原価率!$A$2:$E$50,MATCH($C847&amp;$H847,★原価率!$A$2:$A$50&amp;★原価率!$B$2:$B$50,0),5),0)</f>
        <v>100</v>
      </c>
      <c r="L847" s="528">
        <f>IFERROR(VLOOKUP(W847,★商品!$A$1:$H$1231,8,FALSE),0)</f>
        <v>3</v>
      </c>
      <c r="M847" s="203" t="str">
        <f ca="1">CONCATENATE(VLOOKUP(B847,★営業所!$A$2:$B$5,2,FALSE),TEXT(NOW(),"yyyy"))</f>
        <v>T2023</v>
      </c>
      <c r="N847" s="203">
        <v>1</v>
      </c>
      <c r="O847" s="203">
        <v>0</v>
      </c>
      <c r="P847" s="213">
        <f>申込書!$B$6</f>
        <v>0</v>
      </c>
      <c r="Q847" s="203">
        <f>申込書!$C$34</f>
        <v>1000040</v>
      </c>
      <c r="R847" s="203">
        <v>0</v>
      </c>
      <c r="U847" s="203">
        <f>VLOOKUP(B847,★営業所!$A$2:$C$5,3,FALSE)</f>
        <v>8</v>
      </c>
      <c r="V847" s="203">
        <f>申込書!$B$9</f>
        <v>0</v>
      </c>
      <c r="W847" s="203" t="str">
        <f>CONCATENATE(VLOOKUP(B847,★営業所!$A$2:$B$5,2,FALSE),VLOOKUP(申込書!$C$32,★サイズ表記!$D$4:$E$55,2,FALSE),VLOOKUP(D847,★折込地区!$A$2:$B$11,2,FALSE))</f>
        <v>T1001Hmm</v>
      </c>
      <c r="X847" s="203" t="str">
        <f>CONCATENATE(申込書!$B$9," ",VLOOKUP(RIGHT(W847,3),★折込地区!$B$2:$C$10,2,FALSE),"")</f>
        <v xml:space="preserve"> 美方・村岡</v>
      </c>
      <c r="Z847" s="206">
        <f t="shared" ca="1" si="103"/>
        <v>0</v>
      </c>
      <c r="AB847" s="383">
        <f t="shared" si="104"/>
        <v>3</v>
      </c>
      <c r="AC847" s="203" t="str">
        <f t="shared" si="105"/>
        <v>D1001</v>
      </c>
      <c r="AD847" s="203" t="str">
        <f>VLOOKUP(AC847,★原価商品!$E$6:$F$349,2,FALSE)</f>
        <v>日本海/B4（折り無し）</v>
      </c>
      <c r="AE847" s="203">
        <f t="shared" ca="1" si="106"/>
        <v>0</v>
      </c>
      <c r="AF847" s="383">
        <f>IFERROR(IF(VLOOKUP(申込書!$C$32,★サイズ表記!$F$4:$H$55,3,FALSE)="切り捨て",ROUNDDOWN(L847*IF(AK847="◎",I847,J847)/100,2),IF(VLOOKUP(申込書!$C$32,★サイズ表記!$F$4:$H$55,3,FALSE)="切り上げ",ROUNDUP(L847*IF(AK847="◎",I847,J847)/100,2),ROUND(L847*IF(AK847="◎",I847,J847)/100,2))),0)</f>
        <v>3</v>
      </c>
      <c r="AG847" s="203">
        <f t="shared" ca="1" si="107"/>
        <v>10538</v>
      </c>
      <c r="AJ847" s="460" t="str">
        <f>IFERROR(VLOOKUP(申込書!$C$30,★業種!$D$2:$E$87,2,FALSE),"")</f>
        <v>1003</v>
      </c>
      <c r="AK847" s="460" t="str">
        <f>IF(申込書!$C$36="◎",IF(OR(D847="浜坂・温泉",D847="美方・村岡",D847="香住",D847="岡山",D847="大阪"),"",IF(LEFT(F847)="D","◎",IF(AG847=0,"",IFERROR(IF(VLOOKUP(AG847,★仕入先!$A$2:$C$211,3,FALSE)=0,"","◎"),"")))),"")</f>
        <v/>
      </c>
      <c r="AL847" s="460">
        <f>申込書!$H$14</f>
        <v>0</v>
      </c>
      <c r="AM847" s="460" t="str">
        <f>申込書!$C$32</f>
        <v>B4（折り無し）</v>
      </c>
      <c r="AN847" s="460" t="str">
        <f>VLOOKUP(AM847,★サイズ表記!$D$4:$E$55,2,FALSE)</f>
        <v>1001</v>
      </c>
      <c r="AO847" s="460">
        <f>IF(C847&lt;&gt;"⑧兵庫",VLOOKUP(LEFT(F847),★新聞!$A$4:$B$12,2,FALSE),IF(LEFT(F847)&lt;&gt;"S",VLOOKUP(LEFT(F847),★新聞!$A$4:$B$12,2,FALSE),VLOOKUP("X",★新聞!$A$4:$B$12,2,FALSE)))</f>
        <v>1</v>
      </c>
      <c r="AP847" s="460" t="str">
        <f t="shared" ca="1" si="108"/>
        <v>0</v>
      </c>
      <c r="AQ847" s="460" t="str">
        <f>IF(申込書!$C$38="","",申込書!$C$38)</f>
        <v/>
      </c>
    </row>
    <row r="848" spans="1:43">
      <c r="A848" s="463">
        <f t="shared" si="109"/>
        <v>847</v>
      </c>
      <c r="B848" s="463" t="str">
        <f t="shared" si="102"/>
        <v>東部</v>
      </c>
      <c r="C848" s="464" t="s">
        <v>1021</v>
      </c>
      <c r="D848" s="464" t="s">
        <v>857</v>
      </c>
      <c r="E848" s="464">
        <f>VLOOKUP(D848,★折込地区!$A$2:$D$10,4,FALSE)</f>
        <v>5</v>
      </c>
      <c r="F848" s="464" t="s">
        <v>387</v>
      </c>
      <c r="G848" s="464" t="str">
        <f>INDEX(★新聞!$E$4:$I$12, MATCH(LEFT(F848),★新聞!$A$4:$A$12,0), MATCH(LEFT(W848),★新聞!$E$3:$I$3,0))</f>
        <v>X</v>
      </c>
      <c r="H848" s="475" t="s">
        <v>1122</v>
      </c>
      <c r="I848" s="464" cm="1">
        <f t="array" ref="I848">IFERROR(INDEX(★原価率!$A$2:$E$50,MATCH($C848&amp;$H848,★原価率!$A$2:$A$50&amp;★原価率!$B$2:$B$50,0),3),0)</f>
        <v>100</v>
      </c>
      <c r="J848" s="464" cm="1">
        <f t="array" ref="J848">IFERROR(INDEX(★原価率!$A$2:$E$50,MATCH($C848&amp;$H848,★原価率!$A$2:$A$50&amp;★原価率!$B$2:$B$50,0),4),0)</f>
        <v>100</v>
      </c>
      <c r="K848" s="464" cm="1">
        <f t="array" ref="K848">IFERROR(INDEX(★原価率!$A$2:$E$50,MATCH($C848&amp;$H848,★原価率!$A$2:$A$50&amp;★原価率!$B$2:$B$50,0),5),0)</f>
        <v>100</v>
      </c>
      <c r="L848" s="528">
        <f>IFERROR(VLOOKUP(W848,★商品!$A$1:$H$1231,8,FALSE),0)</f>
        <v>3</v>
      </c>
      <c r="M848" s="203" t="str">
        <f ca="1">CONCATENATE(VLOOKUP(B848,★営業所!$A$2:$B$5,2,FALSE),TEXT(NOW(),"yyyy"))</f>
        <v>T2023</v>
      </c>
      <c r="N848" s="203">
        <v>1</v>
      </c>
      <c r="O848" s="203">
        <v>0</v>
      </c>
      <c r="P848" s="213">
        <f>申込書!$B$6</f>
        <v>0</v>
      </c>
      <c r="Q848" s="203">
        <f>申込書!$C$34</f>
        <v>1000040</v>
      </c>
      <c r="R848" s="203">
        <v>0</v>
      </c>
      <c r="U848" s="203">
        <f>VLOOKUP(B848,★営業所!$A$2:$C$5,3,FALSE)</f>
        <v>8</v>
      </c>
      <c r="V848" s="203">
        <f>申込書!$B$9</f>
        <v>0</v>
      </c>
      <c r="W848" s="203" t="str">
        <f>CONCATENATE(VLOOKUP(B848,★営業所!$A$2:$B$5,2,FALSE),VLOOKUP(申込書!$C$32,★サイズ表記!$D$4:$E$55,2,FALSE),VLOOKUP(D848,★折込地区!$A$2:$B$11,2,FALSE))</f>
        <v>T1001Hmm</v>
      </c>
      <c r="X848" s="203" t="str">
        <f>CONCATENATE(申込書!$B$9," ",VLOOKUP(RIGHT(W848,3),★折込地区!$B$2:$C$10,2,FALSE),"")</f>
        <v xml:space="preserve"> 美方・村岡</v>
      </c>
      <c r="Z848" s="206">
        <f t="shared" ca="1" si="103"/>
        <v>0</v>
      </c>
      <c r="AB848" s="383">
        <f t="shared" si="104"/>
        <v>3</v>
      </c>
      <c r="AC848" s="203" t="str">
        <f t="shared" si="105"/>
        <v>D1001</v>
      </c>
      <c r="AD848" s="203" t="str">
        <f>VLOOKUP(AC848,★原価商品!$E$6:$F$349,2,FALSE)</f>
        <v>日本海/B4（折り無し）</v>
      </c>
      <c r="AE848" s="203">
        <f t="shared" ca="1" si="106"/>
        <v>0</v>
      </c>
      <c r="AF848" s="383">
        <f>IFERROR(IF(VLOOKUP(申込書!$C$32,★サイズ表記!$F$4:$H$55,3,FALSE)="切り捨て",ROUNDDOWN(L848*IF(AK848="◎",I848,J848)/100,2),IF(VLOOKUP(申込書!$C$32,★サイズ表記!$F$4:$H$55,3,FALSE)="切り上げ",ROUNDUP(L848*IF(AK848="◎",I848,J848)/100,2),ROUND(L848*IF(AK848="◎",I848,J848)/100,2))),0)</f>
        <v>3</v>
      </c>
      <c r="AG848" s="203">
        <f t="shared" ca="1" si="107"/>
        <v>0</v>
      </c>
      <c r="AJ848" s="460" t="str">
        <f>IFERROR(VLOOKUP(申込書!$C$30,★業種!$D$2:$E$87,2,FALSE),"")</f>
        <v>1003</v>
      </c>
      <c r="AK848" s="460" t="str">
        <f>IF(申込書!$C$36="◎",IF(OR(D848="浜坂・温泉",D848="美方・村岡",D848="香住",D848="岡山",D848="大阪"),"",IF(LEFT(F848)="D","◎",IF(AG848=0,"",IFERROR(IF(VLOOKUP(AG848,★仕入先!$A$2:$C$211,3,FALSE)=0,"","◎"),"")))),"")</f>
        <v/>
      </c>
      <c r="AL848" s="460">
        <f>申込書!$H$14</f>
        <v>0</v>
      </c>
      <c r="AM848" s="460" t="str">
        <f>申込書!$C$32</f>
        <v>B4（折り無し）</v>
      </c>
      <c r="AN848" s="460" t="str">
        <f>VLOOKUP(AM848,★サイズ表記!$D$4:$E$55,2,FALSE)</f>
        <v>1001</v>
      </c>
      <c r="AO848" s="460">
        <f>IF(C848&lt;&gt;"⑧兵庫",VLOOKUP(LEFT(F848),★新聞!$A$4:$B$12,2,FALSE),IF(LEFT(F848)&lt;&gt;"S",VLOOKUP(LEFT(F848),★新聞!$A$4:$B$12,2,FALSE),VLOOKUP("X",★新聞!$A$4:$B$12,2,FALSE)))</f>
        <v>1</v>
      </c>
      <c r="AP848" s="460" t="str">
        <f t="shared" ca="1" si="108"/>
        <v>0</v>
      </c>
      <c r="AQ848" s="460" t="str">
        <f>IF(申込書!$C$38="","",申込書!$C$38)</f>
        <v/>
      </c>
    </row>
    <row r="849" spans="1:43">
      <c r="A849" s="463">
        <f t="shared" si="109"/>
        <v>848</v>
      </c>
      <c r="B849" s="463" t="str">
        <f t="shared" si="102"/>
        <v>東部</v>
      </c>
      <c r="C849" s="464" t="s">
        <v>1021</v>
      </c>
      <c r="D849" s="464" t="s">
        <v>857</v>
      </c>
      <c r="E849" s="464">
        <f>VLOOKUP(D849,★折込地区!$A$2:$D$10,4,FALSE)</f>
        <v>5</v>
      </c>
      <c r="F849" s="464" t="s">
        <v>388</v>
      </c>
      <c r="G849" s="464" t="str">
        <f>INDEX(★新聞!$E$4:$I$12, MATCH(LEFT(F849),★新聞!$A$4:$A$12,0), MATCH(LEFT(W849),★新聞!$E$3:$I$3,0))</f>
        <v>X</v>
      </c>
      <c r="H849" s="475" t="s">
        <v>1122</v>
      </c>
      <c r="I849" s="464" cm="1">
        <f t="array" ref="I849">IFERROR(INDEX(★原価率!$A$2:$E$50,MATCH($C849&amp;$H849,★原価率!$A$2:$A$50&amp;★原価率!$B$2:$B$50,0),3),0)</f>
        <v>100</v>
      </c>
      <c r="J849" s="464" cm="1">
        <f t="array" ref="J849">IFERROR(INDEX(★原価率!$A$2:$E$50,MATCH($C849&amp;$H849,★原価率!$A$2:$A$50&amp;★原価率!$B$2:$B$50,0),4),0)</f>
        <v>100</v>
      </c>
      <c r="K849" s="464" cm="1">
        <f t="array" ref="K849">IFERROR(INDEX(★原価率!$A$2:$E$50,MATCH($C849&amp;$H849,★原価率!$A$2:$A$50&amp;★原価率!$B$2:$B$50,0),5),0)</f>
        <v>100</v>
      </c>
      <c r="L849" s="528">
        <f>IFERROR(VLOOKUP(W849,★商品!$A$1:$H$1231,8,FALSE),0)</f>
        <v>3</v>
      </c>
      <c r="M849" s="203" t="str">
        <f ca="1">CONCATENATE(VLOOKUP(B849,★営業所!$A$2:$B$5,2,FALSE),TEXT(NOW(),"yyyy"))</f>
        <v>T2023</v>
      </c>
      <c r="N849" s="203">
        <v>1</v>
      </c>
      <c r="O849" s="203">
        <v>0</v>
      </c>
      <c r="P849" s="213">
        <f>申込書!$B$6</f>
        <v>0</v>
      </c>
      <c r="Q849" s="203">
        <f>申込書!$C$34</f>
        <v>1000040</v>
      </c>
      <c r="R849" s="203">
        <v>0</v>
      </c>
      <c r="U849" s="203">
        <f>VLOOKUP(B849,★営業所!$A$2:$C$5,3,FALSE)</f>
        <v>8</v>
      </c>
      <c r="V849" s="203">
        <f>申込書!$B$9</f>
        <v>0</v>
      </c>
      <c r="W849" s="203" t="str">
        <f>CONCATENATE(VLOOKUP(B849,★営業所!$A$2:$B$5,2,FALSE),VLOOKUP(申込書!$C$32,★サイズ表記!$D$4:$E$55,2,FALSE),VLOOKUP(D849,★折込地区!$A$2:$B$11,2,FALSE))</f>
        <v>T1001Hmm</v>
      </c>
      <c r="X849" s="203" t="str">
        <f>CONCATENATE(申込書!$B$9," ",VLOOKUP(RIGHT(W849,3),★折込地区!$B$2:$C$10,2,FALSE),"")</f>
        <v xml:space="preserve"> 美方・村岡</v>
      </c>
      <c r="Z849" s="206">
        <f t="shared" ca="1" si="103"/>
        <v>0</v>
      </c>
      <c r="AB849" s="383">
        <f t="shared" si="104"/>
        <v>3</v>
      </c>
      <c r="AC849" s="203" t="str">
        <f t="shared" si="105"/>
        <v>D1001</v>
      </c>
      <c r="AD849" s="203" t="str">
        <f>VLOOKUP(AC849,★原価商品!$E$6:$F$349,2,FALSE)</f>
        <v>日本海/B4（折り無し）</v>
      </c>
      <c r="AE849" s="203">
        <f t="shared" ca="1" si="106"/>
        <v>0</v>
      </c>
      <c r="AF849" s="383">
        <f>IFERROR(IF(VLOOKUP(申込書!$C$32,★サイズ表記!$F$4:$H$55,3,FALSE)="切り捨て",ROUNDDOWN(L849*IF(AK849="◎",I849,J849)/100,2),IF(VLOOKUP(申込書!$C$32,★サイズ表記!$F$4:$H$55,3,FALSE)="切り上げ",ROUNDUP(L849*IF(AK849="◎",I849,J849)/100,2),ROUND(L849*IF(AK849="◎",I849,J849)/100,2))),0)</f>
        <v>3</v>
      </c>
      <c r="AG849" s="203">
        <f t="shared" ca="1" si="107"/>
        <v>0</v>
      </c>
      <c r="AJ849" s="460" t="str">
        <f>IFERROR(VLOOKUP(申込書!$C$30,★業種!$D$2:$E$87,2,FALSE),"")</f>
        <v>1003</v>
      </c>
      <c r="AK849" s="460" t="str">
        <f>IF(申込書!$C$36="◎",IF(OR(D849="浜坂・温泉",D849="美方・村岡",D849="香住",D849="岡山",D849="大阪"),"",IF(LEFT(F849)="D","◎",IF(AG849=0,"",IFERROR(IF(VLOOKUP(AG849,★仕入先!$A$2:$C$211,3,FALSE)=0,"","◎"),"")))),"")</f>
        <v/>
      </c>
      <c r="AL849" s="460">
        <f>申込書!$H$14</f>
        <v>0</v>
      </c>
      <c r="AM849" s="460" t="str">
        <f>申込書!$C$32</f>
        <v>B4（折り無し）</v>
      </c>
      <c r="AN849" s="460" t="str">
        <f>VLOOKUP(AM849,★サイズ表記!$D$4:$E$55,2,FALSE)</f>
        <v>1001</v>
      </c>
      <c r="AO849" s="460">
        <f>IF(C849&lt;&gt;"⑧兵庫",VLOOKUP(LEFT(F849),★新聞!$A$4:$B$12,2,FALSE),IF(LEFT(F849)&lt;&gt;"S",VLOOKUP(LEFT(F849),★新聞!$A$4:$B$12,2,FALSE),VLOOKUP("X",★新聞!$A$4:$B$12,2,FALSE)))</f>
        <v>1</v>
      </c>
      <c r="AP849" s="460" t="str">
        <f t="shared" ca="1" si="108"/>
        <v>0</v>
      </c>
      <c r="AQ849" s="460" t="str">
        <f>IF(申込書!$C$38="","",申込書!$C$38)</f>
        <v/>
      </c>
    </row>
    <row r="850" spans="1:43">
      <c r="A850" s="463">
        <f t="shared" si="109"/>
        <v>849</v>
      </c>
      <c r="B850" s="463" t="str">
        <f t="shared" si="102"/>
        <v>東部</v>
      </c>
      <c r="C850" s="464" t="s">
        <v>1021</v>
      </c>
      <c r="D850" s="464" t="s">
        <v>857</v>
      </c>
      <c r="E850" s="464">
        <f>VLOOKUP(D850,★折込地区!$A$2:$D$10,4,FALSE)</f>
        <v>5</v>
      </c>
      <c r="F850" s="464" t="s">
        <v>389</v>
      </c>
      <c r="G850" s="464" t="str">
        <f>INDEX(★新聞!$E$4:$I$12, MATCH(LEFT(F850),★新聞!$A$4:$A$12,0), MATCH(LEFT(W850),★新聞!$E$3:$I$3,0))</f>
        <v>X</v>
      </c>
      <c r="H850" s="475" t="s">
        <v>1122</v>
      </c>
      <c r="I850" s="464" cm="1">
        <f t="array" ref="I850">IFERROR(INDEX(★原価率!$A$2:$E$50,MATCH($C850&amp;$H850,★原価率!$A$2:$A$50&amp;★原価率!$B$2:$B$50,0),3),0)</f>
        <v>100</v>
      </c>
      <c r="J850" s="464" cm="1">
        <f t="array" ref="J850">IFERROR(INDEX(★原価率!$A$2:$E$50,MATCH($C850&amp;$H850,★原価率!$A$2:$A$50&amp;★原価率!$B$2:$B$50,0),4),0)</f>
        <v>100</v>
      </c>
      <c r="K850" s="464" cm="1">
        <f t="array" ref="K850">IFERROR(INDEX(★原価率!$A$2:$E$50,MATCH($C850&amp;$H850,★原価率!$A$2:$A$50&amp;★原価率!$B$2:$B$50,0),5),0)</f>
        <v>100</v>
      </c>
      <c r="L850" s="528">
        <f>IFERROR(VLOOKUP(W850,★商品!$A$1:$H$1231,8,FALSE),0)</f>
        <v>3</v>
      </c>
      <c r="M850" s="203" t="str">
        <f ca="1">CONCATENATE(VLOOKUP(B850,★営業所!$A$2:$B$5,2,FALSE),TEXT(NOW(),"yyyy"))</f>
        <v>T2023</v>
      </c>
      <c r="N850" s="203">
        <v>1</v>
      </c>
      <c r="O850" s="203">
        <v>0</v>
      </c>
      <c r="P850" s="213">
        <f>申込書!$B$6</f>
        <v>0</v>
      </c>
      <c r="Q850" s="203">
        <f>申込書!$C$34</f>
        <v>1000040</v>
      </c>
      <c r="R850" s="203">
        <v>0</v>
      </c>
      <c r="U850" s="203">
        <f>VLOOKUP(B850,★営業所!$A$2:$C$5,3,FALSE)</f>
        <v>8</v>
      </c>
      <c r="V850" s="203">
        <f>申込書!$B$9</f>
        <v>0</v>
      </c>
      <c r="W850" s="203" t="str">
        <f>CONCATENATE(VLOOKUP(B850,★営業所!$A$2:$B$5,2,FALSE),VLOOKUP(申込書!$C$32,★サイズ表記!$D$4:$E$55,2,FALSE),VLOOKUP(D850,★折込地区!$A$2:$B$11,2,FALSE))</f>
        <v>T1001Hmm</v>
      </c>
      <c r="X850" s="203" t="str">
        <f>CONCATENATE(申込書!$B$9," ",VLOOKUP(RIGHT(W850,3),★折込地区!$B$2:$C$10,2,FALSE),"")</f>
        <v xml:space="preserve"> 美方・村岡</v>
      </c>
      <c r="Z850" s="206">
        <f t="shared" ca="1" si="103"/>
        <v>0</v>
      </c>
      <c r="AB850" s="383">
        <f t="shared" si="104"/>
        <v>3</v>
      </c>
      <c r="AC850" s="203" t="str">
        <f t="shared" si="105"/>
        <v>D1001</v>
      </c>
      <c r="AD850" s="203" t="str">
        <f>VLOOKUP(AC850,★原価商品!$E$6:$F$349,2,FALSE)</f>
        <v>日本海/B4（折り無し）</v>
      </c>
      <c r="AE850" s="203">
        <f t="shared" ca="1" si="106"/>
        <v>0</v>
      </c>
      <c r="AF850" s="383">
        <f>IFERROR(IF(VLOOKUP(申込書!$C$32,★サイズ表記!$F$4:$H$55,3,FALSE)="切り捨て",ROUNDDOWN(L850*IF(AK850="◎",I850,J850)/100,2),IF(VLOOKUP(申込書!$C$32,★サイズ表記!$F$4:$H$55,3,FALSE)="切り上げ",ROUNDUP(L850*IF(AK850="◎",I850,J850)/100,2),ROUND(L850*IF(AK850="◎",I850,J850)/100,2))),0)</f>
        <v>3</v>
      </c>
      <c r="AG850" s="203">
        <f t="shared" ca="1" si="107"/>
        <v>10540</v>
      </c>
      <c r="AJ850" s="460" t="str">
        <f>IFERROR(VLOOKUP(申込書!$C$30,★業種!$D$2:$E$87,2,FALSE),"")</f>
        <v>1003</v>
      </c>
      <c r="AK850" s="460" t="str">
        <f>IF(申込書!$C$36="◎",IF(OR(D850="浜坂・温泉",D850="美方・村岡",D850="香住",D850="岡山",D850="大阪"),"",IF(LEFT(F850)="D","◎",IF(AG850=0,"",IFERROR(IF(VLOOKUP(AG850,★仕入先!$A$2:$C$211,3,FALSE)=0,"","◎"),"")))),"")</f>
        <v/>
      </c>
      <c r="AL850" s="460">
        <f>申込書!$H$14</f>
        <v>0</v>
      </c>
      <c r="AM850" s="460" t="str">
        <f>申込書!$C$32</f>
        <v>B4（折り無し）</v>
      </c>
      <c r="AN850" s="460" t="str">
        <f>VLOOKUP(AM850,★サイズ表記!$D$4:$E$55,2,FALSE)</f>
        <v>1001</v>
      </c>
      <c r="AO850" s="460">
        <f>IF(C850&lt;&gt;"⑧兵庫",VLOOKUP(LEFT(F850),★新聞!$A$4:$B$12,2,FALSE),IF(LEFT(F850)&lt;&gt;"S",VLOOKUP(LEFT(F850),★新聞!$A$4:$B$12,2,FALSE),VLOOKUP("X",★新聞!$A$4:$B$12,2,FALSE)))</f>
        <v>1</v>
      </c>
      <c r="AP850" s="460" t="str">
        <f t="shared" ca="1" si="108"/>
        <v>0</v>
      </c>
      <c r="AQ850" s="460" t="str">
        <f>IF(申込書!$C$38="","",申込書!$C$38)</f>
        <v/>
      </c>
    </row>
    <row r="851" spans="1:43">
      <c r="A851" s="463">
        <f t="shared" si="109"/>
        <v>850</v>
      </c>
      <c r="B851" s="463" t="str">
        <f t="shared" si="102"/>
        <v>東部</v>
      </c>
      <c r="C851" s="464" t="s">
        <v>1021</v>
      </c>
      <c r="D851" s="464" t="s">
        <v>38</v>
      </c>
      <c r="E851" s="464">
        <f>VLOOKUP(D851,★折込地区!$A$2:$D$10,4,FALSE)</f>
        <v>6</v>
      </c>
      <c r="F851" s="464" t="s">
        <v>390</v>
      </c>
      <c r="G851" s="464" t="str">
        <f>INDEX(★新聞!$E$4:$I$12, MATCH(LEFT(F851),★新聞!$A$4:$A$12,0), MATCH(LEFT(W851),★新聞!$E$3:$I$3,0))</f>
        <v>X</v>
      </c>
      <c r="H851" s="475" t="s">
        <v>1123</v>
      </c>
      <c r="I851" s="464" cm="1">
        <f t="array" ref="I851">IFERROR(INDEX(★原価率!$A$2:$E$50,MATCH($C851&amp;$H851,★原価率!$A$2:$A$50&amp;★原価率!$B$2:$B$50,0),3),0)</f>
        <v>90</v>
      </c>
      <c r="J851" s="464" cm="1">
        <f t="array" ref="J851">IFERROR(INDEX(★原価率!$A$2:$E$50,MATCH($C851&amp;$H851,★原価率!$A$2:$A$50&amp;★原価率!$B$2:$B$50,0),4),0)</f>
        <v>90</v>
      </c>
      <c r="K851" s="464" cm="1">
        <f t="array" ref="K851">IFERROR(INDEX(★原価率!$A$2:$E$50,MATCH($C851&amp;$H851,★原価率!$A$2:$A$50&amp;★原価率!$B$2:$B$50,0),5),0)</f>
        <v>100</v>
      </c>
      <c r="L851" s="528">
        <f>IFERROR(VLOOKUP(W851,★商品!$A$1:$H$1231,8,FALSE),0)</f>
        <v>3</v>
      </c>
      <c r="M851" s="203" t="str">
        <f ca="1">CONCATENATE(VLOOKUP(B851,★営業所!$A$2:$B$5,2,FALSE),TEXT(NOW(),"yyyy"))</f>
        <v>T2023</v>
      </c>
      <c r="N851" s="203">
        <v>1</v>
      </c>
      <c r="O851" s="203">
        <v>0</v>
      </c>
      <c r="P851" s="213">
        <f>申込書!$B$6</f>
        <v>0</v>
      </c>
      <c r="Q851" s="203">
        <f>申込書!$C$34</f>
        <v>1000040</v>
      </c>
      <c r="R851" s="203">
        <v>0</v>
      </c>
      <c r="U851" s="203">
        <f>VLOOKUP(B851,★営業所!$A$2:$C$5,3,FALSE)</f>
        <v>8</v>
      </c>
      <c r="V851" s="203">
        <f>申込書!$B$9</f>
        <v>0</v>
      </c>
      <c r="W851" s="203" t="str">
        <f>CONCATENATE(VLOOKUP(B851,★営業所!$A$2:$B$5,2,FALSE),VLOOKUP(申込書!$C$32,★サイズ表記!$D$4:$E$55,2,FALSE),VLOOKUP(D851,★折込地区!$A$2:$B$11,2,FALSE))</f>
        <v>T1001Hks</v>
      </c>
      <c r="X851" s="203" t="str">
        <f>CONCATENATE(申込書!$B$9," ",VLOOKUP(RIGHT(W851,3),★折込地区!$B$2:$C$10,2,FALSE),"")</f>
        <v xml:space="preserve"> 香住</v>
      </c>
      <c r="Z851" s="206">
        <f t="shared" ca="1" si="103"/>
        <v>0</v>
      </c>
      <c r="AB851" s="383">
        <f t="shared" si="104"/>
        <v>3</v>
      </c>
      <c r="AC851" s="203" t="str">
        <f t="shared" si="105"/>
        <v>D1001</v>
      </c>
      <c r="AD851" s="203" t="str">
        <f>VLOOKUP(AC851,★原価商品!$E$6:$F$349,2,FALSE)</f>
        <v>日本海/B4（折り無し）</v>
      </c>
      <c r="AE851" s="203">
        <f t="shared" ca="1" si="106"/>
        <v>0</v>
      </c>
      <c r="AF851" s="383">
        <f>IFERROR(IF(VLOOKUP(申込書!$C$32,★サイズ表記!$F$4:$H$55,3,FALSE)="切り捨て",ROUNDDOWN(L851*IF(AK851="◎",I851,J851)/100,2),IF(VLOOKUP(申込書!$C$32,★サイズ表記!$F$4:$H$55,3,FALSE)="切り上げ",ROUNDUP(L851*IF(AK851="◎",I851,J851)/100,2),ROUND(L851*IF(AK851="◎",I851,J851)/100,2))),0)</f>
        <v>2.7</v>
      </c>
      <c r="AG851" s="203">
        <f t="shared" ca="1" si="107"/>
        <v>10521</v>
      </c>
      <c r="AJ851" s="460" t="str">
        <f>IFERROR(VLOOKUP(申込書!$C$30,★業種!$D$2:$E$87,2,FALSE),"")</f>
        <v>1003</v>
      </c>
      <c r="AK851" s="460" t="str">
        <f>IF(申込書!$C$36="◎",IF(OR(D851="浜坂・温泉",D851="美方・村岡",D851="香住",D851="岡山",D851="大阪"),"",IF(LEFT(F851)="D","◎",IF(AG851=0,"",IFERROR(IF(VLOOKUP(AG851,★仕入先!$A$2:$C$211,3,FALSE)=0,"","◎"),"")))),"")</f>
        <v/>
      </c>
      <c r="AL851" s="460">
        <f>申込書!$H$14</f>
        <v>0</v>
      </c>
      <c r="AM851" s="460" t="str">
        <f>申込書!$C$32</f>
        <v>B4（折り無し）</v>
      </c>
      <c r="AN851" s="460" t="str">
        <f>VLOOKUP(AM851,★サイズ表記!$D$4:$E$55,2,FALSE)</f>
        <v>1001</v>
      </c>
      <c r="AO851" s="460">
        <f>IF(C851&lt;&gt;"⑧兵庫",VLOOKUP(LEFT(F851),★新聞!$A$4:$B$12,2,FALSE),IF(LEFT(F851)&lt;&gt;"S",VLOOKUP(LEFT(F851),★新聞!$A$4:$B$12,2,FALSE),VLOOKUP("X",★新聞!$A$4:$B$12,2,FALSE)))</f>
        <v>1</v>
      </c>
      <c r="AP851" s="460" t="str">
        <f t="shared" ca="1" si="108"/>
        <v>0</v>
      </c>
      <c r="AQ851" s="460" t="str">
        <f>IF(申込書!$C$38="","",申込書!$C$38)</f>
        <v/>
      </c>
    </row>
    <row r="852" spans="1:43">
      <c r="A852" s="463">
        <f t="shared" si="109"/>
        <v>851</v>
      </c>
      <c r="B852" s="463" t="str">
        <f t="shared" si="102"/>
        <v>東部</v>
      </c>
      <c r="C852" s="464" t="s">
        <v>1021</v>
      </c>
      <c r="D852" s="464" t="s">
        <v>158</v>
      </c>
      <c r="E852" s="464">
        <f>VLOOKUP(D852,★折込地区!$A$2:$D$10,4,FALSE)</f>
        <v>4</v>
      </c>
      <c r="F852" s="464" t="s">
        <v>364</v>
      </c>
      <c r="G852" s="464" t="str">
        <f>INDEX(★新聞!$E$4:$I$12, MATCH(LEFT(F852),★新聞!$A$4:$A$12,0), MATCH(LEFT(W852),★新聞!$E$3:$I$3,0))</f>
        <v>AA</v>
      </c>
      <c r="H852" s="475" t="s">
        <v>1121</v>
      </c>
      <c r="I852" s="464" cm="1">
        <f t="array" ref="I852">IFERROR(INDEX(★原価率!$A$2:$E$50,MATCH($C852&amp;$H852,★原価率!$A$2:$A$50&amp;★原価率!$B$2:$B$50,0),3),0)</f>
        <v>80</v>
      </c>
      <c r="J852" s="464" cm="1">
        <f t="array" ref="J852">IFERROR(INDEX(★原価率!$A$2:$E$50,MATCH($C852&amp;$H852,★原価率!$A$2:$A$50&amp;★原価率!$B$2:$B$50,0),4),0)</f>
        <v>80</v>
      </c>
      <c r="K852" s="464" cm="1">
        <f t="array" ref="K852">IFERROR(INDEX(★原価率!$A$2:$E$50,MATCH($C852&amp;$H852,★原価率!$A$2:$A$50&amp;★原価率!$B$2:$B$50,0),5),0)</f>
        <v>100</v>
      </c>
      <c r="L852" s="528">
        <f>IFERROR(VLOOKUP(W852,★商品!$A$1:$H$1231,8,FALSE),0)</f>
        <v>3</v>
      </c>
      <c r="M852" s="203" t="str">
        <f ca="1">CONCATENATE(VLOOKUP(B852,★営業所!$A$2:$B$5,2,FALSE),TEXT(NOW(),"yyyy"))</f>
        <v>T2023</v>
      </c>
      <c r="N852" s="203">
        <v>1</v>
      </c>
      <c r="O852" s="203">
        <v>0</v>
      </c>
      <c r="P852" s="213">
        <f>申込書!$B$6</f>
        <v>0</v>
      </c>
      <c r="Q852" s="203">
        <f>申込書!$C$34</f>
        <v>1000040</v>
      </c>
      <c r="R852" s="203">
        <v>0</v>
      </c>
      <c r="U852" s="203">
        <f>VLOOKUP(B852,★営業所!$A$2:$C$5,3,FALSE)</f>
        <v>8</v>
      </c>
      <c r="V852" s="203">
        <f>申込書!$B$9</f>
        <v>0</v>
      </c>
      <c r="W852" s="203" t="str">
        <f>CONCATENATE(VLOOKUP(B852,★営業所!$A$2:$B$5,2,FALSE),VLOOKUP(申込書!$C$32,★サイズ表記!$D$4:$E$55,2,FALSE),VLOOKUP(D852,★折込地区!$A$2:$B$11,2,FALSE))</f>
        <v>T1001Hha</v>
      </c>
      <c r="X852" s="203" t="str">
        <f>CONCATENATE(申込書!$B$9," ",VLOOKUP(RIGHT(W852,3),★折込地区!$B$2:$C$10,2,FALSE),"")</f>
        <v xml:space="preserve"> 浜坂・温泉</v>
      </c>
      <c r="Z852" s="206">
        <f t="shared" ca="1" si="103"/>
        <v>0</v>
      </c>
      <c r="AB852" s="383">
        <f t="shared" si="104"/>
        <v>3</v>
      </c>
      <c r="AC852" s="203" t="str">
        <f t="shared" si="105"/>
        <v>G1001</v>
      </c>
      <c r="AD852" s="203" t="str">
        <f>VLOOKUP(AC852,★原価商品!$E$6:$F$349,2,FALSE)</f>
        <v>朝日/B4（折り無し）</v>
      </c>
      <c r="AE852" s="203">
        <f t="shared" ca="1" si="106"/>
        <v>0</v>
      </c>
      <c r="AF852" s="383">
        <f>IFERROR(IF(VLOOKUP(申込書!$C$32,★サイズ表記!$F$4:$H$55,3,FALSE)="切り捨て",ROUNDDOWN(L852*IF(AK852="◎",I852,J852)/100,2),IF(VLOOKUP(申込書!$C$32,★サイズ表記!$F$4:$H$55,3,FALSE)="切り上げ",ROUNDUP(L852*IF(AK852="◎",I852,J852)/100,2),ROUND(L852*IF(AK852="◎",I852,J852)/100,2))),0)</f>
        <v>2.4</v>
      </c>
      <c r="AG852" s="203">
        <f t="shared" ca="1" si="107"/>
        <v>0</v>
      </c>
      <c r="AJ852" s="460" t="str">
        <f>IFERROR(VLOOKUP(申込書!$C$30,★業種!$D$2:$E$87,2,FALSE),"")</f>
        <v>1003</v>
      </c>
      <c r="AK852" s="460" t="str">
        <f>IF(申込書!$C$36="◎",IF(OR(D852="浜坂・温泉",D852="美方・村岡",D852="香住",D852="岡山",D852="大阪"),"",IF(LEFT(F852)="D","◎",IF(AG852=0,"",IFERROR(IF(VLOOKUP(AG852,★仕入先!$A$2:$C$211,3,FALSE)=0,"","◎"),"")))),"")</f>
        <v/>
      </c>
      <c r="AL852" s="460">
        <f>申込書!$H$14</f>
        <v>0</v>
      </c>
      <c r="AM852" s="460" t="str">
        <f>申込書!$C$32</f>
        <v>B4（折り無し）</v>
      </c>
      <c r="AN852" s="460" t="str">
        <f>VLOOKUP(AM852,★サイズ表記!$D$4:$E$55,2,FALSE)</f>
        <v>1001</v>
      </c>
      <c r="AO852" s="460">
        <f>IF(C852&lt;&gt;"⑧兵庫",VLOOKUP(LEFT(F852),★新聞!$A$4:$B$12,2,FALSE),IF(LEFT(F852)&lt;&gt;"S",VLOOKUP(LEFT(F852),★新聞!$A$4:$B$12,2,FALSE),VLOOKUP("X",★新聞!$A$4:$B$12,2,FALSE)))</f>
        <v>2</v>
      </c>
      <c r="AP852" s="460" t="str">
        <f t="shared" ca="1" si="108"/>
        <v>0</v>
      </c>
      <c r="AQ852" s="460" t="str">
        <f>IF(申込書!$C$38="","",申込書!$C$38)</f>
        <v/>
      </c>
    </row>
    <row r="853" spans="1:43">
      <c r="A853" s="463">
        <f t="shared" si="109"/>
        <v>852</v>
      </c>
      <c r="B853" s="463" t="str">
        <f t="shared" si="102"/>
        <v>東部</v>
      </c>
      <c r="C853" s="464" t="s">
        <v>1021</v>
      </c>
      <c r="D853" s="464" t="s">
        <v>158</v>
      </c>
      <c r="E853" s="464">
        <f>VLOOKUP(D853,★折込地区!$A$2:$D$10,4,FALSE)</f>
        <v>4</v>
      </c>
      <c r="F853" s="464" t="s">
        <v>406</v>
      </c>
      <c r="G853" s="464" t="str">
        <f>INDEX(★新聞!$E$4:$I$12, MATCH(LEFT(F853),★新聞!$A$4:$A$12,0), MATCH(LEFT(W853),★新聞!$E$3:$I$3,0))</f>
        <v>AA</v>
      </c>
      <c r="H853" s="475" t="s">
        <v>1121</v>
      </c>
      <c r="I853" s="464" cm="1">
        <f t="array" ref="I853">IFERROR(INDEX(★原価率!$A$2:$E$50,MATCH($C853&amp;$H853,★原価率!$A$2:$A$50&amp;★原価率!$B$2:$B$50,0),3),0)</f>
        <v>80</v>
      </c>
      <c r="J853" s="464" cm="1">
        <f t="array" ref="J853">IFERROR(INDEX(★原価率!$A$2:$E$50,MATCH($C853&amp;$H853,★原価率!$A$2:$A$50&amp;★原価率!$B$2:$B$50,0),4),0)</f>
        <v>80</v>
      </c>
      <c r="K853" s="464" cm="1">
        <f t="array" ref="K853">IFERROR(INDEX(★原価率!$A$2:$E$50,MATCH($C853&amp;$H853,★原価率!$A$2:$A$50&amp;★原価率!$B$2:$B$50,0),5),0)</f>
        <v>100</v>
      </c>
      <c r="L853" s="528">
        <f>IFERROR(VLOOKUP(W853,★商品!$A$1:$H$1231,8,FALSE),0)</f>
        <v>3</v>
      </c>
      <c r="M853" s="203" t="str">
        <f ca="1">CONCATENATE(VLOOKUP(B853,★営業所!$A$2:$B$5,2,FALSE),TEXT(NOW(),"yyyy"))</f>
        <v>T2023</v>
      </c>
      <c r="N853" s="203">
        <v>1</v>
      </c>
      <c r="O853" s="203">
        <v>0</v>
      </c>
      <c r="P853" s="213">
        <f>申込書!$B$6</f>
        <v>0</v>
      </c>
      <c r="Q853" s="203">
        <f>申込書!$C$34</f>
        <v>1000040</v>
      </c>
      <c r="R853" s="203">
        <v>0</v>
      </c>
      <c r="U853" s="203">
        <f>VLOOKUP(B853,★営業所!$A$2:$C$5,3,FALSE)</f>
        <v>8</v>
      </c>
      <c r="V853" s="203">
        <f>申込書!$B$9</f>
        <v>0</v>
      </c>
      <c r="W853" s="203" t="str">
        <f>CONCATENATE(VLOOKUP(B853,★営業所!$A$2:$B$5,2,FALSE),VLOOKUP(申込書!$C$32,★サイズ表記!$D$4:$E$55,2,FALSE),VLOOKUP(D853,★折込地区!$A$2:$B$11,2,FALSE))</f>
        <v>T1001Hha</v>
      </c>
      <c r="X853" s="203" t="str">
        <f>CONCATENATE(申込書!$B$9," ",VLOOKUP(RIGHT(W853,3),★折込地区!$B$2:$C$10,2,FALSE),"")</f>
        <v xml:space="preserve"> 浜坂・温泉</v>
      </c>
      <c r="Z853" s="206">
        <f t="shared" ca="1" si="103"/>
        <v>0</v>
      </c>
      <c r="AB853" s="383">
        <f t="shared" si="104"/>
        <v>3</v>
      </c>
      <c r="AC853" s="203" t="str">
        <f t="shared" si="105"/>
        <v>G1001</v>
      </c>
      <c r="AD853" s="203" t="str">
        <f>VLOOKUP(AC853,★原価商品!$E$6:$F$349,2,FALSE)</f>
        <v>朝日/B4（折り無し）</v>
      </c>
      <c r="AE853" s="203">
        <f t="shared" ca="1" si="106"/>
        <v>0</v>
      </c>
      <c r="AF853" s="383">
        <f>IFERROR(IF(VLOOKUP(申込書!$C$32,★サイズ表記!$F$4:$H$55,3,FALSE)="切り捨て",ROUNDDOWN(L853*IF(AK853="◎",I853,J853)/100,2),IF(VLOOKUP(申込書!$C$32,★サイズ表記!$F$4:$H$55,3,FALSE)="切り上げ",ROUNDUP(L853*IF(AK853="◎",I853,J853)/100,2),ROUND(L853*IF(AK853="◎",I853,J853)/100,2))),0)</f>
        <v>2.4</v>
      </c>
      <c r="AG853" s="203">
        <f t="shared" ca="1" si="107"/>
        <v>0</v>
      </c>
      <c r="AJ853" s="460" t="str">
        <f>IFERROR(VLOOKUP(申込書!$C$30,★業種!$D$2:$E$87,2,FALSE),"")</f>
        <v>1003</v>
      </c>
      <c r="AK853" s="460" t="str">
        <f>IF(申込書!$C$36="◎",IF(OR(D853="浜坂・温泉",D853="美方・村岡",D853="香住",D853="岡山",D853="大阪"),"",IF(LEFT(F853)="D","◎",IF(AG853=0,"",IFERROR(IF(VLOOKUP(AG853,★仕入先!$A$2:$C$211,3,FALSE)=0,"","◎"),"")))),"")</f>
        <v/>
      </c>
      <c r="AL853" s="460">
        <f>申込書!$H$14</f>
        <v>0</v>
      </c>
      <c r="AM853" s="460" t="str">
        <f>申込書!$C$32</f>
        <v>B4（折り無し）</v>
      </c>
      <c r="AN853" s="460" t="str">
        <f>VLOOKUP(AM853,★サイズ表記!$D$4:$E$55,2,FALSE)</f>
        <v>1001</v>
      </c>
      <c r="AO853" s="460">
        <f>IF(C853&lt;&gt;"⑧兵庫",VLOOKUP(LEFT(F853),★新聞!$A$4:$B$12,2,FALSE),IF(LEFT(F853)&lt;&gt;"S",VLOOKUP(LEFT(F853),★新聞!$A$4:$B$12,2,FALSE),VLOOKUP("X",★新聞!$A$4:$B$12,2,FALSE)))</f>
        <v>2</v>
      </c>
      <c r="AP853" s="460" t="str">
        <f t="shared" ca="1" si="108"/>
        <v>0</v>
      </c>
      <c r="AQ853" s="460" t="str">
        <f>IF(申込書!$C$38="","",申込書!$C$38)</f>
        <v/>
      </c>
    </row>
    <row r="854" spans="1:43">
      <c r="A854" s="463">
        <f t="shared" si="109"/>
        <v>853</v>
      </c>
      <c r="B854" s="463" t="str">
        <f t="shared" si="102"/>
        <v>東部</v>
      </c>
      <c r="C854" s="464" t="s">
        <v>1021</v>
      </c>
      <c r="D854" s="464" t="s">
        <v>857</v>
      </c>
      <c r="E854" s="464">
        <f>VLOOKUP(D854,★折込地区!$A$2:$D$10,4,FALSE)</f>
        <v>5</v>
      </c>
      <c r="F854" s="464" t="s">
        <v>407</v>
      </c>
      <c r="G854" s="464" t="str">
        <f>INDEX(★新聞!$E$4:$I$12, MATCH(LEFT(F854),★新聞!$A$4:$A$12,0), MATCH(LEFT(W854),★新聞!$E$3:$I$3,0))</f>
        <v>AA</v>
      </c>
      <c r="H854" s="475" t="s">
        <v>1126</v>
      </c>
      <c r="I854" s="464" cm="1">
        <f t="array" ref="I854">IFERROR(INDEX(★原価率!$A$2:$E$50,MATCH($C854&amp;$H854,★原価率!$A$2:$A$50&amp;★原価率!$B$2:$B$50,0),3),0)</f>
        <v>100</v>
      </c>
      <c r="J854" s="464" cm="1">
        <f t="array" ref="J854">IFERROR(INDEX(★原価率!$A$2:$E$50,MATCH($C854&amp;$H854,★原価率!$A$2:$A$50&amp;★原価率!$B$2:$B$50,0),4),0)</f>
        <v>100</v>
      </c>
      <c r="K854" s="464" cm="1">
        <f t="array" ref="K854">IFERROR(INDEX(★原価率!$A$2:$E$50,MATCH($C854&amp;$H854,★原価率!$A$2:$A$50&amp;★原価率!$B$2:$B$50,0),5),0)</f>
        <v>100</v>
      </c>
      <c r="L854" s="528">
        <f>IFERROR(VLOOKUP(W854,★商品!$A$1:$H$1231,8,FALSE),0)</f>
        <v>3</v>
      </c>
      <c r="M854" s="203" t="str">
        <f ca="1">CONCATENATE(VLOOKUP(B854,★営業所!$A$2:$B$5,2,FALSE),TEXT(NOW(),"yyyy"))</f>
        <v>T2023</v>
      </c>
      <c r="N854" s="203">
        <v>1</v>
      </c>
      <c r="O854" s="203">
        <v>0</v>
      </c>
      <c r="P854" s="213">
        <f>申込書!$B$6</f>
        <v>0</v>
      </c>
      <c r="Q854" s="203">
        <f>申込書!$C$34</f>
        <v>1000040</v>
      </c>
      <c r="R854" s="203">
        <v>0</v>
      </c>
      <c r="U854" s="203">
        <f>VLOOKUP(B854,★営業所!$A$2:$C$5,3,FALSE)</f>
        <v>8</v>
      </c>
      <c r="V854" s="203">
        <f>申込書!$B$9</f>
        <v>0</v>
      </c>
      <c r="W854" s="203" t="str">
        <f>CONCATENATE(VLOOKUP(B854,★営業所!$A$2:$B$5,2,FALSE),VLOOKUP(申込書!$C$32,★サイズ表記!$D$4:$E$55,2,FALSE),VLOOKUP(D854,★折込地区!$A$2:$B$11,2,FALSE))</f>
        <v>T1001Hmm</v>
      </c>
      <c r="X854" s="203" t="str">
        <f>CONCATENATE(申込書!$B$9," ",VLOOKUP(RIGHT(W854,3),★折込地区!$B$2:$C$10,2,FALSE),"")</f>
        <v xml:space="preserve"> 美方・村岡</v>
      </c>
      <c r="Z854" s="206">
        <f t="shared" ca="1" si="103"/>
        <v>0</v>
      </c>
      <c r="AB854" s="383">
        <f t="shared" si="104"/>
        <v>3</v>
      </c>
      <c r="AC854" s="203" t="str">
        <f t="shared" si="105"/>
        <v>G1001</v>
      </c>
      <c r="AD854" s="203" t="str">
        <f>VLOOKUP(AC854,★原価商品!$E$6:$F$349,2,FALSE)</f>
        <v>朝日/B4（折り無し）</v>
      </c>
      <c r="AE854" s="203">
        <f t="shared" ca="1" si="106"/>
        <v>0</v>
      </c>
      <c r="AF854" s="383">
        <f>IFERROR(IF(VLOOKUP(申込書!$C$32,★サイズ表記!$F$4:$H$55,3,FALSE)="切り捨て",ROUNDDOWN(L854*IF(AK854="◎",I854,J854)/100,2),IF(VLOOKUP(申込書!$C$32,★サイズ表記!$F$4:$H$55,3,FALSE)="切り上げ",ROUNDUP(L854*IF(AK854="◎",I854,J854)/100,2),ROUND(L854*IF(AK854="◎",I854,J854)/100,2))),0)</f>
        <v>3</v>
      </c>
      <c r="AG854" s="203">
        <f t="shared" ca="1" si="107"/>
        <v>0</v>
      </c>
      <c r="AJ854" s="460" t="str">
        <f>IFERROR(VLOOKUP(申込書!$C$30,★業種!$D$2:$E$87,2,FALSE),"")</f>
        <v>1003</v>
      </c>
      <c r="AK854" s="460" t="str">
        <f>IF(申込書!$C$36="◎",IF(OR(D854="浜坂・温泉",D854="美方・村岡",D854="香住",D854="岡山",D854="大阪"),"",IF(LEFT(F854)="D","◎",IF(AG854=0,"",IFERROR(IF(VLOOKUP(AG854,★仕入先!$A$2:$C$211,3,FALSE)=0,"","◎"),"")))),"")</f>
        <v/>
      </c>
      <c r="AL854" s="460">
        <f>申込書!$H$14</f>
        <v>0</v>
      </c>
      <c r="AM854" s="460" t="str">
        <f>申込書!$C$32</f>
        <v>B4（折り無し）</v>
      </c>
      <c r="AN854" s="460" t="str">
        <f>VLOOKUP(AM854,★サイズ表記!$D$4:$E$55,2,FALSE)</f>
        <v>1001</v>
      </c>
      <c r="AO854" s="460">
        <f>IF(C854&lt;&gt;"⑧兵庫",VLOOKUP(LEFT(F854),★新聞!$A$4:$B$12,2,FALSE),IF(LEFT(F854)&lt;&gt;"S",VLOOKUP(LEFT(F854),★新聞!$A$4:$B$12,2,FALSE),VLOOKUP("X",★新聞!$A$4:$B$12,2,FALSE)))</f>
        <v>2</v>
      </c>
      <c r="AP854" s="460" t="str">
        <f t="shared" ca="1" si="108"/>
        <v>0</v>
      </c>
      <c r="AQ854" s="460" t="str">
        <f>IF(申込書!$C$38="","",申込書!$C$38)</f>
        <v/>
      </c>
    </row>
    <row r="855" spans="1:43">
      <c r="A855" s="463">
        <f t="shared" si="109"/>
        <v>854</v>
      </c>
      <c r="B855" s="463" t="str">
        <f t="shared" si="102"/>
        <v>東部</v>
      </c>
      <c r="C855" s="464" t="s">
        <v>1021</v>
      </c>
      <c r="D855" s="464" t="s">
        <v>857</v>
      </c>
      <c r="E855" s="464">
        <f>VLOOKUP(D855,★折込地区!$A$2:$D$10,4,FALSE)</f>
        <v>5</v>
      </c>
      <c r="F855" s="464" t="s">
        <v>408</v>
      </c>
      <c r="G855" s="464" t="str">
        <f>INDEX(★新聞!$E$4:$I$12, MATCH(LEFT(F855),★新聞!$A$4:$A$12,0), MATCH(LEFT(W855),★新聞!$E$3:$I$3,0))</f>
        <v>AA</v>
      </c>
      <c r="H855" s="475" t="s">
        <v>1126</v>
      </c>
      <c r="I855" s="464" cm="1">
        <f t="array" ref="I855">IFERROR(INDEX(★原価率!$A$2:$E$50,MATCH($C855&amp;$H855,★原価率!$A$2:$A$50&amp;★原価率!$B$2:$B$50,0),3),0)</f>
        <v>100</v>
      </c>
      <c r="J855" s="464" cm="1">
        <f t="array" ref="J855">IFERROR(INDEX(★原価率!$A$2:$E$50,MATCH($C855&amp;$H855,★原価率!$A$2:$A$50&amp;★原価率!$B$2:$B$50,0),4),0)</f>
        <v>100</v>
      </c>
      <c r="K855" s="464" cm="1">
        <f t="array" ref="K855">IFERROR(INDEX(★原価率!$A$2:$E$50,MATCH($C855&amp;$H855,★原価率!$A$2:$A$50&amp;★原価率!$B$2:$B$50,0),5),0)</f>
        <v>100</v>
      </c>
      <c r="L855" s="528">
        <f>IFERROR(VLOOKUP(W855,★商品!$A$1:$H$1231,8,FALSE),0)</f>
        <v>3</v>
      </c>
      <c r="M855" s="203" t="str">
        <f ca="1">CONCATENATE(VLOOKUP(B855,★営業所!$A$2:$B$5,2,FALSE),TEXT(NOW(),"yyyy"))</f>
        <v>T2023</v>
      </c>
      <c r="N855" s="203">
        <v>1</v>
      </c>
      <c r="O855" s="203">
        <v>0</v>
      </c>
      <c r="P855" s="213">
        <f>申込書!$B$6</f>
        <v>0</v>
      </c>
      <c r="Q855" s="203">
        <f>申込書!$C$34</f>
        <v>1000040</v>
      </c>
      <c r="R855" s="203">
        <v>0</v>
      </c>
      <c r="U855" s="203">
        <f>VLOOKUP(B855,★営業所!$A$2:$C$5,3,FALSE)</f>
        <v>8</v>
      </c>
      <c r="V855" s="203">
        <f>申込書!$B$9</f>
        <v>0</v>
      </c>
      <c r="W855" s="203" t="str">
        <f>CONCATENATE(VLOOKUP(B855,★営業所!$A$2:$B$5,2,FALSE),VLOOKUP(申込書!$C$32,★サイズ表記!$D$4:$E$55,2,FALSE),VLOOKUP(D855,★折込地区!$A$2:$B$11,2,FALSE))</f>
        <v>T1001Hmm</v>
      </c>
      <c r="X855" s="203" t="str">
        <f>CONCATENATE(申込書!$B$9," ",VLOOKUP(RIGHT(W855,3),★折込地区!$B$2:$C$10,2,FALSE),"")</f>
        <v xml:space="preserve"> 美方・村岡</v>
      </c>
      <c r="Z855" s="206">
        <f t="shared" ca="1" si="103"/>
        <v>0</v>
      </c>
      <c r="AB855" s="383">
        <f t="shared" si="104"/>
        <v>3</v>
      </c>
      <c r="AC855" s="203" t="str">
        <f t="shared" si="105"/>
        <v>G1001</v>
      </c>
      <c r="AD855" s="203" t="str">
        <f>VLOOKUP(AC855,★原価商品!$E$6:$F$349,2,FALSE)</f>
        <v>朝日/B4（折り無し）</v>
      </c>
      <c r="AE855" s="203">
        <f t="shared" ca="1" si="106"/>
        <v>0</v>
      </c>
      <c r="AF855" s="383">
        <f>IFERROR(IF(VLOOKUP(申込書!$C$32,★サイズ表記!$F$4:$H$55,3,FALSE)="切り捨て",ROUNDDOWN(L855*IF(AK855="◎",I855,J855)/100,2),IF(VLOOKUP(申込書!$C$32,★サイズ表記!$F$4:$H$55,3,FALSE)="切り上げ",ROUNDUP(L855*IF(AK855="◎",I855,J855)/100,2),ROUND(L855*IF(AK855="◎",I855,J855)/100,2))),0)</f>
        <v>3</v>
      </c>
      <c r="AG855" s="203">
        <f t="shared" ca="1" si="107"/>
        <v>0</v>
      </c>
      <c r="AJ855" s="460" t="str">
        <f>IFERROR(VLOOKUP(申込書!$C$30,★業種!$D$2:$E$87,2,FALSE),"")</f>
        <v>1003</v>
      </c>
      <c r="AK855" s="460" t="str">
        <f>IF(申込書!$C$36="◎",IF(OR(D855="浜坂・温泉",D855="美方・村岡",D855="香住",D855="岡山",D855="大阪"),"",IF(LEFT(F855)="D","◎",IF(AG855=0,"",IFERROR(IF(VLOOKUP(AG855,★仕入先!$A$2:$C$211,3,FALSE)=0,"","◎"),"")))),"")</f>
        <v/>
      </c>
      <c r="AL855" s="460">
        <f>申込書!$H$14</f>
        <v>0</v>
      </c>
      <c r="AM855" s="460" t="str">
        <f>申込書!$C$32</f>
        <v>B4（折り無し）</v>
      </c>
      <c r="AN855" s="460" t="str">
        <f>VLOOKUP(AM855,★サイズ表記!$D$4:$E$55,2,FALSE)</f>
        <v>1001</v>
      </c>
      <c r="AO855" s="460">
        <f>IF(C855&lt;&gt;"⑧兵庫",VLOOKUP(LEFT(F855),★新聞!$A$4:$B$12,2,FALSE),IF(LEFT(F855)&lt;&gt;"S",VLOOKUP(LEFT(F855),★新聞!$A$4:$B$12,2,FALSE),VLOOKUP("X",★新聞!$A$4:$B$12,2,FALSE)))</f>
        <v>2</v>
      </c>
      <c r="AP855" s="460" t="str">
        <f t="shared" ca="1" si="108"/>
        <v>0</v>
      </c>
      <c r="AQ855" s="460" t="str">
        <f>IF(申込書!$C$38="","",申込書!$C$38)</f>
        <v/>
      </c>
    </row>
    <row r="856" spans="1:43">
      <c r="A856" s="463">
        <f t="shared" si="109"/>
        <v>855</v>
      </c>
      <c r="B856" s="463" t="str">
        <f t="shared" si="102"/>
        <v>東部</v>
      </c>
      <c r="C856" s="464" t="s">
        <v>1021</v>
      </c>
      <c r="D856" s="464" t="s">
        <v>857</v>
      </c>
      <c r="E856" s="464">
        <f>VLOOKUP(D856,★折込地区!$A$2:$D$10,4,FALSE)</f>
        <v>5</v>
      </c>
      <c r="F856" s="464" t="s">
        <v>409</v>
      </c>
      <c r="G856" s="464" t="str">
        <f>INDEX(★新聞!$E$4:$I$12, MATCH(LEFT(F856),★新聞!$A$4:$A$12,0), MATCH(LEFT(W856),★新聞!$E$3:$I$3,0))</f>
        <v>AA</v>
      </c>
      <c r="H856" s="475" t="s">
        <v>1126</v>
      </c>
      <c r="I856" s="464" cm="1">
        <f t="array" ref="I856">IFERROR(INDEX(★原価率!$A$2:$E$50,MATCH($C856&amp;$H856,★原価率!$A$2:$A$50&amp;★原価率!$B$2:$B$50,0),3),0)</f>
        <v>100</v>
      </c>
      <c r="J856" s="464" cm="1">
        <f t="array" ref="J856">IFERROR(INDEX(★原価率!$A$2:$E$50,MATCH($C856&amp;$H856,★原価率!$A$2:$A$50&amp;★原価率!$B$2:$B$50,0),4),0)</f>
        <v>100</v>
      </c>
      <c r="K856" s="464" cm="1">
        <f t="array" ref="K856">IFERROR(INDEX(★原価率!$A$2:$E$50,MATCH($C856&amp;$H856,★原価率!$A$2:$A$50&amp;★原価率!$B$2:$B$50,0),5),0)</f>
        <v>100</v>
      </c>
      <c r="L856" s="528">
        <f>IFERROR(VLOOKUP(W856,★商品!$A$1:$H$1231,8,FALSE),0)</f>
        <v>3</v>
      </c>
      <c r="M856" s="203" t="str">
        <f ca="1">CONCATENATE(VLOOKUP(B856,★営業所!$A$2:$B$5,2,FALSE),TEXT(NOW(),"yyyy"))</f>
        <v>T2023</v>
      </c>
      <c r="N856" s="203">
        <v>1</v>
      </c>
      <c r="O856" s="203">
        <v>0</v>
      </c>
      <c r="P856" s="213">
        <f>申込書!$B$6</f>
        <v>0</v>
      </c>
      <c r="Q856" s="203">
        <f>申込書!$C$34</f>
        <v>1000040</v>
      </c>
      <c r="R856" s="203">
        <v>0</v>
      </c>
      <c r="U856" s="203">
        <f>VLOOKUP(B856,★営業所!$A$2:$C$5,3,FALSE)</f>
        <v>8</v>
      </c>
      <c r="V856" s="203">
        <f>申込書!$B$9</f>
        <v>0</v>
      </c>
      <c r="W856" s="203" t="str">
        <f>CONCATENATE(VLOOKUP(B856,★営業所!$A$2:$B$5,2,FALSE),VLOOKUP(申込書!$C$32,★サイズ表記!$D$4:$E$55,2,FALSE),VLOOKUP(D856,★折込地区!$A$2:$B$11,2,FALSE))</f>
        <v>T1001Hmm</v>
      </c>
      <c r="X856" s="203" t="str">
        <f>CONCATENATE(申込書!$B$9," ",VLOOKUP(RIGHT(W856,3),★折込地区!$B$2:$C$10,2,FALSE),"")</f>
        <v xml:space="preserve"> 美方・村岡</v>
      </c>
      <c r="Z856" s="206">
        <f t="shared" ca="1" si="103"/>
        <v>0</v>
      </c>
      <c r="AB856" s="383">
        <f t="shared" si="104"/>
        <v>3</v>
      </c>
      <c r="AC856" s="203" t="str">
        <f t="shared" si="105"/>
        <v>G1001</v>
      </c>
      <c r="AD856" s="203" t="str">
        <f>VLOOKUP(AC856,★原価商品!$E$6:$F$349,2,FALSE)</f>
        <v>朝日/B4（折り無し）</v>
      </c>
      <c r="AE856" s="203">
        <f t="shared" ca="1" si="106"/>
        <v>0</v>
      </c>
      <c r="AF856" s="383">
        <f>IFERROR(IF(VLOOKUP(申込書!$C$32,★サイズ表記!$F$4:$H$55,3,FALSE)="切り捨て",ROUNDDOWN(L856*IF(AK856="◎",I856,J856)/100,2),IF(VLOOKUP(申込書!$C$32,★サイズ表記!$F$4:$H$55,3,FALSE)="切り上げ",ROUNDUP(L856*IF(AK856="◎",I856,J856)/100,2),ROUND(L856*IF(AK856="◎",I856,J856)/100,2))),0)</f>
        <v>3</v>
      </c>
      <c r="AG856" s="203">
        <f t="shared" ca="1" si="107"/>
        <v>0</v>
      </c>
      <c r="AJ856" s="460" t="str">
        <f>IFERROR(VLOOKUP(申込書!$C$30,★業種!$D$2:$E$87,2,FALSE),"")</f>
        <v>1003</v>
      </c>
      <c r="AK856" s="460" t="str">
        <f>IF(申込書!$C$36="◎",IF(OR(D856="浜坂・温泉",D856="美方・村岡",D856="香住",D856="岡山",D856="大阪"),"",IF(LEFT(F856)="D","◎",IF(AG856=0,"",IFERROR(IF(VLOOKUP(AG856,★仕入先!$A$2:$C$211,3,FALSE)=0,"","◎"),"")))),"")</f>
        <v/>
      </c>
      <c r="AL856" s="460">
        <f>申込書!$H$14</f>
        <v>0</v>
      </c>
      <c r="AM856" s="460" t="str">
        <f>申込書!$C$32</f>
        <v>B4（折り無し）</v>
      </c>
      <c r="AN856" s="460" t="str">
        <f>VLOOKUP(AM856,★サイズ表記!$D$4:$E$55,2,FALSE)</f>
        <v>1001</v>
      </c>
      <c r="AO856" s="460">
        <f>IF(C856&lt;&gt;"⑧兵庫",VLOOKUP(LEFT(F856),★新聞!$A$4:$B$12,2,FALSE),IF(LEFT(F856)&lt;&gt;"S",VLOOKUP(LEFT(F856),★新聞!$A$4:$B$12,2,FALSE),VLOOKUP("X",★新聞!$A$4:$B$12,2,FALSE)))</f>
        <v>2</v>
      </c>
      <c r="AP856" s="460" t="str">
        <f t="shared" ca="1" si="108"/>
        <v>0</v>
      </c>
      <c r="AQ856" s="460" t="str">
        <f>IF(申込書!$C$38="","",申込書!$C$38)</f>
        <v/>
      </c>
    </row>
    <row r="857" spans="1:43">
      <c r="A857" s="463">
        <f t="shared" si="109"/>
        <v>856</v>
      </c>
      <c r="B857" s="463" t="str">
        <f t="shared" si="102"/>
        <v>東部</v>
      </c>
      <c r="C857" s="464" t="s">
        <v>1021</v>
      </c>
      <c r="D857" s="464" t="s">
        <v>857</v>
      </c>
      <c r="E857" s="464">
        <f>VLOOKUP(D857,★折込地区!$A$2:$D$10,4,FALSE)</f>
        <v>5</v>
      </c>
      <c r="F857" s="464" t="s">
        <v>410</v>
      </c>
      <c r="G857" s="464" t="str">
        <f>INDEX(★新聞!$E$4:$I$12, MATCH(LEFT(F857),★新聞!$A$4:$A$12,0), MATCH(LEFT(W857),★新聞!$E$3:$I$3,0))</f>
        <v>AA</v>
      </c>
      <c r="H857" s="475" t="s">
        <v>1126</v>
      </c>
      <c r="I857" s="464" cm="1">
        <f t="array" ref="I857">IFERROR(INDEX(★原価率!$A$2:$E$50,MATCH($C857&amp;$H857,★原価率!$A$2:$A$50&amp;★原価率!$B$2:$B$50,0),3),0)</f>
        <v>100</v>
      </c>
      <c r="J857" s="464" cm="1">
        <f t="array" ref="J857">IFERROR(INDEX(★原価率!$A$2:$E$50,MATCH($C857&amp;$H857,★原価率!$A$2:$A$50&amp;★原価率!$B$2:$B$50,0),4),0)</f>
        <v>100</v>
      </c>
      <c r="K857" s="464" cm="1">
        <f t="array" ref="K857">IFERROR(INDEX(★原価率!$A$2:$E$50,MATCH($C857&amp;$H857,★原価率!$A$2:$A$50&amp;★原価率!$B$2:$B$50,0),5),0)</f>
        <v>100</v>
      </c>
      <c r="L857" s="528">
        <f>IFERROR(VLOOKUP(W857,★商品!$A$1:$H$1231,8,FALSE),0)</f>
        <v>3</v>
      </c>
      <c r="M857" s="203" t="str">
        <f ca="1">CONCATENATE(VLOOKUP(B857,★営業所!$A$2:$B$5,2,FALSE),TEXT(NOW(),"yyyy"))</f>
        <v>T2023</v>
      </c>
      <c r="N857" s="203">
        <v>1</v>
      </c>
      <c r="O857" s="203">
        <v>0</v>
      </c>
      <c r="P857" s="213">
        <f>申込書!$B$6</f>
        <v>0</v>
      </c>
      <c r="Q857" s="203">
        <f>申込書!$C$34</f>
        <v>1000040</v>
      </c>
      <c r="R857" s="203">
        <v>0</v>
      </c>
      <c r="U857" s="203">
        <f>VLOOKUP(B857,★営業所!$A$2:$C$5,3,FALSE)</f>
        <v>8</v>
      </c>
      <c r="V857" s="203">
        <f>申込書!$B$9</f>
        <v>0</v>
      </c>
      <c r="W857" s="203" t="str">
        <f>CONCATENATE(VLOOKUP(B857,★営業所!$A$2:$B$5,2,FALSE),VLOOKUP(申込書!$C$32,★サイズ表記!$D$4:$E$55,2,FALSE),VLOOKUP(D857,★折込地区!$A$2:$B$11,2,FALSE))</f>
        <v>T1001Hmm</v>
      </c>
      <c r="X857" s="203" t="str">
        <f>CONCATENATE(申込書!$B$9," ",VLOOKUP(RIGHT(W857,3),★折込地区!$B$2:$C$10,2,FALSE),"")</f>
        <v xml:space="preserve"> 美方・村岡</v>
      </c>
      <c r="Z857" s="206">
        <f t="shared" ca="1" si="103"/>
        <v>0</v>
      </c>
      <c r="AB857" s="383">
        <f t="shared" si="104"/>
        <v>3</v>
      </c>
      <c r="AC857" s="203" t="str">
        <f t="shared" si="105"/>
        <v>G1001</v>
      </c>
      <c r="AD857" s="203" t="str">
        <f>VLOOKUP(AC857,★原価商品!$E$6:$F$349,2,FALSE)</f>
        <v>朝日/B4（折り無し）</v>
      </c>
      <c r="AE857" s="203">
        <f t="shared" ca="1" si="106"/>
        <v>0</v>
      </c>
      <c r="AF857" s="383">
        <f>IFERROR(IF(VLOOKUP(申込書!$C$32,★サイズ表記!$F$4:$H$55,3,FALSE)="切り捨て",ROUNDDOWN(L857*IF(AK857="◎",I857,J857)/100,2),IF(VLOOKUP(申込書!$C$32,★サイズ表記!$F$4:$H$55,3,FALSE)="切り上げ",ROUNDUP(L857*IF(AK857="◎",I857,J857)/100,2),ROUND(L857*IF(AK857="◎",I857,J857)/100,2))),0)</f>
        <v>3</v>
      </c>
      <c r="AG857" s="203">
        <f t="shared" ca="1" si="107"/>
        <v>0</v>
      </c>
      <c r="AJ857" s="460" t="str">
        <f>IFERROR(VLOOKUP(申込書!$C$30,★業種!$D$2:$E$87,2,FALSE),"")</f>
        <v>1003</v>
      </c>
      <c r="AK857" s="460" t="str">
        <f>IF(申込書!$C$36="◎",IF(OR(D857="浜坂・温泉",D857="美方・村岡",D857="香住",D857="岡山",D857="大阪"),"",IF(LEFT(F857)="D","◎",IF(AG857=0,"",IFERROR(IF(VLOOKUP(AG857,★仕入先!$A$2:$C$211,3,FALSE)=0,"","◎"),"")))),"")</f>
        <v/>
      </c>
      <c r="AL857" s="460">
        <f>申込書!$H$14</f>
        <v>0</v>
      </c>
      <c r="AM857" s="460" t="str">
        <f>申込書!$C$32</f>
        <v>B4（折り無し）</v>
      </c>
      <c r="AN857" s="460" t="str">
        <f>VLOOKUP(AM857,★サイズ表記!$D$4:$E$55,2,FALSE)</f>
        <v>1001</v>
      </c>
      <c r="AO857" s="460">
        <f>IF(C857&lt;&gt;"⑧兵庫",VLOOKUP(LEFT(F857),★新聞!$A$4:$B$12,2,FALSE),IF(LEFT(F857)&lt;&gt;"S",VLOOKUP(LEFT(F857),★新聞!$A$4:$B$12,2,FALSE),VLOOKUP("X",★新聞!$A$4:$B$12,2,FALSE)))</f>
        <v>2</v>
      </c>
      <c r="AP857" s="460" t="str">
        <f t="shared" ca="1" si="108"/>
        <v>0</v>
      </c>
      <c r="AQ857" s="460" t="str">
        <f>IF(申込書!$C$38="","",申込書!$C$38)</f>
        <v/>
      </c>
    </row>
    <row r="858" spans="1:43">
      <c r="A858" s="463">
        <f t="shared" si="109"/>
        <v>857</v>
      </c>
      <c r="B858" s="463" t="str">
        <f t="shared" si="102"/>
        <v>東部</v>
      </c>
      <c r="C858" s="464" t="s">
        <v>1021</v>
      </c>
      <c r="D858" s="464" t="s">
        <v>38</v>
      </c>
      <c r="E858" s="464">
        <f>VLOOKUP(D858,★折込地区!$A$2:$D$10,4,FALSE)</f>
        <v>6</v>
      </c>
      <c r="F858" s="464" t="s">
        <v>411</v>
      </c>
      <c r="G858" s="464" t="str">
        <f>INDEX(★新聞!$E$4:$I$12, MATCH(LEFT(F858),★新聞!$A$4:$A$12,0), MATCH(LEFT(W858),★新聞!$E$3:$I$3,0))</f>
        <v>AA</v>
      </c>
      <c r="H858" s="475" t="s">
        <v>1127</v>
      </c>
      <c r="I858" s="464" cm="1">
        <f t="array" ref="I858">IFERROR(INDEX(★原価率!$A$2:$E$50,MATCH($C858&amp;$H858,★原価率!$A$2:$A$50&amp;★原価率!$B$2:$B$50,0),3),0)</f>
        <v>90</v>
      </c>
      <c r="J858" s="464" cm="1">
        <f t="array" ref="J858">IFERROR(INDEX(★原価率!$A$2:$E$50,MATCH($C858&amp;$H858,★原価率!$A$2:$A$50&amp;★原価率!$B$2:$B$50,0),4),0)</f>
        <v>90</v>
      </c>
      <c r="K858" s="464" cm="1">
        <f t="array" ref="K858">IFERROR(INDEX(★原価率!$A$2:$E$50,MATCH($C858&amp;$H858,★原価率!$A$2:$A$50&amp;★原価率!$B$2:$B$50,0),5),0)</f>
        <v>100</v>
      </c>
      <c r="L858" s="528">
        <f>IFERROR(VLOOKUP(W858,★商品!$A$1:$H$1231,8,FALSE),0)</f>
        <v>3</v>
      </c>
      <c r="M858" s="203" t="str">
        <f ca="1">CONCATENATE(VLOOKUP(B858,★営業所!$A$2:$B$5,2,FALSE),TEXT(NOW(),"yyyy"))</f>
        <v>T2023</v>
      </c>
      <c r="N858" s="203">
        <v>1</v>
      </c>
      <c r="O858" s="203">
        <v>0</v>
      </c>
      <c r="P858" s="213">
        <f>申込書!$B$6</f>
        <v>0</v>
      </c>
      <c r="Q858" s="203">
        <f>申込書!$C$34</f>
        <v>1000040</v>
      </c>
      <c r="R858" s="203">
        <v>0</v>
      </c>
      <c r="U858" s="203">
        <f>VLOOKUP(B858,★営業所!$A$2:$C$5,3,FALSE)</f>
        <v>8</v>
      </c>
      <c r="V858" s="203">
        <f>申込書!$B$9</f>
        <v>0</v>
      </c>
      <c r="W858" s="203" t="str">
        <f>CONCATENATE(VLOOKUP(B858,★営業所!$A$2:$B$5,2,FALSE),VLOOKUP(申込書!$C$32,★サイズ表記!$D$4:$E$55,2,FALSE),VLOOKUP(D858,★折込地区!$A$2:$B$11,2,FALSE))</f>
        <v>T1001Hks</v>
      </c>
      <c r="X858" s="203" t="str">
        <f>CONCATENATE(申込書!$B$9," ",VLOOKUP(RIGHT(W858,3),★折込地区!$B$2:$C$10,2,FALSE),"")</f>
        <v xml:space="preserve"> 香住</v>
      </c>
      <c r="Z858" s="206">
        <f t="shared" ca="1" si="103"/>
        <v>0</v>
      </c>
      <c r="AB858" s="383">
        <f t="shared" si="104"/>
        <v>3</v>
      </c>
      <c r="AC858" s="203" t="str">
        <f t="shared" si="105"/>
        <v>G1001</v>
      </c>
      <c r="AD858" s="203" t="str">
        <f>VLOOKUP(AC858,★原価商品!$E$6:$F$349,2,FALSE)</f>
        <v>朝日/B4（折り無し）</v>
      </c>
      <c r="AE858" s="203">
        <f t="shared" ca="1" si="106"/>
        <v>0</v>
      </c>
      <c r="AF858" s="383">
        <f>IFERROR(IF(VLOOKUP(申込書!$C$32,★サイズ表記!$F$4:$H$55,3,FALSE)="切り捨て",ROUNDDOWN(L858*IF(AK858="◎",I858,J858)/100,2),IF(VLOOKUP(申込書!$C$32,★サイズ表記!$F$4:$H$55,3,FALSE)="切り上げ",ROUNDUP(L858*IF(AK858="◎",I858,J858)/100,2),ROUND(L858*IF(AK858="◎",I858,J858)/100,2))),0)</f>
        <v>2.7</v>
      </c>
      <c r="AG858" s="203">
        <f t="shared" ca="1" si="107"/>
        <v>10523</v>
      </c>
      <c r="AJ858" s="460" t="str">
        <f>IFERROR(VLOOKUP(申込書!$C$30,★業種!$D$2:$E$87,2,FALSE),"")</f>
        <v>1003</v>
      </c>
      <c r="AK858" s="460" t="str">
        <f>IF(申込書!$C$36="◎",IF(OR(D858="浜坂・温泉",D858="美方・村岡",D858="香住",D858="岡山",D858="大阪"),"",IF(LEFT(F858)="D","◎",IF(AG858=0,"",IFERROR(IF(VLOOKUP(AG858,★仕入先!$A$2:$C$211,3,FALSE)=0,"","◎"),"")))),"")</f>
        <v/>
      </c>
      <c r="AL858" s="460">
        <f>申込書!$H$14</f>
        <v>0</v>
      </c>
      <c r="AM858" s="460" t="str">
        <f>申込書!$C$32</f>
        <v>B4（折り無し）</v>
      </c>
      <c r="AN858" s="460" t="str">
        <f>VLOOKUP(AM858,★サイズ表記!$D$4:$E$55,2,FALSE)</f>
        <v>1001</v>
      </c>
      <c r="AO858" s="460">
        <f>IF(C858&lt;&gt;"⑧兵庫",VLOOKUP(LEFT(F858),★新聞!$A$4:$B$12,2,FALSE),IF(LEFT(F858)&lt;&gt;"S",VLOOKUP(LEFT(F858),★新聞!$A$4:$B$12,2,FALSE),VLOOKUP("X",★新聞!$A$4:$B$12,2,FALSE)))</f>
        <v>2</v>
      </c>
      <c r="AP858" s="460" t="str">
        <f t="shared" ca="1" si="108"/>
        <v>0</v>
      </c>
      <c r="AQ858" s="460" t="str">
        <f>IF(申込書!$C$38="","",申込書!$C$38)</f>
        <v/>
      </c>
    </row>
    <row r="859" spans="1:43">
      <c r="A859" s="463">
        <f t="shared" si="109"/>
        <v>858</v>
      </c>
      <c r="B859" s="463" t="str">
        <f t="shared" si="102"/>
        <v>東部</v>
      </c>
      <c r="C859" s="464" t="s">
        <v>1021</v>
      </c>
      <c r="D859" s="464" t="s">
        <v>158</v>
      </c>
      <c r="E859" s="464">
        <f>VLOOKUP(D859,★折込地区!$A$2:$D$10,4,FALSE)</f>
        <v>4</v>
      </c>
      <c r="F859" s="464" t="s">
        <v>384</v>
      </c>
      <c r="G859" s="464" t="str">
        <f>INDEX(★新聞!$E$4:$I$12, MATCH(LEFT(F859),★新聞!$A$4:$A$12,0), MATCH(LEFT(W859),★新聞!$E$3:$I$3,0))</f>
        <v>AD</v>
      </c>
      <c r="H859" s="475" t="s">
        <v>1121</v>
      </c>
      <c r="I859" s="464" cm="1">
        <f t="array" ref="I859">IFERROR(INDEX(★原価率!$A$2:$E$50,MATCH($C859&amp;$H859,★原価率!$A$2:$A$50&amp;★原価率!$B$2:$B$50,0),3),0)</f>
        <v>80</v>
      </c>
      <c r="J859" s="464" cm="1">
        <f t="array" ref="J859">IFERROR(INDEX(★原価率!$A$2:$E$50,MATCH($C859&amp;$H859,★原価率!$A$2:$A$50&amp;★原価率!$B$2:$B$50,0),4),0)</f>
        <v>80</v>
      </c>
      <c r="K859" s="464" cm="1">
        <f t="array" ref="K859">IFERROR(INDEX(★原価率!$A$2:$E$50,MATCH($C859&amp;$H859,★原価率!$A$2:$A$50&amp;★原価率!$B$2:$B$50,0),5),0)</f>
        <v>100</v>
      </c>
      <c r="L859" s="528">
        <f>IFERROR(VLOOKUP(W859,★商品!$A$1:$H$1231,8,FALSE),0)</f>
        <v>3</v>
      </c>
      <c r="M859" s="203" t="str">
        <f ca="1">CONCATENATE(VLOOKUP(B859,★営業所!$A$2:$B$5,2,FALSE),TEXT(NOW(),"yyyy"))</f>
        <v>T2023</v>
      </c>
      <c r="N859" s="203">
        <v>1</v>
      </c>
      <c r="O859" s="203">
        <v>0</v>
      </c>
      <c r="P859" s="213">
        <f>申込書!$B$6</f>
        <v>0</v>
      </c>
      <c r="Q859" s="203">
        <f>申込書!$C$34</f>
        <v>1000040</v>
      </c>
      <c r="R859" s="203">
        <v>0</v>
      </c>
      <c r="U859" s="203">
        <f>VLOOKUP(B859,★営業所!$A$2:$C$5,3,FALSE)</f>
        <v>8</v>
      </c>
      <c r="V859" s="203">
        <f>申込書!$B$9</f>
        <v>0</v>
      </c>
      <c r="W859" s="203" t="str">
        <f>CONCATENATE(VLOOKUP(B859,★営業所!$A$2:$B$5,2,FALSE),VLOOKUP(申込書!$C$32,★サイズ表記!$D$4:$E$55,2,FALSE),VLOOKUP(D859,★折込地区!$A$2:$B$11,2,FALSE))</f>
        <v>T1001Hha</v>
      </c>
      <c r="X859" s="203" t="str">
        <f>CONCATENATE(申込書!$B$9," ",VLOOKUP(RIGHT(W859,3),★折込地区!$B$2:$C$10,2,FALSE),"")</f>
        <v xml:space="preserve"> 浜坂・温泉</v>
      </c>
      <c r="Z859" s="206">
        <f t="shared" ca="1" si="103"/>
        <v>0</v>
      </c>
      <c r="AB859" s="383">
        <f t="shared" si="104"/>
        <v>3</v>
      </c>
      <c r="AC859" s="203" t="str">
        <f t="shared" si="105"/>
        <v>J1001</v>
      </c>
      <c r="AD859" s="203" t="str">
        <f>VLOOKUP(AC859,★原価商品!$E$6:$F$349,2,FALSE)</f>
        <v>読売/B4（折り無し）</v>
      </c>
      <c r="AE859" s="203">
        <f t="shared" ca="1" si="106"/>
        <v>0</v>
      </c>
      <c r="AF859" s="383">
        <f>IFERROR(IF(VLOOKUP(申込書!$C$32,★サイズ表記!$F$4:$H$55,3,FALSE)="切り捨て",ROUNDDOWN(L859*IF(AK859="◎",I859,J859)/100,2),IF(VLOOKUP(申込書!$C$32,★サイズ表記!$F$4:$H$55,3,FALSE)="切り上げ",ROUNDUP(L859*IF(AK859="◎",I859,J859)/100,2),ROUND(L859*IF(AK859="◎",I859,J859)/100,2))),0)</f>
        <v>2.4</v>
      </c>
      <c r="AG859" s="203">
        <f t="shared" ca="1" si="107"/>
        <v>10504</v>
      </c>
      <c r="AJ859" s="460" t="str">
        <f>IFERROR(VLOOKUP(申込書!$C$30,★業種!$D$2:$E$87,2,FALSE),"")</f>
        <v>1003</v>
      </c>
      <c r="AK859" s="460" t="str">
        <f>IF(申込書!$C$36="◎",IF(OR(D859="浜坂・温泉",D859="美方・村岡",D859="香住",D859="岡山",D859="大阪"),"",IF(LEFT(F859)="D","◎",IF(AG859=0,"",IFERROR(IF(VLOOKUP(AG859,★仕入先!$A$2:$C$211,3,FALSE)=0,"","◎"),"")))),"")</f>
        <v/>
      </c>
      <c r="AL859" s="460">
        <f>申込書!$H$14</f>
        <v>0</v>
      </c>
      <c r="AM859" s="460" t="str">
        <f>申込書!$C$32</f>
        <v>B4（折り無し）</v>
      </c>
      <c r="AN859" s="460" t="str">
        <f>VLOOKUP(AM859,★サイズ表記!$D$4:$E$55,2,FALSE)</f>
        <v>1001</v>
      </c>
      <c r="AO859" s="460">
        <f>IF(C859&lt;&gt;"⑧兵庫",VLOOKUP(LEFT(F859),★新聞!$A$4:$B$12,2,FALSE),IF(LEFT(F859)&lt;&gt;"S",VLOOKUP(LEFT(F859),★新聞!$A$4:$B$12,2,FALSE),VLOOKUP("X",★新聞!$A$4:$B$12,2,FALSE)))</f>
        <v>3</v>
      </c>
      <c r="AP859" s="460" t="str">
        <f t="shared" ca="1" si="108"/>
        <v>0</v>
      </c>
      <c r="AQ859" s="460" t="str">
        <f>IF(申込書!$C$38="","",申込書!$C$38)</f>
        <v/>
      </c>
    </row>
    <row r="860" spans="1:43">
      <c r="A860" s="463">
        <f t="shared" si="109"/>
        <v>859</v>
      </c>
      <c r="B860" s="463" t="str">
        <f t="shared" si="102"/>
        <v>東部</v>
      </c>
      <c r="C860" s="464" t="s">
        <v>1021</v>
      </c>
      <c r="D860" s="464" t="s">
        <v>158</v>
      </c>
      <c r="E860" s="464">
        <f>VLOOKUP(D860,★折込地区!$A$2:$D$10,4,FALSE)</f>
        <v>4</v>
      </c>
      <c r="F860" s="464" t="s">
        <v>427</v>
      </c>
      <c r="G860" s="464" t="str">
        <f>INDEX(★新聞!$E$4:$I$12, MATCH(LEFT(F860),★新聞!$A$4:$A$12,0), MATCH(LEFT(W860),★新聞!$E$3:$I$3,0))</f>
        <v>AD</v>
      </c>
      <c r="H860" s="475" t="s">
        <v>1121</v>
      </c>
      <c r="I860" s="464" cm="1">
        <f t="array" ref="I860">IFERROR(INDEX(★原価率!$A$2:$E$50,MATCH($C860&amp;$H860,★原価率!$A$2:$A$50&amp;★原価率!$B$2:$B$50,0),3),0)</f>
        <v>80</v>
      </c>
      <c r="J860" s="464" cm="1">
        <f t="array" ref="J860">IFERROR(INDEX(★原価率!$A$2:$E$50,MATCH($C860&amp;$H860,★原価率!$A$2:$A$50&amp;★原価率!$B$2:$B$50,0),4),0)</f>
        <v>80</v>
      </c>
      <c r="K860" s="464" cm="1">
        <f t="array" ref="K860">IFERROR(INDEX(★原価率!$A$2:$E$50,MATCH($C860&amp;$H860,★原価率!$A$2:$A$50&amp;★原価率!$B$2:$B$50,0),5),0)</f>
        <v>100</v>
      </c>
      <c r="L860" s="528">
        <f>IFERROR(VLOOKUP(W860,★商品!$A$1:$H$1231,8,FALSE),0)</f>
        <v>3</v>
      </c>
      <c r="M860" s="203" t="str">
        <f ca="1">CONCATENATE(VLOOKUP(B860,★営業所!$A$2:$B$5,2,FALSE),TEXT(NOW(),"yyyy"))</f>
        <v>T2023</v>
      </c>
      <c r="N860" s="203">
        <v>1</v>
      </c>
      <c r="O860" s="203">
        <v>0</v>
      </c>
      <c r="P860" s="213">
        <f>申込書!$B$6</f>
        <v>0</v>
      </c>
      <c r="Q860" s="203">
        <f>申込書!$C$34</f>
        <v>1000040</v>
      </c>
      <c r="R860" s="203">
        <v>0</v>
      </c>
      <c r="U860" s="203">
        <f>VLOOKUP(B860,★営業所!$A$2:$C$5,3,FALSE)</f>
        <v>8</v>
      </c>
      <c r="V860" s="203">
        <f>申込書!$B$9</f>
        <v>0</v>
      </c>
      <c r="W860" s="203" t="str">
        <f>CONCATENATE(VLOOKUP(B860,★営業所!$A$2:$B$5,2,FALSE),VLOOKUP(申込書!$C$32,★サイズ表記!$D$4:$E$55,2,FALSE),VLOOKUP(D860,★折込地区!$A$2:$B$11,2,FALSE))</f>
        <v>T1001Hha</v>
      </c>
      <c r="X860" s="203" t="str">
        <f>CONCATENATE(申込書!$B$9," ",VLOOKUP(RIGHT(W860,3),★折込地区!$B$2:$C$10,2,FALSE),"")</f>
        <v xml:space="preserve"> 浜坂・温泉</v>
      </c>
      <c r="Z860" s="206">
        <f t="shared" ca="1" si="103"/>
        <v>0</v>
      </c>
      <c r="AB860" s="383">
        <f t="shared" si="104"/>
        <v>3</v>
      </c>
      <c r="AC860" s="203" t="str">
        <f t="shared" si="105"/>
        <v>J1001</v>
      </c>
      <c r="AD860" s="203" t="str">
        <f>VLOOKUP(AC860,★原価商品!$E$6:$F$349,2,FALSE)</f>
        <v>読売/B4（折り無し）</v>
      </c>
      <c r="AE860" s="203">
        <f t="shared" ca="1" si="106"/>
        <v>0</v>
      </c>
      <c r="AF860" s="383">
        <f>IFERROR(IF(VLOOKUP(申込書!$C$32,★サイズ表記!$F$4:$H$55,3,FALSE)="切り捨て",ROUNDDOWN(L860*IF(AK860="◎",I860,J860)/100,2),IF(VLOOKUP(申込書!$C$32,★サイズ表記!$F$4:$H$55,3,FALSE)="切り上げ",ROUNDUP(L860*IF(AK860="◎",I860,J860)/100,2),ROUND(L860*IF(AK860="◎",I860,J860)/100,2))),0)</f>
        <v>2.4</v>
      </c>
      <c r="AG860" s="203">
        <f t="shared" ca="1" si="107"/>
        <v>10516</v>
      </c>
      <c r="AJ860" s="460" t="str">
        <f>IFERROR(VLOOKUP(申込書!$C$30,★業種!$D$2:$E$87,2,FALSE),"")</f>
        <v>1003</v>
      </c>
      <c r="AK860" s="460" t="str">
        <f>IF(申込書!$C$36="◎",IF(OR(D860="浜坂・温泉",D860="美方・村岡",D860="香住",D860="岡山",D860="大阪"),"",IF(LEFT(F860)="D","◎",IF(AG860=0,"",IFERROR(IF(VLOOKUP(AG860,★仕入先!$A$2:$C$211,3,FALSE)=0,"","◎"),"")))),"")</f>
        <v/>
      </c>
      <c r="AL860" s="460">
        <f>申込書!$H$14</f>
        <v>0</v>
      </c>
      <c r="AM860" s="460" t="str">
        <f>申込書!$C$32</f>
        <v>B4（折り無し）</v>
      </c>
      <c r="AN860" s="460" t="str">
        <f>VLOOKUP(AM860,★サイズ表記!$D$4:$E$55,2,FALSE)</f>
        <v>1001</v>
      </c>
      <c r="AO860" s="460">
        <f>IF(C860&lt;&gt;"⑧兵庫",VLOOKUP(LEFT(F860),★新聞!$A$4:$B$12,2,FALSE),IF(LEFT(F860)&lt;&gt;"S",VLOOKUP(LEFT(F860),★新聞!$A$4:$B$12,2,FALSE),VLOOKUP("X",★新聞!$A$4:$B$12,2,FALSE)))</f>
        <v>3</v>
      </c>
      <c r="AP860" s="460" t="str">
        <f t="shared" ca="1" si="108"/>
        <v>0</v>
      </c>
      <c r="AQ860" s="460" t="str">
        <f>IF(申込書!$C$38="","",申込書!$C$38)</f>
        <v/>
      </c>
    </row>
    <row r="861" spans="1:43">
      <c r="A861" s="463">
        <f t="shared" si="109"/>
        <v>860</v>
      </c>
      <c r="B861" s="463" t="str">
        <f t="shared" si="102"/>
        <v>東部</v>
      </c>
      <c r="C861" s="464" t="s">
        <v>1021</v>
      </c>
      <c r="D861" s="464" t="s">
        <v>857</v>
      </c>
      <c r="E861" s="464">
        <f>VLOOKUP(D861,★折込地区!$A$2:$D$10,4,FALSE)</f>
        <v>5</v>
      </c>
      <c r="F861" s="464" t="s">
        <v>428</v>
      </c>
      <c r="G861" s="464" t="str">
        <f>INDEX(★新聞!$E$4:$I$12, MATCH(LEFT(F861),★新聞!$A$4:$A$12,0), MATCH(LEFT(W861),★新聞!$E$3:$I$3,0))</f>
        <v>AD</v>
      </c>
      <c r="H861" s="475" t="s">
        <v>1126</v>
      </c>
      <c r="I861" s="464" cm="1">
        <f t="array" ref="I861">IFERROR(INDEX(★原価率!$A$2:$E$50,MATCH($C861&amp;$H861,★原価率!$A$2:$A$50&amp;★原価率!$B$2:$B$50,0),3),0)</f>
        <v>100</v>
      </c>
      <c r="J861" s="464" cm="1">
        <f t="array" ref="J861">IFERROR(INDEX(★原価率!$A$2:$E$50,MATCH($C861&amp;$H861,★原価率!$A$2:$A$50&amp;★原価率!$B$2:$B$50,0),4),0)</f>
        <v>100</v>
      </c>
      <c r="K861" s="464" cm="1">
        <f t="array" ref="K861">IFERROR(INDEX(★原価率!$A$2:$E$50,MATCH($C861&amp;$H861,★原価率!$A$2:$A$50&amp;★原価率!$B$2:$B$50,0),5),0)</f>
        <v>100</v>
      </c>
      <c r="L861" s="528">
        <f>IFERROR(VLOOKUP(W861,★商品!$A$1:$H$1231,8,FALSE),0)</f>
        <v>3</v>
      </c>
      <c r="M861" s="203" t="str">
        <f ca="1">CONCATENATE(VLOOKUP(B861,★営業所!$A$2:$B$5,2,FALSE),TEXT(NOW(),"yyyy"))</f>
        <v>T2023</v>
      </c>
      <c r="N861" s="203">
        <v>1</v>
      </c>
      <c r="O861" s="203">
        <v>0</v>
      </c>
      <c r="P861" s="213">
        <f>申込書!$B$6</f>
        <v>0</v>
      </c>
      <c r="Q861" s="203">
        <f>申込書!$C$34</f>
        <v>1000040</v>
      </c>
      <c r="R861" s="203">
        <v>0</v>
      </c>
      <c r="U861" s="203">
        <f>VLOOKUP(B861,★営業所!$A$2:$C$5,3,FALSE)</f>
        <v>8</v>
      </c>
      <c r="V861" s="203">
        <f>申込書!$B$9</f>
        <v>0</v>
      </c>
      <c r="W861" s="203" t="str">
        <f>CONCATENATE(VLOOKUP(B861,★営業所!$A$2:$B$5,2,FALSE),VLOOKUP(申込書!$C$32,★サイズ表記!$D$4:$E$55,2,FALSE),VLOOKUP(D861,★折込地区!$A$2:$B$11,2,FALSE))</f>
        <v>T1001Hmm</v>
      </c>
      <c r="X861" s="203" t="str">
        <f>CONCATENATE(申込書!$B$9," ",VLOOKUP(RIGHT(W861,3),★折込地区!$B$2:$C$10,2,FALSE),"")</f>
        <v xml:space="preserve"> 美方・村岡</v>
      </c>
      <c r="Z861" s="206">
        <f t="shared" ca="1" si="103"/>
        <v>0</v>
      </c>
      <c r="AB861" s="383">
        <f t="shared" si="104"/>
        <v>3</v>
      </c>
      <c r="AC861" s="203" t="str">
        <f t="shared" si="105"/>
        <v>J1001</v>
      </c>
      <c r="AD861" s="203" t="str">
        <f>VLOOKUP(AC861,★原価商品!$E$6:$F$349,2,FALSE)</f>
        <v>読売/B4（折り無し）</v>
      </c>
      <c r="AE861" s="203">
        <f t="shared" ca="1" si="106"/>
        <v>0</v>
      </c>
      <c r="AF861" s="383">
        <f>IFERROR(IF(VLOOKUP(申込書!$C$32,★サイズ表記!$F$4:$H$55,3,FALSE)="切り捨て",ROUNDDOWN(L861*IF(AK861="◎",I861,J861)/100,2),IF(VLOOKUP(申込書!$C$32,★サイズ表記!$F$4:$H$55,3,FALSE)="切り上げ",ROUNDUP(L861*IF(AK861="◎",I861,J861)/100,2),ROUND(L861*IF(AK861="◎",I861,J861)/100,2))),0)</f>
        <v>3</v>
      </c>
      <c r="AG861" s="203">
        <f t="shared" ca="1" si="107"/>
        <v>10537</v>
      </c>
      <c r="AJ861" s="460" t="str">
        <f>IFERROR(VLOOKUP(申込書!$C$30,★業種!$D$2:$E$87,2,FALSE),"")</f>
        <v>1003</v>
      </c>
      <c r="AK861" s="460" t="str">
        <f>IF(申込書!$C$36="◎",IF(OR(D861="浜坂・温泉",D861="美方・村岡",D861="香住",D861="岡山",D861="大阪"),"",IF(LEFT(F861)="D","◎",IF(AG861=0,"",IFERROR(IF(VLOOKUP(AG861,★仕入先!$A$2:$C$211,3,FALSE)=0,"","◎"),"")))),"")</f>
        <v/>
      </c>
      <c r="AL861" s="460">
        <f>申込書!$H$14</f>
        <v>0</v>
      </c>
      <c r="AM861" s="460" t="str">
        <f>申込書!$C$32</f>
        <v>B4（折り無し）</v>
      </c>
      <c r="AN861" s="460" t="str">
        <f>VLOOKUP(AM861,★サイズ表記!$D$4:$E$55,2,FALSE)</f>
        <v>1001</v>
      </c>
      <c r="AO861" s="460">
        <f>IF(C861&lt;&gt;"⑧兵庫",VLOOKUP(LEFT(F861),★新聞!$A$4:$B$12,2,FALSE),IF(LEFT(F861)&lt;&gt;"S",VLOOKUP(LEFT(F861),★新聞!$A$4:$B$12,2,FALSE),VLOOKUP("X",★新聞!$A$4:$B$12,2,FALSE)))</f>
        <v>3</v>
      </c>
      <c r="AP861" s="460" t="str">
        <f t="shared" ca="1" si="108"/>
        <v>0</v>
      </c>
      <c r="AQ861" s="460" t="str">
        <f>IF(申込書!$C$38="","",申込書!$C$38)</f>
        <v/>
      </c>
    </row>
    <row r="862" spans="1:43">
      <c r="A862" s="463">
        <f t="shared" si="109"/>
        <v>861</v>
      </c>
      <c r="B862" s="463" t="str">
        <f t="shared" si="102"/>
        <v>東部</v>
      </c>
      <c r="C862" s="464" t="s">
        <v>1021</v>
      </c>
      <c r="D862" s="464" t="s">
        <v>857</v>
      </c>
      <c r="E862" s="464">
        <f>VLOOKUP(D862,★折込地区!$A$2:$D$10,4,FALSE)</f>
        <v>5</v>
      </c>
      <c r="F862" s="464" t="s">
        <v>429</v>
      </c>
      <c r="G862" s="464" t="str">
        <f>INDEX(★新聞!$E$4:$I$12, MATCH(LEFT(F862),★新聞!$A$4:$A$12,0), MATCH(LEFT(W862),★新聞!$E$3:$I$3,0))</f>
        <v>AD</v>
      </c>
      <c r="H862" s="475" t="s">
        <v>1126</v>
      </c>
      <c r="I862" s="464" cm="1">
        <f t="array" ref="I862">IFERROR(INDEX(★原価率!$A$2:$E$50,MATCH($C862&amp;$H862,★原価率!$A$2:$A$50&amp;★原価率!$B$2:$B$50,0),3),0)</f>
        <v>100</v>
      </c>
      <c r="J862" s="464" cm="1">
        <f t="array" ref="J862">IFERROR(INDEX(★原価率!$A$2:$E$50,MATCH($C862&amp;$H862,★原価率!$A$2:$A$50&amp;★原価率!$B$2:$B$50,0),4),0)</f>
        <v>100</v>
      </c>
      <c r="K862" s="464" cm="1">
        <f t="array" ref="K862">IFERROR(INDEX(★原価率!$A$2:$E$50,MATCH($C862&amp;$H862,★原価率!$A$2:$A$50&amp;★原価率!$B$2:$B$50,0),5),0)</f>
        <v>100</v>
      </c>
      <c r="L862" s="528">
        <f>IFERROR(VLOOKUP(W862,★商品!$A$1:$H$1231,8,FALSE),0)</f>
        <v>3</v>
      </c>
      <c r="M862" s="203" t="str">
        <f ca="1">CONCATENATE(VLOOKUP(B862,★営業所!$A$2:$B$5,2,FALSE),TEXT(NOW(),"yyyy"))</f>
        <v>T2023</v>
      </c>
      <c r="N862" s="203">
        <v>1</v>
      </c>
      <c r="O862" s="203">
        <v>0</v>
      </c>
      <c r="P862" s="213">
        <f>申込書!$B$6</f>
        <v>0</v>
      </c>
      <c r="Q862" s="203">
        <f>申込書!$C$34</f>
        <v>1000040</v>
      </c>
      <c r="R862" s="203">
        <v>0</v>
      </c>
      <c r="U862" s="203">
        <f>VLOOKUP(B862,★営業所!$A$2:$C$5,3,FALSE)</f>
        <v>8</v>
      </c>
      <c r="V862" s="203">
        <f>申込書!$B$9</f>
        <v>0</v>
      </c>
      <c r="W862" s="203" t="str">
        <f>CONCATENATE(VLOOKUP(B862,★営業所!$A$2:$B$5,2,FALSE),VLOOKUP(申込書!$C$32,★サイズ表記!$D$4:$E$55,2,FALSE),VLOOKUP(D862,★折込地区!$A$2:$B$11,2,FALSE))</f>
        <v>T1001Hmm</v>
      </c>
      <c r="X862" s="203" t="str">
        <f>CONCATENATE(申込書!$B$9," ",VLOOKUP(RIGHT(W862,3),★折込地区!$B$2:$C$10,2,FALSE),"")</f>
        <v xml:space="preserve"> 美方・村岡</v>
      </c>
      <c r="Z862" s="206">
        <f t="shared" ca="1" si="103"/>
        <v>0</v>
      </c>
      <c r="AB862" s="383">
        <f t="shared" si="104"/>
        <v>3</v>
      </c>
      <c r="AC862" s="203" t="str">
        <f t="shared" si="105"/>
        <v>J1001</v>
      </c>
      <c r="AD862" s="203" t="str">
        <f>VLOOKUP(AC862,★原価商品!$E$6:$F$349,2,FALSE)</f>
        <v>読売/B4（折り無し）</v>
      </c>
      <c r="AE862" s="203">
        <f t="shared" ca="1" si="106"/>
        <v>0</v>
      </c>
      <c r="AF862" s="383">
        <f>IFERROR(IF(VLOOKUP(申込書!$C$32,★サイズ表記!$F$4:$H$55,3,FALSE)="切り捨て",ROUNDDOWN(L862*IF(AK862="◎",I862,J862)/100,2),IF(VLOOKUP(申込書!$C$32,★サイズ表記!$F$4:$H$55,3,FALSE)="切り上げ",ROUNDUP(L862*IF(AK862="◎",I862,J862)/100,2),ROUND(L862*IF(AK862="◎",I862,J862)/100,2))),0)</f>
        <v>3</v>
      </c>
      <c r="AG862" s="203">
        <f t="shared" ca="1" si="107"/>
        <v>10533</v>
      </c>
      <c r="AJ862" s="460" t="str">
        <f>IFERROR(VLOOKUP(申込書!$C$30,★業種!$D$2:$E$87,2,FALSE),"")</f>
        <v>1003</v>
      </c>
      <c r="AK862" s="460" t="str">
        <f>IF(申込書!$C$36="◎",IF(OR(D862="浜坂・温泉",D862="美方・村岡",D862="香住",D862="岡山",D862="大阪"),"",IF(LEFT(F862)="D","◎",IF(AG862=0,"",IFERROR(IF(VLOOKUP(AG862,★仕入先!$A$2:$C$211,3,FALSE)=0,"","◎"),"")))),"")</f>
        <v/>
      </c>
      <c r="AL862" s="460">
        <f>申込書!$H$14</f>
        <v>0</v>
      </c>
      <c r="AM862" s="460" t="str">
        <f>申込書!$C$32</f>
        <v>B4（折り無し）</v>
      </c>
      <c r="AN862" s="460" t="str">
        <f>VLOOKUP(AM862,★サイズ表記!$D$4:$E$55,2,FALSE)</f>
        <v>1001</v>
      </c>
      <c r="AO862" s="460">
        <f>IF(C862&lt;&gt;"⑧兵庫",VLOOKUP(LEFT(F862),★新聞!$A$4:$B$12,2,FALSE),IF(LEFT(F862)&lt;&gt;"S",VLOOKUP(LEFT(F862),★新聞!$A$4:$B$12,2,FALSE),VLOOKUP("X",★新聞!$A$4:$B$12,2,FALSE)))</f>
        <v>3</v>
      </c>
      <c r="AP862" s="460" t="str">
        <f t="shared" ca="1" si="108"/>
        <v>0</v>
      </c>
      <c r="AQ862" s="460" t="str">
        <f>IF(申込書!$C$38="","",申込書!$C$38)</f>
        <v/>
      </c>
    </row>
    <row r="863" spans="1:43">
      <c r="A863" s="463">
        <f t="shared" si="109"/>
        <v>862</v>
      </c>
      <c r="B863" s="463" t="str">
        <f t="shared" si="102"/>
        <v>東部</v>
      </c>
      <c r="C863" s="464" t="s">
        <v>1021</v>
      </c>
      <c r="D863" s="464" t="s">
        <v>857</v>
      </c>
      <c r="E863" s="464">
        <f>VLOOKUP(D863,★折込地区!$A$2:$D$10,4,FALSE)</f>
        <v>5</v>
      </c>
      <c r="F863" s="464" t="s">
        <v>430</v>
      </c>
      <c r="G863" s="464" t="str">
        <f>INDEX(★新聞!$E$4:$I$12, MATCH(LEFT(F863),★新聞!$A$4:$A$12,0), MATCH(LEFT(W863),★新聞!$E$3:$I$3,0))</f>
        <v>AD</v>
      </c>
      <c r="H863" s="475" t="s">
        <v>1126</v>
      </c>
      <c r="I863" s="464" cm="1">
        <f t="array" ref="I863">IFERROR(INDEX(★原価率!$A$2:$E$50,MATCH($C863&amp;$H863,★原価率!$A$2:$A$50&amp;★原価率!$B$2:$B$50,0),3),0)</f>
        <v>100</v>
      </c>
      <c r="J863" s="464" cm="1">
        <f t="array" ref="J863">IFERROR(INDEX(★原価率!$A$2:$E$50,MATCH($C863&amp;$H863,★原価率!$A$2:$A$50&amp;★原価率!$B$2:$B$50,0),4),0)</f>
        <v>100</v>
      </c>
      <c r="K863" s="464" cm="1">
        <f t="array" ref="K863">IFERROR(INDEX(★原価率!$A$2:$E$50,MATCH($C863&amp;$H863,★原価率!$A$2:$A$50&amp;★原価率!$B$2:$B$50,0),5),0)</f>
        <v>100</v>
      </c>
      <c r="L863" s="528">
        <f>IFERROR(VLOOKUP(W863,★商品!$A$1:$H$1231,8,FALSE),0)</f>
        <v>3</v>
      </c>
      <c r="M863" s="203" t="str">
        <f ca="1">CONCATENATE(VLOOKUP(B863,★営業所!$A$2:$B$5,2,FALSE),TEXT(NOW(),"yyyy"))</f>
        <v>T2023</v>
      </c>
      <c r="N863" s="203">
        <v>1</v>
      </c>
      <c r="O863" s="203">
        <v>0</v>
      </c>
      <c r="P863" s="213">
        <f>申込書!$B$6</f>
        <v>0</v>
      </c>
      <c r="Q863" s="203">
        <f>申込書!$C$34</f>
        <v>1000040</v>
      </c>
      <c r="R863" s="203">
        <v>0</v>
      </c>
      <c r="U863" s="203">
        <f>VLOOKUP(B863,★営業所!$A$2:$C$5,3,FALSE)</f>
        <v>8</v>
      </c>
      <c r="V863" s="203">
        <f>申込書!$B$9</f>
        <v>0</v>
      </c>
      <c r="W863" s="203" t="str">
        <f>CONCATENATE(VLOOKUP(B863,★営業所!$A$2:$B$5,2,FALSE),VLOOKUP(申込書!$C$32,★サイズ表記!$D$4:$E$55,2,FALSE),VLOOKUP(D863,★折込地区!$A$2:$B$11,2,FALSE))</f>
        <v>T1001Hmm</v>
      </c>
      <c r="X863" s="203" t="str">
        <f>CONCATENATE(申込書!$B$9," ",VLOOKUP(RIGHT(W863,3),★折込地区!$B$2:$C$10,2,FALSE),"")</f>
        <v xml:space="preserve"> 美方・村岡</v>
      </c>
      <c r="Z863" s="206">
        <f t="shared" ca="1" si="103"/>
        <v>0</v>
      </c>
      <c r="AB863" s="383">
        <f t="shared" si="104"/>
        <v>3</v>
      </c>
      <c r="AC863" s="203" t="str">
        <f t="shared" si="105"/>
        <v>J1001</v>
      </c>
      <c r="AD863" s="203" t="str">
        <f>VLOOKUP(AC863,★原価商品!$E$6:$F$349,2,FALSE)</f>
        <v>読売/B4（折り無し）</v>
      </c>
      <c r="AE863" s="203">
        <f t="shared" ca="1" si="106"/>
        <v>0</v>
      </c>
      <c r="AF863" s="383">
        <f>IFERROR(IF(VLOOKUP(申込書!$C$32,★サイズ表記!$F$4:$H$55,3,FALSE)="切り捨て",ROUNDDOWN(L863*IF(AK863="◎",I863,J863)/100,2),IF(VLOOKUP(申込書!$C$32,★サイズ表記!$F$4:$H$55,3,FALSE)="切り上げ",ROUNDUP(L863*IF(AK863="◎",I863,J863)/100,2),ROUND(L863*IF(AK863="◎",I863,J863)/100,2))),0)</f>
        <v>3</v>
      </c>
      <c r="AG863" s="203">
        <f t="shared" ca="1" si="107"/>
        <v>10537</v>
      </c>
      <c r="AJ863" s="460" t="str">
        <f>IFERROR(VLOOKUP(申込書!$C$30,★業種!$D$2:$E$87,2,FALSE),"")</f>
        <v>1003</v>
      </c>
      <c r="AK863" s="460" t="str">
        <f>IF(申込書!$C$36="◎",IF(OR(D863="浜坂・温泉",D863="美方・村岡",D863="香住",D863="岡山",D863="大阪"),"",IF(LEFT(F863)="D","◎",IF(AG863=0,"",IFERROR(IF(VLOOKUP(AG863,★仕入先!$A$2:$C$211,3,FALSE)=0,"","◎"),"")))),"")</f>
        <v/>
      </c>
      <c r="AL863" s="460">
        <f>申込書!$H$14</f>
        <v>0</v>
      </c>
      <c r="AM863" s="460" t="str">
        <f>申込書!$C$32</f>
        <v>B4（折り無し）</v>
      </c>
      <c r="AN863" s="460" t="str">
        <f>VLOOKUP(AM863,★サイズ表記!$D$4:$E$55,2,FALSE)</f>
        <v>1001</v>
      </c>
      <c r="AO863" s="460">
        <f>IF(C863&lt;&gt;"⑧兵庫",VLOOKUP(LEFT(F863),★新聞!$A$4:$B$12,2,FALSE),IF(LEFT(F863)&lt;&gt;"S",VLOOKUP(LEFT(F863),★新聞!$A$4:$B$12,2,FALSE),VLOOKUP("X",★新聞!$A$4:$B$12,2,FALSE)))</f>
        <v>3</v>
      </c>
      <c r="AP863" s="460" t="str">
        <f t="shared" ca="1" si="108"/>
        <v>0</v>
      </c>
      <c r="AQ863" s="460" t="str">
        <f>IF(申込書!$C$38="","",申込書!$C$38)</f>
        <v/>
      </c>
    </row>
    <row r="864" spans="1:43">
      <c r="A864" s="463">
        <f t="shared" si="109"/>
        <v>863</v>
      </c>
      <c r="B864" s="463" t="str">
        <f t="shared" si="102"/>
        <v>東部</v>
      </c>
      <c r="C864" s="464" t="s">
        <v>1021</v>
      </c>
      <c r="D864" s="464" t="s">
        <v>857</v>
      </c>
      <c r="E864" s="464">
        <f>VLOOKUP(D864,★折込地区!$A$2:$D$10,4,FALSE)</f>
        <v>5</v>
      </c>
      <c r="F864" s="464" t="s">
        <v>431</v>
      </c>
      <c r="G864" s="464" t="str">
        <f>INDEX(★新聞!$E$4:$I$12, MATCH(LEFT(F864),★新聞!$A$4:$A$12,0), MATCH(LEFT(W864),★新聞!$E$3:$I$3,0))</f>
        <v>AD</v>
      </c>
      <c r="H864" s="475" t="s">
        <v>1126</v>
      </c>
      <c r="I864" s="464" cm="1">
        <f t="array" ref="I864">IFERROR(INDEX(★原価率!$A$2:$E$50,MATCH($C864&amp;$H864,★原価率!$A$2:$A$50&amp;★原価率!$B$2:$B$50,0),3),0)</f>
        <v>100</v>
      </c>
      <c r="J864" s="464" cm="1">
        <f t="array" ref="J864">IFERROR(INDEX(★原価率!$A$2:$E$50,MATCH($C864&amp;$H864,★原価率!$A$2:$A$50&amp;★原価率!$B$2:$B$50,0),4),0)</f>
        <v>100</v>
      </c>
      <c r="K864" s="464" cm="1">
        <f t="array" ref="K864">IFERROR(INDEX(★原価率!$A$2:$E$50,MATCH($C864&amp;$H864,★原価率!$A$2:$A$50&amp;★原価率!$B$2:$B$50,0),5),0)</f>
        <v>100</v>
      </c>
      <c r="L864" s="528">
        <f>IFERROR(VLOOKUP(W864,★商品!$A$1:$H$1231,8,FALSE),0)</f>
        <v>3</v>
      </c>
      <c r="M864" s="203" t="str">
        <f ca="1">CONCATENATE(VLOOKUP(B864,★営業所!$A$2:$B$5,2,FALSE),TEXT(NOW(),"yyyy"))</f>
        <v>T2023</v>
      </c>
      <c r="N864" s="203">
        <v>1</v>
      </c>
      <c r="O864" s="203">
        <v>0</v>
      </c>
      <c r="P864" s="213">
        <f>申込書!$B$6</f>
        <v>0</v>
      </c>
      <c r="Q864" s="203">
        <f>申込書!$C$34</f>
        <v>1000040</v>
      </c>
      <c r="R864" s="203">
        <v>0</v>
      </c>
      <c r="U864" s="203">
        <f>VLOOKUP(B864,★営業所!$A$2:$C$5,3,FALSE)</f>
        <v>8</v>
      </c>
      <c r="V864" s="203">
        <f>申込書!$B$9</f>
        <v>0</v>
      </c>
      <c r="W864" s="203" t="str">
        <f>CONCATENATE(VLOOKUP(B864,★営業所!$A$2:$B$5,2,FALSE),VLOOKUP(申込書!$C$32,★サイズ表記!$D$4:$E$55,2,FALSE),VLOOKUP(D864,★折込地区!$A$2:$B$11,2,FALSE))</f>
        <v>T1001Hmm</v>
      </c>
      <c r="X864" s="203" t="str">
        <f>CONCATENATE(申込書!$B$9," ",VLOOKUP(RIGHT(W864,3),★折込地区!$B$2:$C$10,2,FALSE),"")</f>
        <v xml:space="preserve"> 美方・村岡</v>
      </c>
      <c r="Z864" s="206">
        <f t="shared" ca="1" si="103"/>
        <v>0</v>
      </c>
      <c r="AB864" s="383">
        <f t="shared" si="104"/>
        <v>3</v>
      </c>
      <c r="AC864" s="203" t="str">
        <f t="shared" si="105"/>
        <v>J1001</v>
      </c>
      <c r="AD864" s="203" t="str">
        <f>VLOOKUP(AC864,★原価商品!$E$6:$F$349,2,FALSE)</f>
        <v>読売/B4（折り無し）</v>
      </c>
      <c r="AE864" s="203">
        <f t="shared" ca="1" si="106"/>
        <v>0</v>
      </c>
      <c r="AF864" s="383">
        <f>IFERROR(IF(VLOOKUP(申込書!$C$32,★サイズ表記!$F$4:$H$55,3,FALSE)="切り捨て",ROUNDDOWN(L864*IF(AK864="◎",I864,J864)/100,2),IF(VLOOKUP(申込書!$C$32,★サイズ表記!$F$4:$H$55,3,FALSE)="切り上げ",ROUNDUP(L864*IF(AK864="◎",I864,J864)/100,2),ROUND(L864*IF(AK864="◎",I864,J864)/100,2))),0)</f>
        <v>3</v>
      </c>
      <c r="AG864" s="203">
        <f t="shared" ca="1" si="107"/>
        <v>10543</v>
      </c>
      <c r="AJ864" s="460" t="str">
        <f>IFERROR(VLOOKUP(申込書!$C$30,★業種!$D$2:$E$87,2,FALSE),"")</f>
        <v>1003</v>
      </c>
      <c r="AK864" s="460" t="str">
        <f>IF(申込書!$C$36="◎",IF(OR(D864="浜坂・温泉",D864="美方・村岡",D864="香住",D864="岡山",D864="大阪"),"",IF(LEFT(F864)="D","◎",IF(AG864=0,"",IFERROR(IF(VLOOKUP(AG864,★仕入先!$A$2:$C$211,3,FALSE)=0,"","◎"),"")))),"")</f>
        <v/>
      </c>
      <c r="AL864" s="460">
        <f>申込書!$H$14</f>
        <v>0</v>
      </c>
      <c r="AM864" s="460" t="str">
        <f>申込書!$C$32</f>
        <v>B4（折り無し）</v>
      </c>
      <c r="AN864" s="460" t="str">
        <f>VLOOKUP(AM864,★サイズ表記!$D$4:$E$55,2,FALSE)</f>
        <v>1001</v>
      </c>
      <c r="AO864" s="460">
        <f>IF(C864&lt;&gt;"⑧兵庫",VLOOKUP(LEFT(F864),★新聞!$A$4:$B$12,2,FALSE),IF(LEFT(F864)&lt;&gt;"S",VLOOKUP(LEFT(F864),★新聞!$A$4:$B$12,2,FALSE),VLOOKUP("X",★新聞!$A$4:$B$12,2,FALSE)))</f>
        <v>3</v>
      </c>
      <c r="AP864" s="460" t="str">
        <f t="shared" ca="1" si="108"/>
        <v>0</v>
      </c>
      <c r="AQ864" s="460" t="str">
        <f>IF(申込書!$C$38="","",申込書!$C$38)</f>
        <v/>
      </c>
    </row>
    <row r="865" spans="1:43">
      <c r="A865" s="463">
        <f t="shared" si="109"/>
        <v>864</v>
      </c>
      <c r="B865" s="463" t="str">
        <f t="shared" si="102"/>
        <v>東部</v>
      </c>
      <c r="C865" s="464" t="s">
        <v>1021</v>
      </c>
      <c r="D865" s="464" t="s">
        <v>38</v>
      </c>
      <c r="E865" s="464">
        <f>VLOOKUP(D865,★折込地区!$A$2:$D$10,4,FALSE)</f>
        <v>6</v>
      </c>
      <c r="F865" s="464" t="s">
        <v>432</v>
      </c>
      <c r="G865" s="464" t="str">
        <f>INDEX(★新聞!$E$4:$I$12, MATCH(LEFT(F865),★新聞!$A$4:$A$12,0), MATCH(LEFT(W865),★新聞!$E$3:$I$3,0))</f>
        <v>AD</v>
      </c>
      <c r="H865" s="475" t="s">
        <v>1127</v>
      </c>
      <c r="I865" s="464" cm="1">
        <f t="array" ref="I865">IFERROR(INDEX(★原価率!$A$2:$E$50,MATCH($C865&amp;$H865,★原価率!$A$2:$A$50&amp;★原価率!$B$2:$B$50,0),3),0)</f>
        <v>90</v>
      </c>
      <c r="J865" s="464" cm="1">
        <f t="array" ref="J865">IFERROR(INDEX(★原価率!$A$2:$E$50,MATCH($C865&amp;$H865,★原価率!$A$2:$A$50&amp;★原価率!$B$2:$B$50,0),4),0)</f>
        <v>90</v>
      </c>
      <c r="K865" s="464" cm="1">
        <f t="array" ref="K865">IFERROR(INDEX(★原価率!$A$2:$E$50,MATCH($C865&amp;$H865,★原価率!$A$2:$A$50&amp;★原価率!$B$2:$B$50,0),5),0)</f>
        <v>100</v>
      </c>
      <c r="L865" s="528">
        <f>IFERROR(VLOOKUP(W865,★商品!$A$1:$H$1231,8,FALSE),0)</f>
        <v>3</v>
      </c>
      <c r="M865" s="203" t="str">
        <f ca="1">CONCATENATE(VLOOKUP(B865,★営業所!$A$2:$B$5,2,FALSE),TEXT(NOW(),"yyyy"))</f>
        <v>T2023</v>
      </c>
      <c r="N865" s="203">
        <v>1</v>
      </c>
      <c r="O865" s="203">
        <v>0</v>
      </c>
      <c r="P865" s="213">
        <f>申込書!$B$6</f>
        <v>0</v>
      </c>
      <c r="Q865" s="203">
        <f>申込書!$C$34</f>
        <v>1000040</v>
      </c>
      <c r="R865" s="203">
        <v>0</v>
      </c>
      <c r="U865" s="203">
        <f>VLOOKUP(B865,★営業所!$A$2:$C$5,3,FALSE)</f>
        <v>8</v>
      </c>
      <c r="V865" s="203">
        <f>申込書!$B$9</f>
        <v>0</v>
      </c>
      <c r="W865" s="203" t="str">
        <f>CONCATENATE(VLOOKUP(B865,★営業所!$A$2:$B$5,2,FALSE),VLOOKUP(申込書!$C$32,★サイズ表記!$D$4:$E$55,2,FALSE),VLOOKUP(D865,★折込地区!$A$2:$B$11,2,FALSE))</f>
        <v>T1001Hks</v>
      </c>
      <c r="X865" s="203" t="str">
        <f>CONCATENATE(申込書!$B$9," ",VLOOKUP(RIGHT(W865,3),★折込地区!$B$2:$C$10,2,FALSE),"")</f>
        <v xml:space="preserve"> 香住</v>
      </c>
      <c r="Z865" s="206">
        <f t="shared" ca="1" si="103"/>
        <v>0</v>
      </c>
      <c r="AB865" s="383">
        <f t="shared" si="104"/>
        <v>3</v>
      </c>
      <c r="AC865" s="203" t="str">
        <f t="shared" si="105"/>
        <v>J1001</v>
      </c>
      <c r="AD865" s="203" t="str">
        <f>VLOOKUP(AC865,★原価商品!$E$6:$F$349,2,FALSE)</f>
        <v>読売/B4（折り無し）</v>
      </c>
      <c r="AE865" s="203">
        <f t="shared" ca="1" si="106"/>
        <v>0</v>
      </c>
      <c r="AF865" s="383">
        <f>IFERROR(IF(VLOOKUP(申込書!$C$32,★サイズ表記!$F$4:$H$55,3,FALSE)="切り捨て",ROUNDDOWN(L865*IF(AK865="◎",I865,J865)/100,2),IF(VLOOKUP(申込書!$C$32,★サイズ表記!$F$4:$H$55,3,FALSE)="切り上げ",ROUNDUP(L865*IF(AK865="◎",I865,J865)/100,2),ROUND(L865*IF(AK865="◎",I865,J865)/100,2))),0)</f>
        <v>2.7</v>
      </c>
      <c r="AG865" s="203">
        <f t="shared" ca="1" si="107"/>
        <v>10522</v>
      </c>
      <c r="AJ865" s="460" t="str">
        <f>IFERROR(VLOOKUP(申込書!$C$30,★業種!$D$2:$E$87,2,FALSE),"")</f>
        <v>1003</v>
      </c>
      <c r="AK865" s="460" t="str">
        <f>IF(申込書!$C$36="◎",IF(OR(D865="浜坂・温泉",D865="美方・村岡",D865="香住",D865="岡山",D865="大阪"),"",IF(LEFT(F865)="D","◎",IF(AG865=0,"",IFERROR(IF(VLOOKUP(AG865,★仕入先!$A$2:$C$211,3,FALSE)=0,"","◎"),"")))),"")</f>
        <v/>
      </c>
      <c r="AL865" s="460">
        <f>申込書!$H$14</f>
        <v>0</v>
      </c>
      <c r="AM865" s="460" t="str">
        <f>申込書!$C$32</f>
        <v>B4（折り無し）</v>
      </c>
      <c r="AN865" s="460" t="str">
        <f>VLOOKUP(AM865,★サイズ表記!$D$4:$E$55,2,FALSE)</f>
        <v>1001</v>
      </c>
      <c r="AO865" s="460">
        <f>IF(C865&lt;&gt;"⑧兵庫",VLOOKUP(LEFT(F865),★新聞!$A$4:$B$12,2,FALSE),IF(LEFT(F865)&lt;&gt;"S",VLOOKUP(LEFT(F865),★新聞!$A$4:$B$12,2,FALSE),VLOOKUP("X",★新聞!$A$4:$B$12,2,FALSE)))</f>
        <v>3</v>
      </c>
      <c r="AP865" s="460" t="str">
        <f t="shared" ca="1" si="108"/>
        <v>0</v>
      </c>
      <c r="AQ865" s="460" t="str">
        <f>IF(申込書!$C$38="","",申込書!$C$38)</f>
        <v/>
      </c>
    </row>
    <row r="866" spans="1:43">
      <c r="A866" s="463">
        <f t="shared" si="109"/>
        <v>865</v>
      </c>
      <c r="B866" s="463" t="str">
        <f t="shared" si="102"/>
        <v>東部</v>
      </c>
      <c r="C866" s="464" t="s">
        <v>1021</v>
      </c>
      <c r="D866" s="464" t="s">
        <v>158</v>
      </c>
      <c r="E866" s="464">
        <f>VLOOKUP(D866,★折込地区!$A$2:$D$10,4,FALSE)</f>
        <v>4</v>
      </c>
      <c r="F866" s="464" t="s">
        <v>383</v>
      </c>
      <c r="G866" s="464" t="str">
        <f>INDEX(★新聞!$E$4:$I$12, MATCH(LEFT(F866),★新聞!$A$4:$A$12,0), MATCH(LEFT(W866),★新聞!$E$3:$I$3,0))</f>
        <v>AG</v>
      </c>
      <c r="H866" s="475" t="s">
        <v>1121</v>
      </c>
      <c r="I866" s="464" cm="1">
        <f t="array" ref="I866">IFERROR(INDEX(★原価率!$A$2:$E$50,MATCH($C866&amp;$H866,★原価率!$A$2:$A$50&amp;★原価率!$B$2:$B$50,0),3),0)</f>
        <v>80</v>
      </c>
      <c r="J866" s="464" cm="1">
        <f t="array" ref="J866">IFERROR(INDEX(★原価率!$A$2:$E$50,MATCH($C866&amp;$H866,★原価率!$A$2:$A$50&amp;★原価率!$B$2:$B$50,0),4),0)</f>
        <v>80</v>
      </c>
      <c r="K866" s="464" cm="1">
        <f t="array" ref="K866">IFERROR(INDEX(★原価率!$A$2:$E$50,MATCH($C866&amp;$H866,★原価率!$A$2:$A$50&amp;★原価率!$B$2:$B$50,0),5),0)</f>
        <v>100</v>
      </c>
      <c r="L866" s="528">
        <f>IFERROR(VLOOKUP(W866,★商品!$A$1:$H$1231,8,FALSE),0)</f>
        <v>3</v>
      </c>
      <c r="M866" s="203" t="str">
        <f ca="1">CONCATENATE(VLOOKUP(B866,★営業所!$A$2:$B$5,2,FALSE),TEXT(NOW(),"yyyy"))</f>
        <v>T2023</v>
      </c>
      <c r="N866" s="203">
        <v>1</v>
      </c>
      <c r="O866" s="203">
        <v>0</v>
      </c>
      <c r="P866" s="213">
        <f>申込書!$B$6</f>
        <v>0</v>
      </c>
      <c r="Q866" s="203">
        <f>申込書!$C$34</f>
        <v>1000040</v>
      </c>
      <c r="R866" s="203">
        <v>0</v>
      </c>
      <c r="U866" s="203">
        <f>VLOOKUP(B866,★営業所!$A$2:$C$5,3,FALSE)</f>
        <v>8</v>
      </c>
      <c r="V866" s="203">
        <f>申込書!$B$9</f>
        <v>0</v>
      </c>
      <c r="W866" s="203" t="str">
        <f>CONCATENATE(VLOOKUP(B866,★営業所!$A$2:$B$5,2,FALSE),VLOOKUP(申込書!$C$32,★サイズ表記!$D$4:$E$55,2,FALSE),VLOOKUP(D866,★折込地区!$A$2:$B$11,2,FALSE))</f>
        <v>T1001Hha</v>
      </c>
      <c r="X866" s="203" t="str">
        <f>CONCATENATE(申込書!$B$9," ",VLOOKUP(RIGHT(W866,3),★折込地区!$B$2:$C$10,2,FALSE),"")</f>
        <v xml:space="preserve"> 浜坂・温泉</v>
      </c>
      <c r="Z866" s="206">
        <f t="shared" ca="1" si="103"/>
        <v>0</v>
      </c>
      <c r="AB866" s="383">
        <f t="shared" si="104"/>
        <v>3</v>
      </c>
      <c r="AC866" s="203" t="str">
        <f t="shared" si="105"/>
        <v>M1001</v>
      </c>
      <c r="AD866" s="203" t="str">
        <f>VLOOKUP(AC866,★原価商品!$E$6:$F$349,2,FALSE)</f>
        <v>毎日/B4（折り無し）</v>
      </c>
      <c r="AE866" s="203">
        <f t="shared" ca="1" si="106"/>
        <v>0</v>
      </c>
      <c r="AF866" s="383">
        <f>IFERROR(IF(VLOOKUP(申込書!$C$32,★サイズ表記!$F$4:$H$55,3,FALSE)="切り捨て",ROUNDDOWN(L866*IF(AK866="◎",I866,J866)/100,2),IF(VLOOKUP(申込書!$C$32,★サイズ表記!$F$4:$H$55,3,FALSE)="切り上げ",ROUNDUP(L866*IF(AK866="◎",I866,J866)/100,2),ROUND(L866*IF(AK866="◎",I866,J866)/100,2))),0)</f>
        <v>2.4</v>
      </c>
      <c r="AG866" s="203">
        <f t="shared" ca="1" si="107"/>
        <v>0</v>
      </c>
      <c r="AJ866" s="460" t="str">
        <f>IFERROR(VLOOKUP(申込書!$C$30,★業種!$D$2:$E$87,2,FALSE),"")</f>
        <v>1003</v>
      </c>
      <c r="AK866" s="460" t="str">
        <f>IF(申込書!$C$36="◎",IF(OR(D866="浜坂・温泉",D866="美方・村岡",D866="香住",D866="岡山",D866="大阪"),"",IF(LEFT(F866)="D","◎",IF(AG866=0,"",IFERROR(IF(VLOOKUP(AG866,★仕入先!$A$2:$C$211,3,FALSE)=0,"","◎"),"")))),"")</f>
        <v/>
      </c>
      <c r="AL866" s="460">
        <f>申込書!$H$14</f>
        <v>0</v>
      </c>
      <c r="AM866" s="460" t="str">
        <f>申込書!$C$32</f>
        <v>B4（折り無し）</v>
      </c>
      <c r="AN866" s="460" t="str">
        <f>VLOOKUP(AM866,★サイズ表記!$D$4:$E$55,2,FALSE)</f>
        <v>1001</v>
      </c>
      <c r="AO866" s="460">
        <f>IF(C866&lt;&gt;"⑧兵庫",VLOOKUP(LEFT(F866),★新聞!$A$4:$B$12,2,FALSE),IF(LEFT(F866)&lt;&gt;"S",VLOOKUP(LEFT(F866),★新聞!$A$4:$B$12,2,FALSE),VLOOKUP("X",★新聞!$A$4:$B$12,2,FALSE)))</f>
        <v>4</v>
      </c>
      <c r="AP866" s="460" t="str">
        <f t="shared" ca="1" si="108"/>
        <v>0</v>
      </c>
      <c r="AQ866" s="460" t="str">
        <f>IF(申込書!$C$38="","",申込書!$C$38)</f>
        <v/>
      </c>
    </row>
    <row r="867" spans="1:43">
      <c r="A867" s="463">
        <f t="shared" si="109"/>
        <v>866</v>
      </c>
      <c r="B867" s="463" t="str">
        <f t="shared" si="102"/>
        <v>東部</v>
      </c>
      <c r="C867" s="464" t="s">
        <v>1021</v>
      </c>
      <c r="D867" s="464" t="s">
        <v>158</v>
      </c>
      <c r="E867" s="464">
        <f>VLOOKUP(D867,★折込地区!$A$2:$D$10,4,FALSE)</f>
        <v>4</v>
      </c>
      <c r="F867" s="464" t="s">
        <v>448</v>
      </c>
      <c r="G867" s="464" t="str">
        <f>INDEX(★新聞!$E$4:$I$12, MATCH(LEFT(F867),★新聞!$A$4:$A$12,0), MATCH(LEFT(W867),★新聞!$E$3:$I$3,0))</f>
        <v>AG</v>
      </c>
      <c r="H867" s="475" t="s">
        <v>1121</v>
      </c>
      <c r="I867" s="464" cm="1">
        <f t="array" ref="I867">IFERROR(INDEX(★原価率!$A$2:$E$50,MATCH($C867&amp;$H867,★原価率!$A$2:$A$50&amp;★原価率!$B$2:$B$50,0),3),0)</f>
        <v>80</v>
      </c>
      <c r="J867" s="464" cm="1">
        <f t="array" ref="J867">IFERROR(INDEX(★原価率!$A$2:$E$50,MATCH($C867&amp;$H867,★原価率!$A$2:$A$50&amp;★原価率!$B$2:$B$50,0),4),0)</f>
        <v>80</v>
      </c>
      <c r="K867" s="464" cm="1">
        <f t="array" ref="K867">IFERROR(INDEX(★原価率!$A$2:$E$50,MATCH($C867&amp;$H867,★原価率!$A$2:$A$50&amp;★原価率!$B$2:$B$50,0),5),0)</f>
        <v>100</v>
      </c>
      <c r="L867" s="528">
        <f>IFERROR(VLOOKUP(W867,★商品!$A$1:$H$1231,8,FALSE),0)</f>
        <v>3</v>
      </c>
      <c r="M867" s="203" t="str">
        <f ca="1">CONCATENATE(VLOOKUP(B867,★営業所!$A$2:$B$5,2,FALSE),TEXT(NOW(),"yyyy"))</f>
        <v>T2023</v>
      </c>
      <c r="N867" s="203">
        <v>1</v>
      </c>
      <c r="O867" s="203">
        <v>0</v>
      </c>
      <c r="P867" s="213">
        <f>申込書!$B$6</f>
        <v>0</v>
      </c>
      <c r="Q867" s="203">
        <f>申込書!$C$34</f>
        <v>1000040</v>
      </c>
      <c r="R867" s="203">
        <v>0</v>
      </c>
      <c r="U867" s="203">
        <f>VLOOKUP(B867,★営業所!$A$2:$C$5,3,FALSE)</f>
        <v>8</v>
      </c>
      <c r="V867" s="203">
        <f>申込書!$B$9</f>
        <v>0</v>
      </c>
      <c r="W867" s="203" t="str">
        <f>CONCATENATE(VLOOKUP(B867,★営業所!$A$2:$B$5,2,FALSE),VLOOKUP(申込書!$C$32,★サイズ表記!$D$4:$E$55,2,FALSE),VLOOKUP(D867,★折込地区!$A$2:$B$11,2,FALSE))</f>
        <v>T1001Hha</v>
      </c>
      <c r="X867" s="203" t="str">
        <f>CONCATENATE(申込書!$B$9," ",VLOOKUP(RIGHT(W867,3),★折込地区!$B$2:$C$10,2,FALSE),"")</f>
        <v xml:space="preserve"> 浜坂・温泉</v>
      </c>
      <c r="Z867" s="206">
        <f t="shared" ca="1" si="103"/>
        <v>0</v>
      </c>
      <c r="AB867" s="383">
        <f t="shared" si="104"/>
        <v>3</v>
      </c>
      <c r="AC867" s="203" t="str">
        <f t="shared" si="105"/>
        <v>M1001</v>
      </c>
      <c r="AD867" s="203" t="str">
        <f>VLOOKUP(AC867,★原価商品!$E$6:$F$349,2,FALSE)</f>
        <v>毎日/B4（折り無し）</v>
      </c>
      <c r="AE867" s="203">
        <f t="shared" ca="1" si="106"/>
        <v>0</v>
      </c>
      <c r="AF867" s="383">
        <f>IFERROR(IF(VLOOKUP(申込書!$C$32,★サイズ表記!$F$4:$H$55,3,FALSE)="切り捨て",ROUNDDOWN(L867*IF(AK867="◎",I867,J867)/100,2),IF(VLOOKUP(申込書!$C$32,★サイズ表記!$F$4:$H$55,3,FALSE)="切り上げ",ROUNDUP(L867*IF(AK867="◎",I867,J867)/100,2),ROUND(L867*IF(AK867="◎",I867,J867)/100,2))),0)</f>
        <v>2.4</v>
      </c>
      <c r="AG867" s="203">
        <f t="shared" ca="1" si="107"/>
        <v>0</v>
      </c>
      <c r="AJ867" s="460" t="str">
        <f>IFERROR(VLOOKUP(申込書!$C$30,★業種!$D$2:$E$87,2,FALSE),"")</f>
        <v>1003</v>
      </c>
      <c r="AK867" s="460" t="str">
        <f>IF(申込書!$C$36="◎",IF(OR(D867="浜坂・温泉",D867="美方・村岡",D867="香住",D867="岡山",D867="大阪"),"",IF(LEFT(F867)="D","◎",IF(AG867=0,"",IFERROR(IF(VLOOKUP(AG867,★仕入先!$A$2:$C$211,3,FALSE)=0,"","◎"),"")))),"")</f>
        <v/>
      </c>
      <c r="AL867" s="460">
        <f>申込書!$H$14</f>
        <v>0</v>
      </c>
      <c r="AM867" s="460" t="str">
        <f>申込書!$C$32</f>
        <v>B4（折り無し）</v>
      </c>
      <c r="AN867" s="460" t="str">
        <f>VLOOKUP(AM867,★サイズ表記!$D$4:$E$55,2,FALSE)</f>
        <v>1001</v>
      </c>
      <c r="AO867" s="460">
        <f>IF(C867&lt;&gt;"⑧兵庫",VLOOKUP(LEFT(F867),★新聞!$A$4:$B$12,2,FALSE),IF(LEFT(F867)&lt;&gt;"S",VLOOKUP(LEFT(F867),★新聞!$A$4:$B$12,2,FALSE),VLOOKUP("X",★新聞!$A$4:$B$12,2,FALSE)))</f>
        <v>4</v>
      </c>
      <c r="AP867" s="460" t="str">
        <f t="shared" ca="1" si="108"/>
        <v>0</v>
      </c>
      <c r="AQ867" s="460" t="str">
        <f>IF(申込書!$C$38="","",申込書!$C$38)</f>
        <v/>
      </c>
    </row>
    <row r="868" spans="1:43">
      <c r="A868" s="463">
        <f t="shared" si="109"/>
        <v>867</v>
      </c>
      <c r="B868" s="463" t="str">
        <f t="shared" si="102"/>
        <v>東部</v>
      </c>
      <c r="C868" s="464" t="s">
        <v>1021</v>
      </c>
      <c r="D868" s="464" t="s">
        <v>857</v>
      </c>
      <c r="E868" s="464">
        <f>VLOOKUP(D868,★折込地区!$A$2:$D$10,4,FALSE)</f>
        <v>5</v>
      </c>
      <c r="F868" s="464" t="s">
        <v>449</v>
      </c>
      <c r="G868" s="464" t="str">
        <f>INDEX(★新聞!$E$4:$I$12, MATCH(LEFT(F868),★新聞!$A$4:$A$12,0), MATCH(LEFT(W868),★新聞!$E$3:$I$3,0))</f>
        <v>AG</v>
      </c>
      <c r="H868" s="475" t="s">
        <v>1126</v>
      </c>
      <c r="I868" s="464" cm="1">
        <f t="array" ref="I868">IFERROR(INDEX(★原価率!$A$2:$E$50,MATCH($C868&amp;$H868,★原価率!$A$2:$A$50&amp;★原価率!$B$2:$B$50,0),3),0)</f>
        <v>100</v>
      </c>
      <c r="J868" s="464" cm="1">
        <f t="array" ref="J868">IFERROR(INDEX(★原価率!$A$2:$E$50,MATCH($C868&amp;$H868,★原価率!$A$2:$A$50&amp;★原価率!$B$2:$B$50,0),4),0)</f>
        <v>100</v>
      </c>
      <c r="K868" s="464" cm="1">
        <f t="array" ref="K868">IFERROR(INDEX(★原価率!$A$2:$E$50,MATCH($C868&amp;$H868,★原価率!$A$2:$A$50&amp;★原価率!$B$2:$B$50,0),5),0)</f>
        <v>100</v>
      </c>
      <c r="L868" s="528">
        <f>IFERROR(VLOOKUP(W868,★商品!$A$1:$H$1231,8,FALSE),0)</f>
        <v>3</v>
      </c>
      <c r="M868" s="203" t="str">
        <f ca="1">CONCATENATE(VLOOKUP(B868,★営業所!$A$2:$B$5,2,FALSE),TEXT(NOW(),"yyyy"))</f>
        <v>T2023</v>
      </c>
      <c r="N868" s="203">
        <v>1</v>
      </c>
      <c r="O868" s="203">
        <v>0</v>
      </c>
      <c r="P868" s="213">
        <f>申込書!$B$6</f>
        <v>0</v>
      </c>
      <c r="Q868" s="203">
        <f>申込書!$C$34</f>
        <v>1000040</v>
      </c>
      <c r="R868" s="203">
        <v>0</v>
      </c>
      <c r="U868" s="203">
        <f>VLOOKUP(B868,★営業所!$A$2:$C$5,3,FALSE)</f>
        <v>8</v>
      </c>
      <c r="V868" s="203">
        <f>申込書!$B$9</f>
        <v>0</v>
      </c>
      <c r="W868" s="203" t="str">
        <f>CONCATENATE(VLOOKUP(B868,★営業所!$A$2:$B$5,2,FALSE),VLOOKUP(申込書!$C$32,★サイズ表記!$D$4:$E$55,2,FALSE),VLOOKUP(D868,★折込地区!$A$2:$B$11,2,FALSE))</f>
        <v>T1001Hmm</v>
      </c>
      <c r="X868" s="203" t="str">
        <f>CONCATENATE(申込書!$B$9," ",VLOOKUP(RIGHT(W868,3),★折込地区!$B$2:$C$10,2,FALSE),"")</f>
        <v xml:space="preserve"> 美方・村岡</v>
      </c>
      <c r="Z868" s="206">
        <f t="shared" ca="1" si="103"/>
        <v>0</v>
      </c>
      <c r="AB868" s="383">
        <f t="shared" si="104"/>
        <v>3</v>
      </c>
      <c r="AC868" s="203" t="str">
        <f t="shared" si="105"/>
        <v>M1001</v>
      </c>
      <c r="AD868" s="203" t="str">
        <f>VLOOKUP(AC868,★原価商品!$E$6:$F$349,2,FALSE)</f>
        <v>毎日/B4（折り無し）</v>
      </c>
      <c r="AE868" s="203">
        <f t="shared" ca="1" si="106"/>
        <v>0</v>
      </c>
      <c r="AF868" s="383">
        <f>IFERROR(IF(VLOOKUP(申込書!$C$32,★サイズ表記!$F$4:$H$55,3,FALSE)="切り捨て",ROUNDDOWN(L868*IF(AK868="◎",I868,J868)/100,2),IF(VLOOKUP(申込書!$C$32,★サイズ表記!$F$4:$H$55,3,FALSE)="切り上げ",ROUNDUP(L868*IF(AK868="◎",I868,J868)/100,2),ROUND(L868*IF(AK868="◎",I868,J868)/100,2))),0)</f>
        <v>3</v>
      </c>
      <c r="AG868" s="203">
        <f t="shared" ca="1" si="107"/>
        <v>0</v>
      </c>
      <c r="AJ868" s="460" t="str">
        <f>IFERROR(VLOOKUP(申込書!$C$30,★業種!$D$2:$E$87,2,FALSE),"")</f>
        <v>1003</v>
      </c>
      <c r="AK868" s="460" t="str">
        <f>IF(申込書!$C$36="◎",IF(OR(D868="浜坂・温泉",D868="美方・村岡",D868="香住",D868="岡山",D868="大阪"),"",IF(LEFT(F868)="D","◎",IF(AG868=0,"",IFERROR(IF(VLOOKUP(AG868,★仕入先!$A$2:$C$211,3,FALSE)=0,"","◎"),"")))),"")</f>
        <v/>
      </c>
      <c r="AL868" s="460">
        <f>申込書!$H$14</f>
        <v>0</v>
      </c>
      <c r="AM868" s="460" t="str">
        <f>申込書!$C$32</f>
        <v>B4（折り無し）</v>
      </c>
      <c r="AN868" s="460" t="str">
        <f>VLOOKUP(AM868,★サイズ表記!$D$4:$E$55,2,FALSE)</f>
        <v>1001</v>
      </c>
      <c r="AO868" s="460">
        <f>IF(C868&lt;&gt;"⑧兵庫",VLOOKUP(LEFT(F868),★新聞!$A$4:$B$12,2,FALSE),IF(LEFT(F868)&lt;&gt;"S",VLOOKUP(LEFT(F868),★新聞!$A$4:$B$12,2,FALSE),VLOOKUP("X",★新聞!$A$4:$B$12,2,FALSE)))</f>
        <v>4</v>
      </c>
      <c r="AP868" s="460" t="str">
        <f t="shared" ca="1" si="108"/>
        <v>0</v>
      </c>
      <c r="AQ868" s="460" t="str">
        <f>IF(申込書!$C$38="","",申込書!$C$38)</f>
        <v/>
      </c>
    </row>
    <row r="869" spans="1:43">
      <c r="A869" s="463">
        <f t="shared" si="109"/>
        <v>868</v>
      </c>
      <c r="B869" s="463" t="str">
        <f t="shared" si="102"/>
        <v>東部</v>
      </c>
      <c r="C869" s="464" t="s">
        <v>1021</v>
      </c>
      <c r="D869" s="464" t="s">
        <v>857</v>
      </c>
      <c r="E869" s="464">
        <f>VLOOKUP(D869,★折込地区!$A$2:$D$10,4,FALSE)</f>
        <v>5</v>
      </c>
      <c r="F869" s="464" t="s">
        <v>450</v>
      </c>
      <c r="G869" s="464" t="str">
        <f>INDEX(★新聞!$E$4:$I$12, MATCH(LEFT(F869),★新聞!$A$4:$A$12,0), MATCH(LEFT(W869),★新聞!$E$3:$I$3,0))</f>
        <v>AG</v>
      </c>
      <c r="H869" s="475" t="s">
        <v>1126</v>
      </c>
      <c r="I869" s="464" cm="1">
        <f t="array" ref="I869">IFERROR(INDEX(★原価率!$A$2:$E$50,MATCH($C869&amp;$H869,★原価率!$A$2:$A$50&amp;★原価率!$B$2:$B$50,0),3),0)</f>
        <v>100</v>
      </c>
      <c r="J869" s="464" cm="1">
        <f t="array" ref="J869">IFERROR(INDEX(★原価率!$A$2:$E$50,MATCH($C869&amp;$H869,★原価率!$A$2:$A$50&amp;★原価率!$B$2:$B$50,0),4),0)</f>
        <v>100</v>
      </c>
      <c r="K869" s="464" cm="1">
        <f t="array" ref="K869">IFERROR(INDEX(★原価率!$A$2:$E$50,MATCH($C869&amp;$H869,★原価率!$A$2:$A$50&amp;★原価率!$B$2:$B$50,0),5),0)</f>
        <v>100</v>
      </c>
      <c r="L869" s="528">
        <f>IFERROR(VLOOKUP(W869,★商品!$A$1:$H$1231,8,FALSE),0)</f>
        <v>3</v>
      </c>
      <c r="M869" s="203" t="str">
        <f ca="1">CONCATENATE(VLOOKUP(B869,★営業所!$A$2:$B$5,2,FALSE),TEXT(NOW(),"yyyy"))</f>
        <v>T2023</v>
      </c>
      <c r="N869" s="203">
        <v>1</v>
      </c>
      <c r="O869" s="203">
        <v>0</v>
      </c>
      <c r="P869" s="213">
        <f>申込書!$B$6</f>
        <v>0</v>
      </c>
      <c r="Q869" s="203">
        <f>申込書!$C$34</f>
        <v>1000040</v>
      </c>
      <c r="R869" s="203">
        <v>0</v>
      </c>
      <c r="U869" s="203">
        <f>VLOOKUP(B869,★営業所!$A$2:$C$5,3,FALSE)</f>
        <v>8</v>
      </c>
      <c r="V869" s="203">
        <f>申込書!$B$9</f>
        <v>0</v>
      </c>
      <c r="W869" s="203" t="str">
        <f>CONCATENATE(VLOOKUP(B869,★営業所!$A$2:$B$5,2,FALSE),VLOOKUP(申込書!$C$32,★サイズ表記!$D$4:$E$55,2,FALSE),VLOOKUP(D869,★折込地区!$A$2:$B$11,2,FALSE))</f>
        <v>T1001Hmm</v>
      </c>
      <c r="X869" s="203" t="str">
        <f>CONCATENATE(申込書!$B$9," ",VLOOKUP(RIGHT(W869,3),★折込地区!$B$2:$C$10,2,FALSE),"")</f>
        <v xml:space="preserve"> 美方・村岡</v>
      </c>
      <c r="Z869" s="206">
        <f t="shared" ca="1" si="103"/>
        <v>0</v>
      </c>
      <c r="AB869" s="383">
        <f t="shared" si="104"/>
        <v>3</v>
      </c>
      <c r="AC869" s="203" t="str">
        <f t="shared" si="105"/>
        <v>M1001</v>
      </c>
      <c r="AD869" s="203" t="str">
        <f>VLOOKUP(AC869,★原価商品!$E$6:$F$349,2,FALSE)</f>
        <v>毎日/B4（折り無し）</v>
      </c>
      <c r="AE869" s="203">
        <f t="shared" ca="1" si="106"/>
        <v>0</v>
      </c>
      <c r="AF869" s="383">
        <f>IFERROR(IF(VLOOKUP(申込書!$C$32,★サイズ表記!$F$4:$H$55,3,FALSE)="切り捨て",ROUNDDOWN(L869*IF(AK869="◎",I869,J869)/100,2),IF(VLOOKUP(申込書!$C$32,★サイズ表記!$F$4:$H$55,3,FALSE)="切り上げ",ROUNDUP(L869*IF(AK869="◎",I869,J869)/100,2),ROUND(L869*IF(AK869="◎",I869,J869)/100,2))),0)</f>
        <v>3</v>
      </c>
      <c r="AG869" s="203">
        <f t="shared" ca="1" si="107"/>
        <v>0</v>
      </c>
      <c r="AJ869" s="460" t="str">
        <f>IFERROR(VLOOKUP(申込書!$C$30,★業種!$D$2:$E$87,2,FALSE),"")</f>
        <v>1003</v>
      </c>
      <c r="AK869" s="460" t="str">
        <f>IF(申込書!$C$36="◎",IF(OR(D869="浜坂・温泉",D869="美方・村岡",D869="香住",D869="岡山",D869="大阪"),"",IF(LEFT(F869)="D","◎",IF(AG869=0,"",IFERROR(IF(VLOOKUP(AG869,★仕入先!$A$2:$C$211,3,FALSE)=0,"","◎"),"")))),"")</f>
        <v/>
      </c>
      <c r="AL869" s="460">
        <f>申込書!$H$14</f>
        <v>0</v>
      </c>
      <c r="AM869" s="460" t="str">
        <f>申込書!$C$32</f>
        <v>B4（折り無し）</v>
      </c>
      <c r="AN869" s="460" t="str">
        <f>VLOOKUP(AM869,★サイズ表記!$D$4:$E$55,2,FALSE)</f>
        <v>1001</v>
      </c>
      <c r="AO869" s="460">
        <f>IF(C869&lt;&gt;"⑧兵庫",VLOOKUP(LEFT(F869),★新聞!$A$4:$B$12,2,FALSE),IF(LEFT(F869)&lt;&gt;"S",VLOOKUP(LEFT(F869),★新聞!$A$4:$B$12,2,FALSE),VLOOKUP("X",★新聞!$A$4:$B$12,2,FALSE)))</f>
        <v>4</v>
      </c>
      <c r="AP869" s="460" t="str">
        <f t="shared" ca="1" si="108"/>
        <v>0</v>
      </c>
      <c r="AQ869" s="460" t="str">
        <f>IF(申込書!$C$38="","",申込書!$C$38)</f>
        <v/>
      </c>
    </row>
    <row r="870" spans="1:43">
      <c r="A870" s="463">
        <f t="shared" si="109"/>
        <v>869</v>
      </c>
      <c r="B870" s="463" t="str">
        <f t="shared" si="102"/>
        <v>東部</v>
      </c>
      <c r="C870" s="464" t="s">
        <v>1021</v>
      </c>
      <c r="D870" s="464" t="s">
        <v>857</v>
      </c>
      <c r="E870" s="464">
        <f>VLOOKUP(D870,★折込地区!$A$2:$D$10,4,FALSE)</f>
        <v>5</v>
      </c>
      <c r="F870" s="464" t="s">
        <v>451</v>
      </c>
      <c r="G870" s="464" t="str">
        <f>INDEX(★新聞!$E$4:$I$12, MATCH(LEFT(F870),★新聞!$A$4:$A$12,0), MATCH(LEFT(W870),★新聞!$E$3:$I$3,0))</f>
        <v>AG</v>
      </c>
      <c r="H870" s="475" t="s">
        <v>1126</v>
      </c>
      <c r="I870" s="464" cm="1">
        <f t="array" ref="I870">IFERROR(INDEX(★原価率!$A$2:$E$50,MATCH($C870&amp;$H870,★原価率!$A$2:$A$50&amp;★原価率!$B$2:$B$50,0),3),0)</f>
        <v>100</v>
      </c>
      <c r="J870" s="464" cm="1">
        <f t="array" ref="J870">IFERROR(INDEX(★原価率!$A$2:$E$50,MATCH($C870&amp;$H870,★原価率!$A$2:$A$50&amp;★原価率!$B$2:$B$50,0),4),0)</f>
        <v>100</v>
      </c>
      <c r="K870" s="464" cm="1">
        <f t="array" ref="K870">IFERROR(INDEX(★原価率!$A$2:$E$50,MATCH($C870&amp;$H870,★原価率!$A$2:$A$50&amp;★原価率!$B$2:$B$50,0),5),0)</f>
        <v>100</v>
      </c>
      <c r="L870" s="528">
        <f>IFERROR(VLOOKUP(W870,★商品!$A$1:$H$1231,8,FALSE),0)</f>
        <v>3</v>
      </c>
      <c r="M870" s="203" t="str">
        <f ca="1">CONCATENATE(VLOOKUP(B870,★営業所!$A$2:$B$5,2,FALSE),TEXT(NOW(),"yyyy"))</f>
        <v>T2023</v>
      </c>
      <c r="N870" s="203">
        <v>1</v>
      </c>
      <c r="O870" s="203">
        <v>0</v>
      </c>
      <c r="P870" s="213">
        <f>申込書!$B$6</f>
        <v>0</v>
      </c>
      <c r="Q870" s="203">
        <f>申込書!$C$34</f>
        <v>1000040</v>
      </c>
      <c r="R870" s="203">
        <v>0</v>
      </c>
      <c r="U870" s="203">
        <f>VLOOKUP(B870,★営業所!$A$2:$C$5,3,FALSE)</f>
        <v>8</v>
      </c>
      <c r="V870" s="203">
        <f>申込書!$B$9</f>
        <v>0</v>
      </c>
      <c r="W870" s="203" t="str">
        <f>CONCATENATE(VLOOKUP(B870,★営業所!$A$2:$B$5,2,FALSE),VLOOKUP(申込書!$C$32,★サイズ表記!$D$4:$E$55,2,FALSE),VLOOKUP(D870,★折込地区!$A$2:$B$11,2,FALSE))</f>
        <v>T1001Hmm</v>
      </c>
      <c r="X870" s="203" t="str">
        <f>CONCATENATE(申込書!$B$9," ",VLOOKUP(RIGHT(W870,3),★折込地区!$B$2:$C$10,2,FALSE),"")</f>
        <v xml:space="preserve"> 美方・村岡</v>
      </c>
      <c r="Z870" s="206">
        <f t="shared" ca="1" si="103"/>
        <v>0</v>
      </c>
      <c r="AB870" s="383">
        <f t="shared" si="104"/>
        <v>3</v>
      </c>
      <c r="AC870" s="203" t="str">
        <f t="shared" si="105"/>
        <v>M1001</v>
      </c>
      <c r="AD870" s="203" t="str">
        <f>VLOOKUP(AC870,★原価商品!$E$6:$F$349,2,FALSE)</f>
        <v>毎日/B4（折り無し）</v>
      </c>
      <c r="AE870" s="203">
        <f t="shared" ca="1" si="106"/>
        <v>0</v>
      </c>
      <c r="AF870" s="383">
        <f>IFERROR(IF(VLOOKUP(申込書!$C$32,★サイズ表記!$F$4:$H$55,3,FALSE)="切り捨て",ROUNDDOWN(L870*IF(AK870="◎",I870,J870)/100,2),IF(VLOOKUP(申込書!$C$32,★サイズ表記!$F$4:$H$55,3,FALSE)="切り上げ",ROUNDUP(L870*IF(AK870="◎",I870,J870)/100,2),ROUND(L870*IF(AK870="◎",I870,J870)/100,2))),0)</f>
        <v>3</v>
      </c>
      <c r="AG870" s="203">
        <f t="shared" ca="1" si="107"/>
        <v>0</v>
      </c>
      <c r="AJ870" s="460" t="str">
        <f>IFERROR(VLOOKUP(申込書!$C$30,★業種!$D$2:$E$87,2,FALSE),"")</f>
        <v>1003</v>
      </c>
      <c r="AK870" s="460" t="str">
        <f>IF(申込書!$C$36="◎",IF(OR(D870="浜坂・温泉",D870="美方・村岡",D870="香住",D870="岡山",D870="大阪"),"",IF(LEFT(F870)="D","◎",IF(AG870=0,"",IFERROR(IF(VLOOKUP(AG870,★仕入先!$A$2:$C$211,3,FALSE)=0,"","◎"),"")))),"")</f>
        <v/>
      </c>
      <c r="AL870" s="460">
        <f>申込書!$H$14</f>
        <v>0</v>
      </c>
      <c r="AM870" s="460" t="str">
        <f>申込書!$C$32</f>
        <v>B4（折り無し）</v>
      </c>
      <c r="AN870" s="460" t="str">
        <f>VLOOKUP(AM870,★サイズ表記!$D$4:$E$55,2,FALSE)</f>
        <v>1001</v>
      </c>
      <c r="AO870" s="460">
        <f>IF(C870&lt;&gt;"⑧兵庫",VLOOKUP(LEFT(F870),★新聞!$A$4:$B$12,2,FALSE),IF(LEFT(F870)&lt;&gt;"S",VLOOKUP(LEFT(F870),★新聞!$A$4:$B$12,2,FALSE),VLOOKUP("X",★新聞!$A$4:$B$12,2,FALSE)))</f>
        <v>4</v>
      </c>
      <c r="AP870" s="460" t="str">
        <f t="shared" ca="1" si="108"/>
        <v>0</v>
      </c>
      <c r="AQ870" s="460" t="str">
        <f>IF(申込書!$C$38="","",申込書!$C$38)</f>
        <v/>
      </c>
    </row>
    <row r="871" spans="1:43">
      <c r="A871" s="463">
        <f t="shared" si="109"/>
        <v>870</v>
      </c>
      <c r="B871" s="463" t="str">
        <f t="shared" si="102"/>
        <v>東部</v>
      </c>
      <c r="C871" s="464" t="s">
        <v>1021</v>
      </c>
      <c r="D871" s="464" t="s">
        <v>857</v>
      </c>
      <c r="E871" s="464">
        <f>VLOOKUP(D871,★折込地区!$A$2:$D$10,4,FALSE)</f>
        <v>5</v>
      </c>
      <c r="F871" s="464" t="s">
        <v>452</v>
      </c>
      <c r="G871" s="464" t="str">
        <f>INDEX(★新聞!$E$4:$I$12, MATCH(LEFT(F871),★新聞!$A$4:$A$12,0), MATCH(LEFT(W871),★新聞!$E$3:$I$3,0))</f>
        <v>AG</v>
      </c>
      <c r="H871" s="475" t="s">
        <v>1126</v>
      </c>
      <c r="I871" s="464" cm="1">
        <f t="array" ref="I871">IFERROR(INDEX(★原価率!$A$2:$E$50,MATCH($C871&amp;$H871,★原価率!$A$2:$A$50&amp;★原価率!$B$2:$B$50,0),3),0)</f>
        <v>100</v>
      </c>
      <c r="J871" s="464" cm="1">
        <f t="array" ref="J871">IFERROR(INDEX(★原価率!$A$2:$E$50,MATCH($C871&amp;$H871,★原価率!$A$2:$A$50&amp;★原価率!$B$2:$B$50,0),4),0)</f>
        <v>100</v>
      </c>
      <c r="K871" s="464" cm="1">
        <f t="array" ref="K871">IFERROR(INDEX(★原価率!$A$2:$E$50,MATCH($C871&amp;$H871,★原価率!$A$2:$A$50&amp;★原価率!$B$2:$B$50,0),5),0)</f>
        <v>100</v>
      </c>
      <c r="L871" s="528">
        <f>IFERROR(VLOOKUP(W871,★商品!$A$1:$H$1231,8,FALSE),0)</f>
        <v>3</v>
      </c>
      <c r="M871" s="203" t="str">
        <f ca="1">CONCATENATE(VLOOKUP(B871,★営業所!$A$2:$B$5,2,FALSE),TEXT(NOW(),"yyyy"))</f>
        <v>T2023</v>
      </c>
      <c r="N871" s="203">
        <v>1</v>
      </c>
      <c r="O871" s="203">
        <v>0</v>
      </c>
      <c r="P871" s="213">
        <f>申込書!$B$6</f>
        <v>0</v>
      </c>
      <c r="Q871" s="203">
        <f>申込書!$C$34</f>
        <v>1000040</v>
      </c>
      <c r="R871" s="203">
        <v>0</v>
      </c>
      <c r="U871" s="203">
        <f>VLOOKUP(B871,★営業所!$A$2:$C$5,3,FALSE)</f>
        <v>8</v>
      </c>
      <c r="V871" s="203">
        <f>申込書!$B$9</f>
        <v>0</v>
      </c>
      <c r="W871" s="203" t="str">
        <f>CONCATENATE(VLOOKUP(B871,★営業所!$A$2:$B$5,2,FALSE),VLOOKUP(申込書!$C$32,★サイズ表記!$D$4:$E$55,2,FALSE),VLOOKUP(D871,★折込地区!$A$2:$B$11,2,FALSE))</f>
        <v>T1001Hmm</v>
      </c>
      <c r="X871" s="203" t="str">
        <f>CONCATENATE(申込書!$B$9," ",VLOOKUP(RIGHT(W871,3),★折込地区!$B$2:$C$10,2,FALSE),"")</f>
        <v xml:space="preserve"> 美方・村岡</v>
      </c>
      <c r="Z871" s="206">
        <f t="shared" ca="1" si="103"/>
        <v>0</v>
      </c>
      <c r="AB871" s="383">
        <f t="shared" si="104"/>
        <v>3</v>
      </c>
      <c r="AC871" s="203" t="str">
        <f t="shared" si="105"/>
        <v>M1001</v>
      </c>
      <c r="AD871" s="203" t="str">
        <f>VLOOKUP(AC871,★原価商品!$E$6:$F$349,2,FALSE)</f>
        <v>毎日/B4（折り無し）</v>
      </c>
      <c r="AE871" s="203">
        <f t="shared" ca="1" si="106"/>
        <v>0</v>
      </c>
      <c r="AF871" s="383">
        <f>IFERROR(IF(VLOOKUP(申込書!$C$32,★サイズ表記!$F$4:$H$55,3,FALSE)="切り捨て",ROUNDDOWN(L871*IF(AK871="◎",I871,J871)/100,2),IF(VLOOKUP(申込書!$C$32,★サイズ表記!$F$4:$H$55,3,FALSE)="切り上げ",ROUNDUP(L871*IF(AK871="◎",I871,J871)/100,2),ROUND(L871*IF(AK871="◎",I871,J871)/100,2))),0)</f>
        <v>3</v>
      </c>
      <c r="AG871" s="203">
        <f t="shared" ca="1" si="107"/>
        <v>0</v>
      </c>
      <c r="AJ871" s="460" t="str">
        <f>IFERROR(VLOOKUP(申込書!$C$30,★業種!$D$2:$E$87,2,FALSE),"")</f>
        <v>1003</v>
      </c>
      <c r="AK871" s="460" t="str">
        <f>IF(申込書!$C$36="◎",IF(OR(D871="浜坂・温泉",D871="美方・村岡",D871="香住",D871="岡山",D871="大阪"),"",IF(LEFT(F871)="D","◎",IF(AG871=0,"",IFERROR(IF(VLOOKUP(AG871,★仕入先!$A$2:$C$211,3,FALSE)=0,"","◎"),"")))),"")</f>
        <v/>
      </c>
      <c r="AL871" s="460">
        <f>申込書!$H$14</f>
        <v>0</v>
      </c>
      <c r="AM871" s="460" t="str">
        <f>申込書!$C$32</f>
        <v>B4（折り無し）</v>
      </c>
      <c r="AN871" s="460" t="str">
        <f>VLOOKUP(AM871,★サイズ表記!$D$4:$E$55,2,FALSE)</f>
        <v>1001</v>
      </c>
      <c r="AO871" s="460">
        <f>IF(C871&lt;&gt;"⑧兵庫",VLOOKUP(LEFT(F871),★新聞!$A$4:$B$12,2,FALSE),IF(LEFT(F871)&lt;&gt;"S",VLOOKUP(LEFT(F871),★新聞!$A$4:$B$12,2,FALSE),VLOOKUP("X",★新聞!$A$4:$B$12,2,FALSE)))</f>
        <v>4</v>
      </c>
      <c r="AP871" s="460" t="str">
        <f t="shared" ca="1" si="108"/>
        <v>0</v>
      </c>
      <c r="AQ871" s="460" t="str">
        <f>IF(申込書!$C$38="","",申込書!$C$38)</f>
        <v/>
      </c>
    </row>
    <row r="872" spans="1:43">
      <c r="A872" s="463">
        <f t="shared" si="109"/>
        <v>871</v>
      </c>
      <c r="B872" s="463" t="str">
        <f t="shared" si="102"/>
        <v>東部</v>
      </c>
      <c r="C872" s="464" t="s">
        <v>1021</v>
      </c>
      <c r="D872" s="464" t="s">
        <v>38</v>
      </c>
      <c r="E872" s="464">
        <f>VLOOKUP(D872,★折込地区!$A$2:$D$10,4,FALSE)</f>
        <v>6</v>
      </c>
      <c r="F872" s="464" t="s">
        <v>453</v>
      </c>
      <c r="G872" s="464" t="str">
        <f>INDEX(★新聞!$E$4:$I$12, MATCH(LEFT(F872),★新聞!$A$4:$A$12,0), MATCH(LEFT(W872),★新聞!$E$3:$I$3,0))</f>
        <v>AG</v>
      </c>
      <c r="H872" s="475" t="s">
        <v>1127</v>
      </c>
      <c r="I872" s="464" cm="1">
        <f t="array" ref="I872">IFERROR(INDEX(★原価率!$A$2:$E$50,MATCH($C872&amp;$H872,★原価率!$A$2:$A$50&amp;★原価率!$B$2:$B$50,0),3),0)</f>
        <v>90</v>
      </c>
      <c r="J872" s="464" cm="1">
        <f t="array" ref="J872">IFERROR(INDEX(★原価率!$A$2:$E$50,MATCH($C872&amp;$H872,★原価率!$A$2:$A$50&amp;★原価率!$B$2:$B$50,0),4),0)</f>
        <v>90</v>
      </c>
      <c r="K872" s="464" cm="1">
        <f t="array" ref="K872">IFERROR(INDEX(★原価率!$A$2:$E$50,MATCH($C872&amp;$H872,★原価率!$A$2:$A$50&amp;★原価率!$B$2:$B$50,0),5),0)</f>
        <v>100</v>
      </c>
      <c r="L872" s="528">
        <f>IFERROR(VLOOKUP(W872,★商品!$A$1:$H$1231,8,FALSE),0)</f>
        <v>3</v>
      </c>
      <c r="M872" s="203" t="str">
        <f ca="1">CONCATENATE(VLOOKUP(B872,★営業所!$A$2:$B$5,2,FALSE),TEXT(NOW(),"yyyy"))</f>
        <v>T2023</v>
      </c>
      <c r="N872" s="203">
        <v>1</v>
      </c>
      <c r="O872" s="203">
        <v>0</v>
      </c>
      <c r="P872" s="213">
        <f>申込書!$B$6</f>
        <v>0</v>
      </c>
      <c r="Q872" s="203">
        <f>申込書!$C$34</f>
        <v>1000040</v>
      </c>
      <c r="R872" s="203">
        <v>0</v>
      </c>
      <c r="U872" s="203">
        <f>VLOOKUP(B872,★営業所!$A$2:$C$5,3,FALSE)</f>
        <v>8</v>
      </c>
      <c r="V872" s="203">
        <f>申込書!$B$9</f>
        <v>0</v>
      </c>
      <c r="W872" s="203" t="str">
        <f>CONCATENATE(VLOOKUP(B872,★営業所!$A$2:$B$5,2,FALSE),VLOOKUP(申込書!$C$32,★サイズ表記!$D$4:$E$55,2,FALSE),VLOOKUP(D872,★折込地区!$A$2:$B$11,2,FALSE))</f>
        <v>T1001Hks</v>
      </c>
      <c r="X872" s="203" t="str">
        <f>CONCATENATE(申込書!$B$9," ",VLOOKUP(RIGHT(W872,3),★折込地区!$B$2:$C$10,2,FALSE),"")</f>
        <v xml:space="preserve"> 香住</v>
      </c>
      <c r="Z872" s="206">
        <f t="shared" ca="1" si="103"/>
        <v>0</v>
      </c>
      <c r="AB872" s="383">
        <f t="shared" si="104"/>
        <v>3</v>
      </c>
      <c r="AC872" s="203" t="str">
        <f t="shared" si="105"/>
        <v>M1001</v>
      </c>
      <c r="AD872" s="203" t="str">
        <f>VLOOKUP(AC872,★原価商品!$E$6:$F$349,2,FALSE)</f>
        <v>毎日/B4（折り無し）</v>
      </c>
      <c r="AE872" s="203">
        <f t="shared" ca="1" si="106"/>
        <v>0</v>
      </c>
      <c r="AF872" s="383">
        <f>IFERROR(IF(VLOOKUP(申込書!$C$32,★サイズ表記!$F$4:$H$55,3,FALSE)="切り捨て",ROUNDDOWN(L872*IF(AK872="◎",I872,J872)/100,2),IF(VLOOKUP(申込書!$C$32,★サイズ表記!$F$4:$H$55,3,FALSE)="切り上げ",ROUNDUP(L872*IF(AK872="◎",I872,J872)/100,2),ROUND(L872*IF(AK872="◎",I872,J872)/100,2))),0)</f>
        <v>2.7</v>
      </c>
      <c r="AG872" s="203">
        <f t="shared" ca="1" si="107"/>
        <v>10530</v>
      </c>
      <c r="AJ872" s="460" t="str">
        <f>IFERROR(VLOOKUP(申込書!$C$30,★業種!$D$2:$E$87,2,FALSE),"")</f>
        <v>1003</v>
      </c>
      <c r="AK872" s="460" t="str">
        <f>IF(申込書!$C$36="◎",IF(OR(D872="浜坂・温泉",D872="美方・村岡",D872="香住",D872="岡山",D872="大阪"),"",IF(LEFT(F872)="D","◎",IF(AG872=0,"",IFERROR(IF(VLOOKUP(AG872,★仕入先!$A$2:$C$211,3,FALSE)=0,"","◎"),"")))),"")</f>
        <v/>
      </c>
      <c r="AL872" s="460">
        <f>申込書!$H$14</f>
        <v>0</v>
      </c>
      <c r="AM872" s="460" t="str">
        <f>申込書!$C$32</f>
        <v>B4（折り無し）</v>
      </c>
      <c r="AN872" s="460" t="str">
        <f>VLOOKUP(AM872,★サイズ表記!$D$4:$E$55,2,FALSE)</f>
        <v>1001</v>
      </c>
      <c r="AO872" s="460">
        <f>IF(C872&lt;&gt;"⑧兵庫",VLOOKUP(LEFT(F872),★新聞!$A$4:$B$12,2,FALSE),IF(LEFT(F872)&lt;&gt;"S",VLOOKUP(LEFT(F872),★新聞!$A$4:$B$12,2,FALSE),VLOOKUP("X",★新聞!$A$4:$B$12,2,FALSE)))</f>
        <v>4</v>
      </c>
      <c r="AP872" s="460" t="str">
        <f t="shared" ca="1" si="108"/>
        <v>0</v>
      </c>
      <c r="AQ872" s="460" t="str">
        <f>IF(申込書!$C$38="","",申込書!$C$38)</f>
        <v/>
      </c>
    </row>
    <row r="873" spans="1:43">
      <c r="A873" s="463">
        <f t="shared" si="109"/>
        <v>872</v>
      </c>
      <c r="B873" s="463" t="str">
        <f t="shared" si="102"/>
        <v>東部</v>
      </c>
      <c r="C873" s="464" t="s">
        <v>1021</v>
      </c>
      <c r="D873" s="464" t="s">
        <v>158</v>
      </c>
      <c r="E873" s="464">
        <f>VLOOKUP(D873,★折込地区!$A$2:$D$10,4,FALSE)</f>
        <v>4</v>
      </c>
      <c r="F873" s="464" t="s">
        <v>469</v>
      </c>
      <c r="G873" s="464" t="str">
        <f>INDEX(★新聞!$E$4:$I$12, MATCH(LEFT(F873),★新聞!$A$4:$A$12,0), MATCH(LEFT(W873),★新聞!$E$3:$I$3,0))</f>
        <v>AJ</v>
      </c>
      <c r="H873" s="475" t="s">
        <v>1121</v>
      </c>
      <c r="I873" s="464" cm="1">
        <f t="array" ref="I873">IFERROR(INDEX(★原価率!$A$2:$E$50,MATCH($C873&amp;$H873,★原価率!$A$2:$A$50&amp;★原価率!$B$2:$B$50,0),3),0)</f>
        <v>80</v>
      </c>
      <c r="J873" s="464" cm="1">
        <f t="array" ref="J873">IFERROR(INDEX(★原価率!$A$2:$E$50,MATCH($C873&amp;$H873,★原価率!$A$2:$A$50&amp;★原価率!$B$2:$B$50,0),4),0)</f>
        <v>80</v>
      </c>
      <c r="K873" s="464" cm="1">
        <f t="array" ref="K873">IFERROR(INDEX(★原価率!$A$2:$E$50,MATCH($C873&amp;$H873,★原価率!$A$2:$A$50&amp;★原価率!$B$2:$B$50,0),5),0)</f>
        <v>100</v>
      </c>
      <c r="L873" s="528">
        <f>IFERROR(VLOOKUP(W873,★商品!$A$1:$H$1231,8,FALSE),0)</f>
        <v>3</v>
      </c>
      <c r="M873" s="203" t="str">
        <f ca="1">CONCATENATE(VLOOKUP(B873,★営業所!$A$2:$B$5,2,FALSE),TEXT(NOW(),"yyyy"))</f>
        <v>T2023</v>
      </c>
      <c r="N873" s="203">
        <v>1</v>
      </c>
      <c r="O873" s="203">
        <v>0</v>
      </c>
      <c r="P873" s="213">
        <f>申込書!$B$6</f>
        <v>0</v>
      </c>
      <c r="Q873" s="203">
        <f>申込書!$C$34</f>
        <v>1000040</v>
      </c>
      <c r="R873" s="203">
        <v>0</v>
      </c>
      <c r="U873" s="203">
        <f>VLOOKUP(B873,★営業所!$A$2:$C$5,3,FALSE)</f>
        <v>8</v>
      </c>
      <c r="V873" s="203">
        <f>申込書!$B$9</f>
        <v>0</v>
      </c>
      <c r="W873" s="203" t="str">
        <f>CONCATENATE(VLOOKUP(B873,★営業所!$A$2:$B$5,2,FALSE),VLOOKUP(申込書!$C$32,★サイズ表記!$D$4:$E$55,2,FALSE),VLOOKUP(D873,★折込地区!$A$2:$B$11,2,FALSE))</f>
        <v>T1001Hha</v>
      </c>
      <c r="X873" s="203" t="str">
        <f>CONCATENATE(申込書!$B$9," ",VLOOKUP(RIGHT(W873,3),★折込地区!$B$2:$C$10,2,FALSE),"")</f>
        <v xml:space="preserve"> 浜坂・温泉</v>
      </c>
      <c r="Z873" s="206">
        <f t="shared" ca="1" si="103"/>
        <v>0</v>
      </c>
      <c r="AB873" s="383">
        <f t="shared" si="104"/>
        <v>3</v>
      </c>
      <c r="AC873" s="203" t="str">
        <f t="shared" si="105"/>
        <v>P1001</v>
      </c>
      <c r="AD873" s="203" t="str">
        <f>VLOOKUP(AC873,★原価商品!$E$6:$F$349,2,FALSE)</f>
        <v>産経/B4（折り無し）</v>
      </c>
      <c r="AE873" s="203">
        <f t="shared" ca="1" si="106"/>
        <v>0</v>
      </c>
      <c r="AF873" s="383">
        <f>IFERROR(IF(VLOOKUP(申込書!$C$32,★サイズ表記!$F$4:$H$55,3,FALSE)="切り捨て",ROUNDDOWN(L873*IF(AK873="◎",I873,J873)/100,2),IF(VLOOKUP(申込書!$C$32,★サイズ表記!$F$4:$H$55,3,FALSE)="切り上げ",ROUNDUP(L873*IF(AK873="◎",I873,J873)/100,2),ROUND(L873*IF(AK873="◎",I873,J873)/100,2))),0)</f>
        <v>2.4</v>
      </c>
      <c r="AG873" s="203">
        <f t="shared" ca="1" si="107"/>
        <v>0</v>
      </c>
      <c r="AJ873" s="460" t="str">
        <f>IFERROR(VLOOKUP(申込書!$C$30,★業種!$D$2:$E$87,2,FALSE),"")</f>
        <v>1003</v>
      </c>
      <c r="AK873" s="460" t="str">
        <f>IF(申込書!$C$36="◎",IF(OR(D873="浜坂・温泉",D873="美方・村岡",D873="香住",D873="岡山",D873="大阪"),"",IF(LEFT(F873)="D","◎",IF(AG873=0,"",IFERROR(IF(VLOOKUP(AG873,★仕入先!$A$2:$C$211,3,FALSE)=0,"","◎"),"")))),"")</f>
        <v/>
      </c>
      <c r="AL873" s="460">
        <f>申込書!$H$14</f>
        <v>0</v>
      </c>
      <c r="AM873" s="460" t="str">
        <f>申込書!$C$32</f>
        <v>B4（折り無し）</v>
      </c>
      <c r="AN873" s="460" t="str">
        <f>VLOOKUP(AM873,★サイズ表記!$D$4:$E$55,2,FALSE)</f>
        <v>1001</v>
      </c>
      <c r="AO873" s="460">
        <f>IF(C873&lt;&gt;"⑧兵庫",VLOOKUP(LEFT(F873),★新聞!$A$4:$B$12,2,FALSE),IF(LEFT(F873)&lt;&gt;"S",VLOOKUP(LEFT(F873),★新聞!$A$4:$B$12,2,FALSE),VLOOKUP("X",★新聞!$A$4:$B$12,2,FALSE)))</f>
        <v>5</v>
      </c>
      <c r="AP873" s="460" t="str">
        <f t="shared" ca="1" si="108"/>
        <v>0</v>
      </c>
      <c r="AQ873" s="460" t="str">
        <f>IF(申込書!$C$38="","",申込書!$C$38)</f>
        <v/>
      </c>
    </row>
    <row r="874" spans="1:43">
      <c r="A874" s="463">
        <f t="shared" si="109"/>
        <v>873</v>
      </c>
      <c r="B874" s="463" t="str">
        <f t="shared" si="102"/>
        <v>東部</v>
      </c>
      <c r="C874" s="464" t="s">
        <v>1021</v>
      </c>
      <c r="D874" s="464" t="s">
        <v>158</v>
      </c>
      <c r="E874" s="464">
        <f>VLOOKUP(D874,★折込地区!$A$2:$D$10,4,FALSE)</f>
        <v>4</v>
      </c>
      <c r="F874" s="464" t="s">
        <v>470</v>
      </c>
      <c r="G874" s="464" t="str">
        <f>INDEX(★新聞!$E$4:$I$12, MATCH(LEFT(F874),★新聞!$A$4:$A$12,0), MATCH(LEFT(W874),★新聞!$E$3:$I$3,0))</f>
        <v>AJ</v>
      </c>
      <c r="H874" s="475" t="s">
        <v>1121</v>
      </c>
      <c r="I874" s="464" cm="1">
        <f t="array" ref="I874">IFERROR(INDEX(★原価率!$A$2:$E$50,MATCH($C874&amp;$H874,★原価率!$A$2:$A$50&amp;★原価率!$B$2:$B$50,0),3),0)</f>
        <v>80</v>
      </c>
      <c r="J874" s="464" cm="1">
        <f t="array" ref="J874">IFERROR(INDEX(★原価率!$A$2:$E$50,MATCH($C874&amp;$H874,★原価率!$A$2:$A$50&amp;★原価率!$B$2:$B$50,0),4),0)</f>
        <v>80</v>
      </c>
      <c r="K874" s="464" cm="1">
        <f t="array" ref="K874">IFERROR(INDEX(★原価率!$A$2:$E$50,MATCH($C874&amp;$H874,★原価率!$A$2:$A$50&amp;★原価率!$B$2:$B$50,0),5),0)</f>
        <v>100</v>
      </c>
      <c r="L874" s="528">
        <f>IFERROR(VLOOKUP(W874,★商品!$A$1:$H$1231,8,FALSE),0)</f>
        <v>3</v>
      </c>
      <c r="M874" s="203" t="str">
        <f ca="1">CONCATENATE(VLOOKUP(B874,★営業所!$A$2:$B$5,2,FALSE),TEXT(NOW(),"yyyy"))</f>
        <v>T2023</v>
      </c>
      <c r="N874" s="203">
        <v>1</v>
      </c>
      <c r="O874" s="203">
        <v>0</v>
      </c>
      <c r="P874" s="213">
        <f>申込書!$B$6</f>
        <v>0</v>
      </c>
      <c r="Q874" s="203">
        <f>申込書!$C$34</f>
        <v>1000040</v>
      </c>
      <c r="R874" s="203">
        <v>0</v>
      </c>
      <c r="U874" s="203">
        <f>VLOOKUP(B874,★営業所!$A$2:$C$5,3,FALSE)</f>
        <v>8</v>
      </c>
      <c r="V874" s="203">
        <f>申込書!$B$9</f>
        <v>0</v>
      </c>
      <c r="W874" s="203" t="str">
        <f>CONCATENATE(VLOOKUP(B874,★営業所!$A$2:$B$5,2,FALSE),VLOOKUP(申込書!$C$32,★サイズ表記!$D$4:$E$55,2,FALSE),VLOOKUP(D874,★折込地区!$A$2:$B$11,2,FALSE))</f>
        <v>T1001Hha</v>
      </c>
      <c r="X874" s="203" t="str">
        <f>CONCATENATE(申込書!$B$9," ",VLOOKUP(RIGHT(W874,3),★折込地区!$B$2:$C$10,2,FALSE),"")</f>
        <v xml:space="preserve"> 浜坂・温泉</v>
      </c>
      <c r="Z874" s="206">
        <f t="shared" ca="1" si="103"/>
        <v>0</v>
      </c>
      <c r="AB874" s="383">
        <f t="shared" si="104"/>
        <v>3</v>
      </c>
      <c r="AC874" s="203" t="str">
        <f t="shared" si="105"/>
        <v>P1001</v>
      </c>
      <c r="AD874" s="203" t="str">
        <f>VLOOKUP(AC874,★原価商品!$E$6:$F$349,2,FALSE)</f>
        <v>産経/B4（折り無し）</v>
      </c>
      <c r="AE874" s="203">
        <f t="shared" ca="1" si="106"/>
        <v>0</v>
      </c>
      <c r="AF874" s="383">
        <f>IFERROR(IF(VLOOKUP(申込書!$C$32,★サイズ表記!$F$4:$H$55,3,FALSE)="切り捨て",ROUNDDOWN(L874*IF(AK874="◎",I874,J874)/100,2),IF(VLOOKUP(申込書!$C$32,★サイズ表記!$F$4:$H$55,3,FALSE)="切り上げ",ROUNDUP(L874*IF(AK874="◎",I874,J874)/100,2),ROUND(L874*IF(AK874="◎",I874,J874)/100,2))),0)</f>
        <v>2.4</v>
      </c>
      <c r="AG874" s="203">
        <f t="shared" ca="1" si="107"/>
        <v>0</v>
      </c>
      <c r="AJ874" s="460" t="str">
        <f>IFERROR(VLOOKUP(申込書!$C$30,★業種!$D$2:$E$87,2,FALSE),"")</f>
        <v>1003</v>
      </c>
      <c r="AK874" s="460" t="str">
        <f>IF(申込書!$C$36="◎",IF(OR(D874="浜坂・温泉",D874="美方・村岡",D874="香住",D874="岡山",D874="大阪"),"",IF(LEFT(F874)="D","◎",IF(AG874=0,"",IFERROR(IF(VLOOKUP(AG874,★仕入先!$A$2:$C$211,3,FALSE)=0,"","◎"),"")))),"")</f>
        <v/>
      </c>
      <c r="AL874" s="460">
        <f>申込書!$H$14</f>
        <v>0</v>
      </c>
      <c r="AM874" s="460" t="str">
        <f>申込書!$C$32</f>
        <v>B4（折り無し）</v>
      </c>
      <c r="AN874" s="460" t="str">
        <f>VLOOKUP(AM874,★サイズ表記!$D$4:$E$55,2,FALSE)</f>
        <v>1001</v>
      </c>
      <c r="AO874" s="460">
        <f>IF(C874&lt;&gt;"⑧兵庫",VLOOKUP(LEFT(F874),★新聞!$A$4:$B$12,2,FALSE),IF(LEFT(F874)&lt;&gt;"S",VLOOKUP(LEFT(F874),★新聞!$A$4:$B$12,2,FALSE),VLOOKUP("X",★新聞!$A$4:$B$12,2,FALSE)))</f>
        <v>5</v>
      </c>
      <c r="AP874" s="460" t="str">
        <f t="shared" ca="1" si="108"/>
        <v>0</v>
      </c>
      <c r="AQ874" s="460" t="str">
        <f>IF(申込書!$C$38="","",申込書!$C$38)</f>
        <v/>
      </c>
    </row>
    <row r="875" spans="1:43">
      <c r="A875" s="463">
        <f t="shared" si="109"/>
        <v>874</v>
      </c>
      <c r="B875" s="463" t="str">
        <f t="shared" si="102"/>
        <v>東部</v>
      </c>
      <c r="C875" s="464" t="s">
        <v>1021</v>
      </c>
      <c r="D875" s="464" t="s">
        <v>857</v>
      </c>
      <c r="E875" s="464">
        <f>VLOOKUP(D875,★折込地区!$A$2:$D$10,4,FALSE)</f>
        <v>5</v>
      </c>
      <c r="F875" s="464" t="s">
        <v>471</v>
      </c>
      <c r="G875" s="464" t="str">
        <f>INDEX(★新聞!$E$4:$I$12, MATCH(LEFT(F875),★新聞!$A$4:$A$12,0), MATCH(LEFT(W875),★新聞!$E$3:$I$3,0))</f>
        <v>AJ</v>
      </c>
      <c r="H875" s="475" t="s">
        <v>1126</v>
      </c>
      <c r="I875" s="464" cm="1">
        <f t="array" ref="I875">IFERROR(INDEX(★原価率!$A$2:$E$50,MATCH($C875&amp;$H875,★原価率!$A$2:$A$50&amp;★原価率!$B$2:$B$50,0),3),0)</f>
        <v>100</v>
      </c>
      <c r="J875" s="464" cm="1">
        <f t="array" ref="J875">IFERROR(INDEX(★原価率!$A$2:$E$50,MATCH($C875&amp;$H875,★原価率!$A$2:$A$50&amp;★原価率!$B$2:$B$50,0),4),0)</f>
        <v>100</v>
      </c>
      <c r="K875" s="464" cm="1">
        <f t="array" ref="K875">IFERROR(INDEX(★原価率!$A$2:$E$50,MATCH($C875&amp;$H875,★原価率!$A$2:$A$50&amp;★原価率!$B$2:$B$50,0),5),0)</f>
        <v>100</v>
      </c>
      <c r="L875" s="528">
        <f>IFERROR(VLOOKUP(W875,★商品!$A$1:$H$1231,8,FALSE),0)</f>
        <v>3</v>
      </c>
      <c r="M875" s="203" t="str">
        <f ca="1">CONCATENATE(VLOOKUP(B875,★営業所!$A$2:$B$5,2,FALSE),TEXT(NOW(),"yyyy"))</f>
        <v>T2023</v>
      </c>
      <c r="N875" s="203">
        <v>1</v>
      </c>
      <c r="O875" s="203">
        <v>0</v>
      </c>
      <c r="P875" s="213">
        <f>申込書!$B$6</f>
        <v>0</v>
      </c>
      <c r="Q875" s="203">
        <f>申込書!$C$34</f>
        <v>1000040</v>
      </c>
      <c r="R875" s="203">
        <v>0</v>
      </c>
      <c r="U875" s="203">
        <f>VLOOKUP(B875,★営業所!$A$2:$C$5,3,FALSE)</f>
        <v>8</v>
      </c>
      <c r="V875" s="203">
        <f>申込書!$B$9</f>
        <v>0</v>
      </c>
      <c r="W875" s="203" t="str">
        <f>CONCATENATE(VLOOKUP(B875,★営業所!$A$2:$B$5,2,FALSE),VLOOKUP(申込書!$C$32,★サイズ表記!$D$4:$E$55,2,FALSE),VLOOKUP(D875,★折込地区!$A$2:$B$11,2,FALSE))</f>
        <v>T1001Hmm</v>
      </c>
      <c r="X875" s="203" t="str">
        <f>CONCATENATE(申込書!$B$9," ",VLOOKUP(RIGHT(W875,3),★折込地区!$B$2:$C$10,2,FALSE),"")</f>
        <v xml:space="preserve"> 美方・村岡</v>
      </c>
      <c r="Z875" s="206">
        <f t="shared" ca="1" si="103"/>
        <v>0</v>
      </c>
      <c r="AB875" s="383">
        <f t="shared" si="104"/>
        <v>3</v>
      </c>
      <c r="AC875" s="203" t="str">
        <f t="shared" si="105"/>
        <v>P1001</v>
      </c>
      <c r="AD875" s="203" t="str">
        <f>VLOOKUP(AC875,★原価商品!$E$6:$F$349,2,FALSE)</f>
        <v>産経/B4（折り無し）</v>
      </c>
      <c r="AE875" s="203">
        <f t="shared" ca="1" si="106"/>
        <v>0</v>
      </c>
      <c r="AF875" s="383">
        <f>IFERROR(IF(VLOOKUP(申込書!$C$32,★サイズ表記!$F$4:$H$55,3,FALSE)="切り捨て",ROUNDDOWN(L875*IF(AK875="◎",I875,J875)/100,2),IF(VLOOKUP(申込書!$C$32,★サイズ表記!$F$4:$H$55,3,FALSE)="切り上げ",ROUNDUP(L875*IF(AK875="◎",I875,J875)/100,2),ROUND(L875*IF(AK875="◎",I875,J875)/100,2))),0)</f>
        <v>3</v>
      </c>
      <c r="AG875" s="203">
        <f t="shared" ca="1" si="107"/>
        <v>0</v>
      </c>
      <c r="AJ875" s="460" t="str">
        <f>IFERROR(VLOOKUP(申込書!$C$30,★業種!$D$2:$E$87,2,FALSE),"")</f>
        <v>1003</v>
      </c>
      <c r="AK875" s="460" t="str">
        <f>IF(申込書!$C$36="◎",IF(OR(D875="浜坂・温泉",D875="美方・村岡",D875="香住",D875="岡山",D875="大阪"),"",IF(LEFT(F875)="D","◎",IF(AG875=0,"",IFERROR(IF(VLOOKUP(AG875,★仕入先!$A$2:$C$211,3,FALSE)=0,"","◎"),"")))),"")</f>
        <v/>
      </c>
      <c r="AL875" s="460">
        <f>申込書!$H$14</f>
        <v>0</v>
      </c>
      <c r="AM875" s="460" t="str">
        <f>申込書!$C$32</f>
        <v>B4（折り無し）</v>
      </c>
      <c r="AN875" s="460" t="str">
        <f>VLOOKUP(AM875,★サイズ表記!$D$4:$E$55,2,FALSE)</f>
        <v>1001</v>
      </c>
      <c r="AO875" s="460">
        <f>IF(C875&lt;&gt;"⑧兵庫",VLOOKUP(LEFT(F875),★新聞!$A$4:$B$12,2,FALSE),IF(LEFT(F875)&lt;&gt;"S",VLOOKUP(LEFT(F875),★新聞!$A$4:$B$12,2,FALSE),VLOOKUP("X",★新聞!$A$4:$B$12,2,FALSE)))</f>
        <v>5</v>
      </c>
      <c r="AP875" s="460" t="str">
        <f t="shared" ca="1" si="108"/>
        <v>0</v>
      </c>
      <c r="AQ875" s="460" t="str">
        <f>IF(申込書!$C$38="","",申込書!$C$38)</f>
        <v/>
      </c>
    </row>
    <row r="876" spans="1:43">
      <c r="A876" s="463">
        <f t="shared" si="109"/>
        <v>875</v>
      </c>
      <c r="B876" s="463" t="str">
        <f t="shared" si="102"/>
        <v>東部</v>
      </c>
      <c r="C876" s="464" t="s">
        <v>1021</v>
      </c>
      <c r="D876" s="464" t="s">
        <v>857</v>
      </c>
      <c r="E876" s="464">
        <f>VLOOKUP(D876,★折込地区!$A$2:$D$10,4,FALSE)</f>
        <v>5</v>
      </c>
      <c r="F876" s="464" t="s">
        <v>472</v>
      </c>
      <c r="G876" s="464" t="str">
        <f>INDEX(★新聞!$E$4:$I$12, MATCH(LEFT(F876),★新聞!$A$4:$A$12,0), MATCH(LEFT(W876),★新聞!$E$3:$I$3,0))</f>
        <v>AJ</v>
      </c>
      <c r="H876" s="475" t="s">
        <v>1126</v>
      </c>
      <c r="I876" s="464" cm="1">
        <f t="array" ref="I876">IFERROR(INDEX(★原価率!$A$2:$E$50,MATCH($C876&amp;$H876,★原価率!$A$2:$A$50&amp;★原価率!$B$2:$B$50,0),3),0)</f>
        <v>100</v>
      </c>
      <c r="J876" s="464" cm="1">
        <f t="array" ref="J876">IFERROR(INDEX(★原価率!$A$2:$E$50,MATCH($C876&amp;$H876,★原価率!$A$2:$A$50&amp;★原価率!$B$2:$B$50,0),4),0)</f>
        <v>100</v>
      </c>
      <c r="K876" s="464" cm="1">
        <f t="array" ref="K876">IFERROR(INDEX(★原価率!$A$2:$E$50,MATCH($C876&amp;$H876,★原価率!$A$2:$A$50&amp;★原価率!$B$2:$B$50,0),5),0)</f>
        <v>100</v>
      </c>
      <c r="L876" s="528">
        <f>IFERROR(VLOOKUP(W876,★商品!$A$1:$H$1231,8,FALSE),0)</f>
        <v>3</v>
      </c>
      <c r="M876" s="203" t="str">
        <f ca="1">CONCATENATE(VLOOKUP(B876,★営業所!$A$2:$B$5,2,FALSE),TEXT(NOW(),"yyyy"))</f>
        <v>T2023</v>
      </c>
      <c r="N876" s="203">
        <v>1</v>
      </c>
      <c r="O876" s="203">
        <v>0</v>
      </c>
      <c r="P876" s="213">
        <f>申込書!$B$6</f>
        <v>0</v>
      </c>
      <c r="Q876" s="203">
        <f>申込書!$C$34</f>
        <v>1000040</v>
      </c>
      <c r="R876" s="203">
        <v>0</v>
      </c>
      <c r="U876" s="203">
        <f>VLOOKUP(B876,★営業所!$A$2:$C$5,3,FALSE)</f>
        <v>8</v>
      </c>
      <c r="V876" s="203">
        <f>申込書!$B$9</f>
        <v>0</v>
      </c>
      <c r="W876" s="203" t="str">
        <f>CONCATENATE(VLOOKUP(B876,★営業所!$A$2:$B$5,2,FALSE),VLOOKUP(申込書!$C$32,★サイズ表記!$D$4:$E$55,2,FALSE),VLOOKUP(D876,★折込地区!$A$2:$B$11,2,FALSE))</f>
        <v>T1001Hmm</v>
      </c>
      <c r="X876" s="203" t="str">
        <f>CONCATENATE(申込書!$B$9," ",VLOOKUP(RIGHT(W876,3),★折込地区!$B$2:$C$10,2,FALSE),"")</f>
        <v xml:space="preserve"> 美方・村岡</v>
      </c>
      <c r="Z876" s="206">
        <f t="shared" ca="1" si="103"/>
        <v>0</v>
      </c>
      <c r="AB876" s="383">
        <f t="shared" si="104"/>
        <v>3</v>
      </c>
      <c r="AC876" s="203" t="str">
        <f t="shared" si="105"/>
        <v>P1001</v>
      </c>
      <c r="AD876" s="203" t="str">
        <f>VLOOKUP(AC876,★原価商品!$E$6:$F$349,2,FALSE)</f>
        <v>産経/B4（折り無し）</v>
      </c>
      <c r="AE876" s="203">
        <f t="shared" ca="1" si="106"/>
        <v>0</v>
      </c>
      <c r="AF876" s="383">
        <f>IFERROR(IF(VLOOKUP(申込書!$C$32,★サイズ表記!$F$4:$H$55,3,FALSE)="切り捨て",ROUNDDOWN(L876*IF(AK876="◎",I876,J876)/100,2),IF(VLOOKUP(申込書!$C$32,★サイズ表記!$F$4:$H$55,3,FALSE)="切り上げ",ROUNDUP(L876*IF(AK876="◎",I876,J876)/100,2),ROUND(L876*IF(AK876="◎",I876,J876)/100,2))),0)</f>
        <v>3</v>
      </c>
      <c r="AG876" s="203">
        <f t="shared" ca="1" si="107"/>
        <v>0</v>
      </c>
      <c r="AJ876" s="460" t="str">
        <f>IFERROR(VLOOKUP(申込書!$C$30,★業種!$D$2:$E$87,2,FALSE),"")</f>
        <v>1003</v>
      </c>
      <c r="AK876" s="460" t="str">
        <f>IF(申込書!$C$36="◎",IF(OR(D876="浜坂・温泉",D876="美方・村岡",D876="香住",D876="岡山",D876="大阪"),"",IF(LEFT(F876)="D","◎",IF(AG876=0,"",IFERROR(IF(VLOOKUP(AG876,★仕入先!$A$2:$C$211,3,FALSE)=0,"","◎"),"")))),"")</f>
        <v/>
      </c>
      <c r="AL876" s="460">
        <f>申込書!$H$14</f>
        <v>0</v>
      </c>
      <c r="AM876" s="460" t="str">
        <f>申込書!$C$32</f>
        <v>B4（折り無し）</v>
      </c>
      <c r="AN876" s="460" t="str">
        <f>VLOOKUP(AM876,★サイズ表記!$D$4:$E$55,2,FALSE)</f>
        <v>1001</v>
      </c>
      <c r="AO876" s="460">
        <f>IF(C876&lt;&gt;"⑧兵庫",VLOOKUP(LEFT(F876),★新聞!$A$4:$B$12,2,FALSE),IF(LEFT(F876)&lt;&gt;"S",VLOOKUP(LEFT(F876),★新聞!$A$4:$B$12,2,FALSE),VLOOKUP("X",★新聞!$A$4:$B$12,2,FALSE)))</f>
        <v>5</v>
      </c>
      <c r="AP876" s="460" t="str">
        <f t="shared" ca="1" si="108"/>
        <v>0</v>
      </c>
      <c r="AQ876" s="460" t="str">
        <f>IF(申込書!$C$38="","",申込書!$C$38)</f>
        <v/>
      </c>
    </row>
    <row r="877" spans="1:43">
      <c r="A877" s="463">
        <f t="shared" si="109"/>
        <v>876</v>
      </c>
      <c r="B877" s="463" t="str">
        <f t="shared" si="102"/>
        <v>東部</v>
      </c>
      <c r="C877" s="464" t="s">
        <v>1021</v>
      </c>
      <c r="D877" s="464" t="s">
        <v>857</v>
      </c>
      <c r="E877" s="464">
        <f>VLOOKUP(D877,★折込地区!$A$2:$D$10,4,FALSE)</f>
        <v>5</v>
      </c>
      <c r="F877" s="464" t="s">
        <v>473</v>
      </c>
      <c r="G877" s="464" t="str">
        <f>INDEX(★新聞!$E$4:$I$12, MATCH(LEFT(F877),★新聞!$A$4:$A$12,0), MATCH(LEFT(W877),★新聞!$E$3:$I$3,0))</f>
        <v>AJ</v>
      </c>
      <c r="H877" s="475" t="s">
        <v>1126</v>
      </c>
      <c r="I877" s="464" cm="1">
        <f t="array" ref="I877">IFERROR(INDEX(★原価率!$A$2:$E$50,MATCH($C877&amp;$H877,★原価率!$A$2:$A$50&amp;★原価率!$B$2:$B$50,0),3),0)</f>
        <v>100</v>
      </c>
      <c r="J877" s="464" cm="1">
        <f t="array" ref="J877">IFERROR(INDEX(★原価率!$A$2:$E$50,MATCH($C877&amp;$H877,★原価率!$A$2:$A$50&amp;★原価率!$B$2:$B$50,0),4),0)</f>
        <v>100</v>
      </c>
      <c r="K877" s="464" cm="1">
        <f t="array" ref="K877">IFERROR(INDEX(★原価率!$A$2:$E$50,MATCH($C877&amp;$H877,★原価率!$A$2:$A$50&amp;★原価率!$B$2:$B$50,0),5),0)</f>
        <v>100</v>
      </c>
      <c r="L877" s="528">
        <f>IFERROR(VLOOKUP(W877,★商品!$A$1:$H$1231,8,FALSE),0)</f>
        <v>3</v>
      </c>
      <c r="M877" s="203" t="str">
        <f ca="1">CONCATENATE(VLOOKUP(B877,★営業所!$A$2:$B$5,2,FALSE),TEXT(NOW(),"yyyy"))</f>
        <v>T2023</v>
      </c>
      <c r="N877" s="203">
        <v>1</v>
      </c>
      <c r="O877" s="203">
        <v>0</v>
      </c>
      <c r="P877" s="213">
        <f>申込書!$B$6</f>
        <v>0</v>
      </c>
      <c r="Q877" s="203">
        <f>申込書!$C$34</f>
        <v>1000040</v>
      </c>
      <c r="R877" s="203">
        <v>0</v>
      </c>
      <c r="U877" s="203">
        <f>VLOOKUP(B877,★営業所!$A$2:$C$5,3,FALSE)</f>
        <v>8</v>
      </c>
      <c r="V877" s="203">
        <f>申込書!$B$9</f>
        <v>0</v>
      </c>
      <c r="W877" s="203" t="str">
        <f>CONCATENATE(VLOOKUP(B877,★営業所!$A$2:$B$5,2,FALSE),VLOOKUP(申込書!$C$32,★サイズ表記!$D$4:$E$55,2,FALSE),VLOOKUP(D877,★折込地区!$A$2:$B$11,2,FALSE))</f>
        <v>T1001Hmm</v>
      </c>
      <c r="X877" s="203" t="str">
        <f>CONCATENATE(申込書!$B$9," ",VLOOKUP(RIGHT(W877,3),★折込地区!$B$2:$C$10,2,FALSE),"")</f>
        <v xml:space="preserve"> 美方・村岡</v>
      </c>
      <c r="Z877" s="206">
        <f t="shared" ca="1" si="103"/>
        <v>0</v>
      </c>
      <c r="AB877" s="383">
        <f t="shared" si="104"/>
        <v>3</v>
      </c>
      <c r="AC877" s="203" t="str">
        <f t="shared" si="105"/>
        <v>P1001</v>
      </c>
      <c r="AD877" s="203" t="str">
        <f>VLOOKUP(AC877,★原価商品!$E$6:$F$349,2,FALSE)</f>
        <v>産経/B4（折り無し）</v>
      </c>
      <c r="AE877" s="203">
        <f t="shared" ca="1" si="106"/>
        <v>0</v>
      </c>
      <c r="AF877" s="383">
        <f>IFERROR(IF(VLOOKUP(申込書!$C$32,★サイズ表記!$F$4:$H$55,3,FALSE)="切り捨て",ROUNDDOWN(L877*IF(AK877="◎",I877,J877)/100,2),IF(VLOOKUP(申込書!$C$32,★サイズ表記!$F$4:$H$55,3,FALSE)="切り上げ",ROUNDUP(L877*IF(AK877="◎",I877,J877)/100,2),ROUND(L877*IF(AK877="◎",I877,J877)/100,2))),0)</f>
        <v>3</v>
      </c>
      <c r="AG877" s="203">
        <f t="shared" ca="1" si="107"/>
        <v>0</v>
      </c>
      <c r="AJ877" s="460" t="str">
        <f>IFERROR(VLOOKUP(申込書!$C$30,★業種!$D$2:$E$87,2,FALSE),"")</f>
        <v>1003</v>
      </c>
      <c r="AK877" s="460" t="str">
        <f>IF(申込書!$C$36="◎",IF(OR(D877="浜坂・温泉",D877="美方・村岡",D877="香住",D877="岡山",D877="大阪"),"",IF(LEFT(F877)="D","◎",IF(AG877=0,"",IFERROR(IF(VLOOKUP(AG877,★仕入先!$A$2:$C$211,3,FALSE)=0,"","◎"),"")))),"")</f>
        <v/>
      </c>
      <c r="AL877" s="460">
        <f>申込書!$H$14</f>
        <v>0</v>
      </c>
      <c r="AM877" s="460" t="str">
        <f>申込書!$C$32</f>
        <v>B4（折り無し）</v>
      </c>
      <c r="AN877" s="460" t="str">
        <f>VLOOKUP(AM877,★サイズ表記!$D$4:$E$55,2,FALSE)</f>
        <v>1001</v>
      </c>
      <c r="AO877" s="460">
        <f>IF(C877&lt;&gt;"⑧兵庫",VLOOKUP(LEFT(F877),★新聞!$A$4:$B$12,2,FALSE),IF(LEFT(F877)&lt;&gt;"S",VLOOKUP(LEFT(F877),★新聞!$A$4:$B$12,2,FALSE),VLOOKUP("X",★新聞!$A$4:$B$12,2,FALSE)))</f>
        <v>5</v>
      </c>
      <c r="AP877" s="460" t="str">
        <f t="shared" ca="1" si="108"/>
        <v>0</v>
      </c>
      <c r="AQ877" s="460" t="str">
        <f>IF(申込書!$C$38="","",申込書!$C$38)</f>
        <v/>
      </c>
    </row>
    <row r="878" spans="1:43">
      <c r="A878" s="463">
        <f t="shared" si="109"/>
        <v>877</v>
      </c>
      <c r="B878" s="463" t="str">
        <f t="shared" si="102"/>
        <v>東部</v>
      </c>
      <c r="C878" s="464" t="s">
        <v>1021</v>
      </c>
      <c r="D878" s="464" t="s">
        <v>857</v>
      </c>
      <c r="E878" s="464">
        <f>VLOOKUP(D878,★折込地区!$A$2:$D$10,4,FALSE)</f>
        <v>5</v>
      </c>
      <c r="F878" s="464" t="s">
        <v>474</v>
      </c>
      <c r="G878" s="464" t="str">
        <f>INDEX(★新聞!$E$4:$I$12, MATCH(LEFT(F878),★新聞!$A$4:$A$12,0), MATCH(LEFT(W878),★新聞!$E$3:$I$3,0))</f>
        <v>AJ</v>
      </c>
      <c r="H878" s="475" t="s">
        <v>1126</v>
      </c>
      <c r="I878" s="464" cm="1">
        <f t="array" ref="I878">IFERROR(INDEX(★原価率!$A$2:$E$50,MATCH($C878&amp;$H878,★原価率!$A$2:$A$50&amp;★原価率!$B$2:$B$50,0),3),0)</f>
        <v>100</v>
      </c>
      <c r="J878" s="464" cm="1">
        <f t="array" ref="J878">IFERROR(INDEX(★原価率!$A$2:$E$50,MATCH($C878&amp;$H878,★原価率!$A$2:$A$50&amp;★原価率!$B$2:$B$50,0),4),0)</f>
        <v>100</v>
      </c>
      <c r="K878" s="464" cm="1">
        <f t="array" ref="K878">IFERROR(INDEX(★原価率!$A$2:$E$50,MATCH($C878&amp;$H878,★原価率!$A$2:$A$50&amp;★原価率!$B$2:$B$50,0),5),0)</f>
        <v>100</v>
      </c>
      <c r="L878" s="528">
        <f>IFERROR(VLOOKUP(W878,★商品!$A$1:$H$1231,8,FALSE),0)</f>
        <v>3</v>
      </c>
      <c r="M878" s="203" t="str">
        <f ca="1">CONCATENATE(VLOOKUP(B878,★営業所!$A$2:$B$5,2,FALSE),TEXT(NOW(),"yyyy"))</f>
        <v>T2023</v>
      </c>
      <c r="N878" s="203">
        <v>1</v>
      </c>
      <c r="O878" s="203">
        <v>0</v>
      </c>
      <c r="P878" s="213">
        <f>申込書!$B$6</f>
        <v>0</v>
      </c>
      <c r="Q878" s="203">
        <f>申込書!$C$34</f>
        <v>1000040</v>
      </c>
      <c r="R878" s="203">
        <v>0</v>
      </c>
      <c r="U878" s="203">
        <f>VLOOKUP(B878,★営業所!$A$2:$C$5,3,FALSE)</f>
        <v>8</v>
      </c>
      <c r="V878" s="203">
        <f>申込書!$B$9</f>
        <v>0</v>
      </c>
      <c r="W878" s="203" t="str">
        <f>CONCATENATE(VLOOKUP(B878,★営業所!$A$2:$B$5,2,FALSE),VLOOKUP(申込書!$C$32,★サイズ表記!$D$4:$E$55,2,FALSE),VLOOKUP(D878,★折込地区!$A$2:$B$11,2,FALSE))</f>
        <v>T1001Hmm</v>
      </c>
      <c r="X878" s="203" t="str">
        <f>CONCATENATE(申込書!$B$9," ",VLOOKUP(RIGHT(W878,3),★折込地区!$B$2:$C$10,2,FALSE),"")</f>
        <v xml:space="preserve"> 美方・村岡</v>
      </c>
      <c r="Z878" s="206">
        <f t="shared" ca="1" si="103"/>
        <v>0</v>
      </c>
      <c r="AB878" s="383">
        <f t="shared" si="104"/>
        <v>3</v>
      </c>
      <c r="AC878" s="203" t="str">
        <f t="shared" si="105"/>
        <v>P1001</v>
      </c>
      <c r="AD878" s="203" t="str">
        <f>VLOOKUP(AC878,★原価商品!$E$6:$F$349,2,FALSE)</f>
        <v>産経/B4（折り無し）</v>
      </c>
      <c r="AE878" s="203">
        <f t="shared" ca="1" si="106"/>
        <v>0</v>
      </c>
      <c r="AF878" s="383">
        <f>IFERROR(IF(VLOOKUP(申込書!$C$32,★サイズ表記!$F$4:$H$55,3,FALSE)="切り捨て",ROUNDDOWN(L878*IF(AK878="◎",I878,J878)/100,2),IF(VLOOKUP(申込書!$C$32,★サイズ表記!$F$4:$H$55,3,FALSE)="切り上げ",ROUNDUP(L878*IF(AK878="◎",I878,J878)/100,2),ROUND(L878*IF(AK878="◎",I878,J878)/100,2))),0)</f>
        <v>3</v>
      </c>
      <c r="AG878" s="203">
        <f t="shared" ca="1" si="107"/>
        <v>0</v>
      </c>
      <c r="AJ878" s="460" t="str">
        <f>IFERROR(VLOOKUP(申込書!$C$30,★業種!$D$2:$E$87,2,FALSE),"")</f>
        <v>1003</v>
      </c>
      <c r="AK878" s="460" t="str">
        <f>IF(申込書!$C$36="◎",IF(OR(D878="浜坂・温泉",D878="美方・村岡",D878="香住",D878="岡山",D878="大阪"),"",IF(LEFT(F878)="D","◎",IF(AG878=0,"",IFERROR(IF(VLOOKUP(AG878,★仕入先!$A$2:$C$211,3,FALSE)=0,"","◎"),"")))),"")</f>
        <v/>
      </c>
      <c r="AL878" s="460">
        <f>申込書!$H$14</f>
        <v>0</v>
      </c>
      <c r="AM878" s="460" t="str">
        <f>申込書!$C$32</f>
        <v>B4（折り無し）</v>
      </c>
      <c r="AN878" s="460" t="str">
        <f>VLOOKUP(AM878,★サイズ表記!$D$4:$E$55,2,FALSE)</f>
        <v>1001</v>
      </c>
      <c r="AO878" s="460">
        <f>IF(C878&lt;&gt;"⑧兵庫",VLOOKUP(LEFT(F878),★新聞!$A$4:$B$12,2,FALSE),IF(LEFT(F878)&lt;&gt;"S",VLOOKUP(LEFT(F878),★新聞!$A$4:$B$12,2,FALSE),VLOOKUP("X",★新聞!$A$4:$B$12,2,FALSE)))</f>
        <v>5</v>
      </c>
      <c r="AP878" s="460" t="str">
        <f t="shared" ca="1" si="108"/>
        <v>0</v>
      </c>
      <c r="AQ878" s="460" t="str">
        <f>IF(申込書!$C$38="","",申込書!$C$38)</f>
        <v/>
      </c>
    </row>
    <row r="879" spans="1:43">
      <c r="A879" s="463">
        <f t="shared" si="109"/>
        <v>878</v>
      </c>
      <c r="B879" s="463" t="str">
        <f t="shared" si="102"/>
        <v>東部</v>
      </c>
      <c r="C879" s="464" t="s">
        <v>1021</v>
      </c>
      <c r="D879" s="464" t="s">
        <v>38</v>
      </c>
      <c r="E879" s="464">
        <f>VLOOKUP(D879,★折込地区!$A$2:$D$10,4,FALSE)</f>
        <v>6</v>
      </c>
      <c r="F879" s="464" t="s">
        <v>475</v>
      </c>
      <c r="G879" s="464" t="str">
        <f>INDEX(★新聞!$E$4:$I$12, MATCH(LEFT(F879),★新聞!$A$4:$A$12,0), MATCH(LEFT(W879),★新聞!$E$3:$I$3,0))</f>
        <v>AJ</v>
      </c>
      <c r="H879" s="475" t="s">
        <v>1127</v>
      </c>
      <c r="I879" s="464" cm="1">
        <f t="array" ref="I879">IFERROR(INDEX(★原価率!$A$2:$E$50,MATCH($C879&amp;$H879,★原価率!$A$2:$A$50&amp;★原価率!$B$2:$B$50,0),3),0)</f>
        <v>90</v>
      </c>
      <c r="J879" s="464" cm="1">
        <f t="array" ref="J879">IFERROR(INDEX(★原価率!$A$2:$E$50,MATCH($C879&amp;$H879,★原価率!$A$2:$A$50&amp;★原価率!$B$2:$B$50,0),4),0)</f>
        <v>90</v>
      </c>
      <c r="K879" s="464" cm="1">
        <f t="array" ref="K879">IFERROR(INDEX(★原価率!$A$2:$E$50,MATCH($C879&amp;$H879,★原価率!$A$2:$A$50&amp;★原価率!$B$2:$B$50,0),5),0)</f>
        <v>100</v>
      </c>
      <c r="L879" s="528">
        <f>IFERROR(VLOOKUP(W879,★商品!$A$1:$H$1231,8,FALSE),0)</f>
        <v>3</v>
      </c>
      <c r="M879" s="203" t="str">
        <f ca="1">CONCATENATE(VLOOKUP(B879,★営業所!$A$2:$B$5,2,FALSE),TEXT(NOW(),"yyyy"))</f>
        <v>T2023</v>
      </c>
      <c r="N879" s="203">
        <v>1</v>
      </c>
      <c r="O879" s="203">
        <v>0</v>
      </c>
      <c r="P879" s="213">
        <f>申込書!$B$6</f>
        <v>0</v>
      </c>
      <c r="Q879" s="203">
        <f>申込書!$C$34</f>
        <v>1000040</v>
      </c>
      <c r="R879" s="203">
        <v>0</v>
      </c>
      <c r="U879" s="203">
        <f>VLOOKUP(B879,★営業所!$A$2:$C$5,3,FALSE)</f>
        <v>8</v>
      </c>
      <c r="V879" s="203">
        <f>申込書!$B$9</f>
        <v>0</v>
      </c>
      <c r="W879" s="203" t="str">
        <f>CONCATENATE(VLOOKUP(B879,★営業所!$A$2:$B$5,2,FALSE),VLOOKUP(申込書!$C$32,★サイズ表記!$D$4:$E$55,2,FALSE),VLOOKUP(D879,★折込地区!$A$2:$B$11,2,FALSE))</f>
        <v>T1001Hks</v>
      </c>
      <c r="X879" s="203" t="str">
        <f>CONCATENATE(申込書!$B$9," ",VLOOKUP(RIGHT(W879,3),★折込地区!$B$2:$C$10,2,FALSE),"")</f>
        <v xml:space="preserve"> 香住</v>
      </c>
      <c r="Z879" s="206">
        <f t="shared" ca="1" si="103"/>
        <v>0</v>
      </c>
      <c r="AB879" s="383">
        <f t="shared" si="104"/>
        <v>3</v>
      </c>
      <c r="AC879" s="203" t="str">
        <f t="shared" si="105"/>
        <v>P1001</v>
      </c>
      <c r="AD879" s="203" t="str">
        <f>VLOOKUP(AC879,★原価商品!$E$6:$F$349,2,FALSE)</f>
        <v>産経/B4（折り無し）</v>
      </c>
      <c r="AE879" s="203">
        <f t="shared" ca="1" si="106"/>
        <v>0</v>
      </c>
      <c r="AF879" s="383">
        <f>IFERROR(IF(VLOOKUP(申込書!$C$32,★サイズ表記!$F$4:$H$55,3,FALSE)="切り捨て",ROUNDDOWN(L879*IF(AK879="◎",I879,J879)/100,2),IF(VLOOKUP(申込書!$C$32,★サイズ表記!$F$4:$H$55,3,FALSE)="切り上げ",ROUNDUP(L879*IF(AK879="◎",I879,J879)/100,2),ROUND(L879*IF(AK879="◎",I879,J879)/100,2))),0)</f>
        <v>2.7</v>
      </c>
      <c r="AG879" s="203">
        <f t="shared" ca="1" si="107"/>
        <v>10526</v>
      </c>
      <c r="AJ879" s="460" t="str">
        <f>IFERROR(VLOOKUP(申込書!$C$30,★業種!$D$2:$E$87,2,FALSE),"")</f>
        <v>1003</v>
      </c>
      <c r="AK879" s="460" t="str">
        <f>IF(申込書!$C$36="◎",IF(OR(D879="浜坂・温泉",D879="美方・村岡",D879="香住",D879="岡山",D879="大阪"),"",IF(LEFT(F879)="D","◎",IF(AG879=0,"",IFERROR(IF(VLOOKUP(AG879,★仕入先!$A$2:$C$211,3,FALSE)=0,"","◎"),"")))),"")</f>
        <v/>
      </c>
      <c r="AL879" s="460">
        <f>申込書!$H$14</f>
        <v>0</v>
      </c>
      <c r="AM879" s="460" t="str">
        <f>申込書!$C$32</f>
        <v>B4（折り無し）</v>
      </c>
      <c r="AN879" s="460" t="str">
        <f>VLOOKUP(AM879,★サイズ表記!$D$4:$E$55,2,FALSE)</f>
        <v>1001</v>
      </c>
      <c r="AO879" s="460">
        <f>IF(C879&lt;&gt;"⑧兵庫",VLOOKUP(LEFT(F879),★新聞!$A$4:$B$12,2,FALSE),IF(LEFT(F879)&lt;&gt;"S",VLOOKUP(LEFT(F879),★新聞!$A$4:$B$12,2,FALSE),VLOOKUP("X",★新聞!$A$4:$B$12,2,FALSE)))</f>
        <v>5</v>
      </c>
      <c r="AP879" s="460" t="str">
        <f t="shared" ca="1" si="108"/>
        <v>0</v>
      </c>
      <c r="AQ879" s="460" t="str">
        <f>IF(申込書!$C$38="","",申込書!$C$38)</f>
        <v/>
      </c>
    </row>
    <row r="880" spans="1:43">
      <c r="A880" s="463">
        <f t="shared" si="109"/>
        <v>879</v>
      </c>
      <c r="B880" s="463" t="str">
        <f t="shared" si="102"/>
        <v>東部</v>
      </c>
      <c r="C880" s="464" t="s">
        <v>1021</v>
      </c>
      <c r="D880" s="464" t="s">
        <v>158</v>
      </c>
      <c r="E880" s="464">
        <f>VLOOKUP(D880,★折込地区!$A$2:$D$10,4,FALSE)</f>
        <v>4</v>
      </c>
      <c r="F880" s="464" t="s">
        <v>491</v>
      </c>
      <c r="G880" s="464" t="str">
        <f>INDEX(★新聞!$E$4:$I$12, MATCH(LEFT(F880),★新聞!$A$4:$A$12,0), MATCH(LEFT(W880),★新聞!$E$3:$I$3,0))</f>
        <v>AM</v>
      </c>
      <c r="H880" s="475" t="s">
        <v>1121</v>
      </c>
      <c r="I880" s="464" cm="1">
        <f t="array" ref="I880">IFERROR(INDEX(★原価率!$A$2:$E$50,MATCH($C880&amp;$H880,★原価率!$A$2:$A$50&amp;★原価率!$B$2:$B$50,0),3),0)</f>
        <v>80</v>
      </c>
      <c r="J880" s="464" cm="1">
        <f t="array" ref="J880">IFERROR(INDEX(★原価率!$A$2:$E$50,MATCH($C880&amp;$H880,★原価率!$A$2:$A$50&amp;★原価率!$B$2:$B$50,0),4),0)</f>
        <v>80</v>
      </c>
      <c r="K880" s="464" cm="1">
        <f t="array" ref="K880">IFERROR(INDEX(★原価率!$A$2:$E$50,MATCH($C880&amp;$H880,★原価率!$A$2:$A$50&amp;★原価率!$B$2:$B$50,0),5),0)</f>
        <v>100</v>
      </c>
      <c r="L880" s="528">
        <f>IFERROR(VLOOKUP(W880,★商品!$A$1:$H$1231,8,FALSE),0)</f>
        <v>3</v>
      </c>
      <c r="M880" s="203" t="str">
        <f ca="1">CONCATENATE(VLOOKUP(B880,★営業所!$A$2:$B$5,2,FALSE),TEXT(NOW(),"yyyy"))</f>
        <v>T2023</v>
      </c>
      <c r="N880" s="203">
        <v>1</v>
      </c>
      <c r="O880" s="203">
        <v>0</v>
      </c>
      <c r="P880" s="213">
        <f>申込書!$B$6</f>
        <v>0</v>
      </c>
      <c r="Q880" s="203">
        <f>申込書!$C$34</f>
        <v>1000040</v>
      </c>
      <c r="R880" s="203">
        <v>0</v>
      </c>
      <c r="U880" s="203">
        <f>VLOOKUP(B880,★営業所!$A$2:$C$5,3,FALSE)</f>
        <v>8</v>
      </c>
      <c r="V880" s="203">
        <f>申込書!$B$9</f>
        <v>0</v>
      </c>
      <c r="W880" s="203" t="str">
        <f>CONCATENATE(VLOOKUP(B880,★営業所!$A$2:$B$5,2,FALSE),VLOOKUP(申込書!$C$32,★サイズ表記!$D$4:$E$55,2,FALSE),VLOOKUP(D880,★折込地区!$A$2:$B$11,2,FALSE))</f>
        <v>T1001Hha</v>
      </c>
      <c r="X880" s="203" t="str">
        <f>CONCATENATE(申込書!$B$9," ",VLOOKUP(RIGHT(W880,3),★折込地区!$B$2:$C$10,2,FALSE),"")</f>
        <v xml:space="preserve"> 浜坂・温泉</v>
      </c>
      <c r="Z880" s="206">
        <f t="shared" ca="1" si="103"/>
        <v>0</v>
      </c>
      <c r="AB880" s="383">
        <f t="shared" si="104"/>
        <v>3</v>
      </c>
      <c r="AC880" s="203" t="str">
        <f t="shared" si="105"/>
        <v>S1001</v>
      </c>
      <c r="AD880" s="203" t="str">
        <f>VLOOKUP(AC880,★原価商品!$E$6:$F$349,2,FALSE)</f>
        <v>山陰中央/B4（折り無し）</v>
      </c>
      <c r="AE880" s="203">
        <f t="shared" ca="1" si="106"/>
        <v>0</v>
      </c>
      <c r="AF880" s="383">
        <f>IFERROR(IF(VLOOKUP(申込書!$C$32,★サイズ表記!$F$4:$H$55,3,FALSE)="切り捨て",ROUNDDOWN(L880*IF(AK880="◎",I880,J880)/100,2),IF(VLOOKUP(申込書!$C$32,★サイズ表記!$F$4:$H$55,3,FALSE)="切り上げ",ROUNDUP(L880*IF(AK880="◎",I880,J880)/100,2),ROUND(L880*IF(AK880="◎",I880,J880)/100,2))),0)</f>
        <v>2.4</v>
      </c>
      <c r="AG880" s="203">
        <f t="shared" ca="1" si="107"/>
        <v>10507</v>
      </c>
      <c r="AJ880" s="460" t="str">
        <f>IFERROR(VLOOKUP(申込書!$C$30,★業種!$D$2:$E$87,2,FALSE),"")</f>
        <v>1003</v>
      </c>
      <c r="AK880" s="460" t="str">
        <f>IF(申込書!$C$36="◎",IF(OR(D880="浜坂・温泉",D880="美方・村岡",D880="香住",D880="岡山",D880="大阪"),"",IF(LEFT(F880)="D","◎",IF(AG880=0,"",IFERROR(IF(VLOOKUP(AG880,★仕入先!$A$2:$C$211,3,FALSE)=0,"","◎"),"")))),"")</f>
        <v/>
      </c>
      <c r="AL880" s="460">
        <f>申込書!$H$14</f>
        <v>0</v>
      </c>
      <c r="AM880" s="460" t="str">
        <f>申込書!$C$32</f>
        <v>B4（折り無し）</v>
      </c>
      <c r="AN880" s="460" t="str">
        <f>VLOOKUP(AM880,★サイズ表記!$D$4:$E$55,2,FALSE)</f>
        <v>1001</v>
      </c>
      <c r="AO880" s="460">
        <f>IF(C880&lt;&gt;"⑧兵庫",VLOOKUP(LEFT(F880),★新聞!$A$4:$B$12,2,FALSE),IF(LEFT(F880)&lt;&gt;"S",VLOOKUP(LEFT(F880),★新聞!$A$4:$B$12,2,FALSE),VLOOKUP("X",★新聞!$A$4:$B$12,2,FALSE)))</f>
        <v>8</v>
      </c>
      <c r="AP880" s="460" t="str">
        <f t="shared" ca="1" si="108"/>
        <v>0</v>
      </c>
      <c r="AQ880" s="460" t="str">
        <f>IF(申込書!$C$38="","",申込書!$C$38)</f>
        <v/>
      </c>
    </row>
    <row r="881" spans="1:43">
      <c r="A881" s="463">
        <f t="shared" si="109"/>
        <v>880</v>
      </c>
      <c r="B881" s="463" t="str">
        <f t="shared" si="102"/>
        <v>東部</v>
      </c>
      <c r="C881" s="464" t="s">
        <v>1021</v>
      </c>
      <c r="D881" s="464" t="s">
        <v>158</v>
      </c>
      <c r="E881" s="464">
        <f>VLOOKUP(D881,★折込地区!$A$2:$D$10,4,FALSE)</f>
        <v>4</v>
      </c>
      <c r="F881" s="464" t="s">
        <v>492</v>
      </c>
      <c r="G881" s="464" t="str">
        <f>INDEX(★新聞!$E$4:$I$12, MATCH(LEFT(F881),★新聞!$A$4:$A$12,0), MATCH(LEFT(W881),★新聞!$E$3:$I$3,0))</f>
        <v>AM</v>
      </c>
      <c r="H881" s="475" t="s">
        <v>1121</v>
      </c>
      <c r="I881" s="464" cm="1">
        <f t="array" ref="I881">IFERROR(INDEX(★原価率!$A$2:$E$50,MATCH($C881&amp;$H881,★原価率!$A$2:$A$50&amp;★原価率!$B$2:$B$50,0),3),0)</f>
        <v>80</v>
      </c>
      <c r="J881" s="464" cm="1">
        <f t="array" ref="J881">IFERROR(INDEX(★原価率!$A$2:$E$50,MATCH($C881&amp;$H881,★原価率!$A$2:$A$50&amp;★原価率!$B$2:$B$50,0),4),0)</f>
        <v>80</v>
      </c>
      <c r="K881" s="464" cm="1">
        <f t="array" ref="K881">IFERROR(INDEX(★原価率!$A$2:$E$50,MATCH($C881&amp;$H881,★原価率!$A$2:$A$50&amp;★原価率!$B$2:$B$50,0),5),0)</f>
        <v>100</v>
      </c>
      <c r="L881" s="528">
        <f>IFERROR(VLOOKUP(W881,★商品!$A$1:$H$1231,8,FALSE),0)</f>
        <v>3</v>
      </c>
      <c r="M881" s="203" t="str">
        <f ca="1">CONCATENATE(VLOOKUP(B881,★営業所!$A$2:$B$5,2,FALSE),TEXT(NOW(),"yyyy"))</f>
        <v>T2023</v>
      </c>
      <c r="N881" s="203">
        <v>1</v>
      </c>
      <c r="O881" s="203">
        <v>0</v>
      </c>
      <c r="P881" s="213">
        <f>申込書!$B$6</f>
        <v>0</v>
      </c>
      <c r="Q881" s="203">
        <f>申込書!$C$34</f>
        <v>1000040</v>
      </c>
      <c r="R881" s="203">
        <v>0</v>
      </c>
      <c r="U881" s="203">
        <f>VLOOKUP(B881,★営業所!$A$2:$C$5,3,FALSE)</f>
        <v>8</v>
      </c>
      <c r="V881" s="203">
        <f>申込書!$B$9</f>
        <v>0</v>
      </c>
      <c r="W881" s="203" t="str">
        <f>CONCATENATE(VLOOKUP(B881,★営業所!$A$2:$B$5,2,FALSE),VLOOKUP(申込書!$C$32,★サイズ表記!$D$4:$E$55,2,FALSE),VLOOKUP(D881,★折込地区!$A$2:$B$11,2,FALSE))</f>
        <v>T1001Hha</v>
      </c>
      <c r="X881" s="203" t="str">
        <f>CONCATENATE(申込書!$B$9," ",VLOOKUP(RIGHT(W881,3),★折込地区!$B$2:$C$10,2,FALSE),"")</f>
        <v xml:space="preserve"> 浜坂・温泉</v>
      </c>
      <c r="Z881" s="206">
        <f t="shared" ca="1" si="103"/>
        <v>0</v>
      </c>
      <c r="AB881" s="383">
        <f t="shared" si="104"/>
        <v>3</v>
      </c>
      <c r="AC881" s="203" t="str">
        <f t="shared" si="105"/>
        <v>S1001</v>
      </c>
      <c r="AD881" s="203" t="str">
        <f>VLOOKUP(AC881,★原価商品!$E$6:$F$349,2,FALSE)</f>
        <v>山陰中央/B4（折り無し）</v>
      </c>
      <c r="AE881" s="203">
        <f t="shared" ca="1" si="106"/>
        <v>0</v>
      </c>
      <c r="AF881" s="383">
        <f>IFERROR(IF(VLOOKUP(申込書!$C$32,★サイズ表記!$F$4:$H$55,3,FALSE)="切り捨て",ROUNDDOWN(L881*IF(AK881="◎",I881,J881)/100,2),IF(VLOOKUP(申込書!$C$32,★サイズ表記!$F$4:$H$55,3,FALSE)="切り上げ",ROUNDUP(L881*IF(AK881="◎",I881,J881)/100,2),ROUND(L881*IF(AK881="◎",I881,J881)/100,2))),0)</f>
        <v>2.4</v>
      </c>
      <c r="AG881" s="203">
        <f t="shared" ca="1" si="107"/>
        <v>10518</v>
      </c>
      <c r="AJ881" s="460" t="str">
        <f>IFERROR(VLOOKUP(申込書!$C$30,★業種!$D$2:$E$87,2,FALSE),"")</f>
        <v>1003</v>
      </c>
      <c r="AK881" s="460" t="str">
        <f>IF(申込書!$C$36="◎",IF(OR(D881="浜坂・温泉",D881="美方・村岡",D881="香住",D881="岡山",D881="大阪"),"",IF(LEFT(F881)="D","◎",IF(AG881=0,"",IFERROR(IF(VLOOKUP(AG881,★仕入先!$A$2:$C$211,3,FALSE)=0,"","◎"),"")))),"")</f>
        <v/>
      </c>
      <c r="AL881" s="460">
        <f>申込書!$H$14</f>
        <v>0</v>
      </c>
      <c r="AM881" s="460" t="str">
        <f>申込書!$C$32</f>
        <v>B4（折り無し）</v>
      </c>
      <c r="AN881" s="460" t="str">
        <f>VLOOKUP(AM881,★サイズ表記!$D$4:$E$55,2,FALSE)</f>
        <v>1001</v>
      </c>
      <c r="AO881" s="460">
        <f>IF(C881&lt;&gt;"⑧兵庫",VLOOKUP(LEFT(F881),★新聞!$A$4:$B$12,2,FALSE),IF(LEFT(F881)&lt;&gt;"S",VLOOKUP(LEFT(F881),★新聞!$A$4:$B$12,2,FALSE),VLOOKUP("X",★新聞!$A$4:$B$12,2,FALSE)))</f>
        <v>8</v>
      </c>
      <c r="AP881" s="460" t="str">
        <f t="shared" ca="1" si="108"/>
        <v>0</v>
      </c>
      <c r="AQ881" s="460" t="str">
        <f>IF(申込書!$C$38="","",申込書!$C$38)</f>
        <v/>
      </c>
    </row>
    <row r="882" spans="1:43">
      <c r="A882" s="463">
        <f t="shared" si="109"/>
        <v>881</v>
      </c>
      <c r="B882" s="463" t="str">
        <f t="shared" si="102"/>
        <v>東部</v>
      </c>
      <c r="C882" s="464" t="s">
        <v>1021</v>
      </c>
      <c r="D882" s="464" t="s">
        <v>857</v>
      </c>
      <c r="E882" s="464">
        <f>VLOOKUP(D882,★折込地区!$A$2:$D$10,4,FALSE)</f>
        <v>5</v>
      </c>
      <c r="F882" s="464" t="s">
        <v>493</v>
      </c>
      <c r="G882" s="464" t="str">
        <f>INDEX(★新聞!$E$4:$I$12, MATCH(LEFT(F882),★新聞!$A$4:$A$12,0), MATCH(LEFT(W882),★新聞!$E$3:$I$3,0))</f>
        <v>AM</v>
      </c>
      <c r="H882" s="475" t="s">
        <v>1126</v>
      </c>
      <c r="I882" s="464" cm="1">
        <f t="array" ref="I882">IFERROR(INDEX(★原価率!$A$2:$E$50,MATCH($C882&amp;$H882,★原価率!$A$2:$A$50&amp;★原価率!$B$2:$B$50,0),3),0)</f>
        <v>100</v>
      </c>
      <c r="J882" s="464" cm="1">
        <f t="array" ref="J882">IFERROR(INDEX(★原価率!$A$2:$E$50,MATCH($C882&amp;$H882,★原価率!$A$2:$A$50&amp;★原価率!$B$2:$B$50,0),4),0)</f>
        <v>100</v>
      </c>
      <c r="K882" s="464" cm="1">
        <f t="array" ref="K882">IFERROR(INDEX(★原価率!$A$2:$E$50,MATCH($C882&amp;$H882,★原価率!$A$2:$A$50&amp;★原価率!$B$2:$B$50,0),5),0)</f>
        <v>100</v>
      </c>
      <c r="L882" s="528">
        <f>IFERROR(VLOOKUP(W882,★商品!$A$1:$H$1231,8,FALSE),0)</f>
        <v>3</v>
      </c>
      <c r="M882" s="203" t="str">
        <f ca="1">CONCATENATE(VLOOKUP(B882,★営業所!$A$2:$B$5,2,FALSE),TEXT(NOW(),"yyyy"))</f>
        <v>T2023</v>
      </c>
      <c r="N882" s="203">
        <v>1</v>
      </c>
      <c r="O882" s="203">
        <v>0</v>
      </c>
      <c r="P882" s="213">
        <f>申込書!$B$6</f>
        <v>0</v>
      </c>
      <c r="Q882" s="203">
        <f>申込書!$C$34</f>
        <v>1000040</v>
      </c>
      <c r="R882" s="203">
        <v>0</v>
      </c>
      <c r="U882" s="203">
        <f>VLOOKUP(B882,★営業所!$A$2:$C$5,3,FALSE)</f>
        <v>8</v>
      </c>
      <c r="V882" s="203">
        <f>申込書!$B$9</f>
        <v>0</v>
      </c>
      <c r="W882" s="203" t="str">
        <f>CONCATENATE(VLOOKUP(B882,★営業所!$A$2:$B$5,2,FALSE),VLOOKUP(申込書!$C$32,★サイズ表記!$D$4:$E$55,2,FALSE),VLOOKUP(D882,★折込地区!$A$2:$B$11,2,FALSE))</f>
        <v>T1001Hmm</v>
      </c>
      <c r="X882" s="203" t="str">
        <f>CONCATENATE(申込書!$B$9," ",VLOOKUP(RIGHT(W882,3),★折込地区!$B$2:$C$10,2,FALSE),"")</f>
        <v xml:space="preserve"> 美方・村岡</v>
      </c>
      <c r="Z882" s="206">
        <f t="shared" ca="1" si="103"/>
        <v>0</v>
      </c>
      <c r="AB882" s="383">
        <f t="shared" si="104"/>
        <v>3</v>
      </c>
      <c r="AC882" s="203" t="str">
        <f t="shared" si="105"/>
        <v>S1001</v>
      </c>
      <c r="AD882" s="203" t="str">
        <f>VLOOKUP(AC882,★原価商品!$E$6:$F$349,2,FALSE)</f>
        <v>山陰中央/B4（折り無し）</v>
      </c>
      <c r="AE882" s="203">
        <f t="shared" ca="1" si="106"/>
        <v>0</v>
      </c>
      <c r="AF882" s="383">
        <f>IFERROR(IF(VLOOKUP(申込書!$C$32,★サイズ表記!$F$4:$H$55,3,FALSE)="切り捨て",ROUNDDOWN(L882*IF(AK882="◎",I882,J882)/100,2),IF(VLOOKUP(申込書!$C$32,★サイズ表記!$F$4:$H$55,3,FALSE)="切り上げ",ROUNDUP(L882*IF(AK882="◎",I882,J882)/100,2),ROUND(L882*IF(AK882="◎",I882,J882)/100,2))),0)</f>
        <v>3</v>
      </c>
      <c r="AG882" s="203">
        <f t="shared" ca="1" si="107"/>
        <v>10534</v>
      </c>
      <c r="AJ882" s="460" t="str">
        <f>IFERROR(VLOOKUP(申込書!$C$30,★業種!$D$2:$E$87,2,FALSE),"")</f>
        <v>1003</v>
      </c>
      <c r="AK882" s="460" t="str">
        <f>IF(申込書!$C$36="◎",IF(OR(D882="浜坂・温泉",D882="美方・村岡",D882="香住",D882="岡山",D882="大阪"),"",IF(LEFT(F882)="D","◎",IF(AG882=0,"",IFERROR(IF(VLOOKUP(AG882,★仕入先!$A$2:$C$211,3,FALSE)=0,"","◎"),"")))),"")</f>
        <v/>
      </c>
      <c r="AL882" s="460">
        <f>申込書!$H$14</f>
        <v>0</v>
      </c>
      <c r="AM882" s="460" t="str">
        <f>申込書!$C$32</f>
        <v>B4（折り無し）</v>
      </c>
      <c r="AN882" s="460" t="str">
        <f>VLOOKUP(AM882,★サイズ表記!$D$4:$E$55,2,FALSE)</f>
        <v>1001</v>
      </c>
      <c r="AO882" s="460">
        <f>IF(C882&lt;&gt;"⑧兵庫",VLOOKUP(LEFT(F882),★新聞!$A$4:$B$12,2,FALSE),IF(LEFT(F882)&lt;&gt;"S",VLOOKUP(LEFT(F882),★新聞!$A$4:$B$12,2,FALSE),VLOOKUP("X",★新聞!$A$4:$B$12,2,FALSE)))</f>
        <v>8</v>
      </c>
      <c r="AP882" s="460" t="str">
        <f t="shared" ca="1" si="108"/>
        <v>0</v>
      </c>
      <c r="AQ882" s="460" t="str">
        <f>IF(申込書!$C$38="","",申込書!$C$38)</f>
        <v/>
      </c>
    </row>
    <row r="883" spans="1:43">
      <c r="A883" s="463">
        <f t="shared" si="109"/>
        <v>882</v>
      </c>
      <c r="B883" s="463" t="str">
        <f t="shared" si="102"/>
        <v>東部</v>
      </c>
      <c r="C883" s="464" t="s">
        <v>1021</v>
      </c>
      <c r="D883" s="464" t="s">
        <v>857</v>
      </c>
      <c r="E883" s="464">
        <f>VLOOKUP(D883,★折込地区!$A$2:$D$10,4,FALSE)</f>
        <v>5</v>
      </c>
      <c r="F883" s="464" t="s">
        <v>494</v>
      </c>
      <c r="G883" s="464" t="str">
        <f>INDEX(★新聞!$E$4:$I$12, MATCH(LEFT(F883),★新聞!$A$4:$A$12,0), MATCH(LEFT(W883),★新聞!$E$3:$I$3,0))</f>
        <v>AM</v>
      </c>
      <c r="H883" s="475" t="s">
        <v>1126</v>
      </c>
      <c r="I883" s="464" cm="1">
        <f t="array" ref="I883">IFERROR(INDEX(★原価率!$A$2:$E$50,MATCH($C883&amp;$H883,★原価率!$A$2:$A$50&amp;★原価率!$B$2:$B$50,0),3),0)</f>
        <v>100</v>
      </c>
      <c r="J883" s="464" cm="1">
        <f t="array" ref="J883">IFERROR(INDEX(★原価率!$A$2:$E$50,MATCH($C883&amp;$H883,★原価率!$A$2:$A$50&amp;★原価率!$B$2:$B$50,0),4),0)</f>
        <v>100</v>
      </c>
      <c r="K883" s="464" cm="1">
        <f t="array" ref="K883">IFERROR(INDEX(★原価率!$A$2:$E$50,MATCH($C883&amp;$H883,★原価率!$A$2:$A$50&amp;★原価率!$B$2:$B$50,0),5),0)</f>
        <v>100</v>
      </c>
      <c r="L883" s="528">
        <f>IFERROR(VLOOKUP(W883,★商品!$A$1:$H$1231,8,FALSE),0)</f>
        <v>3</v>
      </c>
      <c r="M883" s="203" t="str">
        <f ca="1">CONCATENATE(VLOOKUP(B883,★営業所!$A$2:$B$5,2,FALSE),TEXT(NOW(),"yyyy"))</f>
        <v>T2023</v>
      </c>
      <c r="N883" s="203">
        <v>1</v>
      </c>
      <c r="O883" s="203">
        <v>0</v>
      </c>
      <c r="P883" s="213">
        <f>申込書!$B$6</f>
        <v>0</v>
      </c>
      <c r="Q883" s="203">
        <f>申込書!$C$34</f>
        <v>1000040</v>
      </c>
      <c r="R883" s="203">
        <v>0</v>
      </c>
      <c r="U883" s="203">
        <f>VLOOKUP(B883,★営業所!$A$2:$C$5,3,FALSE)</f>
        <v>8</v>
      </c>
      <c r="V883" s="203">
        <f>申込書!$B$9</f>
        <v>0</v>
      </c>
      <c r="W883" s="203" t="str">
        <f>CONCATENATE(VLOOKUP(B883,★営業所!$A$2:$B$5,2,FALSE),VLOOKUP(申込書!$C$32,★サイズ表記!$D$4:$E$55,2,FALSE),VLOOKUP(D883,★折込地区!$A$2:$B$11,2,FALSE))</f>
        <v>T1001Hmm</v>
      </c>
      <c r="X883" s="203" t="str">
        <f>CONCATENATE(申込書!$B$9," ",VLOOKUP(RIGHT(W883,3),★折込地区!$B$2:$C$10,2,FALSE),"")</f>
        <v xml:space="preserve"> 美方・村岡</v>
      </c>
      <c r="Z883" s="206">
        <f t="shared" ca="1" si="103"/>
        <v>0</v>
      </c>
      <c r="AB883" s="383">
        <f t="shared" si="104"/>
        <v>3</v>
      </c>
      <c r="AC883" s="203" t="str">
        <f t="shared" si="105"/>
        <v>S1001</v>
      </c>
      <c r="AD883" s="203" t="str">
        <f>VLOOKUP(AC883,★原価商品!$E$6:$F$349,2,FALSE)</f>
        <v>山陰中央/B4（折り無し）</v>
      </c>
      <c r="AE883" s="203">
        <f t="shared" ca="1" si="106"/>
        <v>0</v>
      </c>
      <c r="AF883" s="383">
        <f>IFERROR(IF(VLOOKUP(申込書!$C$32,★サイズ表記!$F$4:$H$55,3,FALSE)="切り捨て",ROUNDDOWN(L883*IF(AK883="◎",I883,J883)/100,2),IF(VLOOKUP(申込書!$C$32,★サイズ表記!$F$4:$H$55,3,FALSE)="切り上げ",ROUNDUP(L883*IF(AK883="◎",I883,J883)/100,2),ROUND(L883*IF(AK883="◎",I883,J883)/100,2))),0)</f>
        <v>3</v>
      </c>
      <c r="AG883" s="203">
        <f t="shared" ca="1" si="107"/>
        <v>10535</v>
      </c>
      <c r="AJ883" s="460" t="str">
        <f>IFERROR(VLOOKUP(申込書!$C$30,★業種!$D$2:$E$87,2,FALSE),"")</f>
        <v>1003</v>
      </c>
      <c r="AK883" s="460" t="str">
        <f>IF(申込書!$C$36="◎",IF(OR(D883="浜坂・温泉",D883="美方・村岡",D883="香住",D883="岡山",D883="大阪"),"",IF(LEFT(F883)="D","◎",IF(AG883=0,"",IFERROR(IF(VLOOKUP(AG883,★仕入先!$A$2:$C$211,3,FALSE)=0,"","◎"),"")))),"")</f>
        <v/>
      </c>
      <c r="AL883" s="460">
        <f>申込書!$H$14</f>
        <v>0</v>
      </c>
      <c r="AM883" s="460" t="str">
        <f>申込書!$C$32</f>
        <v>B4（折り無し）</v>
      </c>
      <c r="AN883" s="460" t="str">
        <f>VLOOKUP(AM883,★サイズ表記!$D$4:$E$55,2,FALSE)</f>
        <v>1001</v>
      </c>
      <c r="AO883" s="460">
        <f>IF(C883&lt;&gt;"⑧兵庫",VLOOKUP(LEFT(F883),★新聞!$A$4:$B$12,2,FALSE),IF(LEFT(F883)&lt;&gt;"S",VLOOKUP(LEFT(F883),★新聞!$A$4:$B$12,2,FALSE),VLOOKUP("X",★新聞!$A$4:$B$12,2,FALSE)))</f>
        <v>8</v>
      </c>
      <c r="AP883" s="460" t="str">
        <f t="shared" ca="1" si="108"/>
        <v>0</v>
      </c>
      <c r="AQ883" s="460" t="str">
        <f>IF(申込書!$C$38="","",申込書!$C$38)</f>
        <v/>
      </c>
    </row>
    <row r="884" spans="1:43">
      <c r="A884" s="463">
        <f t="shared" si="109"/>
        <v>883</v>
      </c>
      <c r="B884" s="463" t="str">
        <f t="shared" si="102"/>
        <v>東部</v>
      </c>
      <c r="C884" s="464" t="s">
        <v>1021</v>
      </c>
      <c r="D884" s="464" t="s">
        <v>857</v>
      </c>
      <c r="E884" s="464">
        <f>VLOOKUP(D884,★折込地区!$A$2:$D$10,4,FALSE)</f>
        <v>5</v>
      </c>
      <c r="F884" s="464" t="s">
        <v>495</v>
      </c>
      <c r="G884" s="464" t="str">
        <f>INDEX(★新聞!$E$4:$I$12, MATCH(LEFT(F884),★新聞!$A$4:$A$12,0), MATCH(LEFT(W884),★新聞!$E$3:$I$3,0))</f>
        <v>AM</v>
      </c>
      <c r="H884" s="475" t="s">
        <v>1126</v>
      </c>
      <c r="I884" s="464" cm="1">
        <f t="array" ref="I884">IFERROR(INDEX(★原価率!$A$2:$E$50,MATCH($C884&amp;$H884,★原価率!$A$2:$A$50&amp;★原価率!$B$2:$B$50,0),3),0)</f>
        <v>100</v>
      </c>
      <c r="J884" s="464" cm="1">
        <f t="array" ref="J884">IFERROR(INDEX(★原価率!$A$2:$E$50,MATCH($C884&amp;$H884,★原価率!$A$2:$A$50&amp;★原価率!$B$2:$B$50,0),4),0)</f>
        <v>100</v>
      </c>
      <c r="K884" s="464" cm="1">
        <f t="array" ref="K884">IFERROR(INDEX(★原価率!$A$2:$E$50,MATCH($C884&amp;$H884,★原価率!$A$2:$A$50&amp;★原価率!$B$2:$B$50,0),5),0)</f>
        <v>100</v>
      </c>
      <c r="L884" s="528">
        <f>IFERROR(VLOOKUP(W884,★商品!$A$1:$H$1231,8,FALSE),0)</f>
        <v>3</v>
      </c>
      <c r="M884" s="203" t="str">
        <f ca="1">CONCATENATE(VLOOKUP(B884,★営業所!$A$2:$B$5,2,FALSE),TEXT(NOW(),"yyyy"))</f>
        <v>T2023</v>
      </c>
      <c r="N884" s="203">
        <v>1</v>
      </c>
      <c r="O884" s="203">
        <v>0</v>
      </c>
      <c r="P884" s="213">
        <f>申込書!$B$6</f>
        <v>0</v>
      </c>
      <c r="Q884" s="203">
        <f>申込書!$C$34</f>
        <v>1000040</v>
      </c>
      <c r="R884" s="203">
        <v>0</v>
      </c>
      <c r="U884" s="203">
        <f>VLOOKUP(B884,★営業所!$A$2:$C$5,3,FALSE)</f>
        <v>8</v>
      </c>
      <c r="V884" s="203">
        <f>申込書!$B$9</f>
        <v>0</v>
      </c>
      <c r="W884" s="203" t="str">
        <f>CONCATENATE(VLOOKUP(B884,★営業所!$A$2:$B$5,2,FALSE),VLOOKUP(申込書!$C$32,★サイズ表記!$D$4:$E$55,2,FALSE),VLOOKUP(D884,★折込地区!$A$2:$B$11,2,FALSE))</f>
        <v>T1001Hmm</v>
      </c>
      <c r="X884" s="203" t="str">
        <f>CONCATENATE(申込書!$B$9," ",VLOOKUP(RIGHT(W884,3),★折込地区!$B$2:$C$10,2,FALSE),"")</f>
        <v xml:space="preserve"> 美方・村岡</v>
      </c>
      <c r="Z884" s="206">
        <f t="shared" ca="1" si="103"/>
        <v>0</v>
      </c>
      <c r="AB884" s="383">
        <f t="shared" si="104"/>
        <v>3</v>
      </c>
      <c r="AC884" s="203" t="str">
        <f t="shared" si="105"/>
        <v>S1001</v>
      </c>
      <c r="AD884" s="203" t="str">
        <f>VLOOKUP(AC884,★原価商品!$E$6:$F$349,2,FALSE)</f>
        <v>山陰中央/B4（折り無し）</v>
      </c>
      <c r="AE884" s="203">
        <f t="shared" ca="1" si="106"/>
        <v>0</v>
      </c>
      <c r="AF884" s="383">
        <f>IFERROR(IF(VLOOKUP(申込書!$C$32,★サイズ表記!$F$4:$H$55,3,FALSE)="切り捨て",ROUNDDOWN(L884*IF(AK884="◎",I884,J884)/100,2),IF(VLOOKUP(申込書!$C$32,★サイズ表記!$F$4:$H$55,3,FALSE)="切り上げ",ROUNDUP(L884*IF(AK884="◎",I884,J884)/100,2),ROUND(L884*IF(AK884="◎",I884,J884)/100,2))),0)</f>
        <v>3</v>
      </c>
      <c r="AG884" s="203">
        <f t="shared" ca="1" si="107"/>
        <v>0</v>
      </c>
      <c r="AJ884" s="460" t="str">
        <f>IFERROR(VLOOKUP(申込書!$C$30,★業種!$D$2:$E$87,2,FALSE),"")</f>
        <v>1003</v>
      </c>
      <c r="AK884" s="460" t="str">
        <f>IF(申込書!$C$36="◎",IF(OR(D884="浜坂・温泉",D884="美方・村岡",D884="香住",D884="岡山",D884="大阪"),"",IF(LEFT(F884)="D","◎",IF(AG884=0,"",IFERROR(IF(VLOOKUP(AG884,★仕入先!$A$2:$C$211,3,FALSE)=0,"","◎"),"")))),"")</f>
        <v/>
      </c>
      <c r="AL884" s="460">
        <f>申込書!$H$14</f>
        <v>0</v>
      </c>
      <c r="AM884" s="460" t="str">
        <f>申込書!$C$32</f>
        <v>B4（折り無し）</v>
      </c>
      <c r="AN884" s="460" t="str">
        <f>VLOOKUP(AM884,★サイズ表記!$D$4:$E$55,2,FALSE)</f>
        <v>1001</v>
      </c>
      <c r="AO884" s="460">
        <f>IF(C884&lt;&gt;"⑧兵庫",VLOOKUP(LEFT(F884),★新聞!$A$4:$B$12,2,FALSE),IF(LEFT(F884)&lt;&gt;"S",VLOOKUP(LEFT(F884),★新聞!$A$4:$B$12,2,FALSE),VLOOKUP("X",★新聞!$A$4:$B$12,2,FALSE)))</f>
        <v>8</v>
      </c>
      <c r="AP884" s="460" t="str">
        <f t="shared" ca="1" si="108"/>
        <v>0</v>
      </c>
      <c r="AQ884" s="460" t="str">
        <f>IF(申込書!$C$38="","",申込書!$C$38)</f>
        <v/>
      </c>
    </row>
    <row r="885" spans="1:43">
      <c r="A885" s="463">
        <f t="shared" si="109"/>
        <v>884</v>
      </c>
      <c r="B885" s="463" t="str">
        <f t="shared" si="102"/>
        <v>東部</v>
      </c>
      <c r="C885" s="464" t="s">
        <v>1021</v>
      </c>
      <c r="D885" s="464" t="s">
        <v>857</v>
      </c>
      <c r="E885" s="464">
        <f>VLOOKUP(D885,★折込地区!$A$2:$D$10,4,FALSE)</f>
        <v>5</v>
      </c>
      <c r="F885" s="464" t="s">
        <v>496</v>
      </c>
      <c r="G885" s="464" t="str">
        <f>INDEX(★新聞!$E$4:$I$12, MATCH(LEFT(F885),★新聞!$A$4:$A$12,0), MATCH(LEFT(W885),★新聞!$E$3:$I$3,0))</f>
        <v>AM</v>
      </c>
      <c r="H885" s="475" t="s">
        <v>1126</v>
      </c>
      <c r="I885" s="464" cm="1">
        <f t="array" ref="I885">IFERROR(INDEX(★原価率!$A$2:$E$50,MATCH($C885&amp;$H885,★原価率!$A$2:$A$50&amp;★原価率!$B$2:$B$50,0),3),0)</f>
        <v>100</v>
      </c>
      <c r="J885" s="464" cm="1">
        <f t="array" ref="J885">IFERROR(INDEX(★原価率!$A$2:$E$50,MATCH($C885&amp;$H885,★原価率!$A$2:$A$50&amp;★原価率!$B$2:$B$50,0),4),0)</f>
        <v>100</v>
      </c>
      <c r="K885" s="464" cm="1">
        <f t="array" ref="K885">IFERROR(INDEX(★原価率!$A$2:$E$50,MATCH($C885&amp;$H885,★原価率!$A$2:$A$50&amp;★原価率!$B$2:$B$50,0),5),0)</f>
        <v>100</v>
      </c>
      <c r="L885" s="528">
        <f>IFERROR(VLOOKUP(W885,★商品!$A$1:$H$1231,8,FALSE),0)</f>
        <v>3</v>
      </c>
      <c r="M885" s="203" t="str">
        <f ca="1">CONCATENATE(VLOOKUP(B885,★営業所!$A$2:$B$5,2,FALSE),TEXT(NOW(),"yyyy"))</f>
        <v>T2023</v>
      </c>
      <c r="N885" s="203">
        <v>1</v>
      </c>
      <c r="O885" s="203">
        <v>0</v>
      </c>
      <c r="P885" s="213">
        <f>申込書!$B$6</f>
        <v>0</v>
      </c>
      <c r="Q885" s="203">
        <f>申込書!$C$34</f>
        <v>1000040</v>
      </c>
      <c r="R885" s="203">
        <v>0</v>
      </c>
      <c r="U885" s="203">
        <f>VLOOKUP(B885,★営業所!$A$2:$C$5,3,FALSE)</f>
        <v>8</v>
      </c>
      <c r="V885" s="203">
        <f>申込書!$B$9</f>
        <v>0</v>
      </c>
      <c r="W885" s="203" t="str">
        <f>CONCATENATE(VLOOKUP(B885,★営業所!$A$2:$B$5,2,FALSE),VLOOKUP(申込書!$C$32,★サイズ表記!$D$4:$E$55,2,FALSE),VLOOKUP(D885,★折込地区!$A$2:$B$11,2,FALSE))</f>
        <v>T1001Hmm</v>
      </c>
      <c r="X885" s="203" t="str">
        <f>CONCATENATE(申込書!$B$9," ",VLOOKUP(RIGHT(W885,3),★折込地区!$B$2:$C$10,2,FALSE),"")</f>
        <v xml:space="preserve"> 美方・村岡</v>
      </c>
      <c r="Z885" s="206">
        <f t="shared" ca="1" si="103"/>
        <v>0</v>
      </c>
      <c r="AB885" s="383">
        <f t="shared" si="104"/>
        <v>3</v>
      </c>
      <c r="AC885" s="203" t="str">
        <f t="shared" si="105"/>
        <v>S1001</v>
      </c>
      <c r="AD885" s="203" t="str">
        <f>VLOOKUP(AC885,★原価商品!$E$6:$F$349,2,FALSE)</f>
        <v>山陰中央/B4（折り無し）</v>
      </c>
      <c r="AE885" s="203">
        <f t="shared" ca="1" si="106"/>
        <v>0</v>
      </c>
      <c r="AF885" s="383">
        <f>IFERROR(IF(VLOOKUP(申込書!$C$32,★サイズ表記!$F$4:$H$55,3,FALSE)="切り捨て",ROUNDDOWN(L885*IF(AK885="◎",I885,J885)/100,2),IF(VLOOKUP(申込書!$C$32,★サイズ表記!$F$4:$H$55,3,FALSE)="切り上げ",ROUNDUP(L885*IF(AK885="◎",I885,J885)/100,2),ROUND(L885*IF(AK885="◎",I885,J885)/100,2))),0)</f>
        <v>3</v>
      </c>
      <c r="AG885" s="203">
        <f t="shared" ca="1" si="107"/>
        <v>10543</v>
      </c>
      <c r="AJ885" s="460" t="str">
        <f>IFERROR(VLOOKUP(申込書!$C$30,★業種!$D$2:$E$87,2,FALSE),"")</f>
        <v>1003</v>
      </c>
      <c r="AK885" s="460" t="str">
        <f>IF(申込書!$C$36="◎",IF(OR(D885="浜坂・温泉",D885="美方・村岡",D885="香住",D885="岡山",D885="大阪"),"",IF(LEFT(F885)="D","◎",IF(AG885=0,"",IFERROR(IF(VLOOKUP(AG885,★仕入先!$A$2:$C$211,3,FALSE)=0,"","◎"),"")))),"")</f>
        <v/>
      </c>
      <c r="AL885" s="460">
        <f>申込書!$H$14</f>
        <v>0</v>
      </c>
      <c r="AM885" s="460" t="str">
        <f>申込書!$C$32</f>
        <v>B4（折り無し）</v>
      </c>
      <c r="AN885" s="460" t="str">
        <f>VLOOKUP(AM885,★サイズ表記!$D$4:$E$55,2,FALSE)</f>
        <v>1001</v>
      </c>
      <c r="AO885" s="460">
        <f>IF(C885&lt;&gt;"⑧兵庫",VLOOKUP(LEFT(F885),★新聞!$A$4:$B$12,2,FALSE),IF(LEFT(F885)&lt;&gt;"S",VLOOKUP(LEFT(F885),★新聞!$A$4:$B$12,2,FALSE),VLOOKUP("X",★新聞!$A$4:$B$12,2,FALSE)))</f>
        <v>8</v>
      </c>
      <c r="AP885" s="460" t="str">
        <f t="shared" ca="1" si="108"/>
        <v>0</v>
      </c>
      <c r="AQ885" s="460" t="str">
        <f>IF(申込書!$C$38="","",申込書!$C$38)</f>
        <v/>
      </c>
    </row>
    <row r="886" spans="1:43">
      <c r="A886" s="463">
        <f t="shared" si="109"/>
        <v>885</v>
      </c>
      <c r="B886" s="463" t="str">
        <f t="shared" si="102"/>
        <v>東部</v>
      </c>
      <c r="C886" s="464" t="s">
        <v>1021</v>
      </c>
      <c r="D886" s="464" t="s">
        <v>38</v>
      </c>
      <c r="E886" s="464">
        <f>VLOOKUP(D886,★折込地区!$A$2:$D$10,4,FALSE)</f>
        <v>6</v>
      </c>
      <c r="F886" s="464" t="s">
        <v>497</v>
      </c>
      <c r="G886" s="464" t="str">
        <f>INDEX(★新聞!$E$4:$I$12, MATCH(LEFT(F886),★新聞!$A$4:$A$12,0), MATCH(LEFT(W886),★新聞!$E$3:$I$3,0))</f>
        <v>AM</v>
      </c>
      <c r="H886" s="475" t="s">
        <v>1127</v>
      </c>
      <c r="I886" s="464" cm="1">
        <f t="array" ref="I886">IFERROR(INDEX(★原価率!$A$2:$E$50,MATCH($C886&amp;$H886,★原価率!$A$2:$A$50&amp;★原価率!$B$2:$B$50,0),3),0)</f>
        <v>90</v>
      </c>
      <c r="J886" s="464" cm="1">
        <f t="array" ref="J886">IFERROR(INDEX(★原価率!$A$2:$E$50,MATCH($C886&amp;$H886,★原価率!$A$2:$A$50&amp;★原価率!$B$2:$B$50,0),4),0)</f>
        <v>90</v>
      </c>
      <c r="K886" s="464" cm="1">
        <f t="array" ref="K886">IFERROR(INDEX(★原価率!$A$2:$E$50,MATCH($C886&amp;$H886,★原価率!$A$2:$A$50&amp;★原価率!$B$2:$B$50,0),5),0)</f>
        <v>100</v>
      </c>
      <c r="L886" s="528">
        <f>IFERROR(VLOOKUP(W886,★商品!$A$1:$H$1231,8,FALSE),0)</f>
        <v>3</v>
      </c>
      <c r="M886" s="203" t="str">
        <f ca="1">CONCATENATE(VLOOKUP(B886,★営業所!$A$2:$B$5,2,FALSE),TEXT(NOW(),"yyyy"))</f>
        <v>T2023</v>
      </c>
      <c r="N886" s="203">
        <v>1</v>
      </c>
      <c r="O886" s="203">
        <v>0</v>
      </c>
      <c r="P886" s="213">
        <f>申込書!$B$6</f>
        <v>0</v>
      </c>
      <c r="Q886" s="203">
        <f>申込書!$C$34</f>
        <v>1000040</v>
      </c>
      <c r="R886" s="203">
        <v>0</v>
      </c>
      <c r="U886" s="203">
        <f>VLOOKUP(B886,★営業所!$A$2:$C$5,3,FALSE)</f>
        <v>8</v>
      </c>
      <c r="V886" s="203">
        <f>申込書!$B$9</f>
        <v>0</v>
      </c>
      <c r="W886" s="203" t="str">
        <f>CONCATENATE(VLOOKUP(B886,★営業所!$A$2:$B$5,2,FALSE),VLOOKUP(申込書!$C$32,★サイズ表記!$D$4:$E$55,2,FALSE),VLOOKUP(D886,★折込地区!$A$2:$B$11,2,FALSE))</f>
        <v>T1001Hks</v>
      </c>
      <c r="X886" s="203" t="str">
        <f>CONCATENATE(申込書!$B$9," ",VLOOKUP(RIGHT(W886,3),★折込地区!$B$2:$C$10,2,FALSE),"")</f>
        <v xml:space="preserve"> 香住</v>
      </c>
      <c r="Z886" s="206">
        <f t="shared" ca="1" si="103"/>
        <v>0</v>
      </c>
      <c r="AB886" s="383">
        <f t="shared" si="104"/>
        <v>3</v>
      </c>
      <c r="AC886" s="203" t="str">
        <f t="shared" si="105"/>
        <v>S1001</v>
      </c>
      <c r="AD886" s="203" t="str">
        <f>VLOOKUP(AC886,★原価商品!$E$6:$F$349,2,FALSE)</f>
        <v>山陰中央/B4（折り無し）</v>
      </c>
      <c r="AE886" s="203">
        <f t="shared" ca="1" si="106"/>
        <v>0</v>
      </c>
      <c r="AF886" s="383">
        <f>IFERROR(IF(VLOOKUP(申込書!$C$32,★サイズ表記!$F$4:$H$55,3,FALSE)="切り捨て",ROUNDDOWN(L886*IF(AK886="◎",I886,J886)/100,2),IF(VLOOKUP(申込書!$C$32,★サイズ表記!$F$4:$H$55,3,FALSE)="切り上げ",ROUNDUP(L886*IF(AK886="◎",I886,J886)/100,2),ROUND(L886*IF(AK886="◎",I886,J886)/100,2))),0)</f>
        <v>2.7</v>
      </c>
      <c r="AG886" s="203">
        <f t="shared" ca="1" si="107"/>
        <v>10526</v>
      </c>
      <c r="AJ886" s="460" t="str">
        <f>IFERROR(VLOOKUP(申込書!$C$30,★業種!$D$2:$E$87,2,FALSE),"")</f>
        <v>1003</v>
      </c>
      <c r="AK886" s="460" t="str">
        <f>IF(申込書!$C$36="◎",IF(OR(D886="浜坂・温泉",D886="美方・村岡",D886="香住",D886="岡山",D886="大阪"),"",IF(LEFT(F886)="D","◎",IF(AG886=0,"",IFERROR(IF(VLOOKUP(AG886,★仕入先!$A$2:$C$211,3,FALSE)=0,"","◎"),"")))),"")</f>
        <v/>
      </c>
      <c r="AL886" s="460">
        <f>申込書!$H$14</f>
        <v>0</v>
      </c>
      <c r="AM886" s="460" t="str">
        <f>申込書!$C$32</f>
        <v>B4（折り無し）</v>
      </c>
      <c r="AN886" s="460" t="str">
        <f>VLOOKUP(AM886,★サイズ表記!$D$4:$E$55,2,FALSE)</f>
        <v>1001</v>
      </c>
      <c r="AO886" s="460">
        <f>IF(C886&lt;&gt;"⑧兵庫",VLOOKUP(LEFT(F886),★新聞!$A$4:$B$12,2,FALSE),IF(LEFT(F886)&lt;&gt;"S",VLOOKUP(LEFT(F886),★新聞!$A$4:$B$12,2,FALSE),VLOOKUP("X",★新聞!$A$4:$B$12,2,FALSE)))</f>
        <v>8</v>
      </c>
      <c r="AP886" s="460" t="str">
        <f t="shared" ca="1" si="108"/>
        <v>0</v>
      </c>
      <c r="AQ886" s="460" t="str">
        <f>IF(申込書!$C$38="","",申込書!$C$38)</f>
        <v/>
      </c>
    </row>
    <row r="887" spans="1:43">
      <c r="A887" s="463">
        <f t="shared" si="109"/>
        <v>886</v>
      </c>
      <c r="B887" s="463" t="str">
        <f t="shared" si="102"/>
        <v>東部</v>
      </c>
      <c r="C887" s="464" t="s">
        <v>1021</v>
      </c>
      <c r="D887" s="464" t="s">
        <v>158</v>
      </c>
      <c r="E887" s="464">
        <f>VLOOKUP(D887,★折込地区!$A$2:$D$10,4,FALSE)</f>
        <v>4</v>
      </c>
      <c r="F887" s="464" t="s">
        <v>513</v>
      </c>
      <c r="G887" s="464" t="str">
        <f>INDEX(★新聞!$E$4:$I$12, MATCH(LEFT(F887),★新聞!$A$4:$A$12,0), MATCH(LEFT(W887),★新聞!$E$3:$I$3,0))</f>
        <v>AP</v>
      </c>
      <c r="H887" s="475" t="s">
        <v>1121</v>
      </c>
      <c r="I887" s="464" cm="1">
        <f t="array" ref="I887">IFERROR(INDEX(★原価率!$A$2:$E$50,MATCH($C887&amp;$H887,★原価率!$A$2:$A$50&amp;★原価率!$B$2:$B$50,0),3),0)</f>
        <v>80</v>
      </c>
      <c r="J887" s="464" cm="1">
        <f t="array" ref="J887">IFERROR(INDEX(★原価率!$A$2:$E$50,MATCH($C887&amp;$H887,★原価率!$A$2:$A$50&amp;★原価率!$B$2:$B$50,0),4),0)</f>
        <v>80</v>
      </c>
      <c r="K887" s="464" cm="1">
        <f t="array" ref="K887">IFERROR(INDEX(★原価率!$A$2:$E$50,MATCH($C887&amp;$H887,★原価率!$A$2:$A$50&amp;★原価率!$B$2:$B$50,0),5),0)</f>
        <v>100</v>
      </c>
      <c r="L887" s="528">
        <f>IFERROR(VLOOKUP(W887,★商品!$A$1:$H$1231,8,FALSE),0)</f>
        <v>3</v>
      </c>
      <c r="M887" s="203" t="str">
        <f ca="1">CONCATENATE(VLOOKUP(B887,★営業所!$A$2:$B$5,2,FALSE),TEXT(NOW(),"yyyy"))</f>
        <v>T2023</v>
      </c>
      <c r="N887" s="203">
        <v>1</v>
      </c>
      <c r="O887" s="203">
        <v>0</v>
      </c>
      <c r="P887" s="213">
        <f>申込書!$B$6</f>
        <v>0</v>
      </c>
      <c r="Q887" s="203">
        <f>申込書!$C$34</f>
        <v>1000040</v>
      </c>
      <c r="R887" s="203">
        <v>0</v>
      </c>
      <c r="U887" s="203">
        <f>VLOOKUP(B887,★営業所!$A$2:$C$5,3,FALSE)</f>
        <v>8</v>
      </c>
      <c r="V887" s="203">
        <f>申込書!$B$9</f>
        <v>0</v>
      </c>
      <c r="W887" s="203" t="str">
        <f>CONCATENATE(VLOOKUP(B887,★営業所!$A$2:$B$5,2,FALSE),VLOOKUP(申込書!$C$32,★サイズ表記!$D$4:$E$55,2,FALSE),VLOOKUP(D887,★折込地区!$A$2:$B$11,2,FALSE))</f>
        <v>T1001Hha</v>
      </c>
      <c r="X887" s="203" t="str">
        <f>CONCATENATE(申込書!$B$9," ",VLOOKUP(RIGHT(W887,3),★折込地区!$B$2:$C$10,2,FALSE),"")</f>
        <v xml:space="preserve"> 浜坂・温泉</v>
      </c>
      <c r="Z887" s="206">
        <f t="shared" ca="1" si="103"/>
        <v>0</v>
      </c>
      <c r="AB887" s="383">
        <f t="shared" si="104"/>
        <v>3</v>
      </c>
      <c r="AC887" s="203" t="str">
        <f t="shared" si="105"/>
        <v>V1001</v>
      </c>
      <c r="AD887" s="203" t="str">
        <f>VLOOKUP(AC887,★原価商品!$E$6:$F$349,2,FALSE)</f>
        <v>日経/B4（折り無し）</v>
      </c>
      <c r="AE887" s="203">
        <f t="shared" ca="1" si="106"/>
        <v>0</v>
      </c>
      <c r="AF887" s="383">
        <f>IFERROR(IF(VLOOKUP(申込書!$C$32,★サイズ表記!$F$4:$H$55,3,FALSE)="切り捨て",ROUNDDOWN(L887*IF(AK887="◎",I887,J887)/100,2),IF(VLOOKUP(申込書!$C$32,★サイズ表記!$F$4:$H$55,3,FALSE)="切り上げ",ROUNDUP(L887*IF(AK887="◎",I887,J887)/100,2),ROUND(L887*IF(AK887="◎",I887,J887)/100,2))),0)</f>
        <v>2.4</v>
      </c>
      <c r="AG887" s="203">
        <f t="shared" ca="1" si="107"/>
        <v>0</v>
      </c>
      <c r="AJ887" s="460" t="str">
        <f>IFERROR(VLOOKUP(申込書!$C$30,★業種!$D$2:$E$87,2,FALSE),"")</f>
        <v>1003</v>
      </c>
      <c r="AK887" s="460" t="str">
        <f>IF(申込書!$C$36="◎",IF(OR(D887="浜坂・温泉",D887="美方・村岡",D887="香住",D887="岡山",D887="大阪"),"",IF(LEFT(F887)="D","◎",IF(AG887=0,"",IFERROR(IF(VLOOKUP(AG887,★仕入先!$A$2:$C$211,3,FALSE)=0,"","◎"),"")))),"")</f>
        <v/>
      </c>
      <c r="AL887" s="460">
        <f>申込書!$H$14</f>
        <v>0</v>
      </c>
      <c r="AM887" s="460" t="str">
        <f>申込書!$C$32</f>
        <v>B4（折り無し）</v>
      </c>
      <c r="AN887" s="460" t="str">
        <f>VLOOKUP(AM887,★サイズ表記!$D$4:$E$55,2,FALSE)</f>
        <v>1001</v>
      </c>
      <c r="AO887" s="460">
        <f>IF(C887&lt;&gt;"⑧兵庫",VLOOKUP(LEFT(F887),★新聞!$A$4:$B$12,2,FALSE),IF(LEFT(F887)&lt;&gt;"S",VLOOKUP(LEFT(F887),★新聞!$A$4:$B$12,2,FALSE),VLOOKUP("X",★新聞!$A$4:$B$12,2,FALSE)))</f>
        <v>7</v>
      </c>
      <c r="AP887" s="460" t="str">
        <f t="shared" ca="1" si="108"/>
        <v>0</v>
      </c>
      <c r="AQ887" s="460" t="str">
        <f>IF(申込書!$C$38="","",申込書!$C$38)</f>
        <v/>
      </c>
    </row>
    <row r="888" spans="1:43">
      <c r="A888" s="463">
        <f t="shared" si="109"/>
        <v>887</v>
      </c>
      <c r="B888" s="463" t="str">
        <f t="shared" si="102"/>
        <v>東部</v>
      </c>
      <c r="C888" s="464" t="s">
        <v>1021</v>
      </c>
      <c r="D888" s="464" t="s">
        <v>158</v>
      </c>
      <c r="E888" s="464">
        <f>VLOOKUP(D888,★折込地区!$A$2:$D$10,4,FALSE)</f>
        <v>4</v>
      </c>
      <c r="F888" s="464" t="s">
        <v>514</v>
      </c>
      <c r="G888" s="464" t="str">
        <f>INDEX(★新聞!$E$4:$I$12, MATCH(LEFT(F888),★新聞!$A$4:$A$12,0), MATCH(LEFT(W888),★新聞!$E$3:$I$3,0))</f>
        <v>AP</v>
      </c>
      <c r="H888" s="475" t="s">
        <v>1121</v>
      </c>
      <c r="I888" s="464" cm="1">
        <f t="array" ref="I888">IFERROR(INDEX(★原価率!$A$2:$E$50,MATCH($C888&amp;$H888,★原価率!$A$2:$A$50&amp;★原価率!$B$2:$B$50,0),3),0)</f>
        <v>80</v>
      </c>
      <c r="J888" s="464" cm="1">
        <f t="array" ref="J888">IFERROR(INDEX(★原価率!$A$2:$E$50,MATCH($C888&amp;$H888,★原価率!$A$2:$A$50&amp;★原価率!$B$2:$B$50,0),4),0)</f>
        <v>80</v>
      </c>
      <c r="K888" s="464" cm="1">
        <f t="array" ref="K888">IFERROR(INDEX(★原価率!$A$2:$E$50,MATCH($C888&amp;$H888,★原価率!$A$2:$A$50&amp;★原価率!$B$2:$B$50,0),5),0)</f>
        <v>100</v>
      </c>
      <c r="L888" s="528">
        <f>IFERROR(VLOOKUP(W888,★商品!$A$1:$H$1231,8,FALSE),0)</f>
        <v>3</v>
      </c>
      <c r="M888" s="203" t="str">
        <f ca="1">CONCATENATE(VLOOKUP(B888,★営業所!$A$2:$B$5,2,FALSE),TEXT(NOW(),"yyyy"))</f>
        <v>T2023</v>
      </c>
      <c r="N888" s="203">
        <v>1</v>
      </c>
      <c r="O888" s="203">
        <v>0</v>
      </c>
      <c r="P888" s="213">
        <f>申込書!$B$6</f>
        <v>0</v>
      </c>
      <c r="Q888" s="203">
        <f>申込書!$C$34</f>
        <v>1000040</v>
      </c>
      <c r="R888" s="203">
        <v>0</v>
      </c>
      <c r="U888" s="203">
        <f>VLOOKUP(B888,★営業所!$A$2:$C$5,3,FALSE)</f>
        <v>8</v>
      </c>
      <c r="V888" s="203">
        <f>申込書!$B$9</f>
        <v>0</v>
      </c>
      <c r="W888" s="203" t="str">
        <f>CONCATENATE(VLOOKUP(B888,★営業所!$A$2:$B$5,2,FALSE),VLOOKUP(申込書!$C$32,★サイズ表記!$D$4:$E$55,2,FALSE),VLOOKUP(D888,★折込地区!$A$2:$B$11,2,FALSE))</f>
        <v>T1001Hha</v>
      </c>
      <c r="X888" s="203" t="str">
        <f>CONCATENATE(申込書!$B$9," ",VLOOKUP(RIGHT(W888,3),★折込地区!$B$2:$C$10,2,FALSE),"")</f>
        <v xml:space="preserve"> 浜坂・温泉</v>
      </c>
      <c r="Z888" s="206">
        <f t="shared" ca="1" si="103"/>
        <v>0</v>
      </c>
      <c r="AB888" s="383">
        <f t="shared" si="104"/>
        <v>3</v>
      </c>
      <c r="AC888" s="203" t="str">
        <f t="shared" si="105"/>
        <v>V1001</v>
      </c>
      <c r="AD888" s="203" t="str">
        <f>VLOOKUP(AC888,★原価商品!$E$6:$F$349,2,FALSE)</f>
        <v>日経/B4（折り無し）</v>
      </c>
      <c r="AE888" s="203">
        <f t="shared" ca="1" si="106"/>
        <v>0</v>
      </c>
      <c r="AF888" s="383">
        <f>IFERROR(IF(VLOOKUP(申込書!$C$32,★サイズ表記!$F$4:$H$55,3,FALSE)="切り捨て",ROUNDDOWN(L888*IF(AK888="◎",I888,J888)/100,2),IF(VLOOKUP(申込書!$C$32,★サイズ表記!$F$4:$H$55,3,FALSE)="切り上げ",ROUNDUP(L888*IF(AK888="◎",I888,J888)/100,2),ROUND(L888*IF(AK888="◎",I888,J888)/100,2))),0)</f>
        <v>2.4</v>
      </c>
      <c r="AG888" s="203">
        <f t="shared" ca="1" si="107"/>
        <v>0</v>
      </c>
      <c r="AJ888" s="460" t="str">
        <f>IFERROR(VLOOKUP(申込書!$C$30,★業種!$D$2:$E$87,2,FALSE),"")</f>
        <v>1003</v>
      </c>
      <c r="AK888" s="460" t="str">
        <f>IF(申込書!$C$36="◎",IF(OR(D888="浜坂・温泉",D888="美方・村岡",D888="香住",D888="岡山",D888="大阪"),"",IF(LEFT(F888)="D","◎",IF(AG888=0,"",IFERROR(IF(VLOOKUP(AG888,★仕入先!$A$2:$C$211,3,FALSE)=0,"","◎"),"")))),"")</f>
        <v/>
      </c>
      <c r="AL888" s="460">
        <f>申込書!$H$14</f>
        <v>0</v>
      </c>
      <c r="AM888" s="460" t="str">
        <f>申込書!$C$32</f>
        <v>B4（折り無し）</v>
      </c>
      <c r="AN888" s="460" t="str">
        <f>VLOOKUP(AM888,★サイズ表記!$D$4:$E$55,2,FALSE)</f>
        <v>1001</v>
      </c>
      <c r="AO888" s="460">
        <f>IF(C888&lt;&gt;"⑧兵庫",VLOOKUP(LEFT(F888),★新聞!$A$4:$B$12,2,FALSE),IF(LEFT(F888)&lt;&gt;"S",VLOOKUP(LEFT(F888),★新聞!$A$4:$B$12,2,FALSE),VLOOKUP("X",★新聞!$A$4:$B$12,2,FALSE)))</f>
        <v>7</v>
      </c>
      <c r="AP888" s="460" t="str">
        <f t="shared" ca="1" si="108"/>
        <v>0</v>
      </c>
      <c r="AQ888" s="460" t="str">
        <f>IF(申込書!$C$38="","",申込書!$C$38)</f>
        <v/>
      </c>
    </row>
    <row r="889" spans="1:43">
      <c r="A889" s="463">
        <f t="shared" si="109"/>
        <v>888</v>
      </c>
      <c r="B889" s="463" t="str">
        <f t="shared" si="102"/>
        <v>東部</v>
      </c>
      <c r="C889" s="464" t="s">
        <v>1021</v>
      </c>
      <c r="D889" s="464" t="s">
        <v>857</v>
      </c>
      <c r="E889" s="464">
        <f>VLOOKUP(D889,★折込地区!$A$2:$D$10,4,FALSE)</f>
        <v>5</v>
      </c>
      <c r="F889" s="464" t="s">
        <v>515</v>
      </c>
      <c r="G889" s="464" t="str">
        <f>INDEX(★新聞!$E$4:$I$12, MATCH(LEFT(F889),★新聞!$A$4:$A$12,0), MATCH(LEFT(W889),★新聞!$E$3:$I$3,0))</f>
        <v>AP</v>
      </c>
      <c r="H889" s="475" t="s">
        <v>1126</v>
      </c>
      <c r="I889" s="464" cm="1">
        <f t="array" ref="I889">IFERROR(INDEX(★原価率!$A$2:$E$50,MATCH($C889&amp;$H889,★原価率!$A$2:$A$50&amp;★原価率!$B$2:$B$50,0),3),0)</f>
        <v>100</v>
      </c>
      <c r="J889" s="464" cm="1">
        <f t="array" ref="J889">IFERROR(INDEX(★原価率!$A$2:$E$50,MATCH($C889&amp;$H889,★原価率!$A$2:$A$50&amp;★原価率!$B$2:$B$50,0),4),0)</f>
        <v>100</v>
      </c>
      <c r="K889" s="464" cm="1">
        <f t="array" ref="K889">IFERROR(INDEX(★原価率!$A$2:$E$50,MATCH($C889&amp;$H889,★原価率!$A$2:$A$50&amp;★原価率!$B$2:$B$50,0),5),0)</f>
        <v>100</v>
      </c>
      <c r="L889" s="528">
        <f>IFERROR(VLOOKUP(W889,★商品!$A$1:$H$1231,8,FALSE),0)</f>
        <v>3</v>
      </c>
      <c r="M889" s="203" t="str">
        <f ca="1">CONCATENATE(VLOOKUP(B889,★営業所!$A$2:$B$5,2,FALSE),TEXT(NOW(),"yyyy"))</f>
        <v>T2023</v>
      </c>
      <c r="N889" s="203">
        <v>1</v>
      </c>
      <c r="O889" s="203">
        <v>0</v>
      </c>
      <c r="P889" s="213">
        <f>申込書!$B$6</f>
        <v>0</v>
      </c>
      <c r="Q889" s="203">
        <f>申込書!$C$34</f>
        <v>1000040</v>
      </c>
      <c r="R889" s="203">
        <v>0</v>
      </c>
      <c r="U889" s="203">
        <f>VLOOKUP(B889,★営業所!$A$2:$C$5,3,FALSE)</f>
        <v>8</v>
      </c>
      <c r="V889" s="203">
        <f>申込書!$B$9</f>
        <v>0</v>
      </c>
      <c r="W889" s="203" t="str">
        <f>CONCATENATE(VLOOKUP(B889,★営業所!$A$2:$B$5,2,FALSE),VLOOKUP(申込書!$C$32,★サイズ表記!$D$4:$E$55,2,FALSE),VLOOKUP(D889,★折込地区!$A$2:$B$11,2,FALSE))</f>
        <v>T1001Hmm</v>
      </c>
      <c r="X889" s="203" t="str">
        <f>CONCATENATE(申込書!$B$9," ",VLOOKUP(RIGHT(W889,3),★折込地区!$B$2:$C$10,2,FALSE),"")</f>
        <v xml:space="preserve"> 美方・村岡</v>
      </c>
      <c r="Z889" s="206">
        <f t="shared" ca="1" si="103"/>
        <v>0</v>
      </c>
      <c r="AB889" s="383">
        <f t="shared" si="104"/>
        <v>3</v>
      </c>
      <c r="AC889" s="203" t="str">
        <f t="shared" si="105"/>
        <v>V1001</v>
      </c>
      <c r="AD889" s="203" t="str">
        <f>VLOOKUP(AC889,★原価商品!$E$6:$F$349,2,FALSE)</f>
        <v>日経/B4（折り無し）</v>
      </c>
      <c r="AE889" s="203">
        <f t="shared" ca="1" si="106"/>
        <v>0</v>
      </c>
      <c r="AF889" s="383">
        <f>IFERROR(IF(VLOOKUP(申込書!$C$32,★サイズ表記!$F$4:$H$55,3,FALSE)="切り捨て",ROUNDDOWN(L889*IF(AK889="◎",I889,J889)/100,2),IF(VLOOKUP(申込書!$C$32,★サイズ表記!$F$4:$H$55,3,FALSE)="切り上げ",ROUNDUP(L889*IF(AK889="◎",I889,J889)/100,2),ROUND(L889*IF(AK889="◎",I889,J889)/100,2))),0)</f>
        <v>3</v>
      </c>
      <c r="AG889" s="203">
        <f t="shared" ca="1" si="107"/>
        <v>0</v>
      </c>
      <c r="AJ889" s="460" t="str">
        <f>IFERROR(VLOOKUP(申込書!$C$30,★業種!$D$2:$E$87,2,FALSE),"")</f>
        <v>1003</v>
      </c>
      <c r="AK889" s="460" t="str">
        <f>IF(申込書!$C$36="◎",IF(OR(D889="浜坂・温泉",D889="美方・村岡",D889="香住",D889="岡山",D889="大阪"),"",IF(LEFT(F889)="D","◎",IF(AG889=0,"",IFERROR(IF(VLOOKUP(AG889,★仕入先!$A$2:$C$211,3,FALSE)=0,"","◎"),"")))),"")</f>
        <v/>
      </c>
      <c r="AL889" s="460">
        <f>申込書!$H$14</f>
        <v>0</v>
      </c>
      <c r="AM889" s="460" t="str">
        <f>申込書!$C$32</f>
        <v>B4（折り無し）</v>
      </c>
      <c r="AN889" s="460" t="str">
        <f>VLOOKUP(AM889,★サイズ表記!$D$4:$E$55,2,FALSE)</f>
        <v>1001</v>
      </c>
      <c r="AO889" s="460">
        <f>IF(C889&lt;&gt;"⑧兵庫",VLOOKUP(LEFT(F889),★新聞!$A$4:$B$12,2,FALSE),IF(LEFT(F889)&lt;&gt;"S",VLOOKUP(LEFT(F889),★新聞!$A$4:$B$12,2,FALSE),VLOOKUP("X",★新聞!$A$4:$B$12,2,FALSE)))</f>
        <v>7</v>
      </c>
      <c r="AP889" s="460" t="str">
        <f t="shared" ca="1" si="108"/>
        <v>0</v>
      </c>
      <c r="AQ889" s="460" t="str">
        <f>IF(申込書!$C$38="","",申込書!$C$38)</f>
        <v/>
      </c>
    </row>
    <row r="890" spans="1:43">
      <c r="A890" s="463">
        <f t="shared" si="109"/>
        <v>889</v>
      </c>
      <c r="B890" s="463" t="str">
        <f t="shared" si="102"/>
        <v>東部</v>
      </c>
      <c r="C890" s="464" t="s">
        <v>1021</v>
      </c>
      <c r="D890" s="464" t="s">
        <v>857</v>
      </c>
      <c r="E890" s="464">
        <f>VLOOKUP(D890,★折込地区!$A$2:$D$10,4,FALSE)</f>
        <v>5</v>
      </c>
      <c r="F890" s="464" t="s">
        <v>516</v>
      </c>
      <c r="G890" s="464" t="str">
        <f>INDEX(★新聞!$E$4:$I$12, MATCH(LEFT(F890),★新聞!$A$4:$A$12,0), MATCH(LEFT(W890),★新聞!$E$3:$I$3,0))</f>
        <v>AP</v>
      </c>
      <c r="H890" s="475" t="s">
        <v>1126</v>
      </c>
      <c r="I890" s="464" cm="1">
        <f t="array" ref="I890">IFERROR(INDEX(★原価率!$A$2:$E$50,MATCH($C890&amp;$H890,★原価率!$A$2:$A$50&amp;★原価率!$B$2:$B$50,0),3),0)</f>
        <v>100</v>
      </c>
      <c r="J890" s="464" cm="1">
        <f t="array" ref="J890">IFERROR(INDEX(★原価率!$A$2:$E$50,MATCH($C890&amp;$H890,★原価率!$A$2:$A$50&amp;★原価率!$B$2:$B$50,0),4),0)</f>
        <v>100</v>
      </c>
      <c r="K890" s="464" cm="1">
        <f t="array" ref="K890">IFERROR(INDEX(★原価率!$A$2:$E$50,MATCH($C890&amp;$H890,★原価率!$A$2:$A$50&amp;★原価率!$B$2:$B$50,0),5),0)</f>
        <v>100</v>
      </c>
      <c r="L890" s="528">
        <f>IFERROR(VLOOKUP(W890,★商品!$A$1:$H$1231,8,FALSE),0)</f>
        <v>3</v>
      </c>
      <c r="M890" s="203" t="str">
        <f ca="1">CONCATENATE(VLOOKUP(B890,★営業所!$A$2:$B$5,2,FALSE),TEXT(NOW(),"yyyy"))</f>
        <v>T2023</v>
      </c>
      <c r="N890" s="203">
        <v>1</v>
      </c>
      <c r="O890" s="203">
        <v>0</v>
      </c>
      <c r="P890" s="213">
        <f>申込書!$B$6</f>
        <v>0</v>
      </c>
      <c r="Q890" s="203">
        <f>申込書!$C$34</f>
        <v>1000040</v>
      </c>
      <c r="R890" s="203">
        <v>0</v>
      </c>
      <c r="U890" s="203">
        <f>VLOOKUP(B890,★営業所!$A$2:$C$5,3,FALSE)</f>
        <v>8</v>
      </c>
      <c r="V890" s="203">
        <f>申込書!$B$9</f>
        <v>0</v>
      </c>
      <c r="W890" s="203" t="str">
        <f>CONCATENATE(VLOOKUP(B890,★営業所!$A$2:$B$5,2,FALSE),VLOOKUP(申込書!$C$32,★サイズ表記!$D$4:$E$55,2,FALSE),VLOOKUP(D890,★折込地区!$A$2:$B$11,2,FALSE))</f>
        <v>T1001Hmm</v>
      </c>
      <c r="X890" s="203" t="str">
        <f>CONCATENATE(申込書!$B$9," ",VLOOKUP(RIGHT(W890,3),★折込地区!$B$2:$C$10,2,FALSE),"")</f>
        <v xml:space="preserve"> 美方・村岡</v>
      </c>
      <c r="Z890" s="206">
        <f t="shared" ca="1" si="103"/>
        <v>0</v>
      </c>
      <c r="AB890" s="383">
        <f t="shared" si="104"/>
        <v>3</v>
      </c>
      <c r="AC890" s="203" t="str">
        <f t="shared" si="105"/>
        <v>V1001</v>
      </c>
      <c r="AD890" s="203" t="str">
        <f>VLOOKUP(AC890,★原価商品!$E$6:$F$349,2,FALSE)</f>
        <v>日経/B4（折り無し）</v>
      </c>
      <c r="AE890" s="203">
        <f t="shared" ca="1" si="106"/>
        <v>0</v>
      </c>
      <c r="AF890" s="383">
        <f>IFERROR(IF(VLOOKUP(申込書!$C$32,★サイズ表記!$F$4:$H$55,3,FALSE)="切り捨て",ROUNDDOWN(L890*IF(AK890="◎",I890,J890)/100,2),IF(VLOOKUP(申込書!$C$32,★サイズ表記!$F$4:$H$55,3,FALSE)="切り上げ",ROUNDUP(L890*IF(AK890="◎",I890,J890)/100,2),ROUND(L890*IF(AK890="◎",I890,J890)/100,2))),0)</f>
        <v>3</v>
      </c>
      <c r="AG890" s="203">
        <f t="shared" ca="1" si="107"/>
        <v>0</v>
      </c>
      <c r="AJ890" s="460" t="str">
        <f>IFERROR(VLOOKUP(申込書!$C$30,★業種!$D$2:$E$87,2,FALSE),"")</f>
        <v>1003</v>
      </c>
      <c r="AK890" s="460" t="str">
        <f>IF(申込書!$C$36="◎",IF(OR(D890="浜坂・温泉",D890="美方・村岡",D890="香住",D890="岡山",D890="大阪"),"",IF(LEFT(F890)="D","◎",IF(AG890=0,"",IFERROR(IF(VLOOKUP(AG890,★仕入先!$A$2:$C$211,3,FALSE)=0,"","◎"),"")))),"")</f>
        <v/>
      </c>
      <c r="AL890" s="460">
        <f>申込書!$H$14</f>
        <v>0</v>
      </c>
      <c r="AM890" s="460" t="str">
        <f>申込書!$C$32</f>
        <v>B4（折り無し）</v>
      </c>
      <c r="AN890" s="460" t="str">
        <f>VLOOKUP(AM890,★サイズ表記!$D$4:$E$55,2,FALSE)</f>
        <v>1001</v>
      </c>
      <c r="AO890" s="460">
        <f>IF(C890&lt;&gt;"⑧兵庫",VLOOKUP(LEFT(F890),★新聞!$A$4:$B$12,2,FALSE),IF(LEFT(F890)&lt;&gt;"S",VLOOKUP(LEFT(F890),★新聞!$A$4:$B$12,2,FALSE),VLOOKUP("X",★新聞!$A$4:$B$12,2,FALSE)))</f>
        <v>7</v>
      </c>
      <c r="AP890" s="460" t="str">
        <f t="shared" ca="1" si="108"/>
        <v>0</v>
      </c>
      <c r="AQ890" s="460" t="str">
        <f>IF(申込書!$C$38="","",申込書!$C$38)</f>
        <v/>
      </c>
    </row>
    <row r="891" spans="1:43">
      <c r="A891" s="463">
        <f t="shared" si="109"/>
        <v>890</v>
      </c>
      <c r="B891" s="463" t="str">
        <f t="shared" si="102"/>
        <v>東部</v>
      </c>
      <c r="C891" s="464" t="s">
        <v>1021</v>
      </c>
      <c r="D891" s="464" t="s">
        <v>857</v>
      </c>
      <c r="E891" s="464">
        <f>VLOOKUP(D891,★折込地区!$A$2:$D$10,4,FALSE)</f>
        <v>5</v>
      </c>
      <c r="F891" s="464" t="s">
        <v>517</v>
      </c>
      <c r="G891" s="464" t="str">
        <f>INDEX(★新聞!$E$4:$I$12, MATCH(LEFT(F891),★新聞!$A$4:$A$12,0), MATCH(LEFT(W891),★新聞!$E$3:$I$3,0))</f>
        <v>AP</v>
      </c>
      <c r="H891" s="475" t="s">
        <v>1126</v>
      </c>
      <c r="I891" s="464" cm="1">
        <f t="array" ref="I891">IFERROR(INDEX(★原価率!$A$2:$E$50,MATCH($C891&amp;$H891,★原価率!$A$2:$A$50&amp;★原価率!$B$2:$B$50,0),3),0)</f>
        <v>100</v>
      </c>
      <c r="J891" s="464" cm="1">
        <f t="array" ref="J891">IFERROR(INDEX(★原価率!$A$2:$E$50,MATCH($C891&amp;$H891,★原価率!$A$2:$A$50&amp;★原価率!$B$2:$B$50,0),4),0)</f>
        <v>100</v>
      </c>
      <c r="K891" s="464" cm="1">
        <f t="array" ref="K891">IFERROR(INDEX(★原価率!$A$2:$E$50,MATCH($C891&amp;$H891,★原価率!$A$2:$A$50&amp;★原価率!$B$2:$B$50,0),5),0)</f>
        <v>100</v>
      </c>
      <c r="L891" s="528">
        <f>IFERROR(VLOOKUP(W891,★商品!$A$1:$H$1231,8,FALSE),0)</f>
        <v>3</v>
      </c>
      <c r="M891" s="203" t="str">
        <f ca="1">CONCATENATE(VLOOKUP(B891,★営業所!$A$2:$B$5,2,FALSE),TEXT(NOW(),"yyyy"))</f>
        <v>T2023</v>
      </c>
      <c r="N891" s="203">
        <v>1</v>
      </c>
      <c r="O891" s="203">
        <v>0</v>
      </c>
      <c r="P891" s="213">
        <f>申込書!$B$6</f>
        <v>0</v>
      </c>
      <c r="Q891" s="203">
        <f>申込書!$C$34</f>
        <v>1000040</v>
      </c>
      <c r="R891" s="203">
        <v>0</v>
      </c>
      <c r="U891" s="203">
        <f>VLOOKUP(B891,★営業所!$A$2:$C$5,3,FALSE)</f>
        <v>8</v>
      </c>
      <c r="V891" s="203">
        <f>申込書!$B$9</f>
        <v>0</v>
      </c>
      <c r="W891" s="203" t="str">
        <f>CONCATENATE(VLOOKUP(B891,★営業所!$A$2:$B$5,2,FALSE),VLOOKUP(申込書!$C$32,★サイズ表記!$D$4:$E$55,2,FALSE),VLOOKUP(D891,★折込地区!$A$2:$B$11,2,FALSE))</f>
        <v>T1001Hmm</v>
      </c>
      <c r="X891" s="203" t="str">
        <f>CONCATENATE(申込書!$B$9," ",VLOOKUP(RIGHT(W891,3),★折込地区!$B$2:$C$10,2,FALSE),"")</f>
        <v xml:space="preserve"> 美方・村岡</v>
      </c>
      <c r="Z891" s="206">
        <f t="shared" ca="1" si="103"/>
        <v>0</v>
      </c>
      <c r="AB891" s="383">
        <f t="shared" si="104"/>
        <v>3</v>
      </c>
      <c r="AC891" s="203" t="str">
        <f t="shared" si="105"/>
        <v>V1001</v>
      </c>
      <c r="AD891" s="203" t="str">
        <f>VLOOKUP(AC891,★原価商品!$E$6:$F$349,2,FALSE)</f>
        <v>日経/B4（折り無し）</v>
      </c>
      <c r="AE891" s="203">
        <f t="shared" ca="1" si="106"/>
        <v>0</v>
      </c>
      <c r="AF891" s="383">
        <f>IFERROR(IF(VLOOKUP(申込書!$C$32,★サイズ表記!$F$4:$H$55,3,FALSE)="切り捨て",ROUNDDOWN(L891*IF(AK891="◎",I891,J891)/100,2),IF(VLOOKUP(申込書!$C$32,★サイズ表記!$F$4:$H$55,3,FALSE)="切り上げ",ROUNDUP(L891*IF(AK891="◎",I891,J891)/100,2),ROUND(L891*IF(AK891="◎",I891,J891)/100,2))),0)</f>
        <v>3</v>
      </c>
      <c r="AG891" s="203">
        <f t="shared" ca="1" si="107"/>
        <v>0</v>
      </c>
      <c r="AJ891" s="460" t="str">
        <f>IFERROR(VLOOKUP(申込書!$C$30,★業種!$D$2:$E$87,2,FALSE),"")</f>
        <v>1003</v>
      </c>
      <c r="AK891" s="460" t="str">
        <f>IF(申込書!$C$36="◎",IF(OR(D891="浜坂・温泉",D891="美方・村岡",D891="香住",D891="岡山",D891="大阪"),"",IF(LEFT(F891)="D","◎",IF(AG891=0,"",IFERROR(IF(VLOOKUP(AG891,★仕入先!$A$2:$C$211,3,FALSE)=0,"","◎"),"")))),"")</f>
        <v/>
      </c>
      <c r="AL891" s="460">
        <f>申込書!$H$14</f>
        <v>0</v>
      </c>
      <c r="AM891" s="460" t="str">
        <f>申込書!$C$32</f>
        <v>B4（折り無し）</v>
      </c>
      <c r="AN891" s="460" t="str">
        <f>VLOOKUP(AM891,★サイズ表記!$D$4:$E$55,2,FALSE)</f>
        <v>1001</v>
      </c>
      <c r="AO891" s="460">
        <f>IF(C891&lt;&gt;"⑧兵庫",VLOOKUP(LEFT(F891),★新聞!$A$4:$B$12,2,FALSE),IF(LEFT(F891)&lt;&gt;"S",VLOOKUP(LEFT(F891),★新聞!$A$4:$B$12,2,FALSE),VLOOKUP("X",★新聞!$A$4:$B$12,2,FALSE)))</f>
        <v>7</v>
      </c>
      <c r="AP891" s="460" t="str">
        <f t="shared" ca="1" si="108"/>
        <v>0</v>
      </c>
      <c r="AQ891" s="460" t="str">
        <f>IF(申込書!$C$38="","",申込書!$C$38)</f>
        <v/>
      </c>
    </row>
    <row r="892" spans="1:43">
      <c r="A892" s="463">
        <f t="shared" si="109"/>
        <v>891</v>
      </c>
      <c r="B892" s="463" t="str">
        <f t="shared" si="102"/>
        <v>東部</v>
      </c>
      <c r="C892" s="464" t="s">
        <v>1021</v>
      </c>
      <c r="D892" s="464" t="s">
        <v>857</v>
      </c>
      <c r="E892" s="464">
        <f>VLOOKUP(D892,★折込地区!$A$2:$D$10,4,FALSE)</f>
        <v>5</v>
      </c>
      <c r="F892" s="464" t="s">
        <v>518</v>
      </c>
      <c r="G892" s="464" t="str">
        <f>INDEX(★新聞!$E$4:$I$12, MATCH(LEFT(F892),★新聞!$A$4:$A$12,0), MATCH(LEFT(W892),★新聞!$E$3:$I$3,0))</f>
        <v>AP</v>
      </c>
      <c r="H892" s="475" t="s">
        <v>1125</v>
      </c>
      <c r="I892" s="464" cm="1">
        <f t="array" ref="I892">IFERROR(INDEX(★原価率!$A$2:$E$50,MATCH($C892&amp;$H892,★原価率!$A$2:$A$50&amp;★原価率!$B$2:$B$50,0),3),0)</f>
        <v>100</v>
      </c>
      <c r="J892" s="464" cm="1">
        <f t="array" ref="J892">IFERROR(INDEX(★原価率!$A$2:$E$50,MATCH($C892&amp;$H892,★原価率!$A$2:$A$50&amp;★原価率!$B$2:$B$50,0),4),0)</f>
        <v>100</v>
      </c>
      <c r="K892" s="464" cm="1">
        <f t="array" ref="K892">IFERROR(INDEX(★原価率!$A$2:$E$50,MATCH($C892&amp;$H892,★原価率!$A$2:$A$50&amp;★原価率!$B$2:$B$50,0),5),0)</f>
        <v>100</v>
      </c>
      <c r="L892" s="528">
        <f>IFERROR(VLOOKUP(W892,★商品!$A$1:$H$1231,8,FALSE),0)</f>
        <v>3</v>
      </c>
      <c r="M892" s="203" t="str">
        <f ca="1">CONCATENATE(VLOOKUP(B892,★営業所!$A$2:$B$5,2,FALSE),TEXT(NOW(),"yyyy"))</f>
        <v>T2023</v>
      </c>
      <c r="N892" s="203">
        <v>1</v>
      </c>
      <c r="O892" s="203">
        <v>0</v>
      </c>
      <c r="P892" s="213">
        <f>申込書!$B$6</f>
        <v>0</v>
      </c>
      <c r="Q892" s="203">
        <f>申込書!$C$34</f>
        <v>1000040</v>
      </c>
      <c r="R892" s="203">
        <v>0</v>
      </c>
      <c r="U892" s="203">
        <f>VLOOKUP(B892,★営業所!$A$2:$C$5,3,FALSE)</f>
        <v>8</v>
      </c>
      <c r="V892" s="203">
        <f>申込書!$B$9</f>
        <v>0</v>
      </c>
      <c r="W892" s="203" t="str">
        <f>CONCATENATE(VLOOKUP(B892,★営業所!$A$2:$B$5,2,FALSE),VLOOKUP(申込書!$C$32,★サイズ表記!$D$4:$E$55,2,FALSE),VLOOKUP(D892,★折込地区!$A$2:$B$11,2,FALSE))</f>
        <v>T1001Hmm</v>
      </c>
      <c r="X892" s="203" t="str">
        <f>CONCATENATE(申込書!$B$9," ",VLOOKUP(RIGHT(W892,3),★折込地区!$B$2:$C$10,2,FALSE),"")</f>
        <v xml:space="preserve"> 美方・村岡</v>
      </c>
      <c r="Z892" s="206">
        <f t="shared" ca="1" si="103"/>
        <v>0</v>
      </c>
      <c r="AB892" s="383">
        <f t="shared" si="104"/>
        <v>3</v>
      </c>
      <c r="AC892" s="203" t="str">
        <f t="shared" si="105"/>
        <v>V1001</v>
      </c>
      <c r="AD892" s="203" t="str">
        <f>VLOOKUP(AC892,★原価商品!$E$6:$F$349,2,FALSE)</f>
        <v>日経/B4（折り無し）</v>
      </c>
      <c r="AE892" s="203">
        <f t="shared" ca="1" si="106"/>
        <v>0</v>
      </c>
      <c r="AF892" s="383">
        <f>IFERROR(IF(VLOOKUP(申込書!$C$32,★サイズ表記!$F$4:$H$55,3,FALSE)="切り捨て",ROUNDDOWN(L892*IF(AK892="◎",I892,J892)/100,2),IF(VLOOKUP(申込書!$C$32,★サイズ表記!$F$4:$H$55,3,FALSE)="切り上げ",ROUNDUP(L892*IF(AK892="◎",I892,J892)/100,2),ROUND(L892*IF(AK892="◎",I892,J892)/100,2))),0)</f>
        <v>3</v>
      </c>
      <c r="AG892" s="203">
        <f t="shared" ca="1" si="107"/>
        <v>10527</v>
      </c>
      <c r="AJ892" s="460" t="str">
        <f>IFERROR(VLOOKUP(申込書!$C$30,★業種!$D$2:$E$87,2,FALSE),"")</f>
        <v>1003</v>
      </c>
      <c r="AK892" s="460" t="str">
        <f>IF(申込書!$C$36="◎",IF(OR(D892="浜坂・温泉",D892="美方・村岡",D892="香住",D892="岡山",D892="大阪"),"",IF(LEFT(F892)="D","◎",IF(AG892=0,"",IFERROR(IF(VLOOKUP(AG892,★仕入先!$A$2:$C$211,3,FALSE)=0,"","◎"),"")))),"")</f>
        <v/>
      </c>
      <c r="AL892" s="460">
        <f>申込書!$H$14</f>
        <v>0</v>
      </c>
      <c r="AM892" s="460" t="str">
        <f>申込書!$C$32</f>
        <v>B4（折り無し）</v>
      </c>
      <c r="AN892" s="460" t="str">
        <f>VLOOKUP(AM892,★サイズ表記!$D$4:$E$55,2,FALSE)</f>
        <v>1001</v>
      </c>
      <c r="AO892" s="460">
        <f>IF(C892&lt;&gt;"⑧兵庫",VLOOKUP(LEFT(F892),★新聞!$A$4:$B$12,2,FALSE),IF(LEFT(F892)&lt;&gt;"S",VLOOKUP(LEFT(F892),★新聞!$A$4:$B$12,2,FALSE),VLOOKUP("X",★新聞!$A$4:$B$12,2,FALSE)))</f>
        <v>7</v>
      </c>
      <c r="AP892" s="460" t="str">
        <f t="shared" ca="1" si="108"/>
        <v>0</v>
      </c>
      <c r="AQ892" s="460" t="str">
        <f>IF(申込書!$C$38="","",申込書!$C$38)</f>
        <v/>
      </c>
    </row>
    <row r="893" spans="1:43">
      <c r="A893" s="463">
        <f t="shared" si="109"/>
        <v>892</v>
      </c>
      <c r="B893" s="463" t="str">
        <f t="shared" si="102"/>
        <v>東部</v>
      </c>
      <c r="C893" s="464" t="s">
        <v>1021</v>
      </c>
      <c r="D893" s="464" t="s">
        <v>38</v>
      </c>
      <c r="E893" s="464">
        <f>VLOOKUP(D893,★折込地区!$A$2:$D$10,4,FALSE)</f>
        <v>6</v>
      </c>
      <c r="F893" s="464" t="s">
        <v>519</v>
      </c>
      <c r="G893" s="464" t="str">
        <f>INDEX(★新聞!$E$4:$I$12, MATCH(LEFT(F893),★新聞!$A$4:$A$12,0), MATCH(LEFT(W893),★新聞!$E$3:$I$3,0))</f>
        <v>AP</v>
      </c>
      <c r="H893" s="475" t="s">
        <v>1125</v>
      </c>
      <c r="I893" s="464" cm="1">
        <f t="array" ref="I893">IFERROR(INDEX(★原価率!$A$2:$E$50,MATCH($C893&amp;$H893,★原価率!$A$2:$A$50&amp;★原価率!$B$2:$B$50,0),3),0)</f>
        <v>100</v>
      </c>
      <c r="J893" s="464" cm="1">
        <f t="array" ref="J893">IFERROR(INDEX(★原価率!$A$2:$E$50,MATCH($C893&amp;$H893,★原価率!$A$2:$A$50&amp;★原価率!$B$2:$B$50,0),4),0)</f>
        <v>100</v>
      </c>
      <c r="K893" s="464" cm="1">
        <f t="array" ref="K893">IFERROR(INDEX(★原価率!$A$2:$E$50,MATCH($C893&amp;$H893,★原価率!$A$2:$A$50&amp;★原価率!$B$2:$B$50,0),5),0)</f>
        <v>100</v>
      </c>
      <c r="L893" s="528">
        <f>IFERROR(VLOOKUP(W893,★商品!$A$1:$H$1231,8,FALSE),0)</f>
        <v>3</v>
      </c>
      <c r="M893" s="203" t="str">
        <f ca="1">CONCATENATE(VLOOKUP(B893,★営業所!$A$2:$B$5,2,FALSE),TEXT(NOW(),"yyyy"))</f>
        <v>T2023</v>
      </c>
      <c r="N893" s="203">
        <v>1</v>
      </c>
      <c r="O893" s="203">
        <v>0</v>
      </c>
      <c r="P893" s="213">
        <f>申込書!$B$6</f>
        <v>0</v>
      </c>
      <c r="Q893" s="203">
        <f>申込書!$C$34</f>
        <v>1000040</v>
      </c>
      <c r="R893" s="203">
        <v>0</v>
      </c>
      <c r="U893" s="203">
        <f>VLOOKUP(B893,★営業所!$A$2:$C$5,3,FALSE)</f>
        <v>8</v>
      </c>
      <c r="V893" s="203">
        <f>申込書!$B$9</f>
        <v>0</v>
      </c>
      <c r="W893" s="203" t="str">
        <f>CONCATENATE(VLOOKUP(B893,★営業所!$A$2:$B$5,2,FALSE),VLOOKUP(申込書!$C$32,★サイズ表記!$D$4:$E$55,2,FALSE),VLOOKUP(D893,★折込地区!$A$2:$B$11,2,FALSE))</f>
        <v>T1001Hks</v>
      </c>
      <c r="X893" s="203" t="str">
        <f>CONCATENATE(申込書!$B$9," ",VLOOKUP(RIGHT(W893,3),★折込地区!$B$2:$C$10,2,FALSE),"")</f>
        <v xml:space="preserve"> 香住</v>
      </c>
      <c r="Z893" s="206">
        <f t="shared" ca="1" si="103"/>
        <v>0</v>
      </c>
      <c r="AB893" s="383">
        <f t="shared" si="104"/>
        <v>3</v>
      </c>
      <c r="AC893" s="203" t="str">
        <f t="shared" si="105"/>
        <v>V1001</v>
      </c>
      <c r="AD893" s="203" t="str">
        <f>VLOOKUP(AC893,★原価商品!$E$6:$F$349,2,FALSE)</f>
        <v>日経/B4（折り無し）</v>
      </c>
      <c r="AE893" s="203">
        <f t="shared" ca="1" si="106"/>
        <v>0</v>
      </c>
      <c r="AF893" s="383">
        <f>IFERROR(IF(VLOOKUP(申込書!$C$32,★サイズ表記!$F$4:$H$55,3,FALSE)="切り捨て",ROUNDDOWN(L893*IF(AK893="◎",I893,J893)/100,2),IF(VLOOKUP(申込書!$C$32,★サイズ表記!$F$4:$H$55,3,FALSE)="切り上げ",ROUNDUP(L893*IF(AK893="◎",I893,J893)/100,2),ROUND(L893*IF(AK893="◎",I893,J893)/100,2))),0)</f>
        <v>3</v>
      </c>
      <c r="AG893" s="203">
        <f t="shared" ca="1" si="107"/>
        <v>10528</v>
      </c>
      <c r="AJ893" s="460" t="str">
        <f>IFERROR(VLOOKUP(申込書!$C$30,★業種!$D$2:$E$87,2,FALSE),"")</f>
        <v>1003</v>
      </c>
      <c r="AK893" s="460" t="str">
        <f>IF(申込書!$C$36="◎",IF(OR(D893="浜坂・温泉",D893="美方・村岡",D893="香住",D893="岡山",D893="大阪"),"",IF(LEFT(F893)="D","◎",IF(AG893=0,"",IFERROR(IF(VLOOKUP(AG893,★仕入先!$A$2:$C$211,3,FALSE)=0,"","◎"),"")))),"")</f>
        <v/>
      </c>
      <c r="AL893" s="460">
        <f>申込書!$H$14</f>
        <v>0</v>
      </c>
      <c r="AM893" s="460" t="str">
        <f>申込書!$C$32</f>
        <v>B4（折り無し）</v>
      </c>
      <c r="AN893" s="460" t="str">
        <f>VLOOKUP(AM893,★サイズ表記!$D$4:$E$55,2,FALSE)</f>
        <v>1001</v>
      </c>
      <c r="AO893" s="460">
        <f>IF(C893&lt;&gt;"⑧兵庫",VLOOKUP(LEFT(F893),★新聞!$A$4:$B$12,2,FALSE),IF(LEFT(F893)&lt;&gt;"S",VLOOKUP(LEFT(F893),★新聞!$A$4:$B$12,2,FALSE),VLOOKUP("X",★新聞!$A$4:$B$12,2,FALSE)))</f>
        <v>7</v>
      </c>
      <c r="AP893" s="460" t="str">
        <f t="shared" ca="1" si="108"/>
        <v>0</v>
      </c>
      <c r="AQ893" s="460" t="str">
        <f>IF(申込書!$C$38="","",申込書!$C$38)</f>
        <v/>
      </c>
    </row>
    <row r="894" spans="1:43">
      <c r="A894" s="463">
        <f t="shared" si="109"/>
        <v>893</v>
      </c>
      <c r="B894" s="463" t="str">
        <f t="shared" ref="B894:B976" si="110">$B$2</f>
        <v>東部</v>
      </c>
      <c r="C894" s="464" t="s">
        <v>1244</v>
      </c>
      <c r="D894" s="464" t="s">
        <v>1242</v>
      </c>
      <c r="E894" s="464">
        <f>VLOOKUP(D894,★折込地区!$A$2:$D$10,4,FALSE)</f>
        <v>9</v>
      </c>
      <c r="F894" s="464" t="s">
        <v>362</v>
      </c>
      <c r="G894" s="464" t="str">
        <f>INDEX(★新聞!$E$4:$I$12, MATCH(LEFT(F894),★新聞!$A$4:$A$12,0), MATCH(LEFT(W894),★新聞!$E$3:$I$3,0))</f>
        <v>X</v>
      </c>
      <c r="H894" s="475" t="s">
        <v>1247</v>
      </c>
      <c r="I894" s="464" cm="1">
        <f t="array" ref="I894">IFERROR(INDEX(★原価率!$A$2:$E$50,MATCH($C894&amp;$H894,★原価率!$A$2:$A$50&amp;★原価率!$B$2:$B$50,0),3),0)</f>
        <v>50</v>
      </c>
      <c r="J894" s="464" cm="1">
        <f t="array" ref="J894">IFERROR(INDEX(★原価率!$A$2:$E$50,MATCH($C894&amp;$H894,★原価率!$A$2:$A$50&amp;★原価率!$B$2:$B$50,0),4),0)</f>
        <v>50</v>
      </c>
      <c r="K894" s="464" cm="1">
        <f t="array" ref="K894">IFERROR(INDEX(★原価率!$A$2:$E$50,MATCH($C894&amp;$H894,★原価率!$A$2:$A$50&amp;★原価率!$B$2:$B$50,0),5),0)</f>
        <v>85</v>
      </c>
      <c r="L894" s="528">
        <f>IFERROR(VLOOKUP(W894,★商品!$A$1:$H$1231,8,FALSE),0)</f>
        <v>0</v>
      </c>
      <c r="M894" s="203" t="str">
        <f ca="1">CONCATENATE(VLOOKUP(B894,★営業所!$A$2:$B$5,2,FALSE),TEXT(NOW(),"yyyy"))</f>
        <v>T2023</v>
      </c>
      <c r="N894" s="203">
        <v>1</v>
      </c>
      <c r="O894" s="203">
        <v>0</v>
      </c>
      <c r="P894" s="213">
        <f>申込書!$B$6</f>
        <v>0</v>
      </c>
      <c r="Q894" s="203">
        <f>申込書!$C$34</f>
        <v>1000040</v>
      </c>
      <c r="R894" s="203">
        <v>0</v>
      </c>
      <c r="U894" s="203">
        <f>VLOOKUP(B894,★営業所!$A$2:$C$5,3,FALSE)</f>
        <v>8</v>
      </c>
      <c r="V894" s="203">
        <f>申込書!$B$9</f>
        <v>0</v>
      </c>
      <c r="W894" s="203" t="str">
        <f>CONCATENATE(VLOOKUP(B894,★営業所!$A$2:$B$5,2,FALSE),VLOOKUP(申込書!$C$32,★サイズ表記!$D$4:$E$55,2,FALSE),VLOOKUP(D894,★折込地区!$A$2:$B$11,2,FALSE))</f>
        <v>T1001Osk</v>
      </c>
      <c r="X894" s="203" t="str">
        <f>CONCATENATE(申込書!$B$9," ",VLOOKUP(RIGHT(W894,3),★折込地区!$B$2:$C$10,2,FALSE),"")</f>
        <v xml:space="preserve"> 大阪</v>
      </c>
      <c r="Z894" s="206">
        <f t="shared" ca="1" si="103"/>
        <v>0</v>
      </c>
      <c r="AB894" s="383">
        <f t="shared" si="104"/>
        <v>0</v>
      </c>
      <c r="AC894" s="203" t="str">
        <f t="shared" si="105"/>
        <v>D1001</v>
      </c>
      <c r="AD894" s="203" t="str">
        <f>VLOOKUP(AC894,★原価商品!$E$6:$F$349,2,FALSE)</f>
        <v>日本海/B4（折り無し）</v>
      </c>
      <c r="AE894" s="203">
        <f t="shared" ca="1" si="106"/>
        <v>0</v>
      </c>
      <c r="AF894" s="383">
        <f>IFERROR(IF(VLOOKUP(申込書!$C$32,★サイズ表記!$F$4:$H$55,3,FALSE)="切り捨て",ROUNDDOWN(L894*IF(AK894="◎",I894,J894)/100,2),IF(VLOOKUP(申込書!$C$32,★サイズ表記!$F$4:$H$55,3,FALSE)="切り上げ",ROUNDUP(L894*IF(AK894="◎",I894,J894)/100,2),ROUND(L894*IF(AK894="◎",I894,J894)/100,2))),0)</f>
        <v>0</v>
      </c>
      <c r="AG894" s="203">
        <f t="shared" ca="1" si="107"/>
        <v>0</v>
      </c>
      <c r="AJ894" s="460" t="str">
        <f>IFERROR(VLOOKUP(申込書!$C$30,★業種!$D$2:$E$87,2,FALSE),"")</f>
        <v>1003</v>
      </c>
      <c r="AK894" s="460" t="str">
        <f>IF(申込書!$C$36="◎",IF(OR(D894="浜坂・温泉",D894="美方・村岡",D894="香住",D894="岡山",D894="大阪"),"",IF(LEFT(F894)="D","◎",IF(AG894=0,"",IFERROR(IF(VLOOKUP(AG894,★仕入先!$A$2:$C$211,3,FALSE)=0,"","◎"),"")))),"")</f>
        <v/>
      </c>
      <c r="AL894" s="460">
        <f>申込書!$H$14</f>
        <v>0</v>
      </c>
      <c r="AM894" s="460" t="str">
        <f>申込書!$C$32</f>
        <v>B4（折り無し）</v>
      </c>
      <c r="AN894" s="460" t="str">
        <f>VLOOKUP(AM894,★サイズ表記!$D$4:$E$55,2,FALSE)</f>
        <v>1001</v>
      </c>
      <c r="AO894" s="460">
        <f>IF(C894&lt;&gt;"⑧兵庫",VLOOKUP(LEFT(F894),★新聞!$A$4:$B$12,2,FALSE),IF(LEFT(F894)&lt;&gt;"S",VLOOKUP(LEFT(F894),★新聞!$A$4:$B$12,2,FALSE),VLOOKUP("X",★新聞!$A$4:$B$12,2,FALSE)))</f>
        <v>1</v>
      </c>
      <c r="AP894" s="460" t="str">
        <f t="shared" ca="1" si="108"/>
        <v>0</v>
      </c>
      <c r="AQ894" s="460" t="str">
        <f>IF(申込書!$C$38="","",申込書!$C$38)</f>
        <v/>
      </c>
    </row>
    <row r="895" spans="1:43">
      <c r="A895" s="463">
        <f t="shared" si="109"/>
        <v>894</v>
      </c>
      <c r="B895" s="463" t="str">
        <f t="shared" si="110"/>
        <v>東部</v>
      </c>
      <c r="C895" s="464" t="s">
        <v>1244</v>
      </c>
      <c r="D895" s="464" t="s">
        <v>1242</v>
      </c>
      <c r="E895" s="464">
        <f>VLOOKUP(D895,★折込地区!$A$2:$D$10,4,FALSE)</f>
        <v>9</v>
      </c>
      <c r="F895" s="464" t="s">
        <v>385</v>
      </c>
      <c r="G895" s="464" t="str">
        <f>INDEX(★新聞!$E$4:$I$12, MATCH(LEFT(F895),★新聞!$A$4:$A$12,0), MATCH(LEFT(W895),★新聞!$E$3:$I$3,0))</f>
        <v>X</v>
      </c>
      <c r="H895" s="475" t="s">
        <v>1247</v>
      </c>
      <c r="I895" s="464" cm="1">
        <f t="array" ref="I895">IFERROR(INDEX(★原価率!$A$2:$E$50,MATCH($C895&amp;$H895,★原価率!$A$2:$A$50&amp;★原価率!$B$2:$B$50,0),3),0)</f>
        <v>50</v>
      </c>
      <c r="J895" s="464" cm="1">
        <f t="array" ref="J895">IFERROR(INDEX(★原価率!$A$2:$E$50,MATCH($C895&amp;$H895,★原価率!$A$2:$A$50&amp;★原価率!$B$2:$B$50,0),4),0)</f>
        <v>50</v>
      </c>
      <c r="K895" s="464" cm="1">
        <f t="array" ref="K895">IFERROR(INDEX(★原価率!$A$2:$E$50,MATCH($C895&amp;$H895,★原価率!$A$2:$A$50&amp;★原価率!$B$2:$B$50,0),5),0)</f>
        <v>85</v>
      </c>
      <c r="L895" s="528">
        <f>IFERROR(VLOOKUP(W895,★商品!$A$1:$H$1231,8,FALSE),0)</f>
        <v>0</v>
      </c>
      <c r="M895" s="203" t="str">
        <f ca="1">CONCATENATE(VLOOKUP(B895,★営業所!$A$2:$B$5,2,FALSE),TEXT(NOW(),"yyyy"))</f>
        <v>T2023</v>
      </c>
      <c r="N895" s="203">
        <v>1</v>
      </c>
      <c r="O895" s="203">
        <v>0</v>
      </c>
      <c r="P895" s="213">
        <f>申込書!$B$6</f>
        <v>0</v>
      </c>
      <c r="Q895" s="203">
        <f>申込書!$C$34</f>
        <v>1000040</v>
      </c>
      <c r="R895" s="203">
        <v>0</v>
      </c>
      <c r="U895" s="203">
        <f>VLOOKUP(B895,★営業所!$A$2:$C$5,3,FALSE)</f>
        <v>8</v>
      </c>
      <c r="V895" s="203">
        <f>申込書!$B$9</f>
        <v>0</v>
      </c>
      <c r="W895" s="203" t="str">
        <f>CONCATENATE(VLOOKUP(B895,★営業所!$A$2:$B$5,2,FALSE),VLOOKUP(申込書!$C$32,★サイズ表記!$D$4:$E$55,2,FALSE),VLOOKUP(D895,★折込地区!$A$2:$B$11,2,FALSE))</f>
        <v>T1001Osk</v>
      </c>
      <c r="X895" s="203" t="str">
        <f>CONCATENATE(申込書!$B$9," ",VLOOKUP(RIGHT(W895,3),★折込地区!$B$2:$C$10,2,FALSE),"")</f>
        <v xml:space="preserve"> 大阪</v>
      </c>
      <c r="Z895" s="206">
        <f t="shared" ca="1" si="103"/>
        <v>0</v>
      </c>
      <c r="AB895" s="383">
        <f t="shared" si="104"/>
        <v>0</v>
      </c>
      <c r="AC895" s="203" t="str">
        <f t="shared" si="105"/>
        <v>D1001</v>
      </c>
      <c r="AD895" s="203" t="str">
        <f>VLOOKUP(AC895,★原価商品!$E$6:$F$349,2,FALSE)</f>
        <v>日本海/B4（折り無し）</v>
      </c>
      <c r="AE895" s="203">
        <f t="shared" ca="1" si="106"/>
        <v>0</v>
      </c>
      <c r="AF895" s="383">
        <f>IFERROR(IF(VLOOKUP(申込書!$C$32,★サイズ表記!$F$4:$H$55,3,FALSE)="切り捨て",ROUNDDOWN(L895*IF(AK895="◎",I895,J895)/100,2),IF(VLOOKUP(申込書!$C$32,★サイズ表記!$F$4:$H$55,3,FALSE)="切り上げ",ROUNDUP(L895*IF(AK895="◎",I895,J895)/100,2),ROUND(L895*IF(AK895="◎",I895,J895)/100,2))),0)</f>
        <v>0</v>
      </c>
      <c r="AG895" s="203">
        <f t="shared" ca="1" si="107"/>
        <v>0</v>
      </c>
      <c r="AJ895" s="460" t="str">
        <f>IFERROR(VLOOKUP(申込書!$C$30,★業種!$D$2:$E$87,2,FALSE),"")</f>
        <v>1003</v>
      </c>
      <c r="AK895" s="460" t="str">
        <f>IF(申込書!$C$36="◎",IF(OR(D895="浜坂・温泉",D895="美方・村岡",D895="香住",D895="岡山",D895="大阪"),"",IF(LEFT(F895)="D","◎",IF(AG895=0,"",IFERROR(IF(VLOOKUP(AG895,★仕入先!$A$2:$C$211,3,FALSE)=0,"","◎"),"")))),"")</f>
        <v/>
      </c>
      <c r="AL895" s="460">
        <f>申込書!$H$14</f>
        <v>0</v>
      </c>
      <c r="AM895" s="460" t="str">
        <f>申込書!$C$32</f>
        <v>B4（折り無し）</v>
      </c>
      <c r="AN895" s="460" t="str">
        <f>VLOOKUP(AM895,★サイズ表記!$D$4:$E$55,2,FALSE)</f>
        <v>1001</v>
      </c>
      <c r="AO895" s="460">
        <f>IF(C895&lt;&gt;"⑧兵庫",VLOOKUP(LEFT(F895),★新聞!$A$4:$B$12,2,FALSE),IF(LEFT(F895)&lt;&gt;"S",VLOOKUP(LEFT(F895),★新聞!$A$4:$B$12,2,FALSE),VLOOKUP("X",★新聞!$A$4:$B$12,2,FALSE)))</f>
        <v>1</v>
      </c>
      <c r="AP895" s="460" t="str">
        <f t="shared" ca="1" si="108"/>
        <v>0</v>
      </c>
      <c r="AQ895" s="460" t="str">
        <f>IF(申込書!$C$38="","",申込書!$C$38)</f>
        <v/>
      </c>
    </row>
    <row r="896" spans="1:43">
      <c r="A896" s="463">
        <f t="shared" si="109"/>
        <v>895</v>
      </c>
      <c r="B896" s="463" t="str">
        <f t="shared" si="110"/>
        <v>東部</v>
      </c>
      <c r="C896" s="464" t="s">
        <v>1244</v>
      </c>
      <c r="D896" s="464" t="s">
        <v>1242</v>
      </c>
      <c r="E896" s="464">
        <f>VLOOKUP(D896,★折込地区!$A$2:$D$10,4,FALSE)</f>
        <v>9</v>
      </c>
      <c r="F896" s="464" t="s">
        <v>386</v>
      </c>
      <c r="G896" s="464" t="str">
        <f>INDEX(★新聞!$E$4:$I$12, MATCH(LEFT(F896),★新聞!$A$4:$A$12,0), MATCH(LEFT(W896),★新聞!$E$3:$I$3,0))</f>
        <v>X</v>
      </c>
      <c r="H896" s="475" t="s">
        <v>1247</v>
      </c>
      <c r="I896" s="464" cm="1">
        <f t="array" ref="I896">IFERROR(INDEX(★原価率!$A$2:$E$50,MATCH($C896&amp;$H896,★原価率!$A$2:$A$50&amp;★原価率!$B$2:$B$50,0),3),0)</f>
        <v>50</v>
      </c>
      <c r="J896" s="464" cm="1">
        <f t="array" ref="J896">IFERROR(INDEX(★原価率!$A$2:$E$50,MATCH($C896&amp;$H896,★原価率!$A$2:$A$50&amp;★原価率!$B$2:$B$50,0),4),0)</f>
        <v>50</v>
      </c>
      <c r="K896" s="464" cm="1">
        <f t="array" ref="K896">IFERROR(INDEX(★原価率!$A$2:$E$50,MATCH($C896&amp;$H896,★原価率!$A$2:$A$50&amp;★原価率!$B$2:$B$50,0),5),0)</f>
        <v>85</v>
      </c>
      <c r="L896" s="528">
        <f>IFERROR(VLOOKUP(W896,★商品!$A$1:$H$1231,8,FALSE),0)</f>
        <v>0</v>
      </c>
      <c r="M896" s="203" t="str">
        <f ca="1">CONCATENATE(VLOOKUP(B896,★営業所!$A$2:$B$5,2,FALSE),TEXT(NOW(),"yyyy"))</f>
        <v>T2023</v>
      </c>
      <c r="N896" s="203">
        <v>1</v>
      </c>
      <c r="O896" s="203">
        <v>0</v>
      </c>
      <c r="P896" s="213">
        <f>申込書!$B$6</f>
        <v>0</v>
      </c>
      <c r="Q896" s="203">
        <f>申込書!$C$34</f>
        <v>1000040</v>
      </c>
      <c r="R896" s="203">
        <v>0</v>
      </c>
      <c r="U896" s="203">
        <f>VLOOKUP(B896,★営業所!$A$2:$C$5,3,FALSE)</f>
        <v>8</v>
      </c>
      <c r="V896" s="203">
        <f>申込書!$B$9</f>
        <v>0</v>
      </c>
      <c r="W896" s="203" t="str">
        <f>CONCATENATE(VLOOKUP(B896,★営業所!$A$2:$B$5,2,FALSE),VLOOKUP(申込書!$C$32,★サイズ表記!$D$4:$E$55,2,FALSE),VLOOKUP(D896,★折込地区!$A$2:$B$11,2,FALSE))</f>
        <v>T1001Osk</v>
      </c>
      <c r="X896" s="203" t="str">
        <f>CONCATENATE(申込書!$B$9," ",VLOOKUP(RIGHT(W896,3),★折込地区!$B$2:$C$10,2,FALSE),"")</f>
        <v xml:space="preserve"> 大阪</v>
      </c>
      <c r="Z896" s="206">
        <f t="shared" ca="1" si="103"/>
        <v>0</v>
      </c>
      <c r="AB896" s="383">
        <f t="shared" si="104"/>
        <v>0</v>
      </c>
      <c r="AC896" s="203" t="str">
        <f t="shared" si="105"/>
        <v>D1001</v>
      </c>
      <c r="AD896" s="203" t="str">
        <f>VLOOKUP(AC896,★原価商品!$E$6:$F$349,2,FALSE)</f>
        <v>日本海/B4（折り無し）</v>
      </c>
      <c r="AE896" s="203">
        <f t="shared" ca="1" si="106"/>
        <v>0</v>
      </c>
      <c r="AF896" s="383">
        <f>IFERROR(IF(VLOOKUP(申込書!$C$32,★サイズ表記!$F$4:$H$55,3,FALSE)="切り捨て",ROUNDDOWN(L896*IF(AK896="◎",I896,J896)/100,2),IF(VLOOKUP(申込書!$C$32,★サイズ表記!$F$4:$H$55,3,FALSE)="切り上げ",ROUNDUP(L896*IF(AK896="◎",I896,J896)/100,2),ROUND(L896*IF(AK896="◎",I896,J896)/100,2))),0)</f>
        <v>0</v>
      </c>
      <c r="AG896" s="203">
        <f t="shared" ca="1" si="107"/>
        <v>0</v>
      </c>
      <c r="AJ896" s="460" t="str">
        <f>IFERROR(VLOOKUP(申込書!$C$30,★業種!$D$2:$E$87,2,FALSE),"")</f>
        <v>1003</v>
      </c>
      <c r="AK896" s="460" t="str">
        <f>IF(申込書!$C$36="◎",IF(OR(D896="浜坂・温泉",D896="美方・村岡",D896="香住",D896="岡山",D896="大阪"),"",IF(LEFT(F896)="D","◎",IF(AG896=0,"",IFERROR(IF(VLOOKUP(AG896,★仕入先!$A$2:$C$211,3,FALSE)=0,"","◎"),"")))),"")</f>
        <v/>
      </c>
      <c r="AL896" s="460">
        <f>申込書!$H$14</f>
        <v>0</v>
      </c>
      <c r="AM896" s="460" t="str">
        <f>申込書!$C$32</f>
        <v>B4（折り無し）</v>
      </c>
      <c r="AN896" s="460" t="str">
        <f>VLOOKUP(AM896,★サイズ表記!$D$4:$E$55,2,FALSE)</f>
        <v>1001</v>
      </c>
      <c r="AO896" s="460">
        <f>IF(C896&lt;&gt;"⑧兵庫",VLOOKUP(LEFT(F896),★新聞!$A$4:$B$12,2,FALSE),IF(LEFT(F896)&lt;&gt;"S",VLOOKUP(LEFT(F896),★新聞!$A$4:$B$12,2,FALSE),VLOOKUP("X",★新聞!$A$4:$B$12,2,FALSE)))</f>
        <v>1</v>
      </c>
      <c r="AP896" s="460" t="str">
        <f t="shared" ca="1" si="108"/>
        <v>0</v>
      </c>
      <c r="AQ896" s="460" t="str">
        <f>IF(申込書!$C$38="","",申込書!$C$38)</f>
        <v/>
      </c>
    </row>
    <row r="897" spans="1:43">
      <c r="A897" s="463">
        <f t="shared" si="109"/>
        <v>896</v>
      </c>
      <c r="B897" s="463" t="str">
        <f t="shared" si="110"/>
        <v>東部</v>
      </c>
      <c r="C897" s="464" t="s">
        <v>1244</v>
      </c>
      <c r="D897" s="464" t="s">
        <v>1242</v>
      </c>
      <c r="E897" s="464">
        <f>VLOOKUP(D897,★折込地区!$A$2:$D$10,4,FALSE)</f>
        <v>9</v>
      </c>
      <c r="F897" s="464" t="s">
        <v>387</v>
      </c>
      <c r="G897" s="464" t="str">
        <f>INDEX(★新聞!$E$4:$I$12, MATCH(LEFT(F897),★新聞!$A$4:$A$12,0), MATCH(LEFT(W897),★新聞!$E$3:$I$3,0))</f>
        <v>X</v>
      </c>
      <c r="H897" s="475" t="s">
        <v>1247</v>
      </c>
      <c r="I897" s="464" cm="1">
        <f t="array" ref="I897">IFERROR(INDEX(★原価率!$A$2:$E$50,MATCH($C897&amp;$H897,★原価率!$A$2:$A$50&amp;★原価率!$B$2:$B$50,0),3),0)</f>
        <v>50</v>
      </c>
      <c r="J897" s="464" cm="1">
        <f t="array" ref="J897">IFERROR(INDEX(★原価率!$A$2:$E$50,MATCH($C897&amp;$H897,★原価率!$A$2:$A$50&amp;★原価率!$B$2:$B$50,0),4),0)</f>
        <v>50</v>
      </c>
      <c r="K897" s="464" cm="1">
        <f t="array" ref="K897">IFERROR(INDEX(★原価率!$A$2:$E$50,MATCH($C897&amp;$H897,★原価率!$A$2:$A$50&amp;★原価率!$B$2:$B$50,0),5),0)</f>
        <v>85</v>
      </c>
      <c r="L897" s="528">
        <f>IFERROR(VLOOKUP(W897,★商品!$A$1:$H$1231,8,FALSE),0)</f>
        <v>0</v>
      </c>
      <c r="M897" s="203" t="str">
        <f ca="1">CONCATENATE(VLOOKUP(B897,★営業所!$A$2:$B$5,2,FALSE),TEXT(NOW(),"yyyy"))</f>
        <v>T2023</v>
      </c>
      <c r="N897" s="203">
        <v>1</v>
      </c>
      <c r="O897" s="203">
        <v>0</v>
      </c>
      <c r="P897" s="213">
        <f>申込書!$B$6</f>
        <v>0</v>
      </c>
      <c r="Q897" s="203">
        <f>申込書!$C$34</f>
        <v>1000040</v>
      </c>
      <c r="R897" s="203">
        <v>0</v>
      </c>
      <c r="U897" s="203">
        <f>VLOOKUP(B897,★営業所!$A$2:$C$5,3,FALSE)</f>
        <v>8</v>
      </c>
      <c r="V897" s="203">
        <f>申込書!$B$9</f>
        <v>0</v>
      </c>
      <c r="W897" s="203" t="str">
        <f>CONCATENATE(VLOOKUP(B897,★営業所!$A$2:$B$5,2,FALSE),VLOOKUP(申込書!$C$32,★サイズ表記!$D$4:$E$55,2,FALSE),VLOOKUP(D897,★折込地区!$A$2:$B$11,2,FALSE))</f>
        <v>T1001Osk</v>
      </c>
      <c r="X897" s="203" t="str">
        <f>CONCATENATE(申込書!$B$9," ",VLOOKUP(RIGHT(W897,3),★折込地区!$B$2:$C$10,2,FALSE),"")</f>
        <v xml:space="preserve"> 大阪</v>
      </c>
      <c r="Z897" s="206">
        <f t="shared" ca="1" si="103"/>
        <v>0</v>
      </c>
      <c r="AB897" s="383">
        <f t="shared" si="104"/>
        <v>0</v>
      </c>
      <c r="AC897" s="203" t="str">
        <f t="shared" si="105"/>
        <v>D1001</v>
      </c>
      <c r="AD897" s="203" t="str">
        <f>VLOOKUP(AC897,★原価商品!$E$6:$F$349,2,FALSE)</f>
        <v>日本海/B4（折り無し）</v>
      </c>
      <c r="AE897" s="203">
        <f t="shared" ca="1" si="106"/>
        <v>0</v>
      </c>
      <c r="AF897" s="383">
        <f>IFERROR(IF(VLOOKUP(申込書!$C$32,★サイズ表記!$F$4:$H$55,3,FALSE)="切り捨て",ROUNDDOWN(L897*IF(AK897="◎",I897,J897)/100,2),IF(VLOOKUP(申込書!$C$32,★サイズ表記!$F$4:$H$55,3,FALSE)="切り上げ",ROUNDUP(L897*IF(AK897="◎",I897,J897)/100,2),ROUND(L897*IF(AK897="◎",I897,J897)/100,2))),0)</f>
        <v>0</v>
      </c>
      <c r="AG897" s="203">
        <f t="shared" ca="1" si="107"/>
        <v>0</v>
      </c>
      <c r="AJ897" s="460" t="str">
        <f>IFERROR(VLOOKUP(申込書!$C$30,★業種!$D$2:$E$87,2,FALSE),"")</f>
        <v>1003</v>
      </c>
      <c r="AK897" s="460" t="str">
        <f>IF(申込書!$C$36="◎",IF(OR(D897="浜坂・温泉",D897="美方・村岡",D897="香住",D897="岡山",D897="大阪"),"",IF(LEFT(F897)="D","◎",IF(AG897=0,"",IFERROR(IF(VLOOKUP(AG897,★仕入先!$A$2:$C$211,3,FALSE)=0,"","◎"),"")))),"")</f>
        <v/>
      </c>
      <c r="AL897" s="460">
        <f>申込書!$H$14</f>
        <v>0</v>
      </c>
      <c r="AM897" s="460" t="str">
        <f>申込書!$C$32</f>
        <v>B4（折り無し）</v>
      </c>
      <c r="AN897" s="460" t="str">
        <f>VLOOKUP(AM897,★サイズ表記!$D$4:$E$55,2,FALSE)</f>
        <v>1001</v>
      </c>
      <c r="AO897" s="460">
        <f>IF(C897&lt;&gt;"⑧兵庫",VLOOKUP(LEFT(F897),★新聞!$A$4:$B$12,2,FALSE),IF(LEFT(F897)&lt;&gt;"S",VLOOKUP(LEFT(F897),★新聞!$A$4:$B$12,2,FALSE),VLOOKUP("X",★新聞!$A$4:$B$12,2,FALSE)))</f>
        <v>1</v>
      </c>
      <c r="AP897" s="460" t="str">
        <f t="shared" ca="1" si="108"/>
        <v>0</v>
      </c>
      <c r="AQ897" s="460" t="str">
        <f>IF(申込書!$C$38="","",申込書!$C$38)</f>
        <v/>
      </c>
    </row>
    <row r="898" spans="1:43">
      <c r="A898" s="463">
        <f t="shared" si="109"/>
        <v>897</v>
      </c>
      <c r="B898" s="463" t="str">
        <f t="shared" si="110"/>
        <v>東部</v>
      </c>
      <c r="C898" s="464" t="s">
        <v>1244</v>
      </c>
      <c r="D898" s="464" t="s">
        <v>1242</v>
      </c>
      <c r="E898" s="464">
        <f>VLOOKUP(D898,★折込地区!$A$2:$D$10,4,FALSE)</f>
        <v>9</v>
      </c>
      <c r="F898" s="464" t="s">
        <v>388</v>
      </c>
      <c r="G898" s="464" t="str">
        <f>INDEX(★新聞!$E$4:$I$12, MATCH(LEFT(F898),★新聞!$A$4:$A$12,0), MATCH(LEFT(W898),★新聞!$E$3:$I$3,0))</f>
        <v>X</v>
      </c>
      <c r="H898" s="475" t="s">
        <v>1247</v>
      </c>
      <c r="I898" s="464" cm="1">
        <f t="array" ref="I898">IFERROR(INDEX(★原価率!$A$2:$E$50,MATCH($C898&amp;$H898,★原価率!$A$2:$A$50&amp;★原価率!$B$2:$B$50,0),3),0)</f>
        <v>50</v>
      </c>
      <c r="J898" s="464" cm="1">
        <f t="array" ref="J898">IFERROR(INDEX(★原価率!$A$2:$E$50,MATCH($C898&amp;$H898,★原価率!$A$2:$A$50&amp;★原価率!$B$2:$B$50,0),4),0)</f>
        <v>50</v>
      </c>
      <c r="K898" s="464" cm="1">
        <f t="array" ref="K898">IFERROR(INDEX(★原価率!$A$2:$E$50,MATCH($C898&amp;$H898,★原価率!$A$2:$A$50&amp;★原価率!$B$2:$B$50,0),5),0)</f>
        <v>85</v>
      </c>
      <c r="L898" s="528">
        <f>IFERROR(VLOOKUP(W898,★商品!$A$1:$H$1231,8,FALSE),0)</f>
        <v>0</v>
      </c>
      <c r="M898" s="203" t="str">
        <f ca="1">CONCATENATE(VLOOKUP(B898,★営業所!$A$2:$B$5,2,FALSE),TEXT(NOW(),"yyyy"))</f>
        <v>T2023</v>
      </c>
      <c r="N898" s="203">
        <v>1</v>
      </c>
      <c r="O898" s="203">
        <v>0</v>
      </c>
      <c r="P898" s="213">
        <f>申込書!$B$6</f>
        <v>0</v>
      </c>
      <c r="Q898" s="203">
        <f>申込書!$C$34</f>
        <v>1000040</v>
      </c>
      <c r="R898" s="203">
        <v>0</v>
      </c>
      <c r="U898" s="203">
        <f>VLOOKUP(B898,★営業所!$A$2:$C$5,3,FALSE)</f>
        <v>8</v>
      </c>
      <c r="V898" s="203">
        <f>申込書!$B$9</f>
        <v>0</v>
      </c>
      <c r="W898" s="203" t="str">
        <f>CONCATENATE(VLOOKUP(B898,★営業所!$A$2:$B$5,2,FALSE),VLOOKUP(申込書!$C$32,★サイズ表記!$D$4:$E$55,2,FALSE),VLOOKUP(D898,★折込地区!$A$2:$B$11,2,FALSE))</f>
        <v>T1001Osk</v>
      </c>
      <c r="X898" s="203" t="str">
        <f>CONCATENATE(申込書!$B$9," ",VLOOKUP(RIGHT(W898,3),★折込地区!$B$2:$C$10,2,FALSE),"")</f>
        <v xml:space="preserve"> 大阪</v>
      </c>
      <c r="Z898" s="206">
        <f t="shared" ref="Z898:Z961" ca="1" si="111">SUMIFS($AE$2:$AE$977,$W$2:$W$977,W898,$AG$2:$AG$977,"&lt;&gt;0")</f>
        <v>0</v>
      </c>
      <c r="AB898" s="383">
        <f t="shared" ref="AB898:AB961" si="112">IFERROR(L898*K898/100,0)</f>
        <v>0</v>
      </c>
      <c r="AC898" s="203" t="str">
        <f t="shared" ref="AC898:AC961" si="113">CONCATENATE(LEFT(F898),AN898)</f>
        <v>D1001</v>
      </c>
      <c r="AD898" s="203" t="str">
        <f>VLOOKUP(AC898,★原価商品!$E$6:$F$349,2,FALSE)</f>
        <v>日本海/B4（折り無し）</v>
      </c>
      <c r="AE898" s="203">
        <f t="shared" ref="AE898:AE961" ca="1" si="114">INDIRECT(C898 &amp; "!" &amp; F898)</f>
        <v>0</v>
      </c>
      <c r="AF898" s="383">
        <f>IFERROR(IF(VLOOKUP(申込書!$C$32,★サイズ表記!$F$4:$H$55,3,FALSE)="切り捨て",ROUNDDOWN(L898*IF(AK898="◎",I898,J898)/100,2),IF(VLOOKUP(申込書!$C$32,★サイズ表記!$F$4:$H$55,3,FALSE)="切り上げ",ROUNDUP(L898*IF(AK898="◎",I898,J898)/100,2),ROUND(L898*IF(AK898="◎",I898,J898)/100,2))),0)</f>
        <v>0</v>
      </c>
      <c r="AG898" s="203">
        <f t="shared" ref="AG898:AG962" ca="1" si="115">IFERROR(INDIRECT(C898 &amp; "!" &amp; G898 &amp; MID(F898,2,1000)),0)</f>
        <v>0</v>
      </c>
      <c r="AJ898" s="460" t="str">
        <f>IFERROR(VLOOKUP(申込書!$C$30,★業種!$D$2:$E$87,2,FALSE),"")</f>
        <v>1003</v>
      </c>
      <c r="AK898" s="460" t="str">
        <f>IF(申込書!$C$36="◎",IF(OR(D898="浜坂・温泉",D898="美方・村岡",D898="香住",D898="岡山",D898="大阪"),"",IF(LEFT(F898)="D","◎",IF(AG898=0,"",IFERROR(IF(VLOOKUP(AG898,★仕入先!$A$2:$C$211,3,FALSE)=0,"","◎"),"")))),"")</f>
        <v/>
      </c>
      <c r="AL898" s="460">
        <f>申込書!$H$14</f>
        <v>0</v>
      </c>
      <c r="AM898" s="460" t="str">
        <f>申込書!$C$32</f>
        <v>B4（折り無し）</v>
      </c>
      <c r="AN898" s="460" t="str">
        <f>VLOOKUP(AM898,★サイズ表記!$D$4:$E$55,2,FALSE)</f>
        <v>1001</v>
      </c>
      <c r="AO898" s="460">
        <f>IF(C898&lt;&gt;"⑧兵庫",VLOOKUP(LEFT(F898),★新聞!$A$4:$B$12,2,FALSE),IF(LEFT(F898)&lt;&gt;"S",VLOOKUP(LEFT(F898),★新聞!$A$4:$B$12,2,FALSE),VLOOKUP("X",★新聞!$A$4:$B$12,2,FALSE)))</f>
        <v>1</v>
      </c>
      <c r="AP898" s="460" t="str">
        <f t="shared" ref="AP898:AP961" ca="1" si="116">FIXED(SUM($AE$2:$AE$977),0,FALSE)</f>
        <v>0</v>
      </c>
      <c r="AQ898" s="460" t="str">
        <f>IF(申込書!$C$38="","",申込書!$C$38)</f>
        <v/>
      </c>
    </row>
    <row r="899" spans="1:43">
      <c r="A899" s="463">
        <f t="shared" si="109"/>
        <v>898</v>
      </c>
      <c r="B899" s="463" t="str">
        <f t="shared" si="110"/>
        <v>東部</v>
      </c>
      <c r="C899" s="464" t="s">
        <v>1244</v>
      </c>
      <c r="D899" s="464" t="s">
        <v>1242</v>
      </c>
      <c r="E899" s="464">
        <f>VLOOKUP(D899,★折込地区!$A$2:$D$10,4,FALSE)</f>
        <v>9</v>
      </c>
      <c r="F899" s="464" t="s">
        <v>389</v>
      </c>
      <c r="G899" s="464" t="str">
        <f>INDEX(★新聞!$E$4:$I$12, MATCH(LEFT(F899),★新聞!$A$4:$A$12,0), MATCH(LEFT(W899),★新聞!$E$3:$I$3,0))</f>
        <v>X</v>
      </c>
      <c r="H899" s="475" t="s">
        <v>1247</v>
      </c>
      <c r="I899" s="464" cm="1">
        <f t="array" ref="I899">IFERROR(INDEX(★原価率!$A$2:$E$50,MATCH($C899&amp;$H899,★原価率!$A$2:$A$50&amp;★原価率!$B$2:$B$50,0),3),0)</f>
        <v>50</v>
      </c>
      <c r="J899" s="464" cm="1">
        <f t="array" ref="J899">IFERROR(INDEX(★原価率!$A$2:$E$50,MATCH($C899&amp;$H899,★原価率!$A$2:$A$50&amp;★原価率!$B$2:$B$50,0),4),0)</f>
        <v>50</v>
      </c>
      <c r="K899" s="464" cm="1">
        <f t="array" ref="K899">IFERROR(INDEX(★原価率!$A$2:$E$50,MATCH($C899&amp;$H899,★原価率!$A$2:$A$50&amp;★原価率!$B$2:$B$50,0),5),0)</f>
        <v>85</v>
      </c>
      <c r="L899" s="528">
        <f>IFERROR(VLOOKUP(W899,★商品!$A$1:$H$1231,8,FALSE),0)</f>
        <v>0</v>
      </c>
      <c r="M899" s="203" t="str">
        <f ca="1">CONCATENATE(VLOOKUP(B899,★営業所!$A$2:$B$5,2,FALSE),TEXT(NOW(),"yyyy"))</f>
        <v>T2023</v>
      </c>
      <c r="N899" s="203">
        <v>1</v>
      </c>
      <c r="O899" s="203">
        <v>0</v>
      </c>
      <c r="P899" s="213">
        <f>申込書!$B$6</f>
        <v>0</v>
      </c>
      <c r="Q899" s="203">
        <f>申込書!$C$34</f>
        <v>1000040</v>
      </c>
      <c r="R899" s="203">
        <v>0</v>
      </c>
      <c r="U899" s="203">
        <f>VLOOKUP(B899,★営業所!$A$2:$C$5,3,FALSE)</f>
        <v>8</v>
      </c>
      <c r="V899" s="203">
        <f>申込書!$B$9</f>
        <v>0</v>
      </c>
      <c r="W899" s="203" t="str">
        <f>CONCATENATE(VLOOKUP(B899,★営業所!$A$2:$B$5,2,FALSE),VLOOKUP(申込書!$C$32,★サイズ表記!$D$4:$E$55,2,FALSE),VLOOKUP(D899,★折込地区!$A$2:$B$11,2,FALSE))</f>
        <v>T1001Osk</v>
      </c>
      <c r="X899" s="203" t="str">
        <f>CONCATENATE(申込書!$B$9," ",VLOOKUP(RIGHT(W899,3),★折込地区!$B$2:$C$10,2,FALSE),"")</f>
        <v xml:space="preserve"> 大阪</v>
      </c>
      <c r="Z899" s="206">
        <f t="shared" ca="1" si="111"/>
        <v>0</v>
      </c>
      <c r="AB899" s="383">
        <f t="shared" si="112"/>
        <v>0</v>
      </c>
      <c r="AC899" s="203" t="str">
        <f t="shared" si="113"/>
        <v>D1001</v>
      </c>
      <c r="AD899" s="203" t="str">
        <f>VLOOKUP(AC899,★原価商品!$E$6:$F$349,2,FALSE)</f>
        <v>日本海/B4（折り無し）</v>
      </c>
      <c r="AE899" s="203">
        <f t="shared" ca="1" si="114"/>
        <v>0</v>
      </c>
      <c r="AF899" s="383">
        <f>IFERROR(IF(VLOOKUP(申込書!$C$32,★サイズ表記!$F$4:$H$55,3,FALSE)="切り捨て",ROUNDDOWN(L899*IF(AK899="◎",I899,J899)/100,2),IF(VLOOKUP(申込書!$C$32,★サイズ表記!$F$4:$H$55,3,FALSE)="切り上げ",ROUNDUP(L899*IF(AK899="◎",I899,J899)/100,2),ROUND(L899*IF(AK899="◎",I899,J899)/100,2))),0)</f>
        <v>0</v>
      </c>
      <c r="AG899" s="203">
        <f t="shared" ca="1" si="115"/>
        <v>0</v>
      </c>
      <c r="AJ899" s="460" t="str">
        <f>IFERROR(VLOOKUP(申込書!$C$30,★業種!$D$2:$E$87,2,FALSE),"")</f>
        <v>1003</v>
      </c>
      <c r="AK899" s="460" t="str">
        <f>IF(申込書!$C$36="◎",IF(OR(D899="浜坂・温泉",D899="美方・村岡",D899="香住",D899="岡山",D899="大阪"),"",IF(LEFT(F899)="D","◎",IF(AG899=0,"",IFERROR(IF(VLOOKUP(AG899,★仕入先!$A$2:$C$211,3,FALSE)=0,"","◎"),"")))),"")</f>
        <v/>
      </c>
      <c r="AL899" s="460">
        <f>申込書!$H$14</f>
        <v>0</v>
      </c>
      <c r="AM899" s="460" t="str">
        <f>申込書!$C$32</f>
        <v>B4（折り無し）</v>
      </c>
      <c r="AN899" s="460" t="str">
        <f>VLOOKUP(AM899,★サイズ表記!$D$4:$E$55,2,FALSE)</f>
        <v>1001</v>
      </c>
      <c r="AO899" s="460">
        <f>IF(C899&lt;&gt;"⑧兵庫",VLOOKUP(LEFT(F899),★新聞!$A$4:$B$12,2,FALSE),IF(LEFT(F899)&lt;&gt;"S",VLOOKUP(LEFT(F899),★新聞!$A$4:$B$12,2,FALSE),VLOOKUP("X",★新聞!$A$4:$B$12,2,FALSE)))</f>
        <v>1</v>
      </c>
      <c r="AP899" s="460" t="str">
        <f t="shared" ca="1" si="116"/>
        <v>0</v>
      </c>
      <c r="AQ899" s="460" t="str">
        <f>IF(申込書!$C$38="","",申込書!$C$38)</f>
        <v/>
      </c>
    </row>
    <row r="900" spans="1:43">
      <c r="A900" s="463">
        <f t="shared" si="109"/>
        <v>899</v>
      </c>
      <c r="B900" s="463" t="str">
        <f t="shared" si="110"/>
        <v>東部</v>
      </c>
      <c r="C900" s="464" t="s">
        <v>1244</v>
      </c>
      <c r="D900" s="464" t="s">
        <v>1242</v>
      </c>
      <c r="E900" s="464">
        <f>VLOOKUP(D900,★折込地区!$A$2:$D$10,4,FALSE)</f>
        <v>9</v>
      </c>
      <c r="F900" s="464" t="s">
        <v>390</v>
      </c>
      <c r="G900" s="464" t="str">
        <f>INDEX(★新聞!$E$4:$I$12, MATCH(LEFT(F900),★新聞!$A$4:$A$12,0), MATCH(LEFT(W900),★新聞!$E$3:$I$3,0))</f>
        <v>X</v>
      </c>
      <c r="H900" s="475" t="s">
        <v>1247</v>
      </c>
      <c r="I900" s="464" cm="1">
        <f t="array" ref="I900">IFERROR(INDEX(★原価率!$A$2:$E$50,MATCH($C900&amp;$H900,★原価率!$A$2:$A$50&amp;★原価率!$B$2:$B$50,0),3),0)</f>
        <v>50</v>
      </c>
      <c r="J900" s="464" cm="1">
        <f t="array" ref="J900">IFERROR(INDEX(★原価率!$A$2:$E$50,MATCH($C900&amp;$H900,★原価率!$A$2:$A$50&amp;★原価率!$B$2:$B$50,0),4),0)</f>
        <v>50</v>
      </c>
      <c r="K900" s="464" cm="1">
        <f t="array" ref="K900">IFERROR(INDEX(★原価率!$A$2:$E$50,MATCH($C900&amp;$H900,★原価率!$A$2:$A$50&amp;★原価率!$B$2:$B$50,0),5),0)</f>
        <v>85</v>
      </c>
      <c r="L900" s="528">
        <f>IFERROR(VLOOKUP(W900,★商品!$A$1:$H$1231,8,FALSE),0)</f>
        <v>0</v>
      </c>
      <c r="M900" s="203" t="str">
        <f ca="1">CONCATENATE(VLOOKUP(B900,★営業所!$A$2:$B$5,2,FALSE),TEXT(NOW(),"yyyy"))</f>
        <v>T2023</v>
      </c>
      <c r="N900" s="203">
        <v>1</v>
      </c>
      <c r="O900" s="203">
        <v>0</v>
      </c>
      <c r="P900" s="213">
        <f>申込書!$B$6</f>
        <v>0</v>
      </c>
      <c r="Q900" s="203">
        <f>申込書!$C$34</f>
        <v>1000040</v>
      </c>
      <c r="R900" s="203">
        <v>0</v>
      </c>
      <c r="U900" s="203">
        <f>VLOOKUP(B900,★営業所!$A$2:$C$5,3,FALSE)</f>
        <v>8</v>
      </c>
      <c r="V900" s="203">
        <f>申込書!$B$9</f>
        <v>0</v>
      </c>
      <c r="W900" s="203" t="str">
        <f>CONCATENATE(VLOOKUP(B900,★営業所!$A$2:$B$5,2,FALSE),VLOOKUP(申込書!$C$32,★サイズ表記!$D$4:$E$55,2,FALSE),VLOOKUP(D900,★折込地区!$A$2:$B$11,2,FALSE))</f>
        <v>T1001Osk</v>
      </c>
      <c r="X900" s="203" t="str">
        <f>CONCATENATE(申込書!$B$9," ",VLOOKUP(RIGHT(W900,3),★折込地区!$B$2:$C$10,2,FALSE),"")</f>
        <v xml:space="preserve"> 大阪</v>
      </c>
      <c r="Z900" s="206">
        <f t="shared" ca="1" si="111"/>
        <v>0</v>
      </c>
      <c r="AB900" s="383">
        <f t="shared" si="112"/>
        <v>0</v>
      </c>
      <c r="AC900" s="203" t="str">
        <f t="shared" si="113"/>
        <v>D1001</v>
      </c>
      <c r="AD900" s="203" t="str">
        <f>VLOOKUP(AC900,★原価商品!$E$6:$F$349,2,FALSE)</f>
        <v>日本海/B4（折り無し）</v>
      </c>
      <c r="AE900" s="203">
        <f t="shared" ca="1" si="114"/>
        <v>0</v>
      </c>
      <c r="AF900" s="383">
        <f>IFERROR(IF(VLOOKUP(申込書!$C$32,★サイズ表記!$F$4:$H$55,3,FALSE)="切り捨て",ROUNDDOWN(L900*IF(AK900="◎",I900,J900)/100,2),IF(VLOOKUP(申込書!$C$32,★サイズ表記!$F$4:$H$55,3,FALSE)="切り上げ",ROUNDUP(L900*IF(AK900="◎",I900,J900)/100,2),ROUND(L900*IF(AK900="◎",I900,J900)/100,2))),0)</f>
        <v>0</v>
      </c>
      <c r="AG900" s="203">
        <f t="shared" ca="1" si="115"/>
        <v>0</v>
      </c>
      <c r="AJ900" s="460" t="str">
        <f>IFERROR(VLOOKUP(申込書!$C$30,★業種!$D$2:$E$87,2,FALSE),"")</f>
        <v>1003</v>
      </c>
      <c r="AK900" s="460" t="str">
        <f>IF(申込書!$C$36="◎",IF(OR(D900="浜坂・温泉",D900="美方・村岡",D900="香住",D900="岡山",D900="大阪"),"",IF(LEFT(F900)="D","◎",IF(AG900=0,"",IFERROR(IF(VLOOKUP(AG900,★仕入先!$A$2:$C$211,3,FALSE)=0,"","◎"),"")))),"")</f>
        <v/>
      </c>
      <c r="AL900" s="460">
        <f>申込書!$H$14</f>
        <v>0</v>
      </c>
      <c r="AM900" s="460" t="str">
        <f>申込書!$C$32</f>
        <v>B4（折り無し）</v>
      </c>
      <c r="AN900" s="460" t="str">
        <f>VLOOKUP(AM900,★サイズ表記!$D$4:$E$55,2,FALSE)</f>
        <v>1001</v>
      </c>
      <c r="AO900" s="460">
        <f>IF(C900&lt;&gt;"⑧兵庫",VLOOKUP(LEFT(F900),★新聞!$A$4:$B$12,2,FALSE),IF(LEFT(F900)&lt;&gt;"S",VLOOKUP(LEFT(F900),★新聞!$A$4:$B$12,2,FALSE),VLOOKUP("X",★新聞!$A$4:$B$12,2,FALSE)))</f>
        <v>1</v>
      </c>
      <c r="AP900" s="460" t="str">
        <f t="shared" ca="1" si="116"/>
        <v>0</v>
      </c>
      <c r="AQ900" s="460" t="str">
        <f>IF(申込書!$C$38="","",申込書!$C$38)</f>
        <v/>
      </c>
    </row>
    <row r="901" spans="1:43">
      <c r="A901" s="463">
        <f t="shared" si="109"/>
        <v>900</v>
      </c>
      <c r="B901" s="463" t="str">
        <f t="shared" si="110"/>
        <v>東部</v>
      </c>
      <c r="C901" s="464" t="s">
        <v>1244</v>
      </c>
      <c r="D901" s="464" t="s">
        <v>1242</v>
      </c>
      <c r="E901" s="464">
        <f>VLOOKUP(D901,★折込地区!$A$2:$D$10,4,FALSE)</f>
        <v>9</v>
      </c>
      <c r="F901" s="464" t="s">
        <v>391</v>
      </c>
      <c r="G901" s="464" t="str">
        <f>INDEX(★新聞!$E$4:$I$12, MATCH(LEFT(F901),★新聞!$A$4:$A$12,0), MATCH(LEFT(W901),★新聞!$E$3:$I$3,0))</f>
        <v>X</v>
      </c>
      <c r="H901" s="475" t="s">
        <v>1247</v>
      </c>
      <c r="I901" s="464" cm="1">
        <f t="array" ref="I901">IFERROR(INDEX(★原価率!$A$2:$E$50,MATCH($C901&amp;$H901,★原価率!$A$2:$A$50&amp;★原価率!$B$2:$B$50,0),3),0)</f>
        <v>50</v>
      </c>
      <c r="J901" s="464" cm="1">
        <f t="array" ref="J901">IFERROR(INDEX(★原価率!$A$2:$E$50,MATCH($C901&amp;$H901,★原価率!$A$2:$A$50&amp;★原価率!$B$2:$B$50,0),4),0)</f>
        <v>50</v>
      </c>
      <c r="K901" s="464" cm="1">
        <f t="array" ref="K901">IFERROR(INDEX(★原価率!$A$2:$E$50,MATCH($C901&amp;$H901,★原価率!$A$2:$A$50&amp;★原価率!$B$2:$B$50,0),5),0)</f>
        <v>85</v>
      </c>
      <c r="L901" s="528">
        <f>IFERROR(VLOOKUP(W901,★商品!$A$1:$H$1231,8,FALSE),0)</f>
        <v>0</v>
      </c>
      <c r="M901" s="203" t="str">
        <f ca="1">CONCATENATE(VLOOKUP(B901,★営業所!$A$2:$B$5,2,FALSE),TEXT(NOW(),"yyyy"))</f>
        <v>T2023</v>
      </c>
      <c r="N901" s="203">
        <v>1</v>
      </c>
      <c r="O901" s="203">
        <v>0</v>
      </c>
      <c r="P901" s="213">
        <f>申込書!$B$6</f>
        <v>0</v>
      </c>
      <c r="Q901" s="203">
        <f>申込書!$C$34</f>
        <v>1000040</v>
      </c>
      <c r="R901" s="203">
        <v>0</v>
      </c>
      <c r="U901" s="203">
        <f>VLOOKUP(B901,★営業所!$A$2:$C$5,3,FALSE)</f>
        <v>8</v>
      </c>
      <c r="V901" s="203">
        <f>申込書!$B$9</f>
        <v>0</v>
      </c>
      <c r="W901" s="203" t="str">
        <f>CONCATENATE(VLOOKUP(B901,★営業所!$A$2:$B$5,2,FALSE),VLOOKUP(申込書!$C$32,★サイズ表記!$D$4:$E$55,2,FALSE),VLOOKUP(D901,★折込地区!$A$2:$B$11,2,FALSE))</f>
        <v>T1001Osk</v>
      </c>
      <c r="X901" s="203" t="str">
        <f>CONCATENATE(申込書!$B$9," ",VLOOKUP(RIGHT(W901,3),★折込地区!$B$2:$C$10,2,FALSE),"")</f>
        <v xml:space="preserve"> 大阪</v>
      </c>
      <c r="Z901" s="206">
        <f t="shared" ca="1" si="111"/>
        <v>0</v>
      </c>
      <c r="AB901" s="383">
        <f t="shared" si="112"/>
        <v>0</v>
      </c>
      <c r="AC901" s="203" t="str">
        <f t="shared" si="113"/>
        <v>D1001</v>
      </c>
      <c r="AD901" s="203" t="str">
        <f>VLOOKUP(AC901,★原価商品!$E$6:$F$349,2,FALSE)</f>
        <v>日本海/B4（折り無し）</v>
      </c>
      <c r="AE901" s="203">
        <f t="shared" ca="1" si="114"/>
        <v>0</v>
      </c>
      <c r="AF901" s="383">
        <f>IFERROR(IF(VLOOKUP(申込書!$C$32,★サイズ表記!$F$4:$H$55,3,FALSE)="切り捨て",ROUNDDOWN(L901*IF(AK901="◎",I901,J901)/100,2),IF(VLOOKUP(申込書!$C$32,★サイズ表記!$F$4:$H$55,3,FALSE)="切り上げ",ROUNDUP(L901*IF(AK901="◎",I901,J901)/100,2),ROUND(L901*IF(AK901="◎",I901,J901)/100,2))),0)</f>
        <v>0</v>
      </c>
      <c r="AG901" s="203">
        <f t="shared" ca="1" si="115"/>
        <v>0</v>
      </c>
      <c r="AJ901" s="460" t="str">
        <f>IFERROR(VLOOKUP(申込書!$C$30,★業種!$D$2:$E$87,2,FALSE),"")</f>
        <v>1003</v>
      </c>
      <c r="AK901" s="460" t="str">
        <f>IF(申込書!$C$36="◎",IF(OR(D901="浜坂・温泉",D901="美方・村岡",D901="香住",D901="岡山",D901="大阪"),"",IF(LEFT(F901)="D","◎",IF(AG901=0,"",IFERROR(IF(VLOOKUP(AG901,★仕入先!$A$2:$C$211,3,FALSE)=0,"","◎"),"")))),"")</f>
        <v/>
      </c>
      <c r="AL901" s="460">
        <f>申込書!$H$14</f>
        <v>0</v>
      </c>
      <c r="AM901" s="460" t="str">
        <f>申込書!$C$32</f>
        <v>B4（折り無し）</v>
      </c>
      <c r="AN901" s="460" t="str">
        <f>VLOOKUP(AM901,★サイズ表記!$D$4:$E$55,2,FALSE)</f>
        <v>1001</v>
      </c>
      <c r="AO901" s="460">
        <f>IF(C901&lt;&gt;"⑧兵庫",VLOOKUP(LEFT(F901),★新聞!$A$4:$B$12,2,FALSE),IF(LEFT(F901)&lt;&gt;"S",VLOOKUP(LEFT(F901),★新聞!$A$4:$B$12,2,FALSE),VLOOKUP("X",★新聞!$A$4:$B$12,2,FALSE)))</f>
        <v>1</v>
      </c>
      <c r="AP901" s="460" t="str">
        <f t="shared" ca="1" si="116"/>
        <v>0</v>
      </c>
      <c r="AQ901" s="460" t="str">
        <f>IF(申込書!$C$38="","",申込書!$C$38)</f>
        <v/>
      </c>
    </row>
    <row r="902" spans="1:43">
      <c r="A902" s="463">
        <f t="shared" si="109"/>
        <v>901</v>
      </c>
      <c r="B902" s="463" t="str">
        <f t="shared" si="110"/>
        <v>東部</v>
      </c>
      <c r="C902" s="464" t="s">
        <v>1244</v>
      </c>
      <c r="D902" s="464" t="s">
        <v>1242</v>
      </c>
      <c r="E902" s="464">
        <f>VLOOKUP(D902,★折込地区!$A$2:$D$10,4,FALSE)</f>
        <v>9</v>
      </c>
      <c r="F902" s="464" t="s">
        <v>392</v>
      </c>
      <c r="G902" s="464" t="str">
        <f>INDEX(★新聞!$E$4:$I$12, MATCH(LEFT(F902),★新聞!$A$4:$A$12,0), MATCH(LEFT(W902),★新聞!$E$3:$I$3,0))</f>
        <v>X</v>
      </c>
      <c r="H902" s="475" t="s">
        <v>1247</v>
      </c>
      <c r="I902" s="464" cm="1">
        <f t="array" ref="I902">IFERROR(INDEX(★原価率!$A$2:$E$50,MATCH($C902&amp;$H902,★原価率!$A$2:$A$50&amp;★原価率!$B$2:$B$50,0),3),0)</f>
        <v>50</v>
      </c>
      <c r="J902" s="464" cm="1">
        <f t="array" ref="J902">IFERROR(INDEX(★原価率!$A$2:$E$50,MATCH($C902&amp;$H902,★原価率!$A$2:$A$50&amp;★原価率!$B$2:$B$50,0),4),0)</f>
        <v>50</v>
      </c>
      <c r="K902" s="464" cm="1">
        <f t="array" ref="K902">IFERROR(INDEX(★原価率!$A$2:$E$50,MATCH($C902&amp;$H902,★原価率!$A$2:$A$50&amp;★原価率!$B$2:$B$50,0),5),0)</f>
        <v>85</v>
      </c>
      <c r="L902" s="528">
        <f>IFERROR(VLOOKUP(W902,★商品!$A$1:$H$1231,8,FALSE),0)</f>
        <v>0</v>
      </c>
      <c r="M902" s="203" t="str">
        <f ca="1">CONCATENATE(VLOOKUP(B902,★営業所!$A$2:$B$5,2,FALSE),TEXT(NOW(),"yyyy"))</f>
        <v>T2023</v>
      </c>
      <c r="N902" s="203">
        <v>1</v>
      </c>
      <c r="O902" s="203">
        <v>0</v>
      </c>
      <c r="P902" s="213">
        <f>申込書!$B$6</f>
        <v>0</v>
      </c>
      <c r="Q902" s="203">
        <f>申込書!$C$34</f>
        <v>1000040</v>
      </c>
      <c r="R902" s="203">
        <v>0</v>
      </c>
      <c r="U902" s="203">
        <f>VLOOKUP(B902,★営業所!$A$2:$C$5,3,FALSE)</f>
        <v>8</v>
      </c>
      <c r="V902" s="203">
        <f>申込書!$B$9</f>
        <v>0</v>
      </c>
      <c r="W902" s="203" t="str">
        <f>CONCATENATE(VLOOKUP(B902,★営業所!$A$2:$B$5,2,FALSE),VLOOKUP(申込書!$C$32,★サイズ表記!$D$4:$E$55,2,FALSE),VLOOKUP(D902,★折込地区!$A$2:$B$11,2,FALSE))</f>
        <v>T1001Osk</v>
      </c>
      <c r="X902" s="203" t="str">
        <f>CONCATENATE(申込書!$B$9," ",VLOOKUP(RIGHT(W902,3),★折込地区!$B$2:$C$10,2,FALSE),"")</f>
        <v xml:space="preserve"> 大阪</v>
      </c>
      <c r="Z902" s="206">
        <f t="shared" ca="1" si="111"/>
        <v>0</v>
      </c>
      <c r="AB902" s="383">
        <f t="shared" si="112"/>
        <v>0</v>
      </c>
      <c r="AC902" s="203" t="str">
        <f t="shared" si="113"/>
        <v>D1001</v>
      </c>
      <c r="AD902" s="203" t="str">
        <f>VLOOKUP(AC902,★原価商品!$E$6:$F$349,2,FALSE)</f>
        <v>日本海/B4（折り無し）</v>
      </c>
      <c r="AE902" s="203">
        <f t="shared" ca="1" si="114"/>
        <v>0</v>
      </c>
      <c r="AF902" s="383">
        <f>IFERROR(IF(VLOOKUP(申込書!$C$32,★サイズ表記!$F$4:$H$55,3,FALSE)="切り捨て",ROUNDDOWN(L902*IF(AK902="◎",I902,J902)/100,2),IF(VLOOKUP(申込書!$C$32,★サイズ表記!$F$4:$H$55,3,FALSE)="切り上げ",ROUNDUP(L902*IF(AK902="◎",I902,J902)/100,2),ROUND(L902*IF(AK902="◎",I902,J902)/100,2))),0)</f>
        <v>0</v>
      </c>
      <c r="AG902" s="203">
        <f t="shared" ca="1" si="115"/>
        <v>0</v>
      </c>
      <c r="AJ902" s="460" t="str">
        <f>IFERROR(VLOOKUP(申込書!$C$30,★業種!$D$2:$E$87,2,FALSE),"")</f>
        <v>1003</v>
      </c>
      <c r="AK902" s="460" t="str">
        <f>IF(申込書!$C$36="◎",IF(OR(D902="浜坂・温泉",D902="美方・村岡",D902="香住",D902="岡山",D902="大阪"),"",IF(LEFT(F902)="D","◎",IF(AG902=0,"",IFERROR(IF(VLOOKUP(AG902,★仕入先!$A$2:$C$211,3,FALSE)=0,"","◎"),"")))),"")</f>
        <v/>
      </c>
      <c r="AL902" s="460">
        <f>申込書!$H$14</f>
        <v>0</v>
      </c>
      <c r="AM902" s="460" t="str">
        <f>申込書!$C$32</f>
        <v>B4（折り無し）</v>
      </c>
      <c r="AN902" s="460" t="str">
        <f>VLOOKUP(AM902,★サイズ表記!$D$4:$E$55,2,FALSE)</f>
        <v>1001</v>
      </c>
      <c r="AO902" s="460">
        <f>IF(C902&lt;&gt;"⑧兵庫",VLOOKUP(LEFT(F902),★新聞!$A$4:$B$12,2,FALSE),IF(LEFT(F902)&lt;&gt;"S",VLOOKUP(LEFT(F902),★新聞!$A$4:$B$12,2,FALSE),VLOOKUP("X",★新聞!$A$4:$B$12,2,FALSE)))</f>
        <v>1</v>
      </c>
      <c r="AP902" s="460" t="str">
        <f t="shared" ca="1" si="116"/>
        <v>0</v>
      </c>
      <c r="AQ902" s="460" t="str">
        <f>IF(申込書!$C$38="","",申込書!$C$38)</f>
        <v/>
      </c>
    </row>
    <row r="903" spans="1:43">
      <c r="A903" s="463">
        <f t="shared" si="109"/>
        <v>902</v>
      </c>
      <c r="B903" s="463" t="str">
        <f t="shared" si="110"/>
        <v>東部</v>
      </c>
      <c r="C903" s="464" t="s">
        <v>1244</v>
      </c>
      <c r="D903" s="464" t="s">
        <v>1242</v>
      </c>
      <c r="E903" s="464">
        <f>VLOOKUP(D903,★折込地区!$A$2:$D$10,4,FALSE)</f>
        <v>9</v>
      </c>
      <c r="F903" s="464" t="s">
        <v>393</v>
      </c>
      <c r="G903" s="464" t="str">
        <f>INDEX(★新聞!$E$4:$I$12, MATCH(LEFT(F903),★新聞!$A$4:$A$12,0), MATCH(LEFT(W903),★新聞!$E$3:$I$3,0))</f>
        <v>X</v>
      </c>
      <c r="H903" s="475" t="s">
        <v>1247</v>
      </c>
      <c r="I903" s="464" cm="1">
        <f t="array" ref="I903">IFERROR(INDEX(★原価率!$A$2:$E$50,MATCH($C903&amp;$H903,★原価率!$A$2:$A$50&amp;★原価率!$B$2:$B$50,0),3),0)</f>
        <v>50</v>
      </c>
      <c r="J903" s="464" cm="1">
        <f t="array" ref="J903">IFERROR(INDEX(★原価率!$A$2:$E$50,MATCH($C903&amp;$H903,★原価率!$A$2:$A$50&amp;★原価率!$B$2:$B$50,0),4),0)</f>
        <v>50</v>
      </c>
      <c r="K903" s="464" cm="1">
        <f t="array" ref="K903">IFERROR(INDEX(★原価率!$A$2:$E$50,MATCH($C903&amp;$H903,★原価率!$A$2:$A$50&amp;★原価率!$B$2:$B$50,0),5),0)</f>
        <v>85</v>
      </c>
      <c r="L903" s="528">
        <f>IFERROR(VLOOKUP(W903,★商品!$A$1:$H$1231,8,FALSE),0)</f>
        <v>0</v>
      </c>
      <c r="M903" s="203" t="str">
        <f ca="1">CONCATENATE(VLOOKUP(B903,★営業所!$A$2:$B$5,2,FALSE),TEXT(NOW(),"yyyy"))</f>
        <v>T2023</v>
      </c>
      <c r="N903" s="203">
        <v>1</v>
      </c>
      <c r="O903" s="203">
        <v>0</v>
      </c>
      <c r="P903" s="213">
        <f>申込書!$B$6</f>
        <v>0</v>
      </c>
      <c r="Q903" s="203">
        <f>申込書!$C$34</f>
        <v>1000040</v>
      </c>
      <c r="R903" s="203">
        <v>0</v>
      </c>
      <c r="U903" s="203">
        <f>VLOOKUP(B903,★営業所!$A$2:$C$5,3,FALSE)</f>
        <v>8</v>
      </c>
      <c r="V903" s="203">
        <f>申込書!$B$9</f>
        <v>0</v>
      </c>
      <c r="W903" s="203" t="str">
        <f>CONCATENATE(VLOOKUP(B903,★営業所!$A$2:$B$5,2,FALSE),VLOOKUP(申込書!$C$32,★サイズ表記!$D$4:$E$55,2,FALSE),VLOOKUP(D903,★折込地区!$A$2:$B$11,2,FALSE))</f>
        <v>T1001Osk</v>
      </c>
      <c r="X903" s="203" t="str">
        <f>CONCATENATE(申込書!$B$9," ",VLOOKUP(RIGHT(W903,3),★折込地区!$B$2:$C$10,2,FALSE),"")</f>
        <v xml:space="preserve"> 大阪</v>
      </c>
      <c r="Z903" s="206">
        <f t="shared" ca="1" si="111"/>
        <v>0</v>
      </c>
      <c r="AB903" s="383">
        <f t="shared" si="112"/>
        <v>0</v>
      </c>
      <c r="AC903" s="203" t="str">
        <f t="shared" si="113"/>
        <v>D1001</v>
      </c>
      <c r="AD903" s="203" t="str">
        <f>VLOOKUP(AC903,★原価商品!$E$6:$F$349,2,FALSE)</f>
        <v>日本海/B4（折り無し）</v>
      </c>
      <c r="AE903" s="203">
        <f t="shared" ca="1" si="114"/>
        <v>0</v>
      </c>
      <c r="AF903" s="383">
        <f>IFERROR(IF(VLOOKUP(申込書!$C$32,★サイズ表記!$F$4:$H$55,3,FALSE)="切り捨て",ROUNDDOWN(L903*IF(AK903="◎",I903,J903)/100,2),IF(VLOOKUP(申込書!$C$32,★サイズ表記!$F$4:$H$55,3,FALSE)="切り上げ",ROUNDUP(L903*IF(AK903="◎",I903,J903)/100,2),ROUND(L903*IF(AK903="◎",I903,J903)/100,2))),0)</f>
        <v>0</v>
      </c>
      <c r="AG903" s="203">
        <f t="shared" ca="1" si="115"/>
        <v>0</v>
      </c>
      <c r="AJ903" s="460" t="str">
        <f>IFERROR(VLOOKUP(申込書!$C$30,★業種!$D$2:$E$87,2,FALSE),"")</f>
        <v>1003</v>
      </c>
      <c r="AK903" s="460" t="str">
        <f>IF(申込書!$C$36="◎",IF(OR(D903="浜坂・温泉",D903="美方・村岡",D903="香住",D903="岡山",D903="大阪"),"",IF(LEFT(F903)="D","◎",IF(AG903=0,"",IFERROR(IF(VLOOKUP(AG903,★仕入先!$A$2:$C$211,3,FALSE)=0,"","◎"),"")))),"")</f>
        <v/>
      </c>
      <c r="AL903" s="460">
        <f>申込書!$H$14</f>
        <v>0</v>
      </c>
      <c r="AM903" s="460" t="str">
        <f>申込書!$C$32</f>
        <v>B4（折り無し）</v>
      </c>
      <c r="AN903" s="460" t="str">
        <f>VLOOKUP(AM903,★サイズ表記!$D$4:$E$55,2,FALSE)</f>
        <v>1001</v>
      </c>
      <c r="AO903" s="460">
        <f>IF(C903&lt;&gt;"⑧兵庫",VLOOKUP(LEFT(F903),★新聞!$A$4:$B$12,2,FALSE),IF(LEFT(F903)&lt;&gt;"S",VLOOKUP(LEFT(F903),★新聞!$A$4:$B$12,2,FALSE),VLOOKUP("X",★新聞!$A$4:$B$12,2,FALSE)))</f>
        <v>1</v>
      </c>
      <c r="AP903" s="460" t="str">
        <f t="shared" ca="1" si="116"/>
        <v>0</v>
      </c>
      <c r="AQ903" s="460" t="str">
        <f>IF(申込書!$C$38="","",申込書!$C$38)</f>
        <v/>
      </c>
    </row>
    <row r="904" spans="1:43">
      <c r="A904" s="463">
        <f t="shared" si="109"/>
        <v>903</v>
      </c>
      <c r="B904" s="463" t="str">
        <f t="shared" si="110"/>
        <v>東部</v>
      </c>
      <c r="C904" s="464" t="s">
        <v>1244</v>
      </c>
      <c r="D904" s="464" t="s">
        <v>1242</v>
      </c>
      <c r="E904" s="464">
        <f>VLOOKUP(D904,★折込地区!$A$2:$D$10,4,FALSE)</f>
        <v>9</v>
      </c>
      <c r="F904" s="464" t="s">
        <v>394</v>
      </c>
      <c r="G904" s="464" t="str">
        <f>INDEX(★新聞!$E$4:$I$12, MATCH(LEFT(F904),★新聞!$A$4:$A$12,0), MATCH(LEFT(W904),★新聞!$E$3:$I$3,0))</f>
        <v>X</v>
      </c>
      <c r="H904" s="475" t="s">
        <v>1247</v>
      </c>
      <c r="I904" s="464" cm="1">
        <f t="array" ref="I904">IFERROR(INDEX(★原価率!$A$2:$E$50,MATCH($C904&amp;$H904,★原価率!$A$2:$A$50&amp;★原価率!$B$2:$B$50,0),3),0)</f>
        <v>50</v>
      </c>
      <c r="J904" s="464" cm="1">
        <f t="array" ref="J904">IFERROR(INDEX(★原価率!$A$2:$E$50,MATCH($C904&amp;$H904,★原価率!$A$2:$A$50&amp;★原価率!$B$2:$B$50,0),4),0)</f>
        <v>50</v>
      </c>
      <c r="K904" s="464" cm="1">
        <f t="array" ref="K904">IFERROR(INDEX(★原価率!$A$2:$E$50,MATCH($C904&amp;$H904,★原価率!$A$2:$A$50&amp;★原価率!$B$2:$B$50,0),5),0)</f>
        <v>85</v>
      </c>
      <c r="L904" s="528">
        <f>IFERROR(VLOOKUP(W904,★商品!$A$1:$H$1231,8,FALSE),0)</f>
        <v>0</v>
      </c>
      <c r="M904" s="203" t="str">
        <f ca="1">CONCATENATE(VLOOKUP(B904,★営業所!$A$2:$B$5,2,FALSE),TEXT(NOW(),"yyyy"))</f>
        <v>T2023</v>
      </c>
      <c r="N904" s="203">
        <v>1</v>
      </c>
      <c r="O904" s="203">
        <v>0</v>
      </c>
      <c r="P904" s="213">
        <f>申込書!$B$6</f>
        <v>0</v>
      </c>
      <c r="Q904" s="203">
        <f>申込書!$C$34</f>
        <v>1000040</v>
      </c>
      <c r="R904" s="203">
        <v>0</v>
      </c>
      <c r="U904" s="203">
        <f>VLOOKUP(B904,★営業所!$A$2:$C$5,3,FALSE)</f>
        <v>8</v>
      </c>
      <c r="V904" s="203">
        <f>申込書!$B$9</f>
        <v>0</v>
      </c>
      <c r="W904" s="203" t="str">
        <f>CONCATENATE(VLOOKUP(B904,★営業所!$A$2:$B$5,2,FALSE),VLOOKUP(申込書!$C$32,★サイズ表記!$D$4:$E$55,2,FALSE),VLOOKUP(D904,★折込地区!$A$2:$B$11,2,FALSE))</f>
        <v>T1001Osk</v>
      </c>
      <c r="X904" s="203" t="str">
        <f>CONCATENATE(申込書!$B$9," ",VLOOKUP(RIGHT(W904,3),★折込地区!$B$2:$C$10,2,FALSE),"")</f>
        <v xml:space="preserve"> 大阪</v>
      </c>
      <c r="Z904" s="206">
        <f t="shared" ca="1" si="111"/>
        <v>0</v>
      </c>
      <c r="AB904" s="383">
        <f t="shared" si="112"/>
        <v>0</v>
      </c>
      <c r="AC904" s="203" t="str">
        <f t="shared" si="113"/>
        <v>D1001</v>
      </c>
      <c r="AD904" s="203" t="str">
        <f>VLOOKUP(AC904,★原価商品!$E$6:$F$349,2,FALSE)</f>
        <v>日本海/B4（折り無し）</v>
      </c>
      <c r="AE904" s="203">
        <f t="shared" ca="1" si="114"/>
        <v>0</v>
      </c>
      <c r="AF904" s="383">
        <f>IFERROR(IF(VLOOKUP(申込書!$C$32,★サイズ表記!$F$4:$H$55,3,FALSE)="切り捨て",ROUNDDOWN(L904*IF(AK904="◎",I904,J904)/100,2),IF(VLOOKUP(申込書!$C$32,★サイズ表記!$F$4:$H$55,3,FALSE)="切り上げ",ROUNDUP(L904*IF(AK904="◎",I904,J904)/100,2),ROUND(L904*IF(AK904="◎",I904,J904)/100,2))),0)</f>
        <v>0</v>
      </c>
      <c r="AG904" s="203">
        <f t="shared" ca="1" si="115"/>
        <v>0</v>
      </c>
      <c r="AJ904" s="460" t="str">
        <f>IFERROR(VLOOKUP(申込書!$C$30,★業種!$D$2:$E$87,2,FALSE),"")</f>
        <v>1003</v>
      </c>
      <c r="AK904" s="460" t="str">
        <f>IF(申込書!$C$36="◎",IF(OR(D904="浜坂・温泉",D904="美方・村岡",D904="香住",D904="岡山",D904="大阪"),"",IF(LEFT(F904)="D","◎",IF(AG904=0,"",IFERROR(IF(VLOOKUP(AG904,★仕入先!$A$2:$C$211,3,FALSE)=0,"","◎"),"")))),"")</f>
        <v/>
      </c>
      <c r="AL904" s="460">
        <f>申込書!$H$14</f>
        <v>0</v>
      </c>
      <c r="AM904" s="460" t="str">
        <f>申込書!$C$32</f>
        <v>B4（折り無し）</v>
      </c>
      <c r="AN904" s="460" t="str">
        <f>VLOOKUP(AM904,★サイズ表記!$D$4:$E$55,2,FALSE)</f>
        <v>1001</v>
      </c>
      <c r="AO904" s="460">
        <f>IF(C904&lt;&gt;"⑧兵庫",VLOOKUP(LEFT(F904),★新聞!$A$4:$B$12,2,FALSE),IF(LEFT(F904)&lt;&gt;"S",VLOOKUP(LEFT(F904),★新聞!$A$4:$B$12,2,FALSE),VLOOKUP("X",★新聞!$A$4:$B$12,2,FALSE)))</f>
        <v>1</v>
      </c>
      <c r="AP904" s="460" t="str">
        <f t="shared" ca="1" si="116"/>
        <v>0</v>
      </c>
      <c r="AQ904" s="460" t="str">
        <f>IF(申込書!$C$38="","",申込書!$C$38)</f>
        <v/>
      </c>
    </row>
    <row r="905" spans="1:43">
      <c r="A905" s="463">
        <f t="shared" si="109"/>
        <v>904</v>
      </c>
      <c r="B905" s="463" t="str">
        <f t="shared" si="110"/>
        <v>東部</v>
      </c>
      <c r="C905" s="464" t="s">
        <v>1244</v>
      </c>
      <c r="D905" s="464" t="s">
        <v>1242</v>
      </c>
      <c r="E905" s="464">
        <f>VLOOKUP(D905,★折込地区!$A$2:$D$10,4,FALSE)</f>
        <v>9</v>
      </c>
      <c r="F905" s="464" t="s">
        <v>395</v>
      </c>
      <c r="G905" s="464" t="str">
        <f>INDEX(★新聞!$E$4:$I$12, MATCH(LEFT(F905),★新聞!$A$4:$A$12,0), MATCH(LEFT(W905),★新聞!$E$3:$I$3,0))</f>
        <v>X</v>
      </c>
      <c r="H905" s="475" t="s">
        <v>1247</v>
      </c>
      <c r="I905" s="464" cm="1">
        <f t="array" ref="I905">IFERROR(INDEX(★原価率!$A$2:$E$50,MATCH($C905&amp;$H905,★原価率!$A$2:$A$50&amp;★原価率!$B$2:$B$50,0),3),0)</f>
        <v>50</v>
      </c>
      <c r="J905" s="464" cm="1">
        <f t="array" ref="J905">IFERROR(INDEX(★原価率!$A$2:$E$50,MATCH($C905&amp;$H905,★原価率!$A$2:$A$50&amp;★原価率!$B$2:$B$50,0),4),0)</f>
        <v>50</v>
      </c>
      <c r="K905" s="464" cm="1">
        <f t="array" ref="K905">IFERROR(INDEX(★原価率!$A$2:$E$50,MATCH($C905&amp;$H905,★原価率!$A$2:$A$50&amp;★原価率!$B$2:$B$50,0),5),0)</f>
        <v>85</v>
      </c>
      <c r="L905" s="528">
        <f>IFERROR(VLOOKUP(W905,★商品!$A$1:$H$1231,8,FALSE),0)</f>
        <v>0</v>
      </c>
      <c r="M905" s="203" t="str">
        <f ca="1">CONCATENATE(VLOOKUP(B905,★営業所!$A$2:$B$5,2,FALSE),TEXT(NOW(),"yyyy"))</f>
        <v>T2023</v>
      </c>
      <c r="N905" s="203">
        <v>1</v>
      </c>
      <c r="O905" s="203">
        <v>0</v>
      </c>
      <c r="P905" s="213">
        <f>申込書!$B$6</f>
        <v>0</v>
      </c>
      <c r="Q905" s="203">
        <f>申込書!$C$34</f>
        <v>1000040</v>
      </c>
      <c r="R905" s="203">
        <v>0</v>
      </c>
      <c r="U905" s="203">
        <f>VLOOKUP(B905,★営業所!$A$2:$C$5,3,FALSE)</f>
        <v>8</v>
      </c>
      <c r="V905" s="203">
        <f>申込書!$B$9</f>
        <v>0</v>
      </c>
      <c r="W905" s="203" t="str">
        <f>CONCATENATE(VLOOKUP(B905,★営業所!$A$2:$B$5,2,FALSE),VLOOKUP(申込書!$C$32,★サイズ表記!$D$4:$E$55,2,FALSE),VLOOKUP(D905,★折込地区!$A$2:$B$11,2,FALSE))</f>
        <v>T1001Osk</v>
      </c>
      <c r="X905" s="203" t="str">
        <f>CONCATENATE(申込書!$B$9," ",VLOOKUP(RIGHT(W905,3),★折込地区!$B$2:$C$10,2,FALSE),"")</f>
        <v xml:space="preserve"> 大阪</v>
      </c>
      <c r="Z905" s="206">
        <f t="shared" ca="1" si="111"/>
        <v>0</v>
      </c>
      <c r="AB905" s="383">
        <f t="shared" si="112"/>
        <v>0</v>
      </c>
      <c r="AC905" s="203" t="str">
        <f t="shared" si="113"/>
        <v>D1001</v>
      </c>
      <c r="AD905" s="203" t="str">
        <f>VLOOKUP(AC905,★原価商品!$E$6:$F$349,2,FALSE)</f>
        <v>日本海/B4（折り無し）</v>
      </c>
      <c r="AE905" s="203">
        <f t="shared" ca="1" si="114"/>
        <v>0</v>
      </c>
      <c r="AF905" s="383">
        <f>IFERROR(IF(VLOOKUP(申込書!$C$32,★サイズ表記!$F$4:$H$55,3,FALSE)="切り捨て",ROUNDDOWN(L905*IF(AK905="◎",I905,J905)/100,2),IF(VLOOKUP(申込書!$C$32,★サイズ表記!$F$4:$H$55,3,FALSE)="切り上げ",ROUNDUP(L905*IF(AK905="◎",I905,J905)/100,2),ROUND(L905*IF(AK905="◎",I905,J905)/100,2))),0)</f>
        <v>0</v>
      </c>
      <c r="AG905" s="203">
        <f t="shared" ca="1" si="115"/>
        <v>0</v>
      </c>
      <c r="AJ905" s="460" t="str">
        <f>IFERROR(VLOOKUP(申込書!$C$30,★業種!$D$2:$E$87,2,FALSE),"")</f>
        <v>1003</v>
      </c>
      <c r="AK905" s="460" t="str">
        <f>IF(申込書!$C$36="◎",IF(OR(D905="浜坂・温泉",D905="美方・村岡",D905="香住",D905="岡山",D905="大阪"),"",IF(LEFT(F905)="D","◎",IF(AG905=0,"",IFERROR(IF(VLOOKUP(AG905,★仕入先!$A$2:$C$211,3,FALSE)=0,"","◎"),"")))),"")</f>
        <v/>
      </c>
      <c r="AL905" s="460">
        <f>申込書!$H$14</f>
        <v>0</v>
      </c>
      <c r="AM905" s="460" t="str">
        <f>申込書!$C$32</f>
        <v>B4（折り無し）</v>
      </c>
      <c r="AN905" s="460" t="str">
        <f>VLOOKUP(AM905,★サイズ表記!$D$4:$E$55,2,FALSE)</f>
        <v>1001</v>
      </c>
      <c r="AO905" s="460">
        <f>IF(C905&lt;&gt;"⑧兵庫",VLOOKUP(LEFT(F905),★新聞!$A$4:$B$12,2,FALSE),IF(LEFT(F905)&lt;&gt;"S",VLOOKUP(LEFT(F905),★新聞!$A$4:$B$12,2,FALSE),VLOOKUP("X",★新聞!$A$4:$B$12,2,FALSE)))</f>
        <v>1</v>
      </c>
      <c r="AP905" s="460" t="str">
        <f t="shared" ca="1" si="116"/>
        <v>0</v>
      </c>
      <c r="AQ905" s="460" t="str">
        <f>IF(申込書!$C$38="","",申込書!$C$38)</f>
        <v/>
      </c>
    </row>
    <row r="906" spans="1:43">
      <c r="A906" s="463">
        <f t="shared" si="109"/>
        <v>905</v>
      </c>
      <c r="B906" s="463" t="str">
        <f t="shared" si="110"/>
        <v>東部</v>
      </c>
      <c r="C906" s="464" t="s">
        <v>1244</v>
      </c>
      <c r="D906" s="464" t="s">
        <v>1242</v>
      </c>
      <c r="E906" s="464">
        <f>VLOOKUP(D906,★折込地区!$A$2:$D$10,4,FALSE)</f>
        <v>9</v>
      </c>
      <c r="F906" s="464" t="s">
        <v>396</v>
      </c>
      <c r="G906" s="464" t="str">
        <f>INDEX(★新聞!$E$4:$I$12, MATCH(LEFT(F906),★新聞!$A$4:$A$12,0), MATCH(LEFT(W906),★新聞!$E$3:$I$3,0))</f>
        <v>X</v>
      </c>
      <c r="H906" s="475" t="s">
        <v>1247</v>
      </c>
      <c r="I906" s="464" cm="1">
        <f t="array" ref="I906">IFERROR(INDEX(★原価率!$A$2:$E$50,MATCH($C906&amp;$H906,★原価率!$A$2:$A$50&amp;★原価率!$B$2:$B$50,0),3),0)</f>
        <v>50</v>
      </c>
      <c r="J906" s="464" cm="1">
        <f t="array" ref="J906">IFERROR(INDEX(★原価率!$A$2:$E$50,MATCH($C906&amp;$H906,★原価率!$A$2:$A$50&amp;★原価率!$B$2:$B$50,0),4),0)</f>
        <v>50</v>
      </c>
      <c r="K906" s="464" cm="1">
        <f t="array" ref="K906">IFERROR(INDEX(★原価率!$A$2:$E$50,MATCH($C906&amp;$H906,★原価率!$A$2:$A$50&amp;★原価率!$B$2:$B$50,0),5),0)</f>
        <v>85</v>
      </c>
      <c r="L906" s="528">
        <f>IFERROR(VLOOKUP(W906,★商品!$A$1:$H$1231,8,FALSE),0)</f>
        <v>0</v>
      </c>
      <c r="M906" s="203" t="str">
        <f ca="1">CONCATENATE(VLOOKUP(B906,★営業所!$A$2:$B$5,2,FALSE),TEXT(NOW(),"yyyy"))</f>
        <v>T2023</v>
      </c>
      <c r="N906" s="203">
        <v>1</v>
      </c>
      <c r="O906" s="203">
        <v>0</v>
      </c>
      <c r="P906" s="213">
        <f>申込書!$B$6</f>
        <v>0</v>
      </c>
      <c r="Q906" s="203">
        <f>申込書!$C$34</f>
        <v>1000040</v>
      </c>
      <c r="R906" s="203">
        <v>0</v>
      </c>
      <c r="U906" s="203">
        <f>VLOOKUP(B906,★営業所!$A$2:$C$5,3,FALSE)</f>
        <v>8</v>
      </c>
      <c r="V906" s="203">
        <f>申込書!$B$9</f>
        <v>0</v>
      </c>
      <c r="W906" s="203" t="str">
        <f>CONCATENATE(VLOOKUP(B906,★営業所!$A$2:$B$5,2,FALSE),VLOOKUP(申込書!$C$32,★サイズ表記!$D$4:$E$55,2,FALSE),VLOOKUP(D906,★折込地区!$A$2:$B$11,2,FALSE))</f>
        <v>T1001Osk</v>
      </c>
      <c r="X906" s="203" t="str">
        <f>CONCATENATE(申込書!$B$9," ",VLOOKUP(RIGHT(W906,3),★折込地区!$B$2:$C$10,2,FALSE),"")</f>
        <v xml:space="preserve"> 大阪</v>
      </c>
      <c r="Z906" s="206">
        <f t="shared" ca="1" si="111"/>
        <v>0</v>
      </c>
      <c r="AB906" s="383">
        <f t="shared" si="112"/>
        <v>0</v>
      </c>
      <c r="AC906" s="203" t="str">
        <f t="shared" si="113"/>
        <v>D1001</v>
      </c>
      <c r="AD906" s="203" t="str">
        <f>VLOOKUP(AC906,★原価商品!$E$6:$F$349,2,FALSE)</f>
        <v>日本海/B4（折り無し）</v>
      </c>
      <c r="AE906" s="203">
        <f t="shared" ca="1" si="114"/>
        <v>0</v>
      </c>
      <c r="AF906" s="383">
        <f>IFERROR(IF(VLOOKUP(申込書!$C$32,★サイズ表記!$F$4:$H$55,3,FALSE)="切り捨て",ROUNDDOWN(L906*IF(AK906="◎",I906,J906)/100,2),IF(VLOOKUP(申込書!$C$32,★サイズ表記!$F$4:$H$55,3,FALSE)="切り上げ",ROUNDUP(L906*IF(AK906="◎",I906,J906)/100,2),ROUND(L906*IF(AK906="◎",I906,J906)/100,2))),0)</f>
        <v>0</v>
      </c>
      <c r="AG906" s="203">
        <f t="shared" ca="1" si="115"/>
        <v>0</v>
      </c>
      <c r="AJ906" s="460" t="str">
        <f>IFERROR(VLOOKUP(申込書!$C$30,★業種!$D$2:$E$87,2,FALSE),"")</f>
        <v>1003</v>
      </c>
      <c r="AK906" s="460" t="str">
        <f>IF(申込書!$C$36="◎",IF(OR(D906="浜坂・温泉",D906="美方・村岡",D906="香住",D906="岡山",D906="大阪"),"",IF(LEFT(F906)="D","◎",IF(AG906=0,"",IFERROR(IF(VLOOKUP(AG906,★仕入先!$A$2:$C$211,3,FALSE)=0,"","◎"),"")))),"")</f>
        <v/>
      </c>
      <c r="AL906" s="460">
        <f>申込書!$H$14</f>
        <v>0</v>
      </c>
      <c r="AM906" s="460" t="str">
        <f>申込書!$C$32</f>
        <v>B4（折り無し）</v>
      </c>
      <c r="AN906" s="460" t="str">
        <f>VLOOKUP(AM906,★サイズ表記!$D$4:$E$55,2,FALSE)</f>
        <v>1001</v>
      </c>
      <c r="AO906" s="460">
        <f>IF(C906&lt;&gt;"⑧兵庫",VLOOKUP(LEFT(F906),★新聞!$A$4:$B$12,2,FALSE),IF(LEFT(F906)&lt;&gt;"S",VLOOKUP(LEFT(F906),★新聞!$A$4:$B$12,2,FALSE),VLOOKUP("X",★新聞!$A$4:$B$12,2,FALSE)))</f>
        <v>1</v>
      </c>
      <c r="AP906" s="460" t="str">
        <f t="shared" ca="1" si="116"/>
        <v>0</v>
      </c>
      <c r="AQ906" s="460" t="str">
        <f>IF(申込書!$C$38="","",申込書!$C$38)</f>
        <v/>
      </c>
    </row>
    <row r="907" spans="1:43">
      <c r="A907" s="463">
        <f t="shared" si="109"/>
        <v>906</v>
      </c>
      <c r="B907" s="463" t="str">
        <f t="shared" si="110"/>
        <v>東部</v>
      </c>
      <c r="C907" s="464" t="s">
        <v>1244</v>
      </c>
      <c r="D907" s="464" t="s">
        <v>1242</v>
      </c>
      <c r="E907" s="464">
        <f>VLOOKUP(D907,★折込地区!$A$2:$D$10,4,FALSE)</f>
        <v>9</v>
      </c>
      <c r="F907" s="464" t="s">
        <v>397</v>
      </c>
      <c r="G907" s="464" t="str">
        <f>INDEX(★新聞!$E$4:$I$12, MATCH(LEFT(F907),★新聞!$A$4:$A$12,0), MATCH(LEFT(W907),★新聞!$E$3:$I$3,0))</f>
        <v>X</v>
      </c>
      <c r="H907" s="475" t="s">
        <v>1247</v>
      </c>
      <c r="I907" s="464" cm="1">
        <f t="array" ref="I907">IFERROR(INDEX(★原価率!$A$2:$E$50,MATCH($C907&amp;$H907,★原価率!$A$2:$A$50&amp;★原価率!$B$2:$B$50,0),3),0)</f>
        <v>50</v>
      </c>
      <c r="J907" s="464" cm="1">
        <f t="array" ref="J907">IFERROR(INDEX(★原価率!$A$2:$E$50,MATCH($C907&amp;$H907,★原価率!$A$2:$A$50&amp;★原価率!$B$2:$B$50,0),4),0)</f>
        <v>50</v>
      </c>
      <c r="K907" s="464" cm="1">
        <f t="array" ref="K907">IFERROR(INDEX(★原価率!$A$2:$E$50,MATCH($C907&amp;$H907,★原価率!$A$2:$A$50&amp;★原価率!$B$2:$B$50,0),5),0)</f>
        <v>85</v>
      </c>
      <c r="L907" s="528">
        <f>IFERROR(VLOOKUP(W907,★商品!$A$1:$H$1231,8,FALSE),0)</f>
        <v>0</v>
      </c>
      <c r="M907" s="203" t="str">
        <f ca="1">CONCATENATE(VLOOKUP(B907,★営業所!$A$2:$B$5,2,FALSE),TEXT(NOW(),"yyyy"))</f>
        <v>T2023</v>
      </c>
      <c r="N907" s="203">
        <v>1</v>
      </c>
      <c r="O907" s="203">
        <v>0</v>
      </c>
      <c r="P907" s="213">
        <f>申込書!$B$6</f>
        <v>0</v>
      </c>
      <c r="Q907" s="203">
        <f>申込書!$C$34</f>
        <v>1000040</v>
      </c>
      <c r="R907" s="203">
        <v>0</v>
      </c>
      <c r="U907" s="203">
        <f>VLOOKUP(B907,★営業所!$A$2:$C$5,3,FALSE)</f>
        <v>8</v>
      </c>
      <c r="V907" s="203">
        <f>申込書!$B$9</f>
        <v>0</v>
      </c>
      <c r="W907" s="203" t="str">
        <f>CONCATENATE(VLOOKUP(B907,★営業所!$A$2:$B$5,2,FALSE),VLOOKUP(申込書!$C$32,★サイズ表記!$D$4:$E$55,2,FALSE),VLOOKUP(D907,★折込地区!$A$2:$B$11,2,FALSE))</f>
        <v>T1001Osk</v>
      </c>
      <c r="X907" s="203" t="str">
        <f>CONCATENATE(申込書!$B$9," ",VLOOKUP(RIGHT(W907,3),★折込地区!$B$2:$C$10,2,FALSE),"")</f>
        <v xml:space="preserve"> 大阪</v>
      </c>
      <c r="Z907" s="206">
        <f t="shared" ca="1" si="111"/>
        <v>0</v>
      </c>
      <c r="AB907" s="383">
        <f t="shared" si="112"/>
        <v>0</v>
      </c>
      <c r="AC907" s="203" t="str">
        <f t="shared" si="113"/>
        <v>D1001</v>
      </c>
      <c r="AD907" s="203" t="str">
        <f>VLOOKUP(AC907,★原価商品!$E$6:$F$349,2,FALSE)</f>
        <v>日本海/B4（折り無し）</v>
      </c>
      <c r="AE907" s="203">
        <f t="shared" ca="1" si="114"/>
        <v>0</v>
      </c>
      <c r="AF907" s="383">
        <f>IFERROR(IF(VLOOKUP(申込書!$C$32,★サイズ表記!$F$4:$H$55,3,FALSE)="切り捨て",ROUNDDOWN(L907*IF(AK907="◎",I907,J907)/100,2),IF(VLOOKUP(申込書!$C$32,★サイズ表記!$F$4:$H$55,3,FALSE)="切り上げ",ROUNDUP(L907*IF(AK907="◎",I907,J907)/100,2),ROUND(L907*IF(AK907="◎",I907,J907)/100,2))),0)</f>
        <v>0</v>
      </c>
      <c r="AG907" s="203">
        <f t="shared" ca="1" si="115"/>
        <v>0</v>
      </c>
      <c r="AJ907" s="460" t="str">
        <f>IFERROR(VLOOKUP(申込書!$C$30,★業種!$D$2:$E$87,2,FALSE),"")</f>
        <v>1003</v>
      </c>
      <c r="AK907" s="460" t="str">
        <f>IF(申込書!$C$36="◎",IF(OR(D907="浜坂・温泉",D907="美方・村岡",D907="香住",D907="岡山",D907="大阪"),"",IF(LEFT(F907)="D","◎",IF(AG907=0,"",IFERROR(IF(VLOOKUP(AG907,★仕入先!$A$2:$C$211,3,FALSE)=0,"","◎"),"")))),"")</f>
        <v/>
      </c>
      <c r="AL907" s="460">
        <f>申込書!$H$14</f>
        <v>0</v>
      </c>
      <c r="AM907" s="460" t="str">
        <f>申込書!$C$32</f>
        <v>B4（折り無し）</v>
      </c>
      <c r="AN907" s="460" t="str">
        <f>VLOOKUP(AM907,★サイズ表記!$D$4:$E$55,2,FALSE)</f>
        <v>1001</v>
      </c>
      <c r="AO907" s="460">
        <f>IF(C907&lt;&gt;"⑧兵庫",VLOOKUP(LEFT(F907),★新聞!$A$4:$B$12,2,FALSE),IF(LEFT(F907)&lt;&gt;"S",VLOOKUP(LEFT(F907),★新聞!$A$4:$B$12,2,FALSE),VLOOKUP("X",★新聞!$A$4:$B$12,2,FALSE)))</f>
        <v>1</v>
      </c>
      <c r="AP907" s="460" t="str">
        <f t="shared" ca="1" si="116"/>
        <v>0</v>
      </c>
      <c r="AQ907" s="460" t="str">
        <f>IF(申込書!$C$38="","",申込書!$C$38)</f>
        <v/>
      </c>
    </row>
    <row r="908" spans="1:43">
      <c r="A908" s="463">
        <f t="shared" si="109"/>
        <v>907</v>
      </c>
      <c r="B908" s="463" t="str">
        <f t="shared" si="110"/>
        <v>東部</v>
      </c>
      <c r="C908" s="464" t="s">
        <v>1244</v>
      </c>
      <c r="D908" s="464" t="s">
        <v>1242</v>
      </c>
      <c r="E908" s="464">
        <f>VLOOKUP(D908,★折込地区!$A$2:$D$10,4,FALSE)</f>
        <v>9</v>
      </c>
      <c r="F908" s="464" t="s">
        <v>398</v>
      </c>
      <c r="G908" s="464" t="str">
        <f>INDEX(★新聞!$E$4:$I$12, MATCH(LEFT(F908),★新聞!$A$4:$A$12,0), MATCH(LEFT(W908),★新聞!$E$3:$I$3,0))</f>
        <v>X</v>
      </c>
      <c r="H908" s="475" t="s">
        <v>1247</v>
      </c>
      <c r="I908" s="464" cm="1">
        <f t="array" ref="I908">IFERROR(INDEX(★原価率!$A$2:$E$50,MATCH($C908&amp;$H908,★原価率!$A$2:$A$50&amp;★原価率!$B$2:$B$50,0),3),0)</f>
        <v>50</v>
      </c>
      <c r="J908" s="464" cm="1">
        <f t="array" ref="J908">IFERROR(INDEX(★原価率!$A$2:$E$50,MATCH($C908&amp;$H908,★原価率!$A$2:$A$50&amp;★原価率!$B$2:$B$50,0),4),0)</f>
        <v>50</v>
      </c>
      <c r="K908" s="464" cm="1">
        <f t="array" ref="K908">IFERROR(INDEX(★原価率!$A$2:$E$50,MATCH($C908&amp;$H908,★原価率!$A$2:$A$50&amp;★原価率!$B$2:$B$50,0),5),0)</f>
        <v>85</v>
      </c>
      <c r="L908" s="528">
        <f>IFERROR(VLOOKUP(W908,★商品!$A$1:$H$1231,8,FALSE),0)</f>
        <v>0</v>
      </c>
      <c r="M908" s="203" t="str">
        <f ca="1">CONCATENATE(VLOOKUP(B908,★営業所!$A$2:$B$5,2,FALSE),TEXT(NOW(),"yyyy"))</f>
        <v>T2023</v>
      </c>
      <c r="N908" s="203">
        <v>1</v>
      </c>
      <c r="O908" s="203">
        <v>0</v>
      </c>
      <c r="P908" s="213">
        <f>申込書!$B$6</f>
        <v>0</v>
      </c>
      <c r="Q908" s="203">
        <f>申込書!$C$34</f>
        <v>1000040</v>
      </c>
      <c r="R908" s="203">
        <v>0</v>
      </c>
      <c r="U908" s="203">
        <f>VLOOKUP(B908,★営業所!$A$2:$C$5,3,FALSE)</f>
        <v>8</v>
      </c>
      <c r="V908" s="203">
        <f>申込書!$B$9</f>
        <v>0</v>
      </c>
      <c r="W908" s="203" t="str">
        <f>CONCATENATE(VLOOKUP(B908,★営業所!$A$2:$B$5,2,FALSE),VLOOKUP(申込書!$C$32,★サイズ表記!$D$4:$E$55,2,FALSE),VLOOKUP(D908,★折込地区!$A$2:$B$11,2,FALSE))</f>
        <v>T1001Osk</v>
      </c>
      <c r="X908" s="203" t="str">
        <f>CONCATENATE(申込書!$B$9," ",VLOOKUP(RIGHT(W908,3),★折込地区!$B$2:$C$10,2,FALSE),"")</f>
        <v xml:space="preserve"> 大阪</v>
      </c>
      <c r="Z908" s="206">
        <f t="shared" ca="1" si="111"/>
        <v>0</v>
      </c>
      <c r="AB908" s="383">
        <f t="shared" si="112"/>
        <v>0</v>
      </c>
      <c r="AC908" s="203" t="str">
        <f t="shared" si="113"/>
        <v>D1001</v>
      </c>
      <c r="AD908" s="203" t="str">
        <f>VLOOKUP(AC908,★原価商品!$E$6:$F$349,2,FALSE)</f>
        <v>日本海/B4（折り無し）</v>
      </c>
      <c r="AE908" s="203">
        <f t="shared" ca="1" si="114"/>
        <v>0</v>
      </c>
      <c r="AF908" s="383">
        <f>IFERROR(IF(VLOOKUP(申込書!$C$32,★サイズ表記!$F$4:$H$55,3,FALSE)="切り捨て",ROUNDDOWN(L908*IF(AK908="◎",I908,J908)/100,2),IF(VLOOKUP(申込書!$C$32,★サイズ表記!$F$4:$H$55,3,FALSE)="切り上げ",ROUNDUP(L908*IF(AK908="◎",I908,J908)/100,2),ROUND(L908*IF(AK908="◎",I908,J908)/100,2))),0)</f>
        <v>0</v>
      </c>
      <c r="AG908" s="203">
        <f t="shared" ca="1" si="115"/>
        <v>0</v>
      </c>
      <c r="AJ908" s="460" t="str">
        <f>IFERROR(VLOOKUP(申込書!$C$30,★業種!$D$2:$E$87,2,FALSE),"")</f>
        <v>1003</v>
      </c>
      <c r="AK908" s="460" t="str">
        <f>IF(申込書!$C$36="◎",IF(OR(D908="浜坂・温泉",D908="美方・村岡",D908="香住",D908="岡山",D908="大阪"),"",IF(LEFT(F908)="D","◎",IF(AG908=0,"",IFERROR(IF(VLOOKUP(AG908,★仕入先!$A$2:$C$211,3,FALSE)=0,"","◎"),"")))),"")</f>
        <v/>
      </c>
      <c r="AL908" s="460">
        <f>申込書!$H$14</f>
        <v>0</v>
      </c>
      <c r="AM908" s="460" t="str">
        <f>申込書!$C$32</f>
        <v>B4（折り無し）</v>
      </c>
      <c r="AN908" s="460" t="str">
        <f>VLOOKUP(AM908,★サイズ表記!$D$4:$E$55,2,FALSE)</f>
        <v>1001</v>
      </c>
      <c r="AO908" s="460">
        <f>IF(C908&lt;&gt;"⑧兵庫",VLOOKUP(LEFT(F908),★新聞!$A$4:$B$12,2,FALSE),IF(LEFT(F908)&lt;&gt;"S",VLOOKUP(LEFT(F908),★新聞!$A$4:$B$12,2,FALSE),VLOOKUP("X",★新聞!$A$4:$B$12,2,FALSE)))</f>
        <v>1</v>
      </c>
      <c r="AP908" s="460" t="str">
        <f t="shared" ca="1" si="116"/>
        <v>0</v>
      </c>
      <c r="AQ908" s="460" t="str">
        <f>IF(申込書!$C$38="","",申込書!$C$38)</f>
        <v/>
      </c>
    </row>
    <row r="909" spans="1:43">
      <c r="A909" s="463">
        <f t="shared" si="109"/>
        <v>908</v>
      </c>
      <c r="B909" s="463" t="str">
        <f t="shared" si="110"/>
        <v>東部</v>
      </c>
      <c r="C909" s="464" t="s">
        <v>1244</v>
      </c>
      <c r="D909" s="464" t="s">
        <v>1242</v>
      </c>
      <c r="E909" s="464">
        <f>VLOOKUP(D909,★折込地区!$A$2:$D$10,4,FALSE)</f>
        <v>9</v>
      </c>
      <c r="F909" s="464" t="s">
        <v>399</v>
      </c>
      <c r="G909" s="464" t="str">
        <f>INDEX(★新聞!$E$4:$I$12, MATCH(LEFT(F909),★新聞!$A$4:$A$12,0), MATCH(LEFT(W909),★新聞!$E$3:$I$3,0))</f>
        <v>X</v>
      </c>
      <c r="H909" s="475" t="s">
        <v>1247</v>
      </c>
      <c r="I909" s="464" cm="1">
        <f t="array" ref="I909">IFERROR(INDEX(★原価率!$A$2:$E$50,MATCH($C909&amp;$H909,★原価率!$A$2:$A$50&amp;★原価率!$B$2:$B$50,0),3),0)</f>
        <v>50</v>
      </c>
      <c r="J909" s="464" cm="1">
        <f t="array" ref="J909">IFERROR(INDEX(★原価率!$A$2:$E$50,MATCH($C909&amp;$H909,★原価率!$A$2:$A$50&amp;★原価率!$B$2:$B$50,0),4),0)</f>
        <v>50</v>
      </c>
      <c r="K909" s="464" cm="1">
        <f t="array" ref="K909">IFERROR(INDEX(★原価率!$A$2:$E$50,MATCH($C909&amp;$H909,★原価率!$A$2:$A$50&amp;★原価率!$B$2:$B$50,0),5),0)</f>
        <v>85</v>
      </c>
      <c r="L909" s="528">
        <f>IFERROR(VLOOKUP(W909,★商品!$A$1:$H$1231,8,FALSE),0)</f>
        <v>0</v>
      </c>
      <c r="M909" s="203" t="str">
        <f ca="1">CONCATENATE(VLOOKUP(B909,★営業所!$A$2:$B$5,2,FALSE),TEXT(NOW(),"yyyy"))</f>
        <v>T2023</v>
      </c>
      <c r="N909" s="203">
        <v>1</v>
      </c>
      <c r="O909" s="203">
        <v>0</v>
      </c>
      <c r="P909" s="213">
        <f>申込書!$B$6</f>
        <v>0</v>
      </c>
      <c r="Q909" s="203">
        <f>申込書!$C$34</f>
        <v>1000040</v>
      </c>
      <c r="R909" s="203">
        <v>0</v>
      </c>
      <c r="U909" s="203">
        <f>VLOOKUP(B909,★営業所!$A$2:$C$5,3,FALSE)</f>
        <v>8</v>
      </c>
      <c r="V909" s="203">
        <f>申込書!$B$9</f>
        <v>0</v>
      </c>
      <c r="W909" s="203" t="str">
        <f>CONCATENATE(VLOOKUP(B909,★営業所!$A$2:$B$5,2,FALSE),VLOOKUP(申込書!$C$32,★サイズ表記!$D$4:$E$55,2,FALSE),VLOOKUP(D909,★折込地区!$A$2:$B$11,2,FALSE))</f>
        <v>T1001Osk</v>
      </c>
      <c r="X909" s="203" t="str">
        <f>CONCATENATE(申込書!$B$9," ",VLOOKUP(RIGHT(W909,3),★折込地区!$B$2:$C$10,2,FALSE),"")</f>
        <v xml:space="preserve"> 大阪</v>
      </c>
      <c r="Z909" s="206">
        <f t="shared" ca="1" si="111"/>
        <v>0</v>
      </c>
      <c r="AB909" s="383">
        <f t="shared" si="112"/>
        <v>0</v>
      </c>
      <c r="AC909" s="203" t="str">
        <f t="shared" si="113"/>
        <v>D1001</v>
      </c>
      <c r="AD909" s="203" t="str">
        <f>VLOOKUP(AC909,★原価商品!$E$6:$F$349,2,FALSE)</f>
        <v>日本海/B4（折り無し）</v>
      </c>
      <c r="AE909" s="203">
        <f t="shared" ca="1" si="114"/>
        <v>0</v>
      </c>
      <c r="AF909" s="383">
        <f>IFERROR(IF(VLOOKUP(申込書!$C$32,★サイズ表記!$F$4:$H$55,3,FALSE)="切り捨て",ROUNDDOWN(L909*IF(AK909="◎",I909,J909)/100,2),IF(VLOOKUP(申込書!$C$32,★サイズ表記!$F$4:$H$55,3,FALSE)="切り上げ",ROUNDUP(L909*IF(AK909="◎",I909,J909)/100,2),ROUND(L909*IF(AK909="◎",I909,J909)/100,2))),0)</f>
        <v>0</v>
      </c>
      <c r="AG909" s="203">
        <f t="shared" ca="1" si="115"/>
        <v>0</v>
      </c>
      <c r="AJ909" s="460" t="str">
        <f>IFERROR(VLOOKUP(申込書!$C$30,★業種!$D$2:$E$87,2,FALSE),"")</f>
        <v>1003</v>
      </c>
      <c r="AK909" s="460" t="str">
        <f>IF(申込書!$C$36="◎",IF(OR(D909="浜坂・温泉",D909="美方・村岡",D909="香住",D909="岡山",D909="大阪"),"",IF(LEFT(F909)="D","◎",IF(AG909=0,"",IFERROR(IF(VLOOKUP(AG909,★仕入先!$A$2:$C$211,3,FALSE)=0,"","◎"),"")))),"")</f>
        <v/>
      </c>
      <c r="AL909" s="460">
        <f>申込書!$H$14</f>
        <v>0</v>
      </c>
      <c r="AM909" s="460" t="str">
        <f>申込書!$C$32</f>
        <v>B4（折り無し）</v>
      </c>
      <c r="AN909" s="460" t="str">
        <f>VLOOKUP(AM909,★サイズ表記!$D$4:$E$55,2,FALSE)</f>
        <v>1001</v>
      </c>
      <c r="AO909" s="460">
        <f>IF(C909&lt;&gt;"⑧兵庫",VLOOKUP(LEFT(F909),★新聞!$A$4:$B$12,2,FALSE),IF(LEFT(F909)&lt;&gt;"S",VLOOKUP(LEFT(F909),★新聞!$A$4:$B$12,2,FALSE),VLOOKUP("X",★新聞!$A$4:$B$12,2,FALSE)))</f>
        <v>1</v>
      </c>
      <c r="AP909" s="460" t="str">
        <f t="shared" ca="1" si="116"/>
        <v>0</v>
      </c>
      <c r="AQ909" s="460" t="str">
        <f>IF(申込書!$C$38="","",申込書!$C$38)</f>
        <v/>
      </c>
    </row>
    <row r="910" spans="1:43">
      <c r="A910" s="463">
        <f t="shared" si="109"/>
        <v>909</v>
      </c>
      <c r="B910" s="463" t="str">
        <f t="shared" si="110"/>
        <v>東部</v>
      </c>
      <c r="C910" s="464" t="s">
        <v>1244</v>
      </c>
      <c r="D910" s="464" t="s">
        <v>1242</v>
      </c>
      <c r="E910" s="464">
        <f>VLOOKUP(D910,★折込地区!$A$2:$D$10,4,FALSE)</f>
        <v>9</v>
      </c>
      <c r="F910" s="464" t="s">
        <v>400</v>
      </c>
      <c r="G910" s="464" t="str">
        <f>INDEX(★新聞!$E$4:$I$12, MATCH(LEFT(F910),★新聞!$A$4:$A$12,0), MATCH(LEFT(W910),★新聞!$E$3:$I$3,0))</f>
        <v>X</v>
      </c>
      <c r="H910" s="475" t="s">
        <v>1247</v>
      </c>
      <c r="I910" s="464" cm="1">
        <f t="array" ref="I910">IFERROR(INDEX(★原価率!$A$2:$E$50,MATCH($C910&amp;$H910,★原価率!$A$2:$A$50&amp;★原価率!$B$2:$B$50,0),3),0)</f>
        <v>50</v>
      </c>
      <c r="J910" s="464" cm="1">
        <f t="array" ref="J910">IFERROR(INDEX(★原価率!$A$2:$E$50,MATCH($C910&amp;$H910,★原価率!$A$2:$A$50&amp;★原価率!$B$2:$B$50,0),4),0)</f>
        <v>50</v>
      </c>
      <c r="K910" s="464" cm="1">
        <f t="array" ref="K910">IFERROR(INDEX(★原価率!$A$2:$E$50,MATCH($C910&amp;$H910,★原価率!$A$2:$A$50&amp;★原価率!$B$2:$B$50,0),5),0)</f>
        <v>85</v>
      </c>
      <c r="L910" s="528">
        <f>IFERROR(VLOOKUP(W910,★商品!$A$1:$H$1231,8,FALSE),0)</f>
        <v>0</v>
      </c>
      <c r="M910" s="203" t="str">
        <f ca="1">CONCATENATE(VLOOKUP(B910,★営業所!$A$2:$B$5,2,FALSE),TEXT(NOW(),"yyyy"))</f>
        <v>T2023</v>
      </c>
      <c r="N910" s="203">
        <v>1</v>
      </c>
      <c r="O910" s="203">
        <v>0</v>
      </c>
      <c r="P910" s="213">
        <f>申込書!$B$6</f>
        <v>0</v>
      </c>
      <c r="Q910" s="203">
        <f>申込書!$C$34</f>
        <v>1000040</v>
      </c>
      <c r="R910" s="203">
        <v>0</v>
      </c>
      <c r="U910" s="203">
        <f>VLOOKUP(B910,★営業所!$A$2:$C$5,3,FALSE)</f>
        <v>8</v>
      </c>
      <c r="V910" s="203">
        <f>申込書!$B$9</f>
        <v>0</v>
      </c>
      <c r="W910" s="203" t="str">
        <f>CONCATENATE(VLOOKUP(B910,★営業所!$A$2:$B$5,2,FALSE),VLOOKUP(申込書!$C$32,★サイズ表記!$D$4:$E$55,2,FALSE),VLOOKUP(D910,★折込地区!$A$2:$B$11,2,FALSE))</f>
        <v>T1001Osk</v>
      </c>
      <c r="X910" s="203" t="str">
        <f>CONCATENATE(申込書!$B$9," ",VLOOKUP(RIGHT(W910,3),★折込地区!$B$2:$C$10,2,FALSE),"")</f>
        <v xml:space="preserve"> 大阪</v>
      </c>
      <c r="Z910" s="206">
        <f t="shared" ca="1" si="111"/>
        <v>0</v>
      </c>
      <c r="AB910" s="383">
        <f t="shared" si="112"/>
        <v>0</v>
      </c>
      <c r="AC910" s="203" t="str">
        <f t="shared" si="113"/>
        <v>D1001</v>
      </c>
      <c r="AD910" s="203" t="str">
        <f>VLOOKUP(AC910,★原価商品!$E$6:$F$349,2,FALSE)</f>
        <v>日本海/B4（折り無し）</v>
      </c>
      <c r="AE910" s="203">
        <f t="shared" ca="1" si="114"/>
        <v>0</v>
      </c>
      <c r="AF910" s="383">
        <f>IFERROR(IF(VLOOKUP(申込書!$C$32,★サイズ表記!$F$4:$H$55,3,FALSE)="切り捨て",ROUNDDOWN(L910*IF(AK910="◎",I910,J910)/100,2),IF(VLOOKUP(申込書!$C$32,★サイズ表記!$F$4:$H$55,3,FALSE)="切り上げ",ROUNDUP(L910*IF(AK910="◎",I910,J910)/100,2),ROUND(L910*IF(AK910="◎",I910,J910)/100,2))),0)</f>
        <v>0</v>
      </c>
      <c r="AG910" s="203">
        <f t="shared" ca="1" si="115"/>
        <v>0</v>
      </c>
      <c r="AJ910" s="460" t="str">
        <f>IFERROR(VLOOKUP(申込書!$C$30,★業種!$D$2:$E$87,2,FALSE),"")</f>
        <v>1003</v>
      </c>
      <c r="AK910" s="460" t="str">
        <f>IF(申込書!$C$36="◎",IF(OR(D910="浜坂・温泉",D910="美方・村岡",D910="香住",D910="岡山",D910="大阪"),"",IF(LEFT(F910)="D","◎",IF(AG910=0,"",IFERROR(IF(VLOOKUP(AG910,★仕入先!$A$2:$C$211,3,FALSE)=0,"","◎"),"")))),"")</f>
        <v/>
      </c>
      <c r="AL910" s="460">
        <f>申込書!$H$14</f>
        <v>0</v>
      </c>
      <c r="AM910" s="460" t="str">
        <f>申込書!$C$32</f>
        <v>B4（折り無し）</v>
      </c>
      <c r="AN910" s="460" t="str">
        <f>VLOOKUP(AM910,★サイズ表記!$D$4:$E$55,2,FALSE)</f>
        <v>1001</v>
      </c>
      <c r="AO910" s="460">
        <f>IF(C910&lt;&gt;"⑧兵庫",VLOOKUP(LEFT(F910),★新聞!$A$4:$B$12,2,FALSE),IF(LEFT(F910)&lt;&gt;"S",VLOOKUP(LEFT(F910),★新聞!$A$4:$B$12,2,FALSE),VLOOKUP("X",★新聞!$A$4:$B$12,2,FALSE)))</f>
        <v>1</v>
      </c>
      <c r="AP910" s="460" t="str">
        <f t="shared" ca="1" si="116"/>
        <v>0</v>
      </c>
      <c r="AQ910" s="460" t="str">
        <f>IF(申込書!$C$38="","",申込書!$C$38)</f>
        <v/>
      </c>
    </row>
    <row r="911" spans="1:43">
      <c r="A911" s="463">
        <f t="shared" si="109"/>
        <v>910</v>
      </c>
      <c r="B911" s="463" t="str">
        <f t="shared" si="110"/>
        <v>東部</v>
      </c>
      <c r="C911" s="464" t="s">
        <v>1244</v>
      </c>
      <c r="D911" s="464" t="s">
        <v>1242</v>
      </c>
      <c r="E911" s="464">
        <f>VLOOKUP(D911,★折込地区!$A$2:$D$10,4,FALSE)</f>
        <v>9</v>
      </c>
      <c r="F911" s="464" t="s">
        <v>401</v>
      </c>
      <c r="G911" s="464" t="str">
        <f>INDEX(★新聞!$E$4:$I$12, MATCH(LEFT(F911),★新聞!$A$4:$A$12,0), MATCH(LEFT(W911),★新聞!$E$3:$I$3,0))</f>
        <v>X</v>
      </c>
      <c r="H911" s="475" t="s">
        <v>1247</v>
      </c>
      <c r="I911" s="464" cm="1">
        <f t="array" ref="I911">IFERROR(INDEX(★原価率!$A$2:$E$50,MATCH($C911&amp;$H911,★原価率!$A$2:$A$50&amp;★原価率!$B$2:$B$50,0),3),0)</f>
        <v>50</v>
      </c>
      <c r="J911" s="464" cm="1">
        <f t="array" ref="J911">IFERROR(INDEX(★原価率!$A$2:$E$50,MATCH($C911&amp;$H911,★原価率!$A$2:$A$50&amp;★原価率!$B$2:$B$50,0),4),0)</f>
        <v>50</v>
      </c>
      <c r="K911" s="464" cm="1">
        <f t="array" ref="K911">IFERROR(INDEX(★原価率!$A$2:$E$50,MATCH($C911&amp;$H911,★原価率!$A$2:$A$50&amp;★原価率!$B$2:$B$50,0),5),0)</f>
        <v>85</v>
      </c>
      <c r="L911" s="528">
        <f>IFERROR(VLOOKUP(W911,★商品!$A$1:$H$1231,8,FALSE),0)</f>
        <v>0</v>
      </c>
      <c r="M911" s="203" t="str">
        <f ca="1">CONCATENATE(VLOOKUP(B911,★営業所!$A$2:$B$5,2,FALSE),TEXT(NOW(),"yyyy"))</f>
        <v>T2023</v>
      </c>
      <c r="N911" s="203">
        <v>1</v>
      </c>
      <c r="O911" s="203">
        <v>0</v>
      </c>
      <c r="P911" s="213">
        <f>申込書!$B$6</f>
        <v>0</v>
      </c>
      <c r="Q911" s="203">
        <f>申込書!$C$34</f>
        <v>1000040</v>
      </c>
      <c r="R911" s="203">
        <v>0</v>
      </c>
      <c r="U911" s="203">
        <f>VLOOKUP(B911,★営業所!$A$2:$C$5,3,FALSE)</f>
        <v>8</v>
      </c>
      <c r="V911" s="203">
        <f>申込書!$B$9</f>
        <v>0</v>
      </c>
      <c r="W911" s="203" t="str">
        <f>CONCATENATE(VLOOKUP(B911,★営業所!$A$2:$B$5,2,FALSE),VLOOKUP(申込書!$C$32,★サイズ表記!$D$4:$E$55,2,FALSE),VLOOKUP(D911,★折込地区!$A$2:$B$11,2,FALSE))</f>
        <v>T1001Osk</v>
      </c>
      <c r="X911" s="203" t="str">
        <f>CONCATENATE(申込書!$B$9," ",VLOOKUP(RIGHT(W911,3),★折込地区!$B$2:$C$10,2,FALSE),"")</f>
        <v xml:space="preserve"> 大阪</v>
      </c>
      <c r="Z911" s="206">
        <f t="shared" ca="1" si="111"/>
        <v>0</v>
      </c>
      <c r="AB911" s="383">
        <f t="shared" si="112"/>
        <v>0</v>
      </c>
      <c r="AC911" s="203" t="str">
        <f t="shared" si="113"/>
        <v>D1001</v>
      </c>
      <c r="AD911" s="203" t="str">
        <f>VLOOKUP(AC911,★原価商品!$E$6:$F$349,2,FALSE)</f>
        <v>日本海/B4（折り無し）</v>
      </c>
      <c r="AE911" s="203">
        <f t="shared" ca="1" si="114"/>
        <v>0</v>
      </c>
      <c r="AF911" s="383">
        <f>IFERROR(IF(VLOOKUP(申込書!$C$32,★サイズ表記!$F$4:$H$55,3,FALSE)="切り捨て",ROUNDDOWN(L911*IF(AK911="◎",I911,J911)/100,2),IF(VLOOKUP(申込書!$C$32,★サイズ表記!$F$4:$H$55,3,FALSE)="切り上げ",ROUNDUP(L911*IF(AK911="◎",I911,J911)/100,2),ROUND(L911*IF(AK911="◎",I911,J911)/100,2))),0)</f>
        <v>0</v>
      </c>
      <c r="AG911" s="203">
        <f t="shared" ca="1" si="115"/>
        <v>0</v>
      </c>
      <c r="AJ911" s="460" t="str">
        <f>IFERROR(VLOOKUP(申込書!$C$30,★業種!$D$2:$E$87,2,FALSE),"")</f>
        <v>1003</v>
      </c>
      <c r="AK911" s="460" t="str">
        <f>IF(申込書!$C$36="◎",IF(OR(D911="浜坂・温泉",D911="美方・村岡",D911="香住",D911="岡山",D911="大阪"),"",IF(LEFT(F911)="D","◎",IF(AG911=0,"",IFERROR(IF(VLOOKUP(AG911,★仕入先!$A$2:$C$211,3,FALSE)=0,"","◎"),"")))),"")</f>
        <v/>
      </c>
      <c r="AL911" s="460">
        <f>申込書!$H$14</f>
        <v>0</v>
      </c>
      <c r="AM911" s="460" t="str">
        <f>申込書!$C$32</f>
        <v>B4（折り無し）</v>
      </c>
      <c r="AN911" s="460" t="str">
        <f>VLOOKUP(AM911,★サイズ表記!$D$4:$E$55,2,FALSE)</f>
        <v>1001</v>
      </c>
      <c r="AO911" s="460">
        <f>IF(C911&lt;&gt;"⑧兵庫",VLOOKUP(LEFT(F911),★新聞!$A$4:$B$12,2,FALSE),IF(LEFT(F911)&lt;&gt;"S",VLOOKUP(LEFT(F911),★新聞!$A$4:$B$12,2,FALSE),VLOOKUP("X",★新聞!$A$4:$B$12,2,FALSE)))</f>
        <v>1</v>
      </c>
      <c r="AP911" s="460" t="str">
        <f t="shared" ca="1" si="116"/>
        <v>0</v>
      </c>
      <c r="AQ911" s="460" t="str">
        <f>IF(申込書!$C$38="","",申込書!$C$38)</f>
        <v/>
      </c>
    </row>
    <row r="912" spans="1:43">
      <c r="A912" s="463">
        <f t="shared" si="109"/>
        <v>911</v>
      </c>
      <c r="B912" s="463" t="str">
        <f t="shared" si="110"/>
        <v>東部</v>
      </c>
      <c r="C912" s="464" t="s">
        <v>1244</v>
      </c>
      <c r="D912" s="464" t="s">
        <v>1242</v>
      </c>
      <c r="E912" s="464">
        <f>VLOOKUP(D912,★折込地区!$A$2:$D$10,4,FALSE)</f>
        <v>9</v>
      </c>
      <c r="F912" s="464" t="s">
        <v>402</v>
      </c>
      <c r="G912" s="464" t="str">
        <f>INDEX(★新聞!$E$4:$I$12, MATCH(LEFT(F912),★新聞!$A$4:$A$12,0), MATCH(LEFT(W912),★新聞!$E$3:$I$3,0))</f>
        <v>X</v>
      </c>
      <c r="H912" s="475" t="s">
        <v>1247</v>
      </c>
      <c r="I912" s="464" cm="1">
        <f t="array" ref="I912">IFERROR(INDEX(★原価率!$A$2:$E$50,MATCH($C912&amp;$H912,★原価率!$A$2:$A$50&amp;★原価率!$B$2:$B$50,0),3),0)</f>
        <v>50</v>
      </c>
      <c r="J912" s="464" cm="1">
        <f t="array" ref="J912">IFERROR(INDEX(★原価率!$A$2:$E$50,MATCH($C912&amp;$H912,★原価率!$A$2:$A$50&amp;★原価率!$B$2:$B$50,0),4),0)</f>
        <v>50</v>
      </c>
      <c r="K912" s="464" cm="1">
        <f t="array" ref="K912">IFERROR(INDEX(★原価率!$A$2:$E$50,MATCH($C912&amp;$H912,★原価率!$A$2:$A$50&amp;★原価率!$B$2:$B$50,0),5),0)</f>
        <v>85</v>
      </c>
      <c r="L912" s="528">
        <f>IFERROR(VLOOKUP(W912,★商品!$A$1:$H$1231,8,FALSE),0)</f>
        <v>0</v>
      </c>
      <c r="M912" s="203" t="str">
        <f ca="1">CONCATENATE(VLOOKUP(B912,★営業所!$A$2:$B$5,2,FALSE),TEXT(NOW(),"yyyy"))</f>
        <v>T2023</v>
      </c>
      <c r="N912" s="203">
        <v>1</v>
      </c>
      <c r="O912" s="203">
        <v>0</v>
      </c>
      <c r="P912" s="213">
        <f>申込書!$B$6</f>
        <v>0</v>
      </c>
      <c r="Q912" s="203">
        <f>申込書!$C$34</f>
        <v>1000040</v>
      </c>
      <c r="R912" s="203">
        <v>0</v>
      </c>
      <c r="U912" s="203">
        <f>VLOOKUP(B912,★営業所!$A$2:$C$5,3,FALSE)</f>
        <v>8</v>
      </c>
      <c r="V912" s="203">
        <f>申込書!$B$9</f>
        <v>0</v>
      </c>
      <c r="W912" s="203" t="str">
        <f>CONCATENATE(VLOOKUP(B912,★営業所!$A$2:$B$5,2,FALSE),VLOOKUP(申込書!$C$32,★サイズ表記!$D$4:$E$55,2,FALSE),VLOOKUP(D912,★折込地区!$A$2:$B$11,2,FALSE))</f>
        <v>T1001Osk</v>
      </c>
      <c r="X912" s="203" t="str">
        <f>CONCATENATE(申込書!$B$9," ",VLOOKUP(RIGHT(W912,3),★折込地区!$B$2:$C$10,2,FALSE),"")</f>
        <v xml:space="preserve"> 大阪</v>
      </c>
      <c r="Z912" s="206">
        <f t="shared" ca="1" si="111"/>
        <v>0</v>
      </c>
      <c r="AB912" s="383">
        <f t="shared" si="112"/>
        <v>0</v>
      </c>
      <c r="AC912" s="203" t="str">
        <f t="shared" si="113"/>
        <v>D1001</v>
      </c>
      <c r="AD912" s="203" t="str">
        <f>VLOOKUP(AC912,★原価商品!$E$6:$F$349,2,FALSE)</f>
        <v>日本海/B4（折り無し）</v>
      </c>
      <c r="AE912" s="203">
        <f t="shared" ca="1" si="114"/>
        <v>0</v>
      </c>
      <c r="AF912" s="383">
        <f>IFERROR(IF(VLOOKUP(申込書!$C$32,★サイズ表記!$F$4:$H$55,3,FALSE)="切り捨て",ROUNDDOWN(L912*IF(AK912="◎",I912,J912)/100,2),IF(VLOOKUP(申込書!$C$32,★サイズ表記!$F$4:$H$55,3,FALSE)="切り上げ",ROUNDUP(L912*IF(AK912="◎",I912,J912)/100,2),ROUND(L912*IF(AK912="◎",I912,J912)/100,2))),0)</f>
        <v>0</v>
      </c>
      <c r="AG912" s="203">
        <f t="shared" ca="1" si="115"/>
        <v>0</v>
      </c>
      <c r="AJ912" s="460" t="str">
        <f>IFERROR(VLOOKUP(申込書!$C$30,★業種!$D$2:$E$87,2,FALSE),"")</f>
        <v>1003</v>
      </c>
      <c r="AK912" s="460" t="str">
        <f>IF(申込書!$C$36="◎",IF(OR(D912="浜坂・温泉",D912="美方・村岡",D912="香住",D912="岡山",D912="大阪"),"",IF(LEFT(F912)="D","◎",IF(AG912=0,"",IFERROR(IF(VLOOKUP(AG912,★仕入先!$A$2:$C$211,3,FALSE)=0,"","◎"),"")))),"")</f>
        <v/>
      </c>
      <c r="AL912" s="460">
        <f>申込書!$H$14</f>
        <v>0</v>
      </c>
      <c r="AM912" s="460" t="str">
        <f>申込書!$C$32</f>
        <v>B4（折り無し）</v>
      </c>
      <c r="AN912" s="460" t="str">
        <f>VLOOKUP(AM912,★サイズ表記!$D$4:$E$55,2,FALSE)</f>
        <v>1001</v>
      </c>
      <c r="AO912" s="460">
        <f>IF(C912&lt;&gt;"⑧兵庫",VLOOKUP(LEFT(F912),★新聞!$A$4:$B$12,2,FALSE),IF(LEFT(F912)&lt;&gt;"S",VLOOKUP(LEFT(F912),★新聞!$A$4:$B$12,2,FALSE),VLOOKUP("X",★新聞!$A$4:$B$12,2,FALSE)))</f>
        <v>1</v>
      </c>
      <c r="AP912" s="460" t="str">
        <f t="shared" ca="1" si="116"/>
        <v>0</v>
      </c>
      <c r="AQ912" s="460" t="str">
        <f>IF(申込書!$C$38="","",申込書!$C$38)</f>
        <v/>
      </c>
    </row>
    <row r="913" spans="1:43">
      <c r="A913" s="463">
        <f t="shared" si="109"/>
        <v>912</v>
      </c>
      <c r="B913" s="463" t="str">
        <f t="shared" si="110"/>
        <v>東部</v>
      </c>
      <c r="C913" s="464" t="s">
        <v>1244</v>
      </c>
      <c r="D913" s="464" t="s">
        <v>1242</v>
      </c>
      <c r="E913" s="464">
        <f>VLOOKUP(D913,★折込地区!$A$2:$D$10,4,FALSE)</f>
        <v>9</v>
      </c>
      <c r="F913" s="464" t="s">
        <v>403</v>
      </c>
      <c r="G913" s="464" t="str">
        <f>INDEX(★新聞!$E$4:$I$12, MATCH(LEFT(F913),★新聞!$A$4:$A$12,0), MATCH(LEFT(W913),★新聞!$E$3:$I$3,0))</f>
        <v>X</v>
      </c>
      <c r="H913" s="475" t="s">
        <v>1247</v>
      </c>
      <c r="I913" s="464" cm="1">
        <f t="array" ref="I913">IFERROR(INDEX(★原価率!$A$2:$E$50,MATCH($C913&amp;$H913,★原価率!$A$2:$A$50&amp;★原価率!$B$2:$B$50,0),3),0)</f>
        <v>50</v>
      </c>
      <c r="J913" s="464" cm="1">
        <f t="array" ref="J913">IFERROR(INDEX(★原価率!$A$2:$E$50,MATCH($C913&amp;$H913,★原価率!$A$2:$A$50&amp;★原価率!$B$2:$B$50,0),4),0)</f>
        <v>50</v>
      </c>
      <c r="K913" s="464" cm="1">
        <f t="array" ref="K913">IFERROR(INDEX(★原価率!$A$2:$E$50,MATCH($C913&amp;$H913,★原価率!$A$2:$A$50&amp;★原価率!$B$2:$B$50,0),5),0)</f>
        <v>85</v>
      </c>
      <c r="L913" s="528">
        <f>IFERROR(VLOOKUP(W913,★商品!$A$1:$H$1231,8,FALSE),0)</f>
        <v>0</v>
      </c>
      <c r="M913" s="203" t="str">
        <f ca="1">CONCATENATE(VLOOKUP(B913,★営業所!$A$2:$B$5,2,FALSE),TEXT(NOW(),"yyyy"))</f>
        <v>T2023</v>
      </c>
      <c r="N913" s="203">
        <v>1</v>
      </c>
      <c r="O913" s="203">
        <v>0</v>
      </c>
      <c r="P913" s="213">
        <f>申込書!$B$6</f>
        <v>0</v>
      </c>
      <c r="Q913" s="203">
        <f>申込書!$C$34</f>
        <v>1000040</v>
      </c>
      <c r="R913" s="203">
        <v>0</v>
      </c>
      <c r="U913" s="203">
        <f>VLOOKUP(B913,★営業所!$A$2:$C$5,3,FALSE)</f>
        <v>8</v>
      </c>
      <c r="V913" s="203">
        <f>申込書!$B$9</f>
        <v>0</v>
      </c>
      <c r="W913" s="203" t="str">
        <f>CONCATENATE(VLOOKUP(B913,★営業所!$A$2:$B$5,2,FALSE),VLOOKUP(申込書!$C$32,★サイズ表記!$D$4:$E$55,2,FALSE),VLOOKUP(D913,★折込地区!$A$2:$B$11,2,FALSE))</f>
        <v>T1001Osk</v>
      </c>
      <c r="X913" s="203" t="str">
        <f>CONCATENATE(申込書!$B$9," ",VLOOKUP(RIGHT(W913,3),★折込地区!$B$2:$C$10,2,FALSE),"")</f>
        <v xml:space="preserve"> 大阪</v>
      </c>
      <c r="Z913" s="206">
        <f t="shared" ca="1" si="111"/>
        <v>0</v>
      </c>
      <c r="AB913" s="383">
        <f t="shared" si="112"/>
        <v>0</v>
      </c>
      <c r="AC913" s="203" t="str">
        <f t="shared" si="113"/>
        <v>D1001</v>
      </c>
      <c r="AD913" s="203" t="str">
        <f>VLOOKUP(AC913,★原価商品!$E$6:$F$349,2,FALSE)</f>
        <v>日本海/B4（折り無し）</v>
      </c>
      <c r="AE913" s="203">
        <f t="shared" ca="1" si="114"/>
        <v>0</v>
      </c>
      <c r="AF913" s="383">
        <f>IFERROR(IF(VLOOKUP(申込書!$C$32,★サイズ表記!$F$4:$H$55,3,FALSE)="切り捨て",ROUNDDOWN(L913*IF(AK913="◎",I913,J913)/100,2),IF(VLOOKUP(申込書!$C$32,★サイズ表記!$F$4:$H$55,3,FALSE)="切り上げ",ROUNDUP(L913*IF(AK913="◎",I913,J913)/100,2),ROUND(L913*IF(AK913="◎",I913,J913)/100,2))),0)</f>
        <v>0</v>
      </c>
      <c r="AG913" s="203">
        <f t="shared" ca="1" si="115"/>
        <v>0</v>
      </c>
      <c r="AJ913" s="460" t="str">
        <f>IFERROR(VLOOKUP(申込書!$C$30,★業種!$D$2:$E$87,2,FALSE),"")</f>
        <v>1003</v>
      </c>
      <c r="AK913" s="460" t="str">
        <f>IF(申込書!$C$36="◎",IF(OR(D913="浜坂・温泉",D913="美方・村岡",D913="香住",D913="岡山",D913="大阪"),"",IF(LEFT(F913)="D","◎",IF(AG913=0,"",IFERROR(IF(VLOOKUP(AG913,★仕入先!$A$2:$C$211,3,FALSE)=0,"","◎"),"")))),"")</f>
        <v/>
      </c>
      <c r="AL913" s="460">
        <f>申込書!$H$14</f>
        <v>0</v>
      </c>
      <c r="AM913" s="460" t="str">
        <f>申込書!$C$32</f>
        <v>B4（折り無し）</v>
      </c>
      <c r="AN913" s="460" t="str">
        <f>VLOOKUP(AM913,★サイズ表記!$D$4:$E$55,2,FALSE)</f>
        <v>1001</v>
      </c>
      <c r="AO913" s="460">
        <f>IF(C913&lt;&gt;"⑧兵庫",VLOOKUP(LEFT(F913),★新聞!$A$4:$B$12,2,FALSE),IF(LEFT(F913)&lt;&gt;"S",VLOOKUP(LEFT(F913),★新聞!$A$4:$B$12,2,FALSE),VLOOKUP("X",★新聞!$A$4:$B$12,2,FALSE)))</f>
        <v>1</v>
      </c>
      <c r="AP913" s="460" t="str">
        <f t="shared" ca="1" si="116"/>
        <v>0</v>
      </c>
      <c r="AQ913" s="460" t="str">
        <f>IF(申込書!$C$38="","",申込書!$C$38)</f>
        <v/>
      </c>
    </row>
    <row r="914" spans="1:43">
      <c r="A914" s="463">
        <f t="shared" si="109"/>
        <v>913</v>
      </c>
      <c r="B914" s="463" t="str">
        <f t="shared" si="110"/>
        <v>東部</v>
      </c>
      <c r="C914" s="464" t="s">
        <v>1244</v>
      </c>
      <c r="D914" s="464" t="s">
        <v>1242</v>
      </c>
      <c r="E914" s="464">
        <f>VLOOKUP(D914,★折込地区!$A$2:$D$10,4,FALSE)</f>
        <v>9</v>
      </c>
      <c r="F914" s="464" t="s">
        <v>404</v>
      </c>
      <c r="G914" s="464" t="str">
        <f>INDEX(★新聞!$E$4:$I$12, MATCH(LEFT(F914),★新聞!$A$4:$A$12,0), MATCH(LEFT(W914),★新聞!$E$3:$I$3,0))</f>
        <v>X</v>
      </c>
      <c r="H914" s="475" t="s">
        <v>1247</v>
      </c>
      <c r="I914" s="464" cm="1">
        <f t="array" ref="I914">IFERROR(INDEX(★原価率!$A$2:$E$50,MATCH($C914&amp;$H914,★原価率!$A$2:$A$50&amp;★原価率!$B$2:$B$50,0),3),0)</f>
        <v>50</v>
      </c>
      <c r="J914" s="464" cm="1">
        <f t="array" ref="J914">IFERROR(INDEX(★原価率!$A$2:$E$50,MATCH($C914&amp;$H914,★原価率!$A$2:$A$50&amp;★原価率!$B$2:$B$50,0),4),0)</f>
        <v>50</v>
      </c>
      <c r="K914" s="464" cm="1">
        <f t="array" ref="K914">IFERROR(INDEX(★原価率!$A$2:$E$50,MATCH($C914&amp;$H914,★原価率!$A$2:$A$50&amp;★原価率!$B$2:$B$50,0),5),0)</f>
        <v>85</v>
      </c>
      <c r="L914" s="528">
        <f>IFERROR(VLOOKUP(W914,★商品!$A$1:$H$1231,8,FALSE),0)</f>
        <v>0</v>
      </c>
      <c r="M914" s="203" t="str">
        <f ca="1">CONCATENATE(VLOOKUP(B914,★営業所!$A$2:$B$5,2,FALSE),TEXT(NOW(),"yyyy"))</f>
        <v>T2023</v>
      </c>
      <c r="N914" s="203">
        <v>1</v>
      </c>
      <c r="O914" s="203">
        <v>0</v>
      </c>
      <c r="P914" s="213">
        <f>申込書!$B$6</f>
        <v>0</v>
      </c>
      <c r="Q914" s="203">
        <f>申込書!$C$34</f>
        <v>1000040</v>
      </c>
      <c r="R914" s="203">
        <v>0</v>
      </c>
      <c r="U914" s="203">
        <f>VLOOKUP(B914,★営業所!$A$2:$C$5,3,FALSE)</f>
        <v>8</v>
      </c>
      <c r="V914" s="203">
        <f>申込書!$B$9</f>
        <v>0</v>
      </c>
      <c r="W914" s="203" t="str">
        <f>CONCATENATE(VLOOKUP(B914,★営業所!$A$2:$B$5,2,FALSE),VLOOKUP(申込書!$C$32,★サイズ表記!$D$4:$E$55,2,FALSE),VLOOKUP(D914,★折込地区!$A$2:$B$11,2,FALSE))</f>
        <v>T1001Osk</v>
      </c>
      <c r="X914" s="203" t="str">
        <f>CONCATENATE(申込書!$B$9," ",VLOOKUP(RIGHT(W914,3),★折込地区!$B$2:$C$10,2,FALSE),"")</f>
        <v xml:space="preserve"> 大阪</v>
      </c>
      <c r="Z914" s="206">
        <f t="shared" ca="1" si="111"/>
        <v>0</v>
      </c>
      <c r="AB914" s="383">
        <f t="shared" si="112"/>
        <v>0</v>
      </c>
      <c r="AC914" s="203" t="str">
        <f t="shared" si="113"/>
        <v>D1001</v>
      </c>
      <c r="AD914" s="203" t="str">
        <f>VLOOKUP(AC914,★原価商品!$E$6:$F$349,2,FALSE)</f>
        <v>日本海/B4（折り無し）</v>
      </c>
      <c r="AE914" s="203">
        <f t="shared" ca="1" si="114"/>
        <v>0</v>
      </c>
      <c r="AF914" s="383">
        <f>IFERROR(IF(VLOOKUP(申込書!$C$32,★サイズ表記!$F$4:$H$55,3,FALSE)="切り捨て",ROUNDDOWN(L914*IF(AK914="◎",I914,J914)/100,2),IF(VLOOKUP(申込書!$C$32,★サイズ表記!$F$4:$H$55,3,FALSE)="切り上げ",ROUNDUP(L914*IF(AK914="◎",I914,J914)/100,2),ROUND(L914*IF(AK914="◎",I914,J914)/100,2))),0)</f>
        <v>0</v>
      </c>
      <c r="AG914" s="203">
        <f t="shared" ca="1" si="115"/>
        <v>0</v>
      </c>
      <c r="AJ914" s="460" t="str">
        <f>IFERROR(VLOOKUP(申込書!$C$30,★業種!$D$2:$E$87,2,FALSE),"")</f>
        <v>1003</v>
      </c>
      <c r="AK914" s="460" t="str">
        <f>IF(申込書!$C$36="◎",IF(OR(D914="浜坂・温泉",D914="美方・村岡",D914="香住",D914="岡山",D914="大阪"),"",IF(LEFT(F914)="D","◎",IF(AG914=0,"",IFERROR(IF(VLOOKUP(AG914,★仕入先!$A$2:$C$211,3,FALSE)=0,"","◎"),"")))),"")</f>
        <v/>
      </c>
      <c r="AL914" s="460">
        <f>申込書!$H$14</f>
        <v>0</v>
      </c>
      <c r="AM914" s="460" t="str">
        <f>申込書!$C$32</f>
        <v>B4（折り無し）</v>
      </c>
      <c r="AN914" s="460" t="str">
        <f>VLOOKUP(AM914,★サイズ表記!$D$4:$E$55,2,FALSE)</f>
        <v>1001</v>
      </c>
      <c r="AO914" s="460">
        <f>IF(C914&lt;&gt;"⑧兵庫",VLOOKUP(LEFT(F914),★新聞!$A$4:$B$12,2,FALSE),IF(LEFT(F914)&lt;&gt;"S",VLOOKUP(LEFT(F914),★新聞!$A$4:$B$12,2,FALSE),VLOOKUP("X",★新聞!$A$4:$B$12,2,FALSE)))</f>
        <v>1</v>
      </c>
      <c r="AP914" s="460" t="str">
        <f t="shared" ca="1" si="116"/>
        <v>0</v>
      </c>
      <c r="AQ914" s="460" t="str">
        <f>IF(申込書!$C$38="","",申込書!$C$38)</f>
        <v/>
      </c>
    </row>
    <row r="915" spans="1:43">
      <c r="A915" s="463">
        <f t="shared" si="109"/>
        <v>914</v>
      </c>
      <c r="B915" s="463" t="str">
        <f t="shared" si="110"/>
        <v>東部</v>
      </c>
      <c r="C915" s="464" t="s">
        <v>1244</v>
      </c>
      <c r="D915" s="464" t="s">
        <v>1242</v>
      </c>
      <c r="E915" s="464">
        <f>VLOOKUP(D915,★折込地区!$A$2:$D$10,4,FALSE)</f>
        <v>9</v>
      </c>
      <c r="F915" s="464" t="s">
        <v>405</v>
      </c>
      <c r="G915" s="464" t="str">
        <f>INDEX(★新聞!$E$4:$I$12, MATCH(LEFT(F915),★新聞!$A$4:$A$12,0), MATCH(LEFT(W915),★新聞!$E$3:$I$3,0))</f>
        <v>X</v>
      </c>
      <c r="H915" s="475" t="s">
        <v>1247</v>
      </c>
      <c r="I915" s="464" cm="1">
        <f t="array" ref="I915">IFERROR(INDEX(★原価率!$A$2:$E$50,MATCH($C915&amp;$H915,★原価率!$A$2:$A$50&amp;★原価率!$B$2:$B$50,0),3),0)</f>
        <v>50</v>
      </c>
      <c r="J915" s="464" cm="1">
        <f t="array" ref="J915">IFERROR(INDEX(★原価率!$A$2:$E$50,MATCH($C915&amp;$H915,★原価率!$A$2:$A$50&amp;★原価率!$B$2:$B$50,0),4),0)</f>
        <v>50</v>
      </c>
      <c r="K915" s="464" cm="1">
        <f t="array" ref="K915">IFERROR(INDEX(★原価率!$A$2:$E$50,MATCH($C915&amp;$H915,★原価率!$A$2:$A$50&amp;★原価率!$B$2:$B$50,0),5),0)</f>
        <v>85</v>
      </c>
      <c r="L915" s="528">
        <f>IFERROR(VLOOKUP(W915,★商品!$A$1:$H$1231,8,FALSE),0)</f>
        <v>0</v>
      </c>
      <c r="M915" s="203" t="str">
        <f ca="1">CONCATENATE(VLOOKUP(B915,★営業所!$A$2:$B$5,2,FALSE),TEXT(NOW(),"yyyy"))</f>
        <v>T2023</v>
      </c>
      <c r="N915" s="203">
        <v>1</v>
      </c>
      <c r="O915" s="203">
        <v>0</v>
      </c>
      <c r="P915" s="213">
        <f>申込書!$B$6</f>
        <v>0</v>
      </c>
      <c r="Q915" s="203">
        <f>申込書!$C$34</f>
        <v>1000040</v>
      </c>
      <c r="R915" s="203">
        <v>0</v>
      </c>
      <c r="U915" s="203">
        <f>VLOOKUP(B915,★営業所!$A$2:$C$5,3,FALSE)</f>
        <v>8</v>
      </c>
      <c r="V915" s="203">
        <f>申込書!$B$9</f>
        <v>0</v>
      </c>
      <c r="W915" s="203" t="str">
        <f>CONCATENATE(VLOOKUP(B915,★営業所!$A$2:$B$5,2,FALSE),VLOOKUP(申込書!$C$32,★サイズ表記!$D$4:$E$55,2,FALSE),VLOOKUP(D915,★折込地区!$A$2:$B$11,2,FALSE))</f>
        <v>T1001Osk</v>
      </c>
      <c r="X915" s="203" t="str">
        <f>CONCATENATE(申込書!$B$9," ",VLOOKUP(RIGHT(W915,3),★折込地区!$B$2:$C$10,2,FALSE),"")</f>
        <v xml:space="preserve"> 大阪</v>
      </c>
      <c r="Z915" s="206">
        <f t="shared" ca="1" si="111"/>
        <v>0</v>
      </c>
      <c r="AB915" s="383">
        <f t="shared" si="112"/>
        <v>0</v>
      </c>
      <c r="AC915" s="203" t="str">
        <f t="shared" si="113"/>
        <v>D1001</v>
      </c>
      <c r="AD915" s="203" t="str">
        <f>VLOOKUP(AC915,★原価商品!$E$6:$F$349,2,FALSE)</f>
        <v>日本海/B4（折り無し）</v>
      </c>
      <c r="AE915" s="203">
        <f t="shared" ca="1" si="114"/>
        <v>0</v>
      </c>
      <c r="AF915" s="383">
        <f>IFERROR(IF(VLOOKUP(申込書!$C$32,★サイズ表記!$F$4:$H$55,3,FALSE)="切り捨て",ROUNDDOWN(L915*IF(AK915="◎",I915,J915)/100,2),IF(VLOOKUP(申込書!$C$32,★サイズ表記!$F$4:$H$55,3,FALSE)="切り上げ",ROUNDUP(L915*IF(AK915="◎",I915,J915)/100,2),ROUND(L915*IF(AK915="◎",I915,J915)/100,2))),0)</f>
        <v>0</v>
      </c>
      <c r="AG915" s="203">
        <f t="shared" ca="1" si="115"/>
        <v>0</v>
      </c>
      <c r="AJ915" s="460" t="str">
        <f>IFERROR(VLOOKUP(申込書!$C$30,★業種!$D$2:$E$87,2,FALSE),"")</f>
        <v>1003</v>
      </c>
      <c r="AK915" s="460" t="str">
        <f>IF(申込書!$C$36="◎",IF(OR(D915="浜坂・温泉",D915="美方・村岡",D915="香住",D915="岡山",D915="大阪"),"",IF(LEFT(F915)="D","◎",IF(AG915=0,"",IFERROR(IF(VLOOKUP(AG915,★仕入先!$A$2:$C$211,3,FALSE)=0,"","◎"),"")))),"")</f>
        <v/>
      </c>
      <c r="AL915" s="460">
        <f>申込書!$H$14</f>
        <v>0</v>
      </c>
      <c r="AM915" s="460" t="str">
        <f>申込書!$C$32</f>
        <v>B4（折り無し）</v>
      </c>
      <c r="AN915" s="460" t="str">
        <f>VLOOKUP(AM915,★サイズ表記!$D$4:$E$55,2,FALSE)</f>
        <v>1001</v>
      </c>
      <c r="AO915" s="460">
        <f>IF(C915&lt;&gt;"⑧兵庫",VLOOKUP(LEFT(F915),★新聞!$A$4:$B$12,2,FALSE),IF(LEFT(F915)&lt;&gt;"S",VLOOKUP(LEFT(F915),★新聞!$A$4:$B$12,2,FALSE),VLOOKUP("X",★新聞!$A$4:$B$12,2,FALSE)))</f>
        <v>1</v>
      </c>
      <c r="AP915" s="460" t="str">
        <f t="shared" ca="1" si="116"/>
        <v>0</v>
      </c>
      <c r="AQ915" s="460" t="str">
        <f>IF(申込書!$C$38="","",申込書!$C$38)</f>
        <v/>
      </c>
    </row>
    <row r="916" spans="1:43">
      <c r="A916" s="463">
        <f t="shared" si="109"/>
        <v>915</v>
      </c>
      <c r="B916" s="463" t="str">
        <f t="shared" si="110"/>
        <v>東部</v>
      </c>
      <c r="C916" s="464" t="s">
        <v>1244</v>
      </c>
      <c r="D916" s="464" t="s">
        <v>1242</v>
      </c>
      <c r="E916" s="464">
        <f>VLOOKUP(D916,★折込地区!$A$2:$D$10,4,FALSE)</f>
        <v>9</v>
      </c>
      <c r="F916" s="464" t="s">
        <v>1248</v>
      </c>
      <c r="G916" s="464" t="str">
        <f>INDEX(★新聞!$E$4:$I$12, MATCH(LEFT(F916),★新聞!$A$4:$A$12,0), MATCH(LEFT(W916),★新聞!$E$3:$I$3,0))</f>
        <v>X</v>
      </c>
      <c r="H916" s="475" t="s">
        <v>1247</v>
      </c>
      <c r="I916" s="464" cm="1">
        <f t="array" ref="I916">IFERROR(INDEX(★原価率!$A$2:$E$50,MATCH($C916&amp;$H916,★原価率!$A$2:$A$50&amp;★原価率!$B$2:$B$50,0),3),0)</f>
        <v>50</v>
      </c>
      <c r="J916" s="464" cm="1">
        <f t="array" ref="J916">IFERROR(INDEX(★原価率!$A$2:$E$50,MATCH($C916&amp;$H916,★原価率!$A$2:$A$50&amp;★原価率!$B$2:$B$50,0),4),0)</f>
        <v>50</v>
      </c>
      <c r="K916" s="464" cm="1">
        <f t="array" ref="K916">IFERROR(INDEX(★原価率!$A$2:$E$50,MATCH($C916&amp;$H916,★原価率!$A$2:$A$50&amp;★原価率!$B$2:$B$50,0),5),0)</f>
        <v>85</v>
      </c>
      <c r="L916" s="528">
        <f>IFERROR(VLOOKUP(W916,★商品!$A$1:$H$1231,8,FALSE),0)</f>
        <v>0</v>
      </c>
      <c r="M916" s="203" t="str">
        <f ca="1">CONCATENATE(VLOOKUP(B916,★営業所!$A$2:$B$5,2,FALSE),TEXT(NOW(),"yyyy"))</f>
        <v>T2023</v>
      </c>
      <c r="N916" s="203">
        <v>1</v>
      </c>
      <c r="O916" s="203">
        <v>0</v>
      </c>
      <c r="P916" s="213">
        <f>申込書!$B$6</f>
        <v>0</v>
      </c>
      <c r="Q916" s="203">
        <f>申込書!$C$34</f>
        <v>1000040</v>
      </c>
      <c r="R916" s="203">
        <v>0</v>
      </c>
      <c r="U916" s="203">
        <f>VLOOKUP(B916,★営業所!$A$2:$C$5,3,FALSE)</f>
        <v>8</v>
      </c>
      <c r="V916" s="203">
        <f>申込書!$B$9</f>
        <v>0</v>
      </c>
      <c r="W916" s="203" t="str">
        <f>CONCATENATE(VLOOKUP(B916,★営業所!$A$2:$B$5,2,FALSE),VLOOKUP(申込書!$C$32,★サイズ表記!$D$4:$E$55,2,FALSE),VLOOKUP(D916,★折込地区!$A$2:$B$11,2,FALSE))</f>
        <v>T1001Osk</v>
      </c>
      <c r="X916" s="203" t="str">
        <f>CONCATENATE(申込書!$B$9," ",VLOOKUP(RIGHT(W916,3),★折込地区!$B$2:$C$10,2,FALSE),"")</f>
        <v xml:space="preserve"> 大阪</v>
      </c>
      <c r="Z916" s="206">
        <f t="shared" ca="1" si="111"/>
        <v>0</v>
      </c>
      <c r="AB916" s="383">
        <f t="shared" si="112"/>
        <v>0</v>
      </c>
      <c r="AC916" s="203" t="str">
        <f t="shared" si="113"/>
        <v>D1001</v>
      </c>
      <c r="AD916" s="203" t="str">
        <f>VLOOKUP(AC916,★原価商品!$E$6:$F$349,2,FALSE)</f>
        <v>日本海/B4（折り無し）</v>
      </c>
      <c r="AE916" s="203">
        <f t="shared" ca="1" si="114"/>
        <v>0</v>
      </c>
      <c r="AF916" s="383">
        <f>IFERROR(IF(VLOOKUP(申込書!$C$32,★サイズ表記!$F$4:$H$55,3,FALSE)="切り捨て",ROUNDDOWN(L916*IF(AK916="◎",I916,J916)/100,2),IF(VLOOKUP(申込書!$C$32,★サイズ表記!$F$4:$H$55,3,FALSE)="切り上げ",ROUNDUP(L916*IF(AK916="◎",I916,J916)/100,2),ROUND(L916*IF(AK916="◎",I916,J916)/100,2))),0)</f>
        <v>0</v>
      </c>
      <c r="AG916" s="203">
        <f t="shared" ca="1" si="115"/>
        <v>0</v>
      </c>
      <c r="AJ916" s="460" t="str">
        <f>IFERROR(VLOOKUP(申込書!$C$30,★業種!$D$2:$E$87,2,FALSE),"")</f>
        <v>1003</v>
      </c>
      <c r="AK916" s="460" t="str">
        <f>IF(申込書!$C$36="◎",IF(OR(D916="浜坂・温泉",D916="美方・村岡",D916="香住",D916="岡山",D916="大阪"),"",IF(LEFT(F916)="D","◎",IF(AG916=0,"",IFERROR(IF(VLOOKUP(AG916,★仕入先!$A$2:$C$211,3,FALSE)=0,"","◎"),"")))),"")</f>
        <v/>
      </c>
      <c r="AL916" s="460">
        <f>申込書!$H$14</f>
        <v>0</v>
      </c>
      <c r="AM916" s="460" t="str">
        <f>申込書!$C$32</f>
        <v>B4（折り無し）</v>
      </c>
      <c r="AN916" s="460" t="str">
        <f>VLOOKUP(AM916,★サイズ表記!$D$4:$E$55,2,FALSE)</f>
        <v>1001</v>
      </c>
      <c r="AO916" s="460">
        <f>IF(C916&lt;&gt;"⑧兵庫",VLOOKUP(LEFT(F916),★新聞!$A$4:$B$12,2,FALSE),IF(LEFT(F916)&lt;&gt;"S",VLOOKUP(LEFT(F916),★新聞!$A$4:$B$12,2,FALSE),VLOOKUP("X",★新聞!$A$4:$B$12,2,FALSE)))</f>
        <v>1</v>
      </c>
      <c r="AP916" s="460" t="str">
        <f t="shared" ca="1" si="116"/>
        <v>0</v>
      </c>
      <c r="AQ916" s="460" t="str">
        <f>IF(申込書!$C$38="","",申込書!$C$38)</f>
        <v/>
      </c>
    </row>
    <row r="917" spans="1:43">
      <c r="A917" s="463">
        <f t="shared" si="109"/>
        <v>916</v>
      </c>
      <c r="B917" s="463" t="str">
        <f t="shared" si="110"/>
        <v>東部</v>
      </c>
      <c r="C917" s="464" t="s">
        <v>1244</v>
      </c>
      <c r="D917" s="464" t="s">
        <v>1242</v>
      </c>
      <c r="E917" s="464">
        <f>VLOOKUP(D917,★折込地区!$A$2:$D$10,4,FALSE)</f>
        <v>9</v>
      </c>
      <c r="F917" s="464" t="s">
        <v>566</v>
      </c>
      <c r="G917" s="464" t="str">
        <f>INDEX(★新聞!$E$4:$I$12, MATCH(LEFT(F917),★新聞!$A$4:$A$12,0), MATCH(LEFT(W917),★新聞!$E$3:$I$3,0))</f>
        <v>X</v>
      </c>
      <c r="H917" s="475" t="s">
        <v>1247</v>
      </c>
      <c r="I917" s="464" cm="1">
        <f t="array" ref="I917">IFERROR(INDEX(★原価率!$A$2:$E$50,MATCH($C917&amp;$H917,★原価率!$A$2:$A$50&amp;★原価率!$B$2:$B$50,0),3),0)</f>
        <v>50</v>
      </c>
      <c r="J917" s="464" cm="1">
        <f t="array" ref="J917">IFERROR(INDEX(★原価率!$A$2:$E$50,MATCH($C917&amp;$H917,★原価率!$A$2:$A$50&amp;★原価率!$B$2:$B$50,0),4),0)</f>
        <v>50</v>
      </c>
      <c r="K917" s="464" cm="1">
        <f t="array" ref="K917">IFERROR(INDEX(★原価率!$A$2:$E$50,MATCH($C917&amp;$H917,★原価率!$A$2:$A$50&amp;★原価率!$B$2:$B$50,0),5),0)</f>
        <v>85</v>
      </c>
      <c r="L917" s="528">
        <f>IFERROR(VLOOKUP(W917,★商品!$A$1:$H$1231,8,FALSE),0)</f>
        <v>0</v>
      </c>
      <c r="M917" s="203" t="str">
        <f ca="1">CONCATENATE(VLOOKUP(B917,★営業所!$A$2:$B$5,2,FALSE),TEXT(NOW(),"yyyy"))</f>
        <v>T2023</v>
      </c>
      <c r="N917" s="203">
        <v>1</v>
      </c>
      <c r="O917" s="203">
        <v>0</v>
      </c>
      <c r="P917" s="213">
        <f>申込書!$B$6</f>
        <v>0</v>
      </c>
      <c r="Q917" s="203">
        <f>申込書!$C$34</f>
        <v>1000040</v>
      </c>
      <c r="R917" s="203">
        <v>0</v>
      </c>
      <c r="U917" s="203">
        <f>VLOOKUP(B917,★営業所!$A$2:$C$5,3,FALSE)</f>
        <v>8</v>
      </c>
      <c r="V917" s="203">
        <f>申込書!$B$9</f>
        <v>0</v>
      </c>
      <c r="W917" s="203" t="str">
        <f>CONCATENATE(VLOOKUP(B917,★営業所!$A$2:$B$5,2,FALSE),VLOOKUP(申込書!$C$32,★サイズ表記!$D$4:$E$55,2,FALSE),VLOOKUP(D917,★折込地区!$A$2:$B$11,2,FALSE))</f>
        <v>T1001Osk</v>
      </c>
      <c r="X917" s="203" t="str">
        <f>CONCATENATE(申込書!$B$9," ",VLOOKUP(RIGHT(W917,3),★折込地区!$B$2:$C$10,2,FALSE),"")</f>
        <v xml:space="preserve"> 大阪</v>
      </c>
      <c r="Z917" s="206">
        <f t="shared" ca="1" si="111"/>
        <v>0</v>
      </c>
      <c r="AB917" s="383">
        <f t="shared" si="112"/>
        <v>0</v>
      </c>
      <c r="AC917" s="203" t="str">
        <f t="shared" si="113"/>
        <v>D1001</v>
      </c>
      <c r="AD917" s="203" t="str">
        <f>VLOOKUP(AC917,★原価商品!$E$6:$F$349,2,FALSE)</f>
        <v>日本海/B4（折り無し）</v>
      </c>
      <c r="AE917" s="203">
        <f t="shared" ca="1" si="114"/>
        <v>0</v>
      </c>
      <c r="AF917" s="383">
        <f>IFERROR(IF(VLOOKUP(申込書!$C$32,★サイズ表記!$F$4:$H$55,3,FALSE)="切り捨て",ROUNDDOWN(L917*IF(AK917="◎",I917,J917)/100,2),IF(VLOOKUP(申込書!$C$32,★サイズ表記!$F$4:$H$55,3,FALSE)="切り上げ",ROUNDUP(L917*IF(AK917="◎",I917,J917)/100,2),ROUND(L917*IF(AK917="◎",I917,J917)/100,2))),0)</f>
        <v>0</v>
      </c>
      <c r="AG917" s="203">
        <f t="shared" ca="1" si="115"/>
        <v>0</v>
      </c>
      <c r="AJ917" s="460" t="str">
        <f>IFERROR(VLOOKUP(申込書!$C$30,★業種!$D$2:$E$87,2,FALSE),"")</f>
        <v>1003</v>
      </c>
      <c r="AK917" s="460" t="str">
        <f>IF(申込書!$C$36="◎",IF(OR(D917="浜坂・温泉",D917="美方・村岡",D917="香住",D917="岡山",D917="大阪"),"",IF(LEFT(F917)="D","◎",IF(AG917=0,"",IFERROR(IF(VLOOKUP(AG917,★仕入先!$A$2:$C$211,3,FALSE)=0,"","◎"),"")))),"")</f>
        <v/>
      </c>
      <c r="AL917" s="460">
        <f>申込書!$H$14</f>
        <v>0</v>
      </c>
      <c r="AM917" s="460" t="str">
        <f>申込書!$C$32</f>
        <v>B4（折り無し）</v>
      </c>
      <c r="AN917" s="460" t="str">
        <f>VLOOKUP(AM917,★サイズ表記!$D$4:$E$55,2,FALSE)</f>
        <v>1001</v>
      </c>
      <c r="AO917" s="460">
        <f>IF(C917&lt;&gt;"⑧兵庫",VLOOKUP(LEFT(F917),★新聞!$A$4:$B$12,2,FALSE),IF(LEFT(F917)&lt;&gt;"S",VLOOKUP(LEFT(F917),★新聞!$A$4:$B$12,2,FALSE),VLOOKUP("X",★新聞!$A$4:$B$12,2,FALSE)))</f>
        <v>1</v>
      </c>
      <c r="AP917" s="460" t="str">
        <f t="shared" ca="1" si="116"/>
        <v>0</v>
      </c>
      <c r="AQ917" s="460" t="str">
        <f>IF(申込書!$C$38="","",申込書!$C$38)</f>
        <v/>
      </c>
    </row>
    <row r="918" spans="1:43">
      <c r="A918" s="463">
        <f t="shared" si="109"/>
        <v>917</v>
      </c>
      <c r="B918" s="463" t="str">
        <f t="shared" si="110"/>
        <v>東部</v>
      </c>
      <c r="C918" s="464" t="s">
        <v>1244</v>
      </c>
      <c r="D918" s="464" t="s">
        <v>1242</v>
      </c>
      <c r="E918" s="464">
        <f>VLOOKUP(D918,★折込地区!$A$2:$D$10,4,FALSE)</f>
        <v>9</v>
      </c>
      <c r="F918" s="464" t="s">
        <v>567</v>
      </c>
      <c r="G918" s="464" t="str">
        <f>INDEX(★新聞!$E$4:$I$12, MATCH(LEFT(F918),★新聞!$A$4:$A$12,0), MATCH(LEFT(W918),★新聞!$E$3:$I$3,0))</f>
        <v>X</v>
      </c>
      <c r="H918" s="475" t="s">
        <v>1247</v>
      </c>
      <c r="I918" s="464" cm="1">
        <f t="array" ref="I918">IFERROR(INDEX(★原価率!$A$2:$E$50,MATCH($C918&amp;$H918,★原価率!$A$2:$A$50&amp;★原価率!$B$2:$B$50,0),3),0)</f>
        <v>50</v>
      </c>
      <c r="J918" s="464" cm="1">
        <f t="array" ref="J918">IFERROR(INDEX(★原価率!$A$2:$E$50,MATCH($C918&amp;$H918,★原価率!$A$2:$A$50&amp;★原価率!$B$2:$B$50,0),4),0)</f>
        <v>50</v>
      </c>
      <c r="K918" s="464" cm="1">
        <f t="array" ref="K918">IFERROR(INDEX(★原価率!$A$2:$E$50,MATCH($C918&amp;$H918,★原価率!$A$2:$A$50&amp;★原価率!$B$2:$B$50,0),5),0)</f>
        <v>85</v>
      </c>
      <c r="L918" s="528">
        <f>IFERROR(VLOOKUP(W918,★商品!$A$1:$H$1231,8,FALSE),0)</f>
        <v>0</v>
      </c>
      <c r="M918" s="203" t="str">
        <f ca="1">CONCATENATE(VLOOKUP(B918,★営業所!$A$2:$B$5,2,FALSE),TEXT(NOW(),"yyyy"))</f>
        <v>T2023</v>
      </c>
      <c r="N918" s="203">
        <v>1</v>
      </c>
      <c r="O918" s="203">
        <v>0</v>
      </c>
      <c r="P918" s="213">
        <f>申込書!$B$6</f>
        <v>0</v>
      </c>
      <c r="Q918" s="203">
        <f>申込書!$C$34</f>
        <v>1000040</v>
      </c>
      <c r="R918" s="203">
        <v>0</v>
      </c>
      <c r="U918" s="203">
        <f>VLOOKUP(B918,★営業所!$A$2:$C$5,3,FALSE)</f>
        <v>8</v>
      </c>
      <c r="V918" s="203">
        <f>申込書!$B$9</f>
        <v>0</v>
      </c>
      <c r="W918" s="203" t="str">
        <f>CONCATENATE(VLOOKUP(B918,★営業所!$A$2:$B$5,2,FALSE),VLOOKUP(申込書!$C$32,★サイズ表記!$D$4:$E$55,2,FALSE),VLOOKUP(D918,★折込地区!$A$2:$B$11,2,FALSE))</f>
        <v>T1001Osk</v>
      </c>
      <c r="X918" s="203" t="str">
        <f>CONCATENATE(申込書!$B$9," ",VLOOKUP(RIGHT(W918,3),★折込地区!$B$2:$C$10,2,FALSE),"")</f>
        <v xml:space="preserve"> 大阪</v>
      </c>
      <c r="Z918" s="206">
        <f t="shared" ca="1" si="111"/>
        <v>0</v>
      </c>
      <c r="AB918" s="383">
        <f t="shared" si="112"/>
        <v>0</v>
      </c>
      <c r="AC918" s="203" t="str">
        <f t="shared" si="113"/>
        <v>D1001</v>
      </c>
      <c r="AD918" s="203" t="str">
        <f>VLOOKUP(AC918,★原価商品!$E$6:$F$349,2,FALSE)</f>
        <v>日本海/B4（折り無し）</v>
      </c>
      <c r="AE918" s="203">
        <f t="shared" ca="1" si="114"/>
        <v>0</v>
      </c>
      <c r="AF918" s="383">
        <f>IFERROR(IF(VLOOKUP(申込書!$C$32,★サイズ表記!$F$4:$H$55,3,FALSE)="切り捨て",ROUNDDOWN(L918*IF(AK918="◎",I918,J918)/100,2),IF(VLOOKUP(申込書!$C$32,★サイズ表記!$F$4:$H$55,3,FALSE)="切り上げ",ROUNDUP(L918*IF(AK918="◎",I918,J918)/100,2),ROUND(L918*IF(AK918="◎",I918,J918)/100,2))),0)</f>
        <v>0</v>
      </c>
      <c r="AG918" s="203">
        <f t="shared" ca="1" si="115"/>
        <v>0</v>
      </c>
      <c r="AJ918" s="460" t="str">
        <f>IFERROR(VLOOKUP(申込書!$C$30,★業種!$D$2:$E$87,2,FALSE),"")</f>
        <v>1003</v>
      </c>
      <c r="AK918" s="460" t="str">
        <f>IF(申込書!$C$36="◎",IF(OR(D918="浜坂・温泉",D918="美方・村岡",D918="香住",D918="岡山",D918="大阪"),"",IF(LEFT(F918)="D","◎",IF(AG918=0,"",IFERROR(IF(VLOOKUP(AG918,★仕入先!$A$2:$C$211,3,FALSE)=0,"","◎"),"")))),"")</f>
        <v/>
      </c>
      <c r="AL918" s="460">
        <f>申込書!$H$14</f>
        <v>0</v>
      </c>
      <c r="AM918" s="460" t="str">
        <f>申込書!$C$32</f>
        <v>B4（折り無し）</v>
      </c>
      <c r="AN918" s="460" t="str">
        <f>VLOOKUP(AM918,★サイズ表記!$D$4:$E$55,2,FALSE)</f>
        <v>1001</v>
      </c>
      <c r="AO918" s="460">
        <f>IF(C918&lt;&gt;"⑧兵庫",VLOOKUP(LEFT(F918),★新聞!$A$4:$B$12,2,FALSE),IF(LEFT(F918)&lt;&gt;"S",VLOOKUP(LEFT(F918),★新聞!$A$4:$B$12,2,FALSE),VLOOKUP("X",★新聞!$A$4:$B$12,2,FALSE)))</f>
        <v>1</v>
      </c>
      <c r="AP918" s="460" t="str">
        <f t="shared" ca="1" si="116"/>
        <v>0</v>
      </c>
      <c r="AQ918" s="460" t="str">
        <f>IF(申込書!$C$38="","",申込書!$C$38)</f>
        <v/>
      </c>
    </row>
    <row r="919" spans="1:43">
      <c r="A919" s="463">
        <f t="shared" si="109"/>
        <v>918</v>
      </c>
      <c r="B919" s="463" t="str">
        <f t="shared" si="110"/>
        <v>東部</v>
      </c>
      <c r="C919" s="464" t="s">
        <v>1244</v>
      </c>
      <c r="D919" s="464" t="s">
        <v>1242</v>
      </c>
      <c r="E919" s="464">
        <f>VLOOKUP(D919,★折込地区!$A$2:$D$10,4,FALSE)</f>
        <v>9</v>
      </c>
      <c r="F919" s="464" t="s">
        <v>568</v>
      </c>
      <c r="G919" s="464" t="str">
        <f>INDEX(★新聞!$E$4:$I$12, MATCH(LEFT(F919),★新聞!$A$4:$A$12,0), MATCH(LEFT(W919),★新聞!$E$3:$I$3,0))</f>
        <v>X</v>
      </c>
      <c r="H919" s="475" t="s">
        <v>1247</v>
      </c>
      <c r="I919" s="464" cm="1">
        <f t="array" ref="I919">IFERROR(INDEX(★原価率!$A$2:$E$50,MATCH($C919&amp;$H919,★原価率!$A$2:$A$50&amp;★原価率!$B$2:$B$50,0),3),0)</f>
        <v>50</v>
      </c>
      <c r="J919" s="464" cm="1">
        <f t="array" ref="J919">IFERROR(INDEX(★原価率!$A$2:$E$50,MATCH($C919&amp;$H919,★原価率!$A$2:$A$50&amp;★原価率!$B$2:$B$50,0),4),0)</f>
        <v>50</v>
      </c>
      <c r="K919" s="464" cm="1">
        <f t="array" ref="K919">IFERROR(INDEX(★原価率!$A$2:$E$50,MATCH($C919&amp;$H919,★原価率!$A$2:$A$50&amp;★原価率!$B$2:$B$50,0),5),0)</f>
        <v>85</v>
      </c>
      <c r="L919" s="528">
        <f>IFERROR(VLOOKUP(W919,★商品!$A$1:$H$1231,8,FALSE),0)</f>
        <v>0</v>
      </c>
      <c r="M919" s="203" t="str">
        <f ca="1">CONCATENATE(VLOOKUP(B919,★営業所!$A$2:$B$5,2,FALSE),TEXT(NOW(),"yyyy"))</f>
        <v>T2023</v>
      </c>
      <c r="N919" s="203">
        <v>1</v>
      </c>
      <c r="O919" s="203">
        <v>0</v>
      </c>
      <c r="P919" s="213">
        <f>申込書!$B$6</f>
        <v>0</v>
      </c>
      <c r="Q919" s="203">
        <f>申込書!$C$34</f>
        <v>1000040</v>
      </c>
      <c r="R919" s="203">
        <v>0</v>
      </c>
      <c r="U919" s="203">
        <f>VLOOKUP(B919,★営業所!$A$2:$C$5,3,FALSE)</f>
        <v>8</v>
      </c>
      <c r="V919" s="203">
        <f>申込書!$B$9</f>
        <v>0</v>
      </c>
      <c r="W919" s="203" t="str">
        <f>CONCATENATE(VLOOKUP(B919,★営業所!$A$2:$B$5,2,FALSE),VLOOKUP(申込書!$C$32,★サイズ表記!$D$4:$E$55,2,FALSE),VLOOKUP(D919,★折込地区!$A$2:$B$11,2,FALSE))</f>
        <v>T1001Osk</v>
      </c>
      <c r="X919" s="203" t="str">
        <f>CONCATENATE(申込書!$B$9," ",VLOOKUP(RIGHT(W919,3),★折込地区!$B$2:$C$10,2,FALSE),"")</f>
        <v xml:space="preserve"> 大阪</v>
      </c>
      <c r="Z919" s="206">
        <f t="shared" ca="1" si="111"/>
        <v>0</v>
      </c>
      <c r="AB919" s="383">
        <f t="shared" si="112"/>
        <v>0</v>
      </c>
      <c r="AC919" s="203" t="str">
        <f t="shared" si="113"/>
        <v>D1001</v>
      </c>
      <c r="AD919" s="203" t="str">
        <f>VLOOKUP(AC919,★原価商品!$E$6:$F$349,2,FALSE)</f>
        <v>日本海/B4（折り無し）</v>
      </c>
      <c r="AE919" s="203">
        <f t="shared" ca="1" si="114"/>
        <v>0</v>
      </c>
      <c r="AF919" s="383">
        <f>IFERROR(IF(VLOOKUP(申込書!$C$32,★サイズ表記!$F$4:$H$55,3,FALSE)="切り捨て",ROUNDDOWN(L919*IF(AK919="◎",I919,J919)/100,2),IF(VLOOKUP(申込書!$C$32,★サイズ表記!$F$4:$H$55,3,FALSE)="切り上げ",ROUNDUP(L919*IF(AK919="◎",I919,J919)/100,2),ROUND(L919*IF(AK919="◎",I919,J919)/100,2))),0)</f>
        <v>0</v>
      </c>
      <c r="AG919" s="203">
        <f t="shared" ca="1" si="115"/>
        <v>0</v>
      </c>
      <c r="AJ919" s="460" t="str">
        <f>IFERROR(VLOOKUP(申込書!$C$30,★業種!$D$2:$E$87,2,FALSE),"")</f>
        <v>1003</v>
      </c>
      <c r="AK919" s="460" t="str">
        <f>IF(申込書!$C$36="◎",IF(OR(D919="浜坂・温泉",D919="美方・村岡",D919="香住",D919="岡山",D919="大阪"),"",IF(LEFT(F919)="D","◎",IF(AG919=0,"",IFERROR(IF(VLOOKUP(AG919,★仕入先!$A$2:$C$211,3,FALSE)=0,"","◎"),"")))),"")</f>
        <v/>
      </c>
      <c r="AL919" s="460">
        <f>申込書!$H$14</f>
        <v>0</v>
      </c>
      <c r="AM919" s="460" t="str">
        <f>申込書!$C$32</f>
        <v>B4（折り無し）</v>
      </c>
      <c r="AN919" s="460" t="str">
        <f>VLOOKUP(AM919,★サイズ表記!$D$4:$E$55,2,FALSE)</f>
        <v>1001</v>
      </c>
      <c r="AO919" s="460">
        <f>IF(C919&lt;&gt;"⑧兵庫",VLOOKUP(LEFT(F919),★新聞!$A$4:$B$12,2,FALSE),IF(LEFT(F919)&lt;&gt;"S",VLOOKUP(LEFT(F919),★新聞!$A$4:$B$12,2,FALSE),VLOOKUP("X",★新聞!$A$4:$B$12,2,FALSE)))</f>
        <v>1</v>
      </c>
      <c r="AP919" s="460" t="str">
        <f t="shared" ca="1" si="116"/>
        <v>0</v>
      </c>
      <c r="AQ919" s="460" t="str">
        <f>IF(申込書!$C$38="","",申込書!$C$38)</f>
        <v/>
      </c>
    </row>
    <row r="920" spans="1:43">
      <c r="A920" s="463">
        <f t="shared" si="109"/>
        <v>919</v>
      </c>
      <c r="B920" s="463" t="str">
        <f t="shared" si="110"/>
        <v>東部</v>
      </c>
      <c r="C920" s="464" t="s">
        <v>1244</v>
      </c>
      <c r="D920" s="464" t="s">
        <v>1242</v>
      </c>
      <c r="E920" s="464">
        <f>VLOOKUP(D920,★折込地区!$A$2:$D$10,4,FALSE)</f>
        <v>9</v>
      </c>
      <c r="F920" s="464" t="s">
        <v>569</v>
      </c>
      <c r="G920" s="464" t="str">
        <f>INDEX(★新聞!$E$4:$I$12, MATCH(LEFT(F920),★新聞!$A$4:$A$12,0), MATCH(LEFT(W920),★新聞!$E$3:$I$3,0))</f>
        <v>X</v>
      </c>
      <c r="H920" s="475" t="s">
        <v>1247</v>
      </c>
      <c r="I920" s="464" cm="1">
        <f t="array" ref="I920">IFERROR(INDEX(★原価率!$A$2:$E$50,MATCH($C920&amp;$H920,★原価率!$A$2:$A$50&amp;★原価率!$B$2:$B$50,0),3),0)</f>
        <v>50</v>
      </c>
      <c r="J920" s="464" cm="1">
        <f t="array" ref="J920">IFERROR(INDEX(★原価率!$A$2:$E$50,MATCH($C920&amp;$H920,★原価率!$A$2:$A$50&amp;★原価率!$B$2:$B$50,0),4),0)</f>
        <v>50</v>
      </c>
      <c r="K920" s="464" cm="1">
        <f t="array" ref="K920">IFERROR(INDEX(★原価率!$A$2:$E$50,MATCH($C920&amp;$H920,★原価率!$A$2:$A$50&amp;★原価率!$B$2:$B$50,0),5),0)</f>
        <v>85</v>
      </c>
      <c r="L920" s="528">
        <f>IFERROR(VLOOKUP(W920,★商品!$A$1:$H$1231,8,FALSE),0)</f>
        <v>0</v>
      </c>
      <c r="M920" s="203" t="str">
        <f ca="1">CONCATENATE(VLOOKUP(B920,★営業所!$A$2:$B$5,2,FALSE),TEXT(NOW(),"yyyy"))</f>
        <v>T2023</v>
      </c>
      <c r="N920" s="203">
        <v>1</v>
      </c>
      <c r="O920" s="203">
        <v>0</v>
      </c>
      <c r="P920" s="213">
        <f>申込書!$B$6</f>
        <v>0</v>
      </c>
      <c r="Q920" s="203">
        <f>申込書!$C$34</f>
        <v>1000040</v>
      </c>
      <c r="R920" s="203">
        <v>0</v>
      </c>
      <c r="U920" s="203">
        <f>VLOOKUP(B920,★営業所!$A$2:$C$5,3,FALSE)</f>
        <v>8</v>
      </c>
      <c r="V920" s="203">
        <f>申込書!$B$9</f>
        <v>0</v>
      </c>
      <c r="W920" s="203" t="str">
        <f>CONCATENATE(VLOOKUP(B920,★営業所!$A$2:$B$5,2,FALSE),VLOOKUP(申込書!$C$32,★サイズ表記!$D$4:$E$55,2,FALSE),VLOOKUP(D920,★折込地区!$A$2:$B$11,2,FALSE))</f>
        <v>T1001Osk</v>
      </c>
      <c r="X920" s="203" t="str">
        <f>CONCATENATE(申込書!$B$9," ",VLOOKUP(RIGHT(W920,3),★折込地区!$B$2:$C$10,2,FALSE),"")</f>
        <v xml:space="preserve"> 大阪</v>
      </c>
      <c r="Z920" s="206">
        <f t="shared" ca="1" si="111"/>
        <v>0</v>
      </c>
      <c r="AB920" s="383">
        <f t="shared" si="112"/>
        <v>0</v>
      </c>
      <c r="AC920" s="203" t="str">
        <f t="shared" si="113"/>
        <v>D1001</v>
      </c>
      <c r="AD920" s="203" t="str">
        <f>VLOOKUP(AC920,★原価商品!$E$6:$F$349,2,FALSE)</f>
        <v>日本海/B4（折り無し）</v>
      </c>
      <c r="AE920" s="203">
        <f t="shared" ca="1" si="114"/>
        <v>0</v>
      </c>
      <c r="AF920" s="383">
        <f>IFERROR(IF(VLOOKUP(申込書!$C$32,★サイズ表記!$F$4:$H$55,3,FALSE)="切り捨て",ROUNDDOWN(L920*IF(AK920="◎",I920,J920)/100,2),IF(VLOOKUP(申込書!$C$32,★サイズ表記!$F$4:$H$55,3,FALSE)="切り上げ",ROUNDUP(L920*IF(AK920="◎",I920,J920)/100,2),ROUND(L920*IF(AK920="◎",I920,J920)/100,2))),0)</f>
        <v>0</v>
      </c>
      <c r="AG920" s="203">
        <f t="shared" ca="1" si="115"/>
        <v>0</v>
      </c>
      <c r="AJ920" s="460" t="str">
        <f>IFERROR(VLOOKUP(申込書!$C$30,★業種!$D$2:$E$87,2,FALSE),"")</f>
        <v>1003</v>
      </c>
      <c r="AK920" s="460" t="str">
        <f>IF(申込書!$C$36="◎",IF(OR(D920="浜坂・温泉",D920="美方・村岡",D920="香住",D920="岡山",D920="大阪"),"",IF(LEFT(F920)="D","◎",IF(AG920=0,"",IFERROR(IF(VLOOKUP(AG920,★仕入先!$A$2:$C$211,3,FALSE)=0,"","◎"),"")))),"")</f>
        <v/>
      </c>
      <c r="AL920" s="460">
        <f>申込書!$H$14</f>
        <v>0</v>
      </c>
      <c r="AM920" s="460" t="str">
        <f>申込書!$C$32</f>
        <v>B4（折り無し）</v>
      </c>
      <c r="AN920" s="460" t="str">
        <f>VLOOKUP(AM920,★サイズ表記!$D$4:$E$55,2,FALSE)</f>
        <v>1001</v>
      </c>
      <c r="AO920" s="460">
        <f>IF(C920&lt;&gt;"⑧兵庫",VLOOKUP(LEFT(F920),★新聞!$A$4:$B$12,2,FALSE),IF(LEFT(F920)&lt;&gt;"S",VLOOKUP(LEFT(F920),★新聞!$A$4:$B$12,2,FALSE),VLOOKUP("X",★新聞!$A$4:$B$12,2,FALSE)))</f>
        <v>1</v>
      </c>
      <c r="AP920" s="460" t="str">
        <f t="shared" ca="1" si="116"/>
        <v>0</v>
      </c>
      <c r="AQ920" s="460" t="str">
        <f>IF(申込書!$C$38="","",申込書!$C$38)</f>
        <v/>
      </c>
    </row>
    <row r="921" spans="1:43">
      <c r="A921" s="463">
        <f t="shared" si="109"/>
        <v>920</v>
      </c>
      <c r="B921" s="463" t="str">
        <f t="shared" si="110"/>
        <v>東部</v>
      </c>
      <c r="C921" s="464" t="s">
        <v>1244</v>
      </c>
      <c r="D921" s="464" t="s">
        <v>1242</v>
      </c>
      <c r="E921" s="464">
        <f>VLOOKUP(D921,★折込地区!$A$2:$D$10,4,FALSE)</f>
        <v>9</v>
      </c>
      <c r="F921" s="464" t="s">
        <v>1249</v>
      </c>
      <c r="G921" s="464" t="str">
        <f>INDEX(★新聞!$E$4:$I$12, MATCH(LEFT(F921),★新聞!$A$4:$A$12,0), MATCH(LEFT(W921),★新聞!$E$3:$I$3,0))</f>
        <v>X</v>
      </c>
      <c r="H921" s="475" t="s">
        <v>1247</v>
      </c>
      <c r="I921" s="464" cm="1">
        <f t="array" ref="I921">IFERROR(INDEX(★原価率!$A$2:$E$50,MATCH($C921&amp;$H921,★原価率!$A$2:$A$50&amp;★原価率!$B$2:$B$50,0),3),0)</f>
        <v>50</v>
      </c>
      <c r="J921" s="464" cm="1">
        <f t="array" ref="J921">IFERROR(INDEX(★原価率!$A$2:$E$50,MATCH($C921&amp;$H921,★原価率!$A$2:$A$50&amp;★原価率!$B$2:$B$50,0),4),0)</f>
        <v>50</v>
      </c>
      <c r="K921" s="464" cm="1">
        <f t="array" ref="K921">IFERROR(INDEX(★原価率!$A$2:$E$50,MATCH($C921&amp;$H921,★原価率!$A$2:$A$50&amp;★原価率!$B$2:$B$50,0),5),0)</f>
        <v>85</v>
      </c>
      <c r="L921" s="528">
        <f>IFERROR(VLOOKUP(W921,★商品!$A$1:$H$1231,8,FALSE),0)</f>
        <v>0</v>
      </c>
      <c r="M921" s="203" t="str">
        <f ca="1">CONCATENATE(VLOOKUP(B921,★営業所!$A$2:$B$5,2,FALSE),TEXT(NOW(),"yyyy"))</f>
        <v>T2023</v>
      </c>
      <c r="N921" s="203">
        <v>1</v>
      </c>
      <c r="O921" s="203">
        <v>0</v>
      </c>
      <c r="P921" s="213">
        <f>申込書!$B$6</f>
        <v>0</v>
      </c>
      <c r="Q921" s="203">
        <f>申込書!$C$34</f>
        <v>1000040</v>
      </c>
      <c r="R921" s="203">
        <v>0</v>
      </c>
      <c r="U921" s="203">
        <f>VLOOKUP(B921,★営業所!$A$2:$C$5,3,FALSE)</f>
        <v>8</v>
      </c>
      <c r="V921" s="203">
        <f>申込書!$B$9</f>
        <v>0</v>
      </c>
      <c r="W921" s="203" t="str">
        <f>CONCATENATE(VLOOKUP(B921,★営業所!$A$2:$B$5,2,FALSE),VLOOKUP(申込書!$C$32,★サイズ表記!$D$4:$E$55,2,FALSE),VLOOKUP(D921,★折込地区!$A$2:$B$11,2,FALSE))</f>
        <v>T1001Osk</v>
      </c>
      <c r="X921" s="203" t="str">
        <f>CONCATENATE(申込書!$B$9," ",VLOOKUP(RIGHT(W921,3),★折込地区!$B$2:$C$10,2,FALSE),"")</f>
        <v xml:space="preserve"> 大阪</v>
      </c>
      <c r="Z921" s="206">
        <f t="shared" ca="1" si="111"/>
        <v>0</v>
      </c>
      <c r="AB921" s="383">
        <f t="shared" si="112"/>
        <v>0</v>
      </c>
      <c r="AC921" s="203" t="str">
        <f t="shared" si="113"/>
        <v>D1001</v>
      </c>
      <c r="AD921" s="203" t="str">
        <f>VLOOKUP(AC921,★原価商品!$E$6:$F$349,2,FALSE)</f>
        <v>日本海/B4（折り無し）</v>
      </c>
      <c r="AE921" s="203">
        <f t="shared" ca="1" si="114"/>
        <v>0</v>
      </c>
      <c r="AF921" s="383">
        <f>IFERROR(IF(VLOOKUP(申込書!$C$32,★サイズ表記!$F$4:$H$55,3,FALSE)="切り捨て",ROUNDDOWN(L921*IF(AK921="◎",I921,J921)/100,2),IF(VLOOKUP(申込書!$C$32,★サイズ表記!$F$4:$H$55,3,FALSE)="切り上げ",ROUNDUP(L921*IF(AK921="◎",I921,J921)/100,2),ROUND(L921*IF(AK921="◎",I921,J921)/100,2))),0)</f>
        <v>0</v>
      </c>
      <c r="AG921" s="203">
        <f t="shared" ca="1" si="115"/>
        <v>0</v>
      </c>
      <c r="AJ921" s="460" t="str">
        <f>IFERROR(VLOOKUP(申込書!$C$30,★業種!$D$2:$E$87,2,FALSE),"")</f>
        <v>1003</v>
      </c>
      <c r="AK921" s="460" t="str">
        <f>IF(申込書!$C$36="◎",IF(OR(D921="浜坂・温泉",D921="美方・村岡",D921="香住",D921="岡山",D921="大阪"),"",IF(LEFT(F921)="D","◎",IF(AG921=0,"",IFERROR(IF(VLOOKUP(AG921,★仕入先!$A$2:$C$211,3,FALSE)=0,"","◎"),"")))),"")</f>
        <v/>
      </c>
      <c r="AL921" s="460">
        <f>申込書!$H$14</f>
        <v>0</v>
      </c>
      <c r="AM921" s="460" t="str">
        <f>申込書!$C$32</f>
        <v>B4（折り無し）</v>
      </c>
      <c r="AN921" s="460" t="str">
        <f>VLOOKUP(AM921,★サイズ表記!$D$4:$E$55,2,FALSE)</f>
        <v>1001</v>
      </c>
      <c r="AO921" s="460">
        <f>IF(C921&lt;&gt;"⑧兵庫",VLOOKUP(LEFT(F921),★新聞!$A$4:$B$12,2,FALSE),IF(LEFT(F921)&lt;&gt;"S",VLOOKUP(LEFT(F921),★新聞!$A$4:$B$12,2,FALSE),VLOOKUP("X",★新聞!$A$4:$B$12,2,FALSE)))</f>
        <v>1</v>
      </c>
      <c r="AP921" s="460" t="str">
        <f t="shared" ca="1" si="116"/>
        <v>0</v>
      </c>
      <c r="AQ921" s="460" t="str">
        <f>IF(申込書!$C$38="","",申込書!$C$38)</f>
        <v/>
      </c>
    </row>
    <row r="922" spans="1:43">
      <c r="A922" s="463">
        <f t="shared" si="109"/>
        <v>921</v>
      </c>
      <c r="B922" s="463" t="str">
        <f t="shared" si="110"/>
        <v>東部</v>
      </c>
      <c r="C922" s="464" t="s">
        <v>1244</v>
      </c>
      <c r="D922" s="464" t="s">
        <v>1242</v>
      </c>
      <c r="E922" s="464">
        <f>VLOOKUP(D922,★折込地区!$A$2:$D$10,4,FALSE)</f>
        <v>9</v>
      </c>
      <c r="F922" s="464" t="s">
        <v>1250</v>
      </c>
      <c r="G922" s="464" t="str">
        <f>INDEX(★新聞!$E$4:$I$12, MATCH(LEFT(F922),★新聞!$A$4:$A$12,0), MATCH(LEFT(W922),★新聞!$E$3:$I$3,0))</f>
        <v>X</v>
      </c>
      <c r="H922" s="475" t="s">
        <v>1247</v>
      </c>
      <c r="I922" s="464" cm="1">
        <f t="array" ref="I922">IFERROR(INDEX(★原価率!$A$2:$E$50,MATCH($C922&amp;$H922,★原価率!$A$2:$A$50&amp;★原価率!$B$2:$B$50,0),3),0)</f>
        <v>50</v>
      </c>
      <c r="J922" s="464" cm="1">
        <f t="array" ref="J922">IFERROR(INDEX(★原価率!$A$2:$E$50,MATCH($C922&amp;$H922,★原価率!$A$2:$A$50&amp;★原価率!$B$2:$B$50,0),4),0)</f>
        <v>50</v>
      </c>
      <c r="K922" s="464" cm="1">
        <f t="array" ref="K922">IFERROR(INDEX(★原価率!$A$2:$E$50,MATCH($C922&amp;$H922,★原価率!$A$2:$A$50&amp;★原価率!$B$2:$B$50,0),5),0)</f>
        <v>85</v>
      </c>
      <c r="L922" s="528">
        <f>IFERROR(VLOOKUP(W922,★商品!$A$1:$H$1231,8,FALSE),0)</f>
        <v>0</v>
      </c>
      <c r="M922" s="203" t="str">
        <f ca="1">CONCATENATE(VLOOKUP(B922,★営業所!$A$2:$B$5,2,FALSE),TEXT(NOW(),"yyyy"))</f>
        <v>T2023</v>
      </c>
      <c r="N922" s="203">
        <v>1</v>
      </c>
      <c r="O922" s="203">
        <v>0</v>
      </c>
      <c r="P922" s="213">
        <f>申込書!$B$6</f>
        <v>0</v>
      </c>
      <c r="Q922" s="203">
        <f>申込書!$C$34</f>
        <v>1000040</v>
      </c>
      <c r="R922" s="203">
        <v>0</v>
      </c>
      <c r="U922" s="203">
        <f>VLOOKUP(B922,★営業所!$A$2:$C$5,3,FALSE)</f>
        <v>8</v>
      </c>
      <c r="V922" s="203">
        <f>申込書!$B$9</f>
        <v>0</v>
      </c>
      <c r="W922" s="203" t="str">
        <f>CONCATENATE(VLOOKUP(B922,★営業所!$A$2:$B$5,2,FALSE),VLOOKUP(申込書!$C$32,★サイズ表記!$D$4:$E$55,2,FALSE),VLOOKUP(D922,★折込地区!$A$2:$B$11,2,FALSE))</f>
        <v>T1001Osk</v>
      </c>
      <c r="X922" s="203" t="str">
        <f>CONCATENATE(申込書!$B$9," ",VLOOKUP(RIGHT(W922,3),★折込地区!$B$2:$C$10,2,FALSE),"")</f>
        <v xml:space="preserve"> 大阪</v>
      </c>
      <c r="Z922" s="206">
        <f t="shared" ca="1" si="111"/>
        <v>0</v>
      </c>
      <c r="AB922" s="383">
        <f t="shared" si="112"/>
        <v>0</v>
      </c>
      <c r="AC922" s="203" t="str">
        <f t="shared" si="113"/>
        <v>D1001</v>
      </c>
      <c r="AD922" s="203" t="str">
        <f>VLOOKUP(AC922,★原価商品!$E$6:$F$349,2,FALSE)</f>
        <v>日本海/B4（折り無し）</v>
      </c>
      <c r="AE922" s="203">
        <f t="shared" ca="1" si="114"/>
        <v>0</v>
      </c>
      <c r="AF922" s="383">
        <f>IFERROR(IF(VLOOKUP(申込書!$C$32,★サイズ表記!$F$4:$H$55,3,FALSE)="切り捨て",ROUNDDOWN(L922*IF(AK922="◎",I922,J922)/100,2),IF(VLOOKUP(申込書!$C$32,★サイズ表記!$F$4:$H$55,3,FALSE)="切り上げ",ROUNDUP(L922*IF(AK922="◎",I922,J922)/100,2),ROUND(L922*IF(AK922="◎",I922,J922)/100,2))),0)</f>
        <v>0</v>
      </c>
      <c r="AG922" s="203">
        <f t="shared" ca="1" si="115"/>
        <v>0</v>
      </c>
      <c r="AJ922" s="460" t="str">
        <f>IFERROR(VLOOKUP(申込書!$C$30,★業種!$D$2:$E$87,2,FALSE),"")</f>
        <v>1003</v>
      </c>
      <c r="AK922" s="460" t="str">
        <f>IF(申込書!$C$36="◎",IF(OR(D922="浜坂・温泉",D922="美方・村岡",D922="香住",D922="岡山",D922="大阪"),"",IF(LEFT(F922)="D","◎",IF(AG922=0,"",IFERROR(IF(VLOOKUP(AG922,★仕入先!$A$2:$C$211,3,FALSE)=0,"","◎"),"")))),"")</f>
        <v/>
      </c>
      <c r="AL922" s="460">
        <f>申込書!$H$14</f>
        <v>0</v>
      </c>
      <c r="AM922" s="460" t="str">
        <f>申込書!$C$32</f>
        <v>B4（折り無し）</v>
      </c>
      <c r="AN922" s="460" t="str">
        <f>VLOOKUP(AM922,★サイズ表記!$D$4:$E$55,2,FALSE)</f>
        <v>1001</v>
      </c>
      <c r="AO922" s="460">
        <f>IF(C922&lt;&gt;"⑧兵庫",VLOOKUP(LEFT(F922),★新聞!$A$4:$B$12,2,FALSE),IF(LEFT(F922)&lt;&gt;"S",VLOOKUP(LEFT(F922),★新聞!$A$4:$B$12,2,FALSE),VLOOKUP("X",★新聞!$A$4:$B$12,2,FALSE)))</f>
        <v>1</v>
      </c>
      <c r="AP922" s="460" t="str">
        <f t="shared" ca="1" si="116"/>
        <v>0</v>
      </c>
      <c r="AQ922" s="460" t="str">
        <f>IF(申込書!$C$38="","",申込書!$C$38)</f>
        <v/>
      </c>
    </row>
    <row r="923" spans="1:43">
      <c r="A923" s="463">
        <f t="shared" si="109"/>
        <v>922</v>
      </c>
      <c r="B923" s="463" t="str">
        <f t="shared" si="110"/>
        <v>東部</v>
      </c>
      <c r="C923" s="464" t="s">
        <v>1244</v>
      </c>
      <c r="D923" s="464" t="s">
        <v>1242</v>
      </c>
      <c r="E923" s="464">
        <f>VLOOKUP(D923,★折込地区!$A$2:$D$10,4,FALSE)</f>
        <v>9</v>
      </c>
      <c r="F923" s="464" t="s">
        <v>1251</v>
      </c>
      <c r="G923" s="464" t="str">
        <f>INDEX(★新聞!$E$4:$I$12, MATCH(LEFT(F923),★新聞!$A$4:$A$12,0), MATCH(LEFT(W923),★新聞!$E$3:$I$3,0))</f>
        <v>X</v>
      </c>
      <c r="H923" s="475" t="s">
        <v>1247</v>
      </c>
      <c r="I923" s="464" cm="1">
        <f t="array" ref="I923">IFERROR(INDEX(★原価率!$A$2:$E$50,MATCH($C923&amp;$H923,★原価率!$A$2:$A$50&amp;★原価率!$B$2:$B$50,0),3),0)</f>
        <v>50</v>
      </c>
      <c r="J923" s="464" cm="1">
        <f t="array" ref="J923">IFERROR(INDEX(★原価率!$A$2:$E$50,MATCH($C923&amp;$H923,★原価率!$A$2:$A$50&amp;★原価率!$B$2:$B$50,0),4),0)</f>
        <v>50</v>
      </c>
      <c r="K923" s="464" cm="1">
        <f t="array" ref="K923">IFERROR(INDEX(★原価率!$A$2:$E$50,MATCH($C923&amp;$H923,★原価率!$A$2:$A$50&amp;★原価率!$B$2:$B$50,0),5),0)</f>
        <v>85</v>
      </c>
      <c r="L923" s="528">
        <f>IFERROR(VLOOKUP(W923,★商品!$A$1:$H$1231,8,FALSE),0)</f>
        <v>0</v>
      </c>
      <c r="M923" s="203" t="str">
        <f ca="1">CONCATENATE(VLOOKUP(B923,★営業所!$A$2:$B$5,2,FALSE),TEXT(NOW(),"yyyy"))</f>
        <v>T2023</v>
      </c>
      <c r="N923" s="203">
        <v>1</v>
      </c>
      <c r="O923" s="203">
        <v>0</v>
      </c>
      <c r="P923" s="213">
        <f>申込書!$B$6</f>
        <v>0</v>
      </c>
      <c r="Q923" s="203">
        <f>申込書!$C$34</f>
        <v>1000040</v>
      </c>
      <c r="R923" s="203">
        <v>0</v>
      </c>
      <c r="U923" s="203">
        <f>VLOOKUP(B923,★営業所!$A$2:$C$5,3,FALSE)</f>
        <v>8</v>
      </c>
      <c r="V923" s="203">
        <f>申込書!$B$9</f>
        <v>0</v>
      </c>
      <c r="W923" s="203" t="str">
        <f>CONCATENATE(VLOOKUP(B923,★営業所!$A$2:$B$5,2,FALSE),VLOOKUP(申込書!$C$32,★サイズ表記!$D$4:$E$55,2,FALSE),VLOOKUP(D923,★折込地区!$A$2:$B$11,2,FALSE))</f>
        <v>T1001Osk</v>
      </c>
      <c r="X923" s="203" t="str">
        <f>CONCATENATE(申込書!$B$9," ",VLOOKUP(RIGHT(W923,3),★折込地区!$B$2:$C$10,2,FALSE),"")</f>
        <v xml:space="preserve"> 大阪</v>
      </c>
      <c r="Z923" s="206">
        <f t="shared" ca="1" si="111"/>
        <v>0</v>
      </c>
      <c r="AB923" s="383">
        <f t="shared" si="112"/>
        <v>0</v>
      </c>
      <c r="AC923" s="203" t="str">
        <f t="shared" si="113"/>
        <v>D1001</v>
      </c>
      <c r="AD923" s="203" t="str">
        <f>VLOOKUP(AC923,★原価商品!$E$6:$F$349,2,FALSE)</f>
        <v>日本海/B4（折り無し）</v>
      </c>
      <c r="AE923" s="203">
        <f t="shared" ca="1" si="114"/>
        <v>0</v>
      </c>
      <c r="AF923" s="383">
        <f>IFERROR(IF(VLOOKUP(申込書!$C$32,★サイズ表記!$F$4:$H$55,3,FALSE)="切り捨て",ROUNDDOWN(L923*IF(AK923="◎",I923,J923)/100,2),IF(VLOOKUP(申込書!$C$32,★サイズ表記!$F$4:$H$55,3,FALSE)="切り上げ",ROUNDUP(L923*IF(AK923="◎",I923,J923)/100,2),ROUND(L923*IF(AK923="◎",I923,J923)/100,2))),0)</f>
        <v>0</v>
      </c>
      <c r="AG923" s="203">
        <f t="shared" ca="1" si="115"/>
        <v>0</v>
      </c>
      <c r="AJ923" s="460" t="str">
        <f>IFERROR(VLOOKUP(申込書!$C$30,★業種!$D$2:$E$87,2,FALSE),"")</f>
        <v>1003</v>
      </c>
      <c r="AK923" s="460" t="str">
        <f>IF(申込書!$C$36="◎",IF(OR(D923="浜坂・温泉",D923="美方・村岡",D923="香住",D923="岡山",D923="大阪"),"",IF(LEFT(F923)="D","◎",IF(AG923=0,"",IFERROR(IF(VLOOKUP(AG923,★仕入先!$A$2:$C$211,3,FALSE)=0,"","◎"),"")))),"")</f>
        <v/>
      </c>
      <c r="AL923" s="460">
        <f>申込書!$H$14</f>
        <v>0</v>
      </c>
      <c r="AM923" s="460" t="str">
        <f>申込書!$C$32</f>
        <v>B4（折り無し）</v>
      </c>
      <c r="AN923" s="460" t="str">
        <f>VLOOKUP(AM923,★サイズ表記!$D$4:$E$55,2,FALSE)</f>
        <v>1001</v>
      </c>
      <c r="AO923" s="460">
        <f>IF(C923&lt;&gt;"⑧兵庫",VLOOKUP(LEFT(F923),★新聞!$A$4:$B$12,2,FALSE),IF(LEFT(F923)&lt;&gt;"S",VLOOKUP(LEFT(F923),★新聞!$A$4:$B$12,2,FALSE),VLOOKUP("X",★新聞!$A$4:$B$12,2,FALSE)))</f>
        <v>1</v>
      </c>
      <c r="AP923" s="460" t="str">
        <f t="shared" ca="1" si="116"/>
        <v>0</v>
      </c>
      <c r="AQ923" s="460" t="str">
        <f>IF(申込書!$C$38="","",申込書!$C$38)</f>
        <v/>
      </c>
    </row>
    <row r="924" spans="1:43">
      <c r="A924" s="463">
        <f t="shared" si="109"/>
        <v>923</v>
      </c>
      <c r="B924" s="463" t="str">
        <f t="shared" si="110"/>
        <v>東部</v>
      </c>
      <c r="C924" s="464" t="s">
        <v>1244</v>
      </c>
      <c r="D924" s="464" t="s">
        <v>1242</v>
      </c>
      <c r="E924" s="464">
        <f>VLOOKUP(D924,★折込地区!$A$2:$D$10,4,FALSE)</f>
        <v>9</v>
      </c>
      <c r="F924" s="464" t="s">
        <v>1252</v>
      </c>
      <c r="G924" s="464" t="str">
        <f>INDEX(★新聞!$E$4:$I$12, MATCH(LEFT(F924),★新聞!$A$4:$A$12,0), MATCH(LEFT(W924),★新聞!$E$3:$I$3,0))</f>
        <v>X</v>
      </c>
      <c r="H924" s="475" t="s">
        <v>1247</v>
      </c>
      <c r="I924" s="464" cm="1">
        <f t="array" ref="I924">IFERROR(INDEX(★原価率!$A$2:$E$50,MATCH($C924&amp;$H924,★原価率!$A$2:$A$50&amp;★原価率!$B$2:$B$50,0),3),0)</f>
        <v>50</v>
      </c>
      <c r="J924" s="464" cm="1">
        <f t="array" ref="J924">IFERROR(INDEX(★原価率!$A$2:$E$50,MATCH($C924&amp;$H924,★原価率!$A$2:$A$50&amp;★原価率!$B$2:$B$50,0),4),0)</f>
        <v>50</v>
      </c>
      <c r="K924" s="464" cm="1">
        <f t="array" ref="K924">IFERROR(INDEX(★原価率!$A$2:$E$50,MATCH($C924&amp;$H924,★原価率!$A$2:$A$50&amp;★原価率!$B$2:$B$50,0),5),0)</f>
        <v>85</v>
      </c>
      <c r="L924" s="528">
        <f>IFERROR(VLOOKUP(W924,★商品!$A$1:$H$1231,8,FALSE),0)</f>
        <v>0</v>
      </c>
      <c r="M924" s="203" t="str">
        <f ca="1">CONCATENATE(VLOOKUP(B924,★営業所!$A$2:$B$5,2,FALSE),TEXT(NOW(),"yyyy"))</f>
        <v>T2023</v>
      </c>
      <c r="N924" s="203">
        <v>1</v>
      </c>
      <c r="O924" s="203">
        <v>0</v>
      </c>
      <c r="P924" s="213">
        <f>申込書!$B$6</f>
        <v>0</v>
      </c>
      <c r="Q924" s="203">
        <f>申込書!$C$34</f>
        <v>1000040</v>
      </c>
      <c r="R924" s="203">
        <v>0</v>
      </c>
      <c r="U924" s="203">
        <f>VLOOKUP(B924,★営業所!$A$2:$C$5,3,FALSE)</f>
        <v>8</v>
      </c>
      <c r="V924" s="203">
        <f>申込書!$B$9</f>
        <v>0</v>
      </c>
      <c r="W924" s="203" t="str">
        <f>CONCATENATE(VLOOKUP(B924,★営業所!$A$2:$B$5,2,FALSE),VLOOKUP(申込書!$C$32,★サイズ表記!$D$4:$E$55,2,FALSE),VLOOKUP(D924,★折込地区!$A$2:$B$11,2,FALSE))</f>
        <v>T1001Osk</v>
      </c>
      <c r="X924" s="203" t="str">
        <f>CONCATENATE(申込書!$B$9," ",VLOOKUP(RIGHT(W924,3),★折込地区!$B$2:$C$10,2,FALSE),"")</f>
        <v xml:space="preserve"> 大阪</v>
      </c>
      <c r="Z924" s="206">
        <f t="shared" ca="1" si="111"/>
        <v>0</v>
      </c>
      <c r="AB924" s="383">
        <f t="shared" si="112"/>
        <v>0</v>
      </c>
      <c r="AC924" s="203" t="str">
        <f t="shared" si="113"/>
        <v>D1001</v>
      </c>
      <c r="AD924" s="203" t="str">
        <f>VLOOKUP(AC924,★原価商品!$E$6:$F$349,2,FALSE)</f>
        <v>日本海/B4（折り無し）</v>
      </c>
      <c r="AE924" s="203">
        <f t="shared" ca="1" si="114"/>
        <v>0</v>
      </c>
      <c r="AF924" s="383">
        <f>IFERROR(IF(VLOOKUP(申込書!$C$32,★サイズ表記!$F$4:$H$55,3,FALSE)="切り捨て",ROUNDDOWN(L924*IF(AK924="◎",I924,J924)/100,2),IF(VLOOKUP(申込書!$C$32,★サイズ表記!$F$4:$H$55,3,FALSE)="切り上げ",ROUNDUP(L924*IF(AK924="◎",I924,J924)/100,2),ROUND(L924*IF(AK924="◎",I924,J924)/100,2))),0)</f>
        <v>0</v>
      </c>
      <c r="AG924" s="203">
        <f t="shared" ca="1" si="115"/>
        <v>0</v>
      </c>
      <c r="AJ924" s="460" t="str">
        <f>IFERROR(VLOOKUP(申込書!$C$30,★業種!$D$2:$E$87,2,FALSE),"")</f>
        <v>1003</v>
      </c>
      <c r="AK924" s="460" t="str">
        <f>IF(申込書!$C$36="◎",IF(OR(D924="浜坂・温泉",D924="美方・村岡",D924="香住",D924="岡山",D924="大阪"),"",IF(LEFT(F924)="D","◎",IF(AG924=0,"",IFERROR(IF(VLOOKUP(AG924,★仕入先!$A$2:$C$211,3,FALSE)=0,"","◎"),"")))),"")</f>
        <v/>
      </c>
      <c r="AL924" s="460">
        <f>申込書!$H$14</f>
        <v>0</v>
      </c>
      <c r="AM924" s="460" t="str">
        <f>申込書!$C$32</f>
        <v>B4（折り無し）</v>
      </c>
      <c r="AN924" s="460" t="str">
        <f>VLOOKUP(AM924,★サイズ表記!$D$4:$E$55,2,FALSE)</f>
        <v>1001</v>
      </c>
      <c r="AO924" s="460">
        <f>IF(C924&lt;&gt;"⑧兵庫",VLOOKUP(LEFT(F924),★新聞!$A$4:$B$12,2,FALSE),IF(LEFT(F924)&lt;&gt;"S",VLOOKUP(LEFT(F924),★新聞!$A$4:$B$12,2,FALSE),VLOOKUP("X",★新聞!$A$4:$B$12,2,FALSE)))</f>
        <v>1</v>
      </c>
      <c r="AP924" s="460" t="str">
        <f t="shared" ca="1" si="116"/>
        <v>0</v>
      </c>
      <c r="AQ924" s="460" t="str">
        <f>IF(申込書!$C$38="","",申込書!$C$38)</f>
        <v/>
      </c>
    </row>
    <row r="925" spans="1:43">
      <c r="A925" s="463">
        <f t="shared" si="109"/>
        <v>924</v>
      </c>
      <c r="B925" s="463" t="str">
        <f t="shared" si="110"/>
        <v>東部</v>
      </c>
      <c r="C925" s="464" t="s">
        <v>1244</v>
      </c>
      <c r="D925" s="464" t="s">
        <v>1242</v>
      </c>
      <c r="E925" s="464">
        <f>VLOOKUP(D925,★折込地区!$A$2:$D$10,4,FALSE)</f>
        <v>9</v>
      </c>
      <c r="F925" s="464" t="s">
        <v>1253</v>
      </c>
      <c r="G925" s="464" t="str">
        <f>INDEX(★新聞!$E$4:$I$12, MATCH(LEFT(F925),★新聞!$A$4:$A$12,0), MATCH(LEFT(W925),★新聞!$E$3:$I$3,0))</f>
        <v>X</v>
      </c>
      <c r="H925" s="475" t="s">
        <v>1247</v>
      </c>
      <c r="I925" s="464" cm="1">
        <f t="array" ref="I925">IFERROR(INDEX(★原価率!$A$2:$E$50,MATCH($C925&amp;$H925,★原価率!$A$2:$A$50&amp;★原価率!$B$2:$B$50,0),3),0)</f>
        <v>50</v>
      </c>
      <c r="J925" s="464" cm="1">
        <f t="array" ref="J925">IFERROR(INDEX(★原価率!$A$2:$E$50,MATCH($C925&amp;$H925,★原価率!$A$2:$A$50&amp;★原価率!$B$2:$B$50,0),4),0)</f>
        <v>50</v>
      </c>
      <c r="K925" s="464" cm="1">
        <f t="array" ref="K925">IFERROR(INDEX(★原価率!$A$2:$E$50,MATCH($C925&amp;$H925,★原価率!$A$2:$A$50&amp;★原価率!$B$2:$B$50,0),5),0)</f>
        <v>85</v>
      </c>
      <c r="L925" s="528">
        <f>IFERROR(VLOOKUP(W925,★商品!$A$1:$H$1231,8,FALSE),0)</f>
        <v>0</v>
      </c>
      <c r="M925" s="203" t="str">
        <f ca="1">CONCATENATE(VLOOKUP(B925,★営業所!$A$2:$B$5,2,FALSE),TEXT(NOW(),"yyyy"))</f>
        <v>T2023</v>
      </c>
      <c r="N925" s="203">
        <v>1</v>
      </c>
      <c r="O925" s="203">
        <v>0</v>
      </c>
      <c r="P925" s="213">
        <f>申込書!$B$6</f>
        <v>0</v>
      </c>
      <c r="Q925" s="203">
        <f>申込書!$C$34</f>
        <v>1000040</v>
      </c>
      <c r="R925" s="203">
        <v>0</v>
      </c>
      <c r="U925" s="203">
        <f>VLOOKUP(B925,★営業所!$A$2:$C$5,3,FALSE)</f>
        <v>8</v>
      </c>
      <c r="V925" s="203">
        <f>申込書!$B$9</f>
        <v>0</v>
      </c>
      <c r="W925" s="203" t="str">
        <f>CONCATENATE(VLOOKUP(B925,★営業所!$A$2:$B$5,2,FALSE),VLOOKUP(申込書!$C$32,★サイズ表記!$D$4:$E$55,2,FALSE),VLOOKUP(D925,★折込地区!$A$2:$B$11,2,FALSE))</f>
        <v>T1001Osk</v>
      </c>
      <c r="X925" s="203" t="str">
        <f>CONCATENATE(申込書!$B$9," ",VLOOKUP(RIGHT(W925,3),★折込地区!$B$2:$C$10,2,FALSE),"")</f>
        <v xml:space="preserve"> 大阪</v>
      </c>
      <c r="Z925" s="206">
        <f t="shared" ca="1" si="111"/>
        <v>0</v>
      </c>
      <c r="AB925" s="383">
        <f t="shared" si="112"/>
        <v>0</v>
      </c>
      <c r="AC925" s="203" t="str">
        <f t="shared" si="113"/>
        <v>D1001</v>
      </c>
      <c r="AD925" s="203" t="str">
        <f>VLOOKUP(AC925,★原価商品!$E$6:$F$349,2,FALSE)</f>
        <v>日本海/B4（折り無し）</v>
      </c>
      <c r="AE925" s="203">
        <f t="shared" ca="1" si="114"/>
        <v>0</v>
      </c>
      <c r="AF925" s="383">
        <f>IFERROR(IF(VLOOKUP(申込書!$C$32,★サイズ表記!$F$4:$H$55,3,FALSE)="切り捨て",ROUNDDOWN(L925*IF(AK925="◎",I925,J925)/100,2),IF(VLOOKUP(申込書!$C$32,★サイズ表記!$F$4:$H$55,3,FALSE)="切り上げ",ROUNDUP(L925*IF(AK925="◎",I925,J925)/100,2),ROUND(L925*IF(AK925="◎",I925,J925)/100,2))),0)</f>
        <v>0</v>
      </c>
      <c r="AG925" s="203">
        <f t="shared" ca="1" si="115"/>
        <v>0</v>
      </c>
      <c r="AJ925" s="460" t="str">
        <f>IFERROR(VLOOKUP(申込書!$C$30,★業種!$D$2:$E$87,2,FALSE),"")</f>
        <v>1003</v>
      </c>
      <c r="AK925" s="460" t="str">
        <f>IF(申込書!$C$36="◎",IF(OR(D925="浜坂・温泉",D925="美方・村岡",D925="香住",D925="岡山",D925="大阪"),"",IF(LEFT(F925)="D","◎",IF(AG925=0,"",IFERROR(IF(VLOOKUP(AG925,★仕入先!$A$2:$C$211,3,FALSE)=0,"","◎"),"")))),"")</f>
        <v/>
      </c>
      <c r="AL925" s="460">
        <f>申込書!$H$14</f>
        <v>0</v>
      </c>
      <c r="AM925" s="460" t="str">
        <f>申込書!$C$32</f>
        <v>B4（折り無し）</v>
      </c>
      <c r="AN925" s="460" t="str">
        <f>VLOOKUP(AM925,★サイズ表記!$D$4:$E$55,2,FALSE)</f>
        <v>1001</v>
      </c>
      <c r="AO925" s="460">
        <f>IF(C925&lt;&gt;"⑧兵庫",VLOOKUP(LEFT(F925),★新聞!$A$4:$B$12,2,FALSE),IF(LEFT(F925)&lt;&gt;"S",VLOOKUP(LEFT(F925),★新聞!$A$4:$B$12,2,FALSE),VLOOKUP("X",★新聞!$A$4:$B$12,2,FALSE)))</f>
        <v>1</v>
      </c>
      <c r="AP925" s="460" t="str">
        <f t="shared" ca="1" si="116"/>
        <v>0</v>
      </c>
      <c r="AQ925" s="460" t="str">
        <f>IF(申込書!$C$38="","",申込書!$C$38)</f>
        <v/>
      </c>
    </row>
    <row r="926" spans="1:43">
      <c r="A926" s="463">
        <f t="shared" si="109"/>
        <v>925</v>
      </c>
      <c r="B926" s="463" t="str">
        <f t="shared" si="110"/>
        <v>東部</v>
      </c>
      <c r="C926" s="464" t="s">
        <v>1244</v>
      </c>
      <c r="D926" s="464" t="s">
        <v>1242</v>
      </c>
      <c r="E926" s="464">
        <f>VLOOKUP(D926,★折込地区!$A$2:$D$10,4,FALSE)</f>
        <v>9</v>
      </c>
      <c r="F926" s="464" t="s">
        <v>1254</v>
      </c>
      <c r="G926" s="464" t="str">
        <f>INDEX(★新聞!$E$4:$I$12, MATCH(LEFT(F926),★新聞!$A$4:$A$12,0), MATCH(LEFT(W926),★新聞!$E$3:$I$3,0))</f>
        <v>X</v>
      </c>
      <c r="H926" s="475" t="s">
        <v>1247</v>
      </c>
      <c r="I926" s="464" cm="1">
        <f t="array" ref="I926">IFERROR(INDEX(★原価率!$A$2:$E$50,MATCH($C926&amp;$H926,★原価率!$A$2:$A$50&amp;★原価率!$B$2:$B$50,0),3),0)</f>
        <v>50</v>
      </c>
      <c r="J926" s="464" cm="1">
        <f t="array" ref="J926">IFERROR(INDEX(★原価率!$A$2:$E$50,MATCH($C926&amp;$H926,★原価率!$A$2:$A$50&amp;★原価率!$B$2:$B$50,0),4),0)</f>
        <v>50</v>
      </c>
      <c r="K926" s="464" cm="1">
        <f t="array" ref="K926">IFERROR(INDEX(★原価率!$A$2:$E$50,MATCH($C926&amp;$H926,★原価率!$A$2:$A$50&amp;★原価率!$B$2:$B$50,0),5),0)</f>
        <v>85</v>
      </c>
      <c r="L926" s="528">
        <f>IFERROR(VLOOKUP(W926,★商品!$A$1:$H$1231,8,FALSE),0)</f>
        <v>0</v>
      </c>
      <c r="M926" s="203" t="str">
        <f ca="1">CONCATENATE(VLOOKUP(B926,★営業所!$A$2:$B$5,2,FALSE),TEXT(NOW(),"yyyy"))</f>
        <v>T2023</v>
      </c>
      <c r="N926" s="203">
        <v>1</v>
      </c>
      <c r="O926" s="203">
        <v>0</v>
      </c>
      <c r="P926" s="213">
        <f>申込書!$B$6</f>
        <v>0</v>
      </c>
      <c r="Q926" s="203">
        <f>申込書!$C$34</f>
        <v>1000040</v>
      </c>
      <c r="R926" s="203">
        <v>0</v>
      </c>
      <c r="U926" s="203">
        <f>VLOOKUP(B926,★営業所!$A$2:$C$5,3,FALSE)</f>
        <v>8</v>
      </c>
      <c r="V926" s="203">
        <f>申込書!$B$9</f>
        <v>0</v>
      </c>
      <c r="W926" s="203" t="str">
        <f>CONCATENATE(VLOOKUP(B926,★営業所!$A$2:$B$5,2,FALSE),VLOOKUP(申込書!$C$32,★サイズ表記!$D$4:$E$55,2,FALSE),VLOOKUP(D926,★折込地区!$A$2:$B$11,2,FALSE))</f>
        <v>T1001Osk</v>
      </c>
      <c r="X926" s="203" t="str">
        <f>CONCATENATE(申込書!$B$9," ",VLOOKUP(RIGHT(W926,3),★折込地区!$B$2:$C$10,2,FALSE),"")</f>
        <v xml:space="preserve"> 大阪</v>
      </c>
      <c r="Z926" s="206">
        <f t="shared" ca="1" si="111"/>
        <v>0</v>
      </c>
      <c r="AB926" s="383">
        <f t="shared" si="112"/>
        <v>0</v>
      </c>
      <c r="AC926" s="203" t="str">
        <f t="shared" si="113"/>
        <v>D1001</v>
      </c>
      <c r="AD926" s="203" t="str">
        <f>VLOOKUP(AC926,★原価商品!$E$6:$F$349,2,FALSE)</f>
        <v>日本海/B4（折り無し）</v>
      </c>
      <c r="AE926" s="203">
        <f t="shared" ca="1" si="114"/>
        <v>0</v>
      </c>
      <c r="AF926" s="383">
        <f>IFERROR(IF(VLOOKUP(申込書!$C$32,★サイズ表記!$F$4:$H$55,3,FALSE)="切り捨て",ROUNDDOWN(L926*IF(AK926="◎",I926,J926)/100,2),IF(VLOOKUP(申込書!$C$32,★サイズ表記!$F$4:$H$55,3,FALSE)="切り上げ",ROUNDUP(L926*IF(AK926="◎",I926,J926)/100,2),ROUND(L926*IF(AK926="◎",I926,J926)/100,2))),0)</f>
        <v>0</v>
      </c>
      <c r="AG926" s="203">
        <f t="shared" ca="1" si="115"/>
        <v>0</v>
      </c>
      <c r="AJ926" s="460" t="str">
        <f>IFERROR(VLOOKUP(申込書!$C$30,★業種!$D$2:$E$87,2,FALSE),"")</f>
        <v>1003</v>
      </c>
      <c r="AK926" s="460" t="str">
        <f>IF(申込書!$C$36="◎",IF(OR(D926="浜坂・温泉",D926="美方・村岡",D926="香住",D926="岡山",D926="大阪"),"",IF(LEFT(F926)="D","◎",IF(AG926=0,"",IFERROR(IF(VLOOKUP(AG926,★仕入先!$A$2:$C$211,3,FALSE)=0,"","◎"),"")))),"")</f>
        <v/>
      </c>
      <c r="AL926" s="460">
        <f>申込書!$H$14</f>
        <v>0</v>
      </c>
      <c r="AM926" s="460" t="str">
        <f>申込書!$C$32</f>
        <v>B4（折り無し）</v>
      </c>
      <c r="AN926" s="460" t="str">
        <f>VLOOKUP(AM926,★サイズ表記!$D$4:$E$55,2,FALSE)</f>
        <v>1001</v>
      </c>
      <c r="AO926" s="460">
        <f>IF(C926&lt;&gt;"⑧兵庫",VLOOKUP(LEFT(F926),★新聞!$A$4:$B$12,2,FALSE),IF(LEFT(F926)&lt;&gt;"S",VLOOKUP(LEFT(F926),★新聞!$A$4:$B$12,2,FALSE),VLOOKUP("X",★新聞!$A$4:$B$12,2,FALSE)))</f>
        <v>1</v>
      </c>
      <c r="AP926" s="460" t="str">
        <f t="shared" ca="1" si="116"/>
        <v>0</v>
      </c>
      <c r="AQ926" s="460" t="str">
        <f>IF(申込書!$C$38="","",申込書!$C$38)</f>
        <v/>
      </c>
    </row>
    <row r="927" spans="1:43">
      <c r="A927" s="463">
        <f t="shared" si="109"/>
        <v>926</v>
      </c>
      <c r="B927" s="463" t="str">
        <f t="shared" si="110"/>
        <v>東部</v>
      </c>
      <c r="C927" s="464" t="s">
        <v>1244</v>
      </c>
      <c r="D927" s="464" t="s">
        <v>1242</v>
      </c>
      <c r="E927" s="464">
        <f>VLOOKUP(D927,★折込地区!$A$2:$D$10,4,FALSE)</f>
        <v>9</v>
      </c>
      <c r="F927" s="464" t="s">
        <v>1255</v>
      </c>
      <c r="G927" s="464" t="str">
        <f>INDEX(★新聞!$E$4:$I$12, MATCH(LEFT(F927),★新聞!$A$4:$A$12,0), MATCH(LEFT(W927),★新聞!$E$3:$I$3,0))</f>
        <v>X</v>
      </c>
      <c r="H927" s="475" t="s">
        <v>1247</v>
      </c>
      <c r="I927" s="464" cm="1">
        <f t="array" ref="I927">IFERROR(INDEX(★原価率!$A$2:$E$50,MATCH($C927&amp;$H927,★原価率!$A$2:$A$50&amp;★原価率!$B$2:$B$50,0),3),0)</f>
        <v>50</v>
      </c>
      <c r="J927" s="464" cm="1">
        <f t="array" ref="J927">IFERROR(INDEX(★原価率!$A$2:$E$50,MATCH($C927&amp;$H927,★原価率!$A$2:$A$50&amp;★原価率!$B$2:$B$50,0),4),0)</f>
        <v>50</v>
      </c>
      <c r="K927" s="464" cm="1">
        <f t="array" ref="K927">IFERROR(INDEX(★原価率!$A$2:$E$50,MATCH($C927&amp;$H927,★原価率!$A$2:$A$50&amp;★原価率!$B$2:$B$50,0),5),0)</f>
        <v>85</v>
      </c>
      <c r="L927" s="528">
        <f>IFERROR(VLOOKUP(W927,★商品!$A$1:$H$1231,8,FALSE),0)</f>
        <v>0</v>
      </c>
      <c r="M927" s="203" t="str">
        <f ca="1">CONCATENATE(VLOOKUP(B927,★営業所!$A$2:$B$5,2,FALSE),TEXT(NOW(),"yyyy"))</f>
        <v>T2023</v>
      </c>
      <c r="N927" s="203">
        <v>1</v>
      </c>
      <c r="O927" s="203">
        <v>0</v>
      </c>
      <c r="P927" s="213">
        <f>申込書!$B$6</f>
        <v>0</v>
      </c>
      <c r="Q927" s="203">
        <f>申込書!$C$34</f>
        <v>1000040</v>
      </c>
      <c r="R927" s="203">
        <v>0</v>
      </c>
      <c r="U927" s="203">
        <f>VLOOKUP(B927,★営業所!$A$2:$C$5,3,FALSE)</f>
        <v>8</v>
      </c>
      <c r="V927" s="203">
        <f>申込書!$B$9</f>
        <v>0</v>
      </c>
      <c r="W927" s="203" t="str">
        <f>CONCATENATE(VLOOKUP(B927,★営業所!$A$2:$B$5,2,FALSE),VLOOKUP(申込書!$C$32,★サイズ表記!$D$4:$E$55,2,FALSE),VLOOKUP(D927,★折込地区!$A$2:$B$11,2,FALSE))</f>
        <v>T1001Osk</v>
      </c>
      <c r="X927" s="203" t="str">
        <f>CONCATENATE(申込書!$B$9," ",VLOOKUP(RIGHT(W927,3),★折込地区!$B$2:$C$10,2,FALSE),"")</f>
        <v xml:space="preserve"> 大阪</v>
      </c>
      <c r="Z927" s="206">
        <f t="shared" ca="1" si="111"/>
        <v>0</v>
      </c>
      <c r="AB927" s="383">
        <f t="shared" si="112"/>
        <v>0</v>
      </c>
      <c r="AC927" s="203" t="str">
        <f t="shared" si="113"/>
        <v>D1001</v>
      </c>
      <c r="AD927" s="203" t="str">
        <f>VLOOKUP(AC927,★原価商品!$E$6:$F$349,2,FALSE)</f>
        <v>日本海/B4（折り無し）</v>
      </c>
      <c r="AE927" s="203">
        <f t="shared" ca="1" si="114"/>
        <v>0</v>
      </c>
      <c r="AF927" s="383">
        <f>IFERROR(IF(VLOOKUP(申込書!$C$32,★サイズ表記!$F$4:$H$55,3,FALSE)="切り捨て",ROUNDDOWN(L927*IF(AK927="◎",I927,J927)/100,2),IF(VLOOKUP(申込書!$C$32,★サイズ表記!$F$4:$H$55,3,FALSE)="切り上げ",ROUNDUP(L927*IF(AK927="◎",I927,J927)/100,2),ROUND(L927*IF(AK927="◎",I927,J927)/100,2))),0)</f>
        <v>0</v>
      </c>
      <c r="AG927" s="203">
        <f t="shared" ca="1" si="115"/>
        <v>0</v>
      </c>
      <c r="AJ927" s="460" t="str">
        <f>IFERROR(VLOOKUP(申込書!$C$30,★業種!$D$2:$E$87,2,FALSE),"")</f>
        <v>1003</v>
      </c>
      <c r="AK927" s="460" t="str">
        <f>IF(申込書!$C$36="◎",IF(OR(D927="浜坂・温泉",D927="美方・村岡",D927="香住",D927="岡山",D927="大阪"),"",IF(LEFT(F927)="D","◎",IF(AG927=0,"",IFERROR(IF(VLOOKUP(AG927,★仕入先!$A$2:$C$211,3,FALSE)=0,"","◎"),"")))),"")</f>
        <v/>
      </c>
      <c r="AL927" s="460">
        <f>申込書!$H$14</f>
        <v>0</v>
      </c>
      <c r="AM927" s="460" t="str">
        <f>申込書!$C$32</f>
        <v>B4（折り無し）</v>
      </c>
      <c r="AN927" s="460" t="str">
        <f>VLOOKUP(AM927,★サイズ表記!$D$4:$E$55,2,FALSE)</f>
        <v>1001</v>
      </c>
      <c r="AO927" s="460">
        <f>IF(C927&lt;&gt;"⑧兵庫",VLOOKUP(LEFT(F927),★新聞!$A$4:$B$12,2,FALSE),IF(LEFT(F927)&lt;&gt;"S",VLOOKUP(LEFT(F927),★新聞!$A$4:$B$12,2,FALSE),VLOOKUP("X",★新聞!$A$4:$B$12,2,FALSE)))</f>
        <v>1</v>
      </c>
      <c r="AP927" s="460" t="str">
        <f t="shared" ca="1" si="116"/>
        <v>0</v>
      </c>
      <c r="AQ927" s="460" t="str">
        <f>IF(申込書!$C$38="","",申込書!$C$38)</f>
        <v/>
      </c>
    </row>
    <row r="928" spans="1:43">
      <c r="A928" s="463">
        <f t="shared" si="109"/>
        <v>927</v>
      </c>
      <c r="B928" s="463" t="str">
        <f t="shared" si="110"/>
        <v>東部</v>
      </c>
      <c r="C928" s="464" t="s">
        <v>1244</v>
      </c>
      <c r="D928" s="464" t="s">
        <v>1242</v>
      </c>
      <c r="E928" s="464">
        <f>VLOOKUP(D928,★折込地区!$A$2:$D$10,4,FALSE)</f>
        <v>9</v>
      </c>
      <c r="F928" s="464" t="s">
        <v>1256</v>
      </c>
      <c r="G928" s="464" t="str">
        <f>INDEX(★新聞!$E$4:$I$12, MATCH(LEFT(F928),★新聞!$A$4:$A$12,0), MATCH(LEFT(W928),★新聞!$E$3:$I$3,0))</f>
        <v>X</v>
      </c>
      <c r="H928" s="475" t="s">
        <v>1247</v>
      </c>
      <c r="I928" s="464" cm="1">
        <f t="array" ref="I928">IFERROR(INDEX(★原価率!$A$2:$E$50,MATCH($C928&amp;$H928,★原価率!$A$2:$A$50&amp;★原価率!$B$2:$B$50,0),3),0)</f>
        <v>50</v>
      </c>
      <c r="J928" s="464" cm="1">
        <f t="array" ref="J928">IFERROR(INDEX(★原価率!$A$2:$E$50,MATCH($C928&amp;$H928,★原価率!$A$2:$A$50&amp;★原価率!$B$2:$B$50,0),4),0)</f>
        <v>50</v>
      </c>
      <c r="K928" s="464" cm="1">
        <f t="array" ref="K928">IFERROR(INDEX(★原価率!$A$2:$E$50,MATCH($C928&amp;$H928,★原価率!$A$2:$A$50&amp;★原価率!$B$2:$B$50,0),5),0)</f>
        <v>85</v>
      </c>
      <c r="L928" s="528">
        <f>IFERROR(VLOOKUP(W928,★商品!$A$1:$H$1231,8,FALSE),0)</f>
        <v>0</v>
      </c>
      <c r="M928" s="203" t="str">
        <f ca="1">CONCATENATE(VLOOKUP(B928,★営業所!$A$2:$B$5,2,FALSE),TEXT(NOW(),"yyyy"))</f>
        <v>T2023</v>
      </c>
      <c r="N928" s="203">
        <v>1</v>
      </c>
      <c r="O928" s="203">
        <v>0</v>
      </c>
      <c r="P928" s="213">
        <f>申込書!$B$6</f>
        <v>0</v>
      </c>
      <c r="Q928" s="203">
        <f>申込書!$C$34</f>
        <v>1000040</v>
      </c>
      <c r="R928" s="203">
        <v>0</v>
      </c>
      <c r="U928" s="203">
        <f>VLOOKUP(B928,★営業所!$A$2:$C$5,3,FALSE)</f>
        <v>8</v>
      </c>
      <c r="V928" s="203">
        <f>申込書!$B$9</f>
        <v>0</v>
      </c>
      <c r="W928" s="203" t="str">
        <f>CONCATENATE(VLOOKUP(B928,★営業所!$A$2:$B$5,2,FALSE),VLOOKUP(申込書!$C$32,★サイズ表記!$D$4:$E$55,2,FALSE),VLOOKUP(D928,★折込地区!$A$2:$B$11,2,FALSE))</f>
        <v>T1001Osk</v>
      </c>
      <c r="X928" s="203" t="str">
        <f>CONCATENATE(申込書!$B$9," ",VLOOKUP(RIGHT(W928,3),★折込地区!$B$2:$C$10,2,FALSE),"")</f>
        <v xml:space="preserve"> 大阪</v>
      </c>
      <c r="Z928" s="206">
        <f t="shared" ca="1" si="111"/>
        <v>0</v>
      </c>
      <c r="AB928" s="383">
        <f t="shared" si="112"/>
        <v>0</v>
      </c>
      <c r="AC928" s="203" t="str">
        <f t="shared" si="113"/>
        <v>D1001</v>
      </c>
      <c r="AD928" s="203" t="str">
        <f>VLOOKUP(AC928,★原価商品!$E$6:$F$349,2,FALSE)</f>
        <v>日本海/B4（折り無し）</v>
      </c>
      <c r="AE928" s="203">
        <f t="shared" ca="1" si="114"/>
        <v>0</v>
      </c>
      <c r="AF928" s="383">
        <f>IFERROR(IF(VLOOKUP(申込書!$C$32,★サイズ表記!$F$4:$H$55,3,FALSE)="切り捨て",ROUNDDOWN(L928*IF(AK928="◎",I928,J928)/100,2),IF(VLOOKUP(申込書!$C$32,★サイズ表記!$F$4:$H$55,3,FALSE)="切り上げ",ROUNDUP(L928*IF(AK928="◎",I928,J928)/100,2),ROUND(L928*IF(AK928="◎",I928,J928)/100,2))),0)</f>
        <v>0</v>
      </c>
      <c r="AG928" s="203">
        <f t="shared" ca="1" si="115"/>
        <v>0</v>
      </c>
      <c r="AJ928" s="460" t="str">
        <f>IFERROR(VLOOKUP(申込書!$C$30,★業種!$D$2:$E$87,2,FALSE),"")</f>
        <v>1003</v>
      </c>
      <c r="AK928" s="460" t="str">
        <f>IF(申込書!$C$36="◎",IF(OR(D928="浜坂・温泉",D928="美方・村岡",D928="香住",D928="岡山",D928="大阪"),"",IF(LEFT(F928)="D","◎",IF(AG928=0,"",IFERROR(IF(VLOOKUP(AG928,★仕入先!$A$2:$C$211,3,FALSE)=0,"","◎"),"")))),"")</f>
        <v/>
      </c>
      <c r="AL928" s="460">
        <f>申込書!$H$14</f>
        <v>0</v>
      </c>
      <c r="AM928" s="460" t="str">
        <f>申込書!$C$32</f>
        <v>B4（折り無し）</v>
      </c>
      <c r="AN928" s="460" t="str">
        <f>VLOOKUP(AM928,★サイズ表記!$D$4:$E$55,2,FALSE)</f>
        <v>1001</v>
      </c>
      <c r="AO928" s="460">
        <f>IF(C928&lt;&gt;"⑧兵庫",VLOOKUP(LEFT(F928),★新聞!$A$4:$B$12,2,FALSE),IF(LEFT(F928)&lt;&gt;"S",VLOOKUP(LEFT(F928),★新聞!$A$4:$B$12,2,FALSE),VLOOKUP("X",★新聞!$A$4:$B$12,2,FALSE)))</f>
        <v>1</v>
      </c>
      <c r="AP928" s="460" t="str">
        <f t="shared" ca="1" si="116"/>
        <v>0</v>
      </c>
      <c r="AQ928" s="460" t="str">
        <f>IF(申込書!$C$38="","",申込書!$C$38)</f>
        <v/>
      </c>
    </row>
    <row r="929" spans="1:43">
      <c r="A929" s="463">
        <f t="shared" si="109"/>
        <v>928</v>
      </c>
      <c r="B929" s="463" t="str">
        <f t="shared" si="110"/>
        <v>東部</v>
      </c>
      <c r="C929" s="464" t="s">
        <v>1244</v>
      </c>
      <c r="D929" s="464" t="s">
        <v>1242</v>
      </c>
      <c r="E929" s="464">
        <f>VLOOKUP(D929,★折込地区!$A$2:$D$10,4,FALSE)</f>
        <v>9</v>
      </c>
      <c r="F929" s="464" t="s">
        <v>1257</v>
      </c>
      <c r="G929" s="464" t="str">
        <f>INDEX(★新聞!$E$4:$I$12, MATCH(LEFT(F929),★新聞!$A$4:$A$12,0), MATCH(LEFT(W929),★新聞!$E$3:$I$3,0))</f>
        <v>X</v>
      </c>
      <c r="H929" s="475" t="s">
        <v>1247</v>
      </c>
      <c r="I929" s="464" cm="1">
        <f t="array" ref="I929">IFERROR(INDEX(★原価率!$A$2:$E$50,MATCH($C929&amp;$H929,★原価率!$A$2:$A$50&amp;★原価率!$B$2:$B$50,0),3),0)</f>
        <v>50</v>
      </c>
      <c r="J929" s="464" cm="1">
        <f t="array" ref="J929">IFERROR(INDEX(★原価率!$A$2:$E$50,MATCH($C929&amp;$H929,★原価率!$A$2:$A$50&amp;★原価率!$B$2:$B$50,0),4),0)</f>
        <v>50</v>
      </c>
      <c r="K929" s="464" cm="1">
        <f t="array" ref="K929">IFERROR(INDEX(★原価率!$A$2:$E$50,MATCH($C929&amp;$H929,★原価率!$A$2:$A$50&amp;★原価率!$B$2:$B$50,0),5),0)</f>
        <v>85</v>
      </c>
      <c r="L929" s="528">
        <f>IFERROR(VLOOKUP(W929,★商品!$A$1:$H$1231,8,FALSE),0)</f>
        <v>0</v>
      </c>
      <c r="M929" s="203" t="str">
        <f ca="1">CONCATENATE(VLOOKUP(B929,★営業所!$A$2:$B$5,2,FALSE),TEXT(NOW(),"yyyy"))</f>
        <v>T2023</v>
      </c>
      <c r="N929" s="203">
        <v>1</v>
      </c>
      <c r="O929" s="203">
        <v>0</v>
      </c>
      <c r="P929" s="213">
        <f>申込書!$B$6</f>
        <v>0</v>
      </c>
      <c r="Q929" s="203">
        <f>申込書!$C$34</f>
        <v>1000040</v>
      </c>
      <c r="R929" s="203">
        <v>0</v>
      </c>
      <c r="U929" s="203">
        <f>VLOOKUP(B929,★営業所!$A$2:$C$5,3,FALSE)</f>
        <v>8</v>
      </c>
      <c r="V929" s="203">
        <f>申込書!$B$9</f>
        <v>0</v>
      </c>
      <c r="W929" s="203" t="str">
        <f>CONCATENATE(VLOOKUP(B929,★営業所!$A$2:$B$5,2,FALSE),VLOOKUP(申込書!$C$32,★サイズ表記!$D$4:$E$55,2,FALSE),VLOOKUP(D929,★折込地区!$A$2:$B$11,2,FALSE))</f>
        <v>T1001Osk</v>
      </c>
      <c r="X929" s="203" t="str">
        <f>CONCATENATE(申込書!$B$9," ",VLOOKUP(RIGHT(W929,3),★折込地区!$B$2:$C$10,2,FALSE),"")</f>
        <v xml:space="preserve"> 大阪</v>
      </c>
      <c r="Z929" s="206">
        <f t="shared" ca="1" si="111"/>
        <v>0</v>
      </c>
      <c r="AB929" s="383">
        <f t="shared" si="112"/>
        <v>0</v>
      </c>
      <c r="AC929" s="203" t="str">
        <f t="shared" si="113"/>
        <v>D1001</v>
      </c>
      <c r="AD929" s="203" t="str">
        <f>VLOOKUP(AC929,★原価商品!$E$6:$F$349,2,FALSE)</f>
        <v>日本海/B4（折り無し）</v>
      </c>
      <c r="AE929" s="203">
        <f t="shared" ca="1" si="114"/>
        <v>0</v>
      </c>
      <c r="AF929" s="383">
        <f>IFERROR(IF(VLOOKUP(申込書!$C$32,★サイズ表記!$F$4:$H$55,3,FALSE)="切り捨て",ROUNDDOWN(L929*IF(AK929="◎",I929,J929)/100,2),IF(VLOOKUP(申込書!$C$32,★サイズ表記!$F$4:$H$55,3,FALSE)="切り上げ",ROUNDUP(L929*IF(AK929="◎",I929,J929)/100,2),ROUND(L929*IF(AK929="◎",I929,J929)/100,2))),0)</f>
        <v>0</v>
      </c>
      <c r="AG929" s="203">
        <f t="shared" ca="1" si="115"/>
        <v>0</v>
      </c>
      <c r="AJ929" s="460" t="str">
        <f>IFERROR(VLOOKUP(申込書!$C$30,★業種!$D$2:$E$87,2,FALSE),"")</f>
        <v>1003</v>
      </c>
      <c r="AK929" s="460" t="str">
        <f>IF(申込書!$C$36="◎",IF(OR(D929="浜坂・温泉",D929="美方・村岡",D929="香住",D929="岡山",D929="大阪"),"",IF(LEFT(F929)="D","◎",IF(AG929=0,"",IFERROR(IF(VLOOKUP(AG929,★仕入先!$A$2:$C$211,3,FALSE)=0,"","◎"),"")))),"")</f>
        <v/>
      </c>
      <c r="AL929" s="460">
        <f>申込書!$H$14</f>
        <v>0</v>
      </c>
      <c r="AM929" s="460" t="str">
        <f>申込書!$C$32</f>
        <v>B4（折り無し）</v>
      </c>
      <c r="AN929" s="460" t="str">
        <f>VLOOKUP(AM929,★サイズ表記!$D$4:$E$55,2,FALSE)</f>
        <v>1001</v>
      </c>
      <c r="AO929" s="460">
        <f>IF(C929&lt;&gt;"⑧兵庫",VLOOKUP(LEFT(F929),★新聞!$A$4:$B$12,2,FALSE),IF(LEFT(F929)&lt;&gt;"S",VLOOKUP(LEFT(F929),★新聞!$A$4:$B$12,2,FALSE),VLOOKUP("X",★新聞!$A$4:$B$12,2,FALSE)))</f>
        <v>1</v>
      </c>
      <c r="AP929" s="460" t="str">
        <f t="shared" ca="1" si="116"/>
        <v>0</v>
      </c>
      <c r="AQ929" s="460" t="str">
        <f>IF(申込書!$C$38="","",申込書!$C$38)</f>
        <v/>
      </c>
    </row>
    <row r="930" spans="1:43">
      <c r="A930" s="463">
        <f t="shared" si="109"/>
        <v>929</v>
      </c>
      <c r="B930" s="463" t="str">
        <f t="shared" si="110"/>
        <v>東部</v>
      </c>
      <c r="C930" s="464" t="s">
        <v>1244</v>
      </c>
      <c r="D930" s="464" t="s">
        <v>1242</v>
      </c>
      <c r="E930" s="464">
        <f>VLOOKUP(D930,★折込地区!$A$2:$D$10,4,FALSE)</f>
        <v>9</v>
      </c>
      <c r="F930" s="464" t="s">
        <v>1258</v>
      </c>
      <c r="G930" s="464" t="str">
        <f>INDEX(★新聞!$E$4:$I$12, MATCH(LEFT(F930),★新聞!$A$4:$A$12,0), MATCH(LEFT(W930),★新聞!$E$3:$I$3,0))</f>
        <v>X</v>
      </c>
      <c r="H930" s="475" t="s">
        <v>1247</v>
      </c>
      <c r="I930" s="464" cm="1">
        <f t="array" ref="I930">IFERROR(INDEX(★原価率!$A$2:$E$50,MATCH($C930&amp;$H930,★原価率!$A$2:$A$50&amp;★原価率!$B$2:$B$50,0),3),0)</f>
        <v>50</v>
      </c>
      <c r="J930" s="464" cm="1">
        <f t="array" ref="J930">IFERROR(INDEX(★原価率!$A$2:$E$50,MATCH($C930&amp;$H930,★原価率!$A$2:$A$50&amp;★原価率!$B$2:$B$50,0),4),0)</f>
        <v>50</v>
      </c>
      <c r="K930" s="464" cm="1">
        <f t="array" ref="K930">IFERROR(INDEX(★原価率!$A$2:$E$50,MATCH($C930&amp;$H930,★原価率!$A$2:$A$50&amp;★原価率!$B$2:$B$50,0),5),0)</f>
        <v>85</v>
      </c>
      <c r="L930" s="528">
        <f>IFERROR(VLOOKUP(W930,★商品!$A$1:$H$1231,8,FALSE),0)</f>
        <v>0</v>
      </c>
      <c r="M930" s="203" t="str">
        <f ca="1">CONCATENATE(VLOOKUP(B930,★営業所!$A$2:$B$5,2,FALSE),TEXT(NOW(),"yyyy"))</f>
        <v>T2023</v>
      </c>
      <c r="N930" s="203">
        <v>1</v>
      </c>
      <c r="O930" s="203">
        <v>0</v>
      </c>
      <c r="P930" s="213">
        <f>申込書!$B$6</f>
        <v>0</v>
      </c>
      <c r="Q930" s="203">
        <f>申込書!$C$34</f>
        <v>1000040</v>
      </c>
      <c r="R930" s="203">
        <v>0</v>
      </c>
      <c r="U930" s="203">
        <f>VLOOKUP(B930,★営業所!$A$2:$C$5,3,FALSE)</f>
        <v>8</v>
      </c>
      <c r="V930" s="203">
        <f>申込書!$B$9</f>
        <v>0</v>
      </c>
      <c r="W930" s="203" t="str">
        <f>CONCATENATE(VLOOKUP(B930,★営業所!$A$2:$B$5,2,FALSE),VLOOKUP(申込書!$C$32,★サイズ表記!$D$4:$E$55,2,FALSE),VLOOKUP(D930,★折込地区!$A$2:$B$11,2,FALSE))</f>
        <v>T1001Osk</v>
      </c>
      <c r="X930" s="203" t="str">
        <f>CONCATENATE(申込書!$B$9," ",VLOOKUP(RIGHT(W930,3),★折込地区!$B$2:$C$10,2,FALSE),"")</f>
        <v xml:space="preserve"> 大阪</v>
      </c>
      <c r="Z930" s="206">
        <f t="shared" ca="1" si="111"/>
        <v>0</v>
      </c>
      <c r="AB930" s="383">
        <f t="shared" si="112"/>
        <v>0</v>
      </c>
      <c r="AC930" s="203" t="str">
        <f t="shared" si="113"/>
        <v>D1001</v>
      </c>
      <c r="AD930" s="203" t="str">
        <f>VLOOKUP(AC930,★原価商品!$E$6:$F$349,2,FALSE)</f>
        <v>日本海/B4（折り無し）</v>
      </c>
      <c r="AE930" s="203">
        <f t="shared" ca="1" si="114"/>
        <v>0</v>
      </c>
      <c r="AF930" s="383">
        <f>IFERROR(IF(VLOOKUP(申込書!$C$32,★サイズ表記!$F$4:$H$55,3,FALSE)="切り捨て",ROUNDDOWN(L930*IF(AK930="◎",I930,J930)/100,2),IF(VLOOKUP(申込書!$C$32,★サイズ表記!$F$4:$H$55,3,FALSE)="切り上げ",ROUNDUP(L930*IF(AK930="◎",I930,J930)/100,2),ROUND(L930*IF(AK930="◎",I930,J930)/100,2))),0)</f>
        <v>0</v>
      </c>
      <c r="AG930" s="203">
        <f t="shared" ca="1" si="115"/>
        <v>0</v>
      </c>
      <c r="AJ930" s="460" t="str">
        <f>IFERROR(VLOOKUP(申込書!$C$30,★業種!$D$2:$E$87,2,FALSE),"")</f>
        <v>1003</v>
      </c>
      <c r="AK930" s="460" t="str">
        <f>IF(申込書!$C$36="◎",IF(OR(D930="浜坂・温泉",D930="美方・村岡",D930="香住",D930="岡山",D930="大阪"),"",IF(LEFT(F930)="D","◎",IF(AG930=0,"",IFERROR(IF(VLOOKUP(AG930,★仕入先!$A$2:$C$211,3,FALSE)=0,"","◎"),"")))),"")</f>
        <v/>
      </c>
      <c r="AL930" s="460">
        <f>申込書!$H$14</f>
        <v>0</v>
      </c>
      <c r="AM930" s="460" t="str">
        <f>申込書!$C$32</f>
        <v>B4（折り無し）</v>
      </c>
      <c r="AN930" s="460" t="str">
        <f>VLOOKUP(AM930,★サイズ表記!$D$4:$E$55,2,FALSE)</f>
        <v>1001</v>
      </c>
      <c r="AO930" s="460">
        <f>IF(C930&lt;&gt;"⑧兵庫",VLOOKUP(LEFT(F930),★新聞!$A$4:$B$12,2,FALSE),IF(LEFT(F930)&lt;&gt;"S",VLOOKUP(LEFT(F930),★新聞!$A$4:$B$12,2,FALSE),VLOOKUP("X",★新聞!$A$4:$B$12,2,FALSE)))</f>
        <v>1</v>
      </c>
      <c r="AP930" s="460" t="str">
        <f t="shared" ca="1" si="116"/>
        <v>0</v>
      </c>
      <c r="AQ930" s="460" t="str">
        <f>IF(申込書!$C$38="","",申込書!$C$38)</f>
        <v/>
      </c>
    </row>
    <row r="931" spans="1:43">
      <c r="A931" s="463">
        <f t="shared" si="109"/>
        <v>930</v>
      </c>
      <c r="B931" s="463" t="str">
        <f t="shared" si="110"/>
        <v>東部</v>
      </c>
      <c r="C931" s="464" t="s">
        <v>1244</v>
      </c>
      <c r="D931" s="464" t="s">
        <v>1242</v>
      </c>
      <c r="E931" s="464">
        <f>VLOOKUP(D931,★折込地区!$A$2:$D$10,4,FALSE)</f>
        <v>9</v>
      </c>
      <c r="F931" s="464" t="s">
        <v>1259</v>
      </c>
      <c r="G931" s="464" t="str">
        <f>INDEX(★新聞!$E$4:$I$12, MATCH(LEFT(F931),★新聞!$A$4:$A$12,0), MATCH(LEFT(W931),★新聞!$E$3:$I$3,0))</f>
        <v>X</v>
      </c>
      <c r="H931" s="475" t="s">
        <v>1247</v>
      </c>
      <c r="I931" s="464" cm="1">
        <f t="array" ref="I931">IFERROR(INDEX(★原価率!$A$2:$E$50,MATCH($C931&amp;$H931,★原価率!$A$2:$A$50&amp;★原価率!$B$2:$B$50,0),3),0)</f>
        <v>50</v>
      </c>
      <c r="J931" s="464" cm="1">
        <f t="array" ref="J931">IFERROR(INDEX(★原価率!$A$2:$E$50,MATCH($C931&amp;$H931,★原価率!$A$2:$A$50&amp;★原価率!$B$2:$B$50,0),4),0)</f>
        <v>50</v>
      </c>
      <c r="K931" s="464" cm="1">
        <f t="array" ref="K931">IFERROR(INDEX(★原価率!$A$2:$E$50,MATCH($C931&amp;$H931,★原価率!$A$2:$A$50&amp;★原価率!$B$2:$B$50,0),5),0)</f>
        <v>85</v>
      </c>
      <c r="L931" s="528">
        <f>IFERROR(VLOOKUP(W931,★商品!$A$1:$H$1231,8,FALSE),0)</f>
        <v>0</v>
      </c>
      <c r="M931" s="203" t="str">
        <f ca="1">CONCATENATE(VLOOKUP(B931,★営業所!$A$2:$B$5,2,FALSE),TEXT(NOW(),"yyyy"))</f>
        <v>T2023</v>
      </c>
      <c r="N931" s="203">
        <v>1</v>
      </c>
      <c r="O931" s="203">
        <v>0</v>
      </c>
      <c r="P931" s="213">
        <f>申込書!$B$6</f>
        <v>0</v>
      </c>
      <c r="Q931" s="203">
        <f>申込書!$C$34</f>
        <v>1000040</v>
      </c>
      <c r="R931" s="203">
        <v>0</v>
      </c>
      <c r="U931" s="203">
        <f>VLOOKUP(B931,★営業所!$A$2:$C$5,3,FALSE)</f>
        <v>8</v>
      </c>
      <c r="V931" s="203">
        <f>申込書!$B$9</f>
        <v>0</v>
      </c>
      <c r="W931" s="203" t="str">
        <f>CONCATENATE(VLOOKUP(B931,★営業所!$A$2:$B$5,2,FALSE),VLOOKUP(申込書!$C$32,★サイズ表記!$D$4:$E$55,2,FALSE),VLOOKUP(D931,★折込地区!$A$2:$B$11,2,FALSE))</f>
        <v>T1001Osk</v>
      </c>
      <c r="X931" s="203" t="str">
        <f>CONCATENATE(申込書!$B$9," ",VLOOKUP(RIGHT(W931,3),★折込地区!$B$2:$C$10,2,FALSE),"")</f>
        <v xml:space="preserve"> 大阪</v>
      </c>
      <c r="Z931" s="206">
        <f t="shared" ca="1" si="111"/>
        <v>0</v>
      </c>
      <c r="AB931" s="383">
        <f t="shared" si="112"/>
        <v>0</v>
      </c>
      <c r="AC931" s="203" t="str">
        <f t="shared" si="113"/>
        <v>D1001</v>
      </c>
      <c r="AD931" s="203" t="str">
        <f>VLOOKUP(AC931,★原価商品!$E$6:$F$349,2,FALSE)</f>
        <v>日本海/B4（折り無し）</v>
      </c>
      <c r="AE931" s="203">
        <f t="shared" ca="1" si="114"/>
        <v>0</v>
      </c>
      <c r="AF931" s="383">
        <f>IFERROR(IF(VLOOKUP(申込書!$C$32,★サイズ表記!$F$4:$H$55,3,FALSE)="切り捨て",ROUNDDOWN(L931*IF(AK931="◎",I931,J931)/100,2),IF(VLOOKUP(申込書!$C$32,★サイズ表記!$F$4:$H$55,3,FALSE)="切り上げ",ROUNDUP(L931*IF(AK931="◎",I931,J931)/100,2),ROUND(L931*IF(AK931="◎",I931,J931)/100,2))),0)</f>
        <v>0</v>
      </c>
      <c r="AG931" s="203">
        <f t="shared" ca="1" si="115"/>
        <v>0</v>
      </c>
      <c r="AJ931" s="460" t="str">
        <f>IFERROR(VLOOKUP(申込書!$C$30,★業種!$D$2:$E$87,2,FALSE),"")</f>
        <v>1003</v>
      </c>
      <c r="AK931" s="460" t="str">
        <f>IF(申込書!$C$36="◎",IF(OR(D931="浜坂・温泉",D931="美方・村岡",D931="香住",D931="岡山",D931="大阪"),"",IF(LEFT(F931)="D","◎",IF(AG931=0,"",IFERROR(IF(VLOOKUP(AG931,★仕入先!$A$2:$C$211,3,FALSE)=0,"","◎"),"")))),"")</f>
        <v/>
      </c>
      <c r="AL931" s="460">
        <f>申込書!$H$14</f>
        <v>0</v>
      </c>
      <c r="AM931" s="460" t="str">
        <f>申込書!$C$32</f>
        <v>B4（折り無し）</v>
      </c>
      <c r="AN931" s="460" t="str">
        <f>VLOOKUP(AM931,★サイズ表記!$D$4:$E$55,2,FALSE)</f>
        <v>1001</v>
      </c>
      <c r="AO931" s="460">
        <f>IF(C931&lt;&gt;"⑧兵庫",VLOOKUP(LEFT(F931),★新聞!$A$4:$B$12,2,FALSE),IF(LEFT(F931)&lt;&gt;"S",VLOOKUP(LEFT(F931),★新聞!$A$4:$B$12,2,FALSE),VLOOKUP("X",★新聞!$A$4:$B$12,2,FALSE)))</f>
        <v>1</v>
      </c>
      <c r="AP931" s="460" t="str">
        <f t="shared" ca="1" si="116"/>
        <v>0</v>
      </c>
      <c r="AQ931" s="460" t="str">
        <f>IF(申込書!$C$38="","",申込書!$C$38)</f>
        <v/>
      </c>
    </row>
    <row r="932" spans="1:43">
      <c r="A932" s="463">
        <f t="shared" si="109"/>
        <v>931</v>
      </c>
      <c r="B932" s="463" t="str">
        <f t="shared" si="110"/>
        <v>東部</v>
      </c>
      <c r="C932" s="464" t="s">
        <v>1244</v>
      </c>
      <c r="D932" s="464" t="s">
        <v>1242</v>
      </c>
      <c r="E932" s="464">
        <f>VLOOKUP(D932,★折込地区!$A$2:$D$10,4,FALSE)</f>
        <v>9</v>
      </c>
      <c r="F932" s="464" t="s">
        <v>1260</v>
      </c>
      <c r="G932" s="464" t="str">
        <f>INDEX(★新聞!$E$4:$I$12, MATCH(LEFT(F932),★新聞!$A$4:$A$12,0), MATCH(LEFT(W932),★新聞!$E$3:$I$3,0))</f>
        <v>X</v>
      </c>
      <c r="H932" s="475" t="s">
        <v>1247</v>
      </c>
      <c r="I932" s="464" cm="1">
        <f t="array" ref="I932">IFERROR(INDEX(★原価率!$A$2:$E$50,MATCH($C932&amp;$H932,★原価率!$A$2:$A$50&amp;★原価率!$B$2:$B$50,0),3),0)</f>
        <v>50</v>
      </c>
      <c r="J932" s="464" cm="1">
        <f t="array" ref="J932">IFERROR(INDEX(★原価率!$A$2:$E$50,MATCH($C932&amp;$H932,★原価率!$A$2:$A$50&amp;★原価率!$B$2:$B$50,0),4),0)</f>
        <v>50</v>
      </c>
      <c r="K932" s="464" cm="1">
        <f t="array" ref="K932">IFERROR(INDEX(★原価率!$A$2:$E$50,MATCH($C932&amp;$H932,★原価率!$A$2:$A$50&amp;★原価率!$B$2:$B$50,0),5),0)</f>
        <v>85</v>
      </c>
      <c r="L932" s="528">
        <f>IFERROR(VLOOKUP(W932,★商品!$A$1:$H$1231,8,FALSE),0)</f>
        <v>0</v>
      </c>
      <c r="M932" s="203" t="str">
        <f ca="1">CONCATENATE(VLOOKUP(B932,★営業所!$A$2:$B$5,2,FALSE),TEXT(NOW(),"yyyy"))</f>
        <v>T2023</v>
      </c>
      <c r="N932" s="203">
        <v>1</v>
      </c>
      <c r="O932" s="203">
        <v>0</v>
      </c>
      <c r="P932" s="213">
        <f>申込書!$B$6</f>
        <v>0</v>
      </c>
      <c r="Q932" s="203">
        <f>申込書!$C$34</f>
        <v>1000040</v>
      </c>
      <c r="R932" s="203">
        <v>0</v>
      </c>
      <c r="U932" s="203">
        <f>VLOOKUP(B932,★営業所!$A$2:$C$5,3,FALSE)</f>
        <v>8</v>
      </c>
      <c r="V932" s="203">
        <f>申込書!$B$9</f>
        <v>0</v>
      </c>
      <c r="W932" s="203" t="str">
        <f>CONCATENATE(VLOOKUP(B932,★営業所!$A$2:$B$5,2,FALSE),VLOOKUP(申込書!$C$32,★サイズ表記!$D$4:$E$55,2,FALSE),VLOOKUP(D932,★折込地区!$A$2:$B$11,2,FALSE))</f>
        <v>T1001Osk</v>
      </c>
      <c r="X932" s="203" t="str">
        <f>CONCATENATE(申込書!$B$9," ",VLOOKUP(RIGHT(W932,3),★折込地区!$B$2:$C$10,2,FALSE),"")</f>
        <v xml:space="preserve"> 大阪</v>
      </c>
      <c r="Z932" s="206">
        <f t="shared" ca="1" si="111"/>
        <v>0</v>
      </c>
      <c r="AB932" s="383">
        <f t="shared" si="112"/>
        <v>0</v>
      </c>
      <c r="AC932" s="203" t="str">
        <f t="shared" si="113"/>
        <v>D1001</v>
      </c>
      <c r="AD932" s="203" t="str">
        <f>VLOOKUP(AC932,★原価商品!$E$6:$F$349,2,FALSE)</f>
        <v>日本海/B4（折り無し）</v>
      </c>
      <c r="AE932" s="203">
        <f t="shared" ca="1" si="114"/>
        <v>0</v>
      </c>
      <c r="AF932" s="383">
        <f>IFERROR(IF(VLOOKUP(申込書!$C$32,★サイズ表記!$F$4:$H$55,3,FALSE)="切り捨て",ROUNDDOWN(L932*IF(AK932="◎",I932,J932)/100,2),IF(VLOOKUP(申込書!$C$32,★サイズ表記!$F$4:$H$55,3,FALSE)="切り上げ",ROUNDUP(L932*IF(AK932="◎",I932,J932)/100,2),ROUND(L932*IF(AK932="◎",I932,J932)/100,2))),0)</f>
        <v>0</v>
      </c>
      <c r="AG932" s="203">
        <f t="shared" ca="1" si="115"/>
        <v>0</v>
      </c>
      <c r="AJ932" s="460" t="str">
        <f>IFERROR(VLOOKUP(申込書!$C$30,★業種!$D$2:$E$87,2,FALSE),"")</f>
        <v>1003</v>
      </c>
      <c r="AK932" s="460" t="str">
        <f>IF(申込書!$C$36="◎",IF(OR(D932="浜坂・温泉",D932="美方・村岡",D932="香住",D932="岡山",D932="大阪"),"",IF(LEFT(F932)="D","◎",IF(AG932=0,"",IFERROR(IF(VLOOKUP(AG932,★仕入先!$A$2:$C$211,3,FALSE)=0,"","◎"),"")))),"")</f>
        <v/>
      </c>
      <c r="AL932" s="460">
        <f>申込書!$H$14</f>
        <v>0</v>
      </c>
      <c r="AM932" s="460" t="str">
        <f>申込書!$C$32</f>
        <v>B4（折り無し）</v>
      </c>
      <c r="AN932" s="460" t="str">
        <f>VLOOKUP(AM932,★サイズ表記!$D$4:$E$55,2,FALSE)</f>
        <v>1001</v>
      </c>
      <c r="AO932" s="460">
        <f>IF(C932&lt;&gt;"⑧兵庫",VLOOKUP(LEFT(F932),★新聞!$A$4:$B$12,2,FALSE),IF(LEFT(F932)&lt;&gt;"S",VLOOKUP(LEFT(F932),★新聞!$A$4:$B$12,2,FALSE),VLOOKUP("X",★新聞!$A$4:$B$12,2,FALSE)))</f>
        <v>1</v>
      </c>
      <c r="AP932" s="460" t="str">
        <f t="shared" ca="1" si="116"/>
        <v>0</v>
      </c>
      <c r="AQ932" s="460" t="str">
        <f>IF(申込書!$C$38="","",申込書!$C$38)</f>
        <v/>
      </c>
    </row>
    <row r="933" spans="1:43">
      <c r="A933" s="463">
        <f t="shared" si="109"/>
        <v>932</v>
      </c>
      <c r="B933" s="463" t="str">
        <f t="shared" si="110"/>
        <v>東部</v>
      </c>
      <c r="C933" s="464" t="s">
        <v>1244</v>
      </c>
      <c r="D933" s="464" t="s">
        <v>1242</v>
      </c>
      <c r="E933" s="464">
        <f>VLOOKUP(D933,★折込地区!$A$2:$D$10,4,FALSE)</f>
        <v>9</v>
      </c>
      <c r="F933" s="464" t="s">
        <v>1261</v>
      </c>
      <c r="G933" s="464" t="str">
        <f>INDEX(★新聞!$E$4:$I$12, MATCH(LEFT(F933),★新聞!$A$4:$A$12,0), MATCH(LEFT(W933),★新聞!$E$3:$I$3,0))</f>
        <v>X</v>
      </c>
      <c r="H933" s="475" t="s">
        <v>1247</v>
      </c>
      <c r="I933" s="464" cm="1">
        <f t="array" ref="I933">IFERROR(INDEX(★原価率!$A$2:$E$50,MATCH($C933&amp;$H933,★原価率!$A$2:$A$50&amp;★原価率!$B$2:$B$50,0),3),0)</f>
        <v>50</v>
      </c>
      <c r="J933" s="464" cm="1">
        <f t="array" ref="J933">IFERROR(INDEX(★原価率!$A$2:$E$50,MATCH($C933&amp;$H933,★原価率!$A$2:$A$50&amp;★原価率!$B$2:$B$50,0),4),0)</f>
        <v>50</v>
      </c>
      <c r="K933" s="464" cm="1">
        <f t="array" ref="K933">IFERROR(INDEX(★原価率!$A$2:$E$50,MATCH($C933&amp;$H933,★原価率!$A$2:$A$50&amp;★原価率!$B$2:$B$50,0),5),0)</f>
        <v>85</v>
      </c>
      <c r="L933" s="528">
        <f>IFERROR(VLOOKUP(W933,★商品!$A$1:$H$1231,8,FALSE),0)</f>
        <v>0</v>
      </c>
      <c r="M933" s="203" t="str">
        <f ca="1">CONCATENATE(VLOOKUP(B933,★営業所!$A$2:$B$5,2,FALSE),TEXT(NOW(),"yyyy"))</f>
        <v>T2023</v>
      </c>
      <c r="N933" s="203">
        <v>1</v>
      </c>
      <c r="O933" s="203">
        <v>0</v>
      </c>
      <c r="P933" s="213">
        <f>申込書!$B$6</f>
        <v>0</v>
      </c>
      <c r="Q933" s="203">
        <f>申込書!$C$34</f>
        <v>1000040</v>
      </c>
      <c r="R933" s="203">
        <v>0</v>
      </c>
      <c r="U933" s="203">
        <f>VLOOKUP(B933,★営業所!$A$2:$C$5,3,FALSE)</f>
        <v>8</v>
      </c>
      <c r="V933" s="203">
        <f>申込書!$B$9</f>
        <v>0</v>
      </c>
      <c r="W933" s="203" t="str">
        <f>CONCATENATE(VLOOKUP(B933,★営業所!$A$2:$B$5,2,FALSE),VLOOKUP(申込書!$C$32,★サイズ表記!$D$4:$E$55,2,FALSE),VLOOKUP(D933,★折込地区!$A$2:$B$11,2,FALSE))</f>
        <v>T1001Osk</v>
      </c>
      <c r="X933" s="203" t="str">
        <f>CONCATENATE(申込書!$B$9," ",VLOOKUP(RIGHT(W933,3),★折込地区!$B$2:$C$10,2,FALSE),"")</f>
        <v xml:space="preserve"> 大阪</v>
      </c>
      <c r="Z933" s="206">
        <f t="shared" ca="1" si="111"/>
        <v>0</v>
      </c>
      <c r="AB933" s="383">
        <f t="shared" si="112"/>
        <v>0</v>
      </c>
      <c r="AC933" s="203" t="str">
        <f t="shared" si="113"/>
        <v>D1001</v>
      </c>
      <c r="AD933" s="203" t="str">
        <f>VLOOKUP(AC933,★原価商品!$E$6:$F$349,2,FALSE)</f>
        <v>日本海/B4（折り無し）</v>
      </c>
      <c r="AE933" s="203">
        <f t="shared" ca="1" si="114"/>
        <v>0</v>
      </c>
      <c r="AF933" s="383">
        <f>IFERROR(IF(VLOOKUP(申込書!$C$32,★サイズ表記!$F$4:$H$55,3,FALSE)="切り捨て",ROUNDDOWN(L933*IF(AK933="◎",I933,J933)/100,2),IF(VLOOKUP(申込書!$C$32,★サイズ表記!$F$4:$H$55,3,FALSE)="切り上げ",ROUNDUP(L933*IF(AK933="◎",I933,J933)/100,2),ROUND(L933*IF(AK933="◎",I933,J933)/100,2))),0)</f>
        <v>0</v>
      </c>
      <c r="AG933" s="203">
        <f t="shared" ca="1" si="115"/>
        <v>0</v>
      </c>
      <c r="AJ933" s="460" t="str">
        <f>IFERROR(VLOOKUP(申込書!$C$30,★業種!$D$2:$E$87,2,FALSE),"")</f>
        <v>1003</v>
      </c>
      <c r="AK933" s="460" t="str">
        <f>IF(申込書!$C$36="◎",IF(OR(D933="浜坂・温泉",D933="美方・村岡",D933="香住",D933="岡山",D933="大阪"),"",IF(LEFT(F933)="D","◎",IF(AG933=0,"",IFERROR(IF(VLOOKUP(AG933,★仕入先!$A$2:$C$211,3,FALSE)=0,"","◎"),"")))),"")</f>
        <v/>
      </c>
      <c r="AL933" s="460">
        <f>申込書!$H$14</f>
        <v>0</v>
      </c>
      <c r="AM933" s="460" t="str">
        <f>申込書!$C$32</f>
        <v>B4（折り無し）</v>
      </c>
      <c r="AN933" s="460" t="str">
        <f>VLOOKUP(AM933,★サイズ表記!$D$4:$E$55,2,FALSE)</f>
        <v>1001</v>
      </c>
      <c r="AO933" s="460">
        <f>IF(C933&lt;&gt;"⑧兵庫",VLOOKUP(LEFT(F933),★新聞!$A$4:$B$12,2,FALSE),IF(LEFT(F933)&lt;&gt;"S",VLOOKUP(LEFT(F933),★新聞!$A$4:$B$12,2,FALSE),VLOOKUP("X",★新聞!$A$4:$B$12,2,FALSE)))</f>
        <v>1</v>
      </c>
      <c r="AP933" s="460" t="str">
        <f t="shared" ca="1" si="116"/>
        <v>0</v>
      </c>
      <c r="AQ933" s="460" t="str">
        <f>IF(申込書!$C$38="","",申込書!$C$38)</f>
        <v/>
      </c>
    </row>
    <row r="934" spans="1:43">
      <c r="A934" s="463">
        <f t="shared" si="109"/>
        <v>933</v>
      </c>
      <c r="B934" s="463" t="str">
        <f t="shared" si="110"/>
        <v>東部</v>
      </c>
      <c r="C934" s="464" t="s">
        <v>1244</v>
      </c>
      <c r="D934" s="464" t="s">
        <v>1242</v>
      </c>
      <c r="E934" s="464">
        <f>VLOOKUP(D934,★折込地区!$A$2:$D$10,4,FALSE)</f>
        <v>9</v>
      </c>
      <c r="F934" s="464" t="s">
        <v>1262</v>
      </c>
      <c r="G934" s="464" t="str">
        <f>INDEX(★新聞!$E$4:$I$12, MATCH(LEFT(F934),★新聞!$A$4:$A$12,0), MATCH(LEFT(W934),★新聞!$E$3:$I$3,0))</f>
        <v>X</v>
      </c>
      <c r="H934" s="475" t="s">
        <v>1247</v>
      </c>
      <c r="I934" s="464" cm="1">
        <f t="array" ref="I934">IFERROR(INDEX(★原価率!$A$2:$E$50,MATCH($C934&amp;$H934,★原価率!$A$2:$A$50&amp;★原価率!$B$2:$B$50,0),3),0)</f>
        <v>50</v>
      </c>
      <c r="J934" s="464" cm="1">
        <f t="array" ref="J934">IFERROR(INDEX(★原価率!$A$2:$E$50,MATCH($C934&amp;$H934,★原価率!$A$2:$A$50&amp;★原価率!$B$2:$B$50,0),4),0)</f>
        <v>50</v>
      </c>
      <c r="K934" s="464" cm="1">
        <f t="array" ref="K934">IFERROR(INDEX(★原価率!$A$2:$E$50,MATCH($C934&amp;$H934,★原価率!$A$2:$A$50&amp;★原価率!$B$2:$B$50,0),5),0)</f>
        <v>85</v>
      </c>
      <c r="L934" s="528">
        <f>IFERROR(VLOOKUP(W934,★商品!$A$1:$H$1231,8,FALSE),0)</f>
        <v>0</v>
      </c>
      <c r="M934" s="203" t="str">
        <f ca="1">CONCATENATE(VLOOKUP(B934,★営業所!$A$2:$B$5,2,FALSE),TEXT(NOW(),"yyyy"))</f>
        <v>T2023</v>
      </c>
      <c r="N934" s="203">
        <v>1</v>
      </c>
      <c r="O934" s="203">
        <v>0</v>
      </c>
      <c r="P934" s="213">
        <f>申込書!$B$6</f>
        <v>0</v>
      </c>
      <c r="Q934" s="203">
        <f>申込書!$C$34</f>
        <v>1000040</v>
      </c>
      <c r="R934" s="203">
        <v>0</v>
      </c>
      <c r="U934" s="203">
        <f>VLOOKUP(B934,★営業所!$A$2:$C$5,3,FALSE)</f>
        <v>8</v>
      </c>
      <c r="V934" s="203">
        <f>申込書!$B$9</f>
        <v>0</v>
      </c>
      <c r="W934" s="203" t="str">
        <f>CONCATENATE(VLOOKUP(B934,★営業所!$A$2:$B$5,2,FALSE),VLOOKUP(申込書!$C$32,★サイズ表記!$D$4:$E$55,2,FALSE),VLOOKUP(D934,★折込地区!$A$2:$B$11,2,FALSE))</f>
        <v>T1001Osk</v>
      </c>
      <c r="X934" s="203" t="str">
        <f>CONCATENATE(申込書!$B$9," ",VLOOKUP(RIGHT(W934,3),★折込地区!$B$2:$C$10,2,FALSE),"")</f>
        <v xml:space="preserve"> 大阪</v>
      </c>
      <c r="Z934" s="206">
        <f t="shared" ca="1" si="111"/>
        <v>0</v>
      </c>
      <c r="AB934" s="383">
        <f t="shared" si="112"/>
        <v>0</v>
      </c>
      <c r="AC934" s="203" t="str">
        <f t="shared" si="113"/>
        <v>D1001</v>
      </c>
      <c r="AD934" s="203" t="str">
        <f>VLOOKUP(AC934,★原価商品!$E$6:$F$349,2,FALSE)</f>
        <v>日本海/B4（折り無し）</v>
      </c>
      <c r="AE934" s="203">
        <f t="shared" ca="1" si="114"/>
        <v>0</v>
      </c>
      <c r="AF934" s="383">
        <f>IFERROR(IF(VLOOKUP(申込書!$C$32,★サイズ表記!$F$4:$H$55,3,FALSE)="切り捨て",ROUNDDOWN(L934*IF(AK934="◎",I934,J934)/100,2),IF(VLOOKUP(申込書!$C$32,★サイズ表記!$F$4:$H$55,3,FALSE)="切り上げ",ROUNDUP(L934*IF(AK934="◎",I934,J934)/100,2),ROUND(L934*IF(AK934="◎",I934,J934)/100,2))),0)</f>
        <v>0</v>
      </c>
      <c r="AG934" s="203">
        <f t="shared" ca="1" si="115"/>
        <v>0</v>
      </c>
      <c r="AJ934" s="460" t="str">
        <f>IFERROR(VLOOKUP(申込書!$C$30,★業種!$D$2:$E$87,2,FALSE),"")</f>
        <v>1003</v>
      </c>
      <c r="AK934" s="460" t="str">
        <f>IF(申込書!$C$36="◎",IF(OR(D934="浜坂・温泉",D934="美方・村岡",D934="香住",D934="岡山",D934="大阪"),"",IF(LEFT(F934)="D","◎",IF(AG934=0,"",IFERROR(IF(VLOOKUP(AG934,★仕入先!$A$2:$C$211,3,FALSE)=0,"","◎"),"")))),"")</f>
        <v/>
      </c>
      <c r="AL934" s="460">
        <f>申込書!$H$14</f>
        <v>0</v>
      </c>
      <c r="AM934" s="460" t="str">
        <f>申込書!$C$32</f>
        <v>B4（折り無し）</v>
      </c>
      <c r="AN934" s="460" t="str">
        <f>VLOOKUP(AM934,★サイズ表記!$D$4:$E$55,2,FALSE)</f>
        <v>1001</v>
      </c>
      <c r="AO934" s="460">
        <f>IF(C934&lt;&gt;"⑧兵庫",VLOOKUP(LEFT(F934),★新聞!$A$4:$B$12,2,FALSE),IF(LEFT(F934)&lt;&gt;"S",VLOOKUP(LEFT(F934),★新聞!$A$4:$B$12,2,FALSE),VLOOKUP("X",★新聞!$A$4:$B$12,2,FALSE)))</f>
        <v>1</v>
      </c>
      <c r="AP934" s="460" t="str">
        <f t="shared" ca="1" si="116"/>
        <v>0</v>
      </c>
      <c r="AQ934" s="460" t="str">
        <f>IF(申込書!$C$38="","",申込書!$C$38)</f>
        <v/>
      </c>
    </row>
    <row r="935" spans="1:43">
      <c r="A935" s="463">
        <f t="shared" si="109"/>
        <v>934</v>
      </c>
      <c r="B935" s="463" t="str">
        <f t="shared" si="110"/>
        <v>東部</v>
      </c>
      <c r="C935" s="464" t="s">
        <v>1244</v>
      </c>
      <c r="D935" s="464" t="s">
        <v>1242</v>
      </c>
      <c r="E935" s="464">
        <f>VLOOKUP(D935,★折込地区!$A$2:$D$10,4,FALSE)</f>
        <v>9</v>
      </c>
      <c r="F935" s="464" t="s">
        <v>1263</v>
      </c>
      <c r="G935" s="464" t="str">
        <f>INDEX(★新聞!$E$4:$I$12, MATCH(LEFT(F935),★新聞!$A$4:$A$12,0), MATCH(LEFT(W935),★新聞!$E$3:$I$3,0))</f>
        <v>X</v>
      </c>
      <c r="H935" s="475" t="s">
        <v>1247</v>
      </c>
      <c r="I935" s="464" cm="1">
        <f t="array" ref="I935">IFERROR(INDEX(★原価率!$A$2:$E$50,MATCH($C935&amp;$H935,★原価率!$A$2:$A$50&amp;★原価率!$B$2:$B$50,0),3),0)</f>
        <v>50</v>
      </c>
      <c r="J935" s="464" cm="1">
        <f t="array" ref="J935">IFERROR(INDEX(★原価率!$A$2:$E$50,MATCH($C935&amp;$H935,★原価率!$A$2:$A$50&amp;★原価率!$B$2:$B$50,0),4),0)</f>
        <v>50</v>
      </c>
      <c r="K935" s="464" cm="1">
        <f t="array" ref="K935">IFERROR(INDEX(★原価率!$A$2:$E$50,MATCH($C935&amp;$H935,★原価率!$A$2:$A$50&amp;★原価率!$B$2:$B$50,0),5),0)</f>
        <v>85</v>
      </c>
      <c r="L935" s="528">
        <f>IFERROR(VLOOKUP(W935,★商品!$A$1:$H$1231,8,FALSE),0)</f>
        <v>0</v>
      </c>
      <c r="M935" s="203" t="str">
        <f ca="1">CONCATENATE(VLOOKUP(B935,★営業所!$A$2:$B$5,2,FALSE),TEXT(NOW(),"yyyy"))</f>
        <v>T2023</v>
      </c>
      <c r="N935" s="203">
        <v>1</v>
      </c>
      <c r="O935" s="203">
        <v>0</v>
      </c>
      <c r="P935" s="213">
        <f>申込書!$B$6</f>
        <v>0</v>
      </c>
      <c r="Q935" s="203">
        <f>申込書!$C$34</f>
        <v>1000040</v>
      </c>
      <c r="R935" s="203">
        <v>0</v>
      </c>
      <c r="U935" s="203">
        <f>VLOOKUP(B935,★営業所!$A$2:$C$5,3,FALSE)</f>
        <v>8</v>
      </c>
      <c r="V935" s="203">
        <f>申込書!$B$9</f>
        <v>0</v>
      </c>
      <c r="W935" s="203" t="str">
        <f>CONCATENATE(VLOOKUP(B935,★営業所!$A$2:$B$5,2,FALSE),VLOOKUP(申込書!$C$32,★サイズ表記!$D$4:$E$55,2,FALSE),VLOOKUP(D935,★折込地区!$A$2:$B$11,2,FALSE))</f>
        <v>T1001Osk</v>
      </c>
      <c r="X935" s="203" t="str">
        <f>CONCATENATE(申込書!$B$9," ",VLOOKUP(RIGHT(W935,3),★折込地区!$B$2:$C$10,2,FALSE),"")</f>
        <v xml:space="preserve"> 大阪</v>
      </c>
      <c r="Z935" s="206">
        <f t="shared" ca="1" si="111"/>
        <v>0</v>
      </c>
      <c r="AB935" s="383">
        <f t="shared" si="112"/>
        <v>0</v>
      </c>
      <c r="AC935" s="203" t="str">
        <f t="shared" si="113"/>
        <v>D1001</v>
      </c>
      <c r="AD935" s="203" t="str">
        <f>VLOOKUP(AC935,★原価商品!$E$6:$F$349,2,FALSE)</f>
        <v>日本海/B4（折り無し）</v>
      </c>
      <c r="AE935" s="203">
        <f t="shared" ca="1" si="114"/>
        <v>0</v>
      </c>
      <c r="AF935" s="383">
        <f>IFERROR(IF(VLOOKUP(申込書!$C$32,★サイズ表記!$F$4:$H$55,3,FALSE)="切り捨て",ROUNDDOWN(L935*IF(AK935="◎",I935,J935)/100,2),IF(VLOOKUP(申込書!$C$32,★サイズ表記!$F$4:$H$55,3,FALSE)="切り上げ",ROUNDUP(L935*IF(AK935="◎",I935,J935)/100,2),ROUND(L935*IF(AK935="◎",I935,J935)/100,2))),0)</f>
        <v>0</v>
      </c>
      <c r="AG935" s="203">
        <f t="shared" ca="1" si="115"/>
        <v>0</v>
      </c>
      <c r="AJ935" s="460" t="str">
        <f>IFERROR(VLOOKUP(申込書!$C$30,★業種!$D$2:$E$87,2,FALSE),"")</f>
        <v>1003</v>
      </c>
      <c r="AK935" s="460" t="str">
        <f>IF(申込書!$C$36="◎",IF(OR(D935="浜坂・温泉",D935="美方・村岡",D935="香住",D935="岡山",D935="大阪"),"",IF(LEFT(F935)="D","◎",IF(AG935=0,"",IFERROR(IF(VLOOKUP(AG935,★仕入先!$A$2:$C$211,3,FALSE)=0,"","◎"),"")))),"")</f>
        <v/>
      </c>
      <c r="AL935" s="460">
        <f>申込書!$H$14</f>
        <v>0</v>
      </c>
      <c r="AM935" s="460" t="str">
        <f>申込書!$C$32</f>
        <v>B4（折り無し）</v>
      </c>
      <c r="AN935" s="460" t="str">
        <f>VLOOKUP(AM935,★サイズ表記!$D$4:$E$55,2,FALSE)</f>
        <v>1001</v>
      </c>
      <c r="AO935" s="460">
        <f>IF(C935&lt;&gt;"⑧兵庫",VLOOKUP(LEFT(F935),★新聞!$A$4:$B$12,2,FALSE),IF(LEFT(F935)&lt;&gt;"S",VLOOKUP(LEFT(F935),★新聞!$A$4:$B$12,2,FALSE),VLOOKUP("X",★新聞!$A$4:$B$12,2,FALSE)))</f>
        <v>1</v>
      </c>
      <c r="AP935" s="460" t="str">
        <f t="shared" ca="1" si="116"/>
        <v>0</v>
      </c>
      <c r="AQ935" s="460" t="str">
        <f>IF(申込書!$C$38="","",申込書!$C$38)</f>
        <v/>
      </c>
    </row>
    <row r="936" spans="1:43">
      <c r="A936" s="463">
        <f t="shared" si="109"/>
        <v>935</v>
      </c>
      <c r="B936" s="463" t="str">
        <f t="shared" si="110"/>
        <v>東部</v>
      </c>
      <c r="C936" s="464" t="s">
        <v>1244</v>
      </c>
      <c r="D936" s="464" t="s">
        <v>1242</v>
      </c>
      <c r="E936" s="464">
        <f>VLOOKUP(D936,★折込地区!$A$2:$D$10,4,FALSE)</f>
        <v>9</v>
      </c>
      <c r="F936" s="464" t="s">
        <v>1264</v>
      </c>
      <c r="G936" s="464" t="str">
        <f>INDEX(★新聞!$E$4:$I$12, MATCH(LEFT(F936),★新聞!$A$4:$A$12,0), MATCH(LEFT(W936),★新聞!$E$3:$I$3,0))</f>
        <v>X</v>
      </c>
      <c r="H936" s="475" t="s">
        <v>1247</v>
      </c>
      <c r="I936" s="464" cm="1">
        <f t="array" ref="I936">IFERROR(INDEX(★原価率!$A$2:$E$50,MATCH($C936&amp;$H936,★原価率!$A$2:$A$50&amp;★原価率!$B$2:$B$50,0),3),0)</f>
        <v>50</v>
      </c>
      <c r="J936" s="464" cm="1">
        <f t="array" ref="J936">IFERROR(INDEX(★原価率!$A$2:$E$50,MATCH($C936&amp;$H936,★原価率!$A$2:$A$50&amp;★原価率!$B$2:$B$50,0),4),0)</f>
        <v>50</v>
      </c>
      <c r="K936" s="464" cm="1">
        <f t="array" ref="K936">IFERROR(INDEX(★原価率!$A$2:$E$50,MATCH($C936&amp;$H936,★原価率!$A$2:$A$50&amp;★原価率!$B$2:$B$50,0),5),0)</f>
        <v>85</v>
      </c>
      <c r="L936" s="528">
        <f>IFERROR(VLOOKUP(W936,★商品!$A$1:$H$1231,8,FALSE),0)</f>
        <v>0</v>
      </c>
      <c r="M936" s="203" t="str">
        <f ca="1">CONCATENATE(VLOOKUP(B936,★営業所!$A$2:$B$5,2,FALSE),TEXT(NOW(),"yyyy"))</f>
        <v>T2023</v>
      </c>
      <c r="N936" s="203">
        <v>1</v>
      </c>
      <c r="O936" s="203">
        <v>0</v>
      </c>
      <c r="P936" s="213">
        <f>申込書!$B$6</f>
        <v>0</v>
      </c>
      <c r="Q936" s="203">
        <f>申込書!$C$34</f>
        <v>1000040</v>
      </c>
      <c r="R936" s="203">
        <v>0</v>
      </c>
      <c r="U936" s="203">
        <f>VLOOKUP(B936,★営業所!$A$2:$C$5,3,FALSE)</f>
        <v>8</v>
      </c>
      <c r="V936" s="203">
        <f>申込書!$B$9</f>
        <v>0</v>
      </c>
      <c r="W936" s="203" t="str">
        <f>CONCATENATE(VLOOKUP(B936,★営業所!$A$2:$B$5,2,FALSE),VLOOKUP(申込書!$C$32,★サイズ表記!$D$4:$E$55,2,FALSE),VLOOKUP(D936,★折込地区!$A$2:$B$11,2,FALSE))</f>
        <v>T1001Osk</v>
      </c>
      <c r="X936" s="203" t="str">
        <f>CONCATENATE(申込書!$B$9," ",VLOOKUP(RIGHT(W936,3),★折込地区!$B$2:$C$10,2,FALSE),"")</f>
        <v xml:space="preserve"> 大阪</v>
      </c>
      <c r="Z936" s="206">
        <f t="shared" ca="1" si="111"/>
        <v>0</v>
      </c>
      <c r="AB936" s="383">
        <f t="shared" si="112"/>
        <v>0</v>
      </c>
      <c r="AC936" s="203" t="str">
        <f t="shared" si="113"/>
        <v>D1001</v>
      </c>
      <c r="AD936" s="203" t="str">
        <f>VLOOKUP(AC936,★原価商品!$E$6:$F$349,2,FALSE)</f>
        <v>日本海/B4（折り無し）</v>
      </c>
      <c r="AE936" s="203">
        <f t="shared" ca="1" si="114"/>
        <v>0</v>
      </c>
      <c r="AF936" s="383">
        <f>IFERROR(IF(VLOOKUP(申込書!$C$32,★サイズ表記!$F$4:$H$55,3,FALSE)="切り捨て",ROUNDDOWN(L936*IF(AK936="◎",I936,J936)/100,2),IF(VLOOKUP(申込書!$C$32,★サイズ表記!$F$4:$H$55,3,FALSE)="切り上げ",ROUNDUP(L936*IF(AK936="◎",I936,J936)/100,2),ROUND(L936*IF(AK936="◎",I936,J936)/100,2))),0)</f>
        <v>0</v>
      </c>
      <c r="AG936" s="203">
        <f t="shared" ca="1" si="115"/>
        <v>0</v>
      </c>
      <c r="AJ936" s="460" t="str">
        <f>IFERROR(VLOOKUP(申込書!$C$30,★業種!$D$2:$E$87,2,FALSE),"")</f>
        <v>1003</v>
      </c>
      <c r="AK936" s="460" t="str">
        <f>IF(申込書!$C$36="◎",IF(OR(D936="浜坂・温泉",D936="美方・村岡",D936="香住",D936="岡山",D936="大阪"),"",IF(LEFT(F936)="D","◎",IF(AG936=0,"",IFERROR(IF(VLOOKUP(AG936,★仕入先!$A$2:$C$211,3,FALSE)=0,"","◎"),"")))),"")</f>
        <v/>
      </c>
      <c r="AL936" s="460">
        <f>申込書!$H$14</f>
        <v>0</v>
      </c>
      <c r="AM936" s="460" t="str">
        <f>申込書!$C$32</f>
        <v>B4（折り無し）</v>
      </c>
      <c r="AN936" s="460" t="str">
        <f>VLOOKUP(AM936,★サイズ表記!$D$4:$E$55,2,FALSE)</f>
        <v>1001</v>
      </c>
      <c r="AO936" s="460">
        <f>IF(C936&lt;&gt;"⑧兵庫",VLOOKUP(LEFT(F936),★新聞!$A$4:$B$12,2,FALSE),IF(LEFT(F936)&lt;&gt;"S",VLOOKUP(LEFT(F936),★新聞!$A$4:$B$12,2,FALSE),VLOOKUP("X",★新聞!$A$4:$B$12,2,FALSE)))</f>
        <v>1</v>
      </c>
      <c r="AP936" s="460" t="str">
        <f t="shared" ca="1" si="116"/>
        <v>0</v>
      </c>
      <c r="AQ936" s="460" t="str">
        <f>IF(申込書!$C$38="","",申込書!$C$38)</f>
        <v/>
      </c>
    </row>
    <row r="937" spans="1:43">
      <c r="A937" s="463">
        <f t="shared" si="109"/>
        <v>936</v>
      </c>
      <c r="B937" s="463" t="str">
        <f t="shared" si="110"/>
        <v>東部</v>
      </c>
      <c r="C937" s="464" t="s">
        <v>1244</v>
      </c>
      <c r="D937" s="464" t="s">
        <v>1242</v>
      </c>
      <c r="E937" s="464">
        <f>VLOOKUP(D937,★折込地区!$A$2:$D$10,4,FALSE)</f>
        <v>9</v>
      </c>
      <c r="F937" s="464" t="s">
        <v>1265</v>
      </c>
      <c r="G937" s="464" t="str">
        <f>INDEX(★新聞!$E$4:$I$12, MATCH(LEFT(F937),★新聞!$A$4:$A$12,0), MATCH(LEFT(W937),★新聞!$E$3:$I$3,0))</f>
        <v>X</v>
      </c>
      <c r="H937" s="475" t="s">
        <v>1247</v>
      </c>
      <c r="I937" s="464" cm="1">
        <f t="array" ref="I937">IFERROR(INDEX(★原価率!$A$2:$E$50,MATCH($C937&amp;$H937,★原価率!$A$2:$A$50&amp;★原価率!$B$2:$B$50,0),3),0)</f>
        <v>50</v>
      </c>
      <c r="J937" s="464" cm="1">
        <f t="array" ref="J937">IFERROR(INDEX(★原価率!$A$2:$E$50,MATCH($C937&amp;$H937,★原価率!$A$2:$A$50&amp;★原価率!$B$2:$B$50,0),4),0)</f>
        <v>50</v>
      </c>
      <c r="K937" s="464" cm="1">
        <f t="array" ref="K937">IFERROR(INDEX(★原価率!$A$2:$E$50,MATCH($C937&amp;$H937,★原価率!$A$2:$A$50&amp;★原価率!$B$2:$B$50,0),5),0)</f>
        <v>85</v>
      </c>
      <c r="L937" s="528">
        <f>IFERROR(VLOOKUP(W937,★商品!$A$1:$H$1231,8,FALSE),0)</f>
        <v>0</v>
      </c>
      <c r="M937" s="203" t="str">
        <f ca="1">CONCATENATE(VLOOKUP(B937,★営業所!$A$2:$B$5,2,FALSE),TEXT(NOW(),"yyyy"))</f>
        <v>T2023</v>
      </c>
      <c r="N937" s="203">
        <v>1</v>
      </c>
      <c r="O937" s="203">
        <v>0</v>
      </c>
      <c r="P937" s="213">
        <f>申込書!$B$6</f>
        <v>0</v>
      </c>
      <c r="Q937" s="203">
        <f>申込書!$C$34</f>
        <v>1000040</v>
      </c>
      <c r="R937" s="203">
        <v>0</v>
      </c>
      <c r="U937" s="203">
        <f>VLOOKUP(B937,★営業所!$A$2:$C$5,3,FALSE)</f>
        <v>8</v>
      </c>
      <c r="V937" s="203">
        <f>申込書!$B$9</f>
        <v>0</v>
      </c>
      <c r="W937" s="203" t="str">
        <f>CONCATENATE(VLOOKUP(B937,★営業所!$A$2:$B$5,2,FALSE),VLOOKUP(申込書!$C$32,★サイズ表記!$D$4:$E$55,2,FALSE),VLOOKUP(D937,★折込地区!$A$2:$B$11,2,FALSE))</f>
        <v>T1001Osk</v>
      </c>
      <c r="X937" s="203" t="str">
        <f>CONCATENATE(申込書!$B$9," ",VLOOKUP(RIGHT(W937,3),★折込地区!$B$2:$C$10,2,FALSE),"")</f>
        <v xml:space="preserve"> 大阪</v>
      </c>
      <c r="Z937" s="206">
        <f t="shared" ca="1" si="111"/>
        <v>0</v>
      </c>
      <c r="AB937" s="383">
        <f t="shared" si="112"/>
        <v>0</v>
      </c>
      <c r="AC937" s="203" t="str">
        <f t="shared" si="113"/>
        <v>D1001</v>
      </c>
      <c r="AD937" s="203" t="str">
        <f>VLOOKUP(AC937,★原価商品!$E$6:$F$349,2,FALSE)</f>
        <v>日本海/B4（折り無し）</v>
      </c>
      <c r="AE937" s="203">
        <f t="shared" ca="1" si="114"/>
        <v>0</v>
      </c>
      <c r="AF937" s="383">
        <f>IFERROR(IF(VLOOKUP(申込書!$C$32,★サイズ表記!$F$4:$H$55,3,FALSE)="切り捨て",ROUNDDOWN(L937*IF(AK937="◎",I937,J937)/100,2),IF(VLOOKUP(申込書!$C$32,★サイズ表記!$F$4:$H$55,3,FALSE)="切り上げ",ROUNDUP(L937*IF(AK937="◎",I937,J937)/100,2),ROUND(L937*IF(AK937="◎",I937,J937)/100,2))),0)</f>
        <v>0</v>
      </c>
      <c r="AG937" s="203">
        <f t="shared" ca="1" si="115"/>
        <v>0</v>
      </c>
      <c r="AJ937" s="460" t="str">
        <f>IFERROR(VLOOKUP(申込書!$C$30,★業種!$D$2:$E$87,2,FALSE),"")</f>
        <v>1003</v>
      </c>
      <c r="AK937" s="460" t="str">
        <f>IF(申込書!$C$36="◎",IF(OR(D937="浜坂・温泉",D937="美方・村岡",D937="香住",D937="岡山",D937="大阪"),"",IF(LEFT(F937)="D","◎",IF(AG937=0,"",IFERROR(IF(VLOOKUP(AG937,★仕入先!$A$2:$C$211,3,FALSE)=0,"","◎"),"")))),"")</f>
        <v/>
      </c>
      <c r="AL937" s="460">
        <f>申込書!$H$14</f>
        <v>0</v>
      </c>
      <c r="AM937" s="460" t="str">
        <f>申込書!$C$32</f>
        <v>B4（折り無し）</v>
      </c>
      <c r="AN937" s="460" t="str">
        <f>VLOOKUP(AM937,★サイズ表記!$D$4:$E$55,2,FALSE)</f>
        <v>1001</v>
      </c>
      <c r="AO937" s="460">
        <f>IF(C937&lt;&gt;"⑧兵庫",VLOOKUP(LEFT(F937),★新聞!$A$4:$B$12,2,FALSE),IF(LEFT(F937)&lt;&gt;"S",VLOOKUP(LEFT(F937),★新聞!$A$4:$B$12,2,FALSE),VLOOKUP("X",★新聞!$A$4:$B$12,2,FALSE)))</f>
        <v>1</v>
      </c>
      <c r="AP937" s="460" t="str">
        <f t="shared" ca="1" si="116"/>
        <v>0</v>
      </c>
      <c r="AQ937" s="460" t="str">
        <f>IF(申込書!$C$38="","",申込書!$C$38)</f>
        <v/>
      </c>
    </row>
    <row r="938" spans="1:43">
      <c r="A938" s="463">
        <f t="shared" si="109"/>
        <v>937</v>
      </c>
      <c r="B938" s="463" t="str">
        <f t="shared" si="110"/>
        <v>東部</v>
      </c>
      <c r="C938" s="464" t="s">
        <v>1244</v>
      </c>
      <c r="D938" s="464" t="s">
        <v>1242</v>
      </c>
      <c r="E938" s="464">
        <f>VLOOKUP(D938,★折込地区!$A$2:$D$10,4,FALSE)</f>
        <v>9</v>
      </c>
      <c r="F938" s="464" t="s">
        <v>1266</v>
      </c>
      <c r="G938" s="464" t="str">
        <f>INDEX(★新聞!$E$4:$I$12, MATCH(LEFT(F938),★新聞!$A$4:$A$12,0), MATCH(LEFT(W938),★新聞!$E$3:$I$3,0))</f>
        <v>X</v>
      </c>
      <c r="H938" s="475" t="s">
        <v>1247</v>
      </c>
      <c r="I938" s="464" cm="1">
        <f t="array" ref="I938">IFERROR(INDEX(★原価率!$A$2:$E$50,MATCH($C938&amp;$H938,★原価率!$A$2:$A$50&amp;★原価率!$B$2:$B$50,0),3),0)</f>
        <v>50</v>
      </c>
      <c r="J938" s="464" cm="1">
        <f t="array" ref="J938">IFERROR(INDEX(★原価率!$A$2:$E$50,MATCH($C938&amp;$H938,★原価率!$A$2:$A$50&amp;★原価率!$B$2:$B$50,0),4),0)</f>
        <v>50</v>
      </c>
      <c r="K938" s="464" cm="1">
        <f t="array" ref="K938">IFERROR(INDEX(★原価率!$A$2:$E$50,MATCH($C938&amp;$H938,★原価率!$A$2:$A$50&amp;★原価率!$B$2:$B$50,0),5),0)</f>
        <v>85</v>
      </c>
      <c r="L938" s="528">
        <f>IFERROR(VLOOKUP(W938,★商品!$A$1:$H$1231,8,FALSE),0)</f>
        <v>0</v>
      </c>
      <c r="M938" s="203" t="str">
        <f ca="1">CONCATENATE(VLOOKUP(B938,★営業所!$A$2:$B$5,2,FALSE),TEXT(NOW(),"yyyy"))</f>
        <v>T2023</v>
      </c>
      <c r="N938" s="203">
        <v>1</v>
      </c>
      <c r="O938" s="203">
        <v>0</v>
      </c>
      <c r="P938" s="213">
        <f>申込書!$B$6</f>
        <v>0</v>
      </c>
      <c r="Q938" s="203">
        <f>申込書!$C$34</f>
        <v>1000040</v>
      </c>
      <c r="R938" s="203">
        <v>0</v>
      </c>
      <c r="U938" s="203">
        <f>VLOOKUP(B938,★営業所!$A$2:$C$5,3,FALSE)</f>
        <v>8</v>
      </c>
      <c r="V938" s="203">
        <f>申込書!$B$9</f>
        <v>0</v>
      </c>
      <c r="W938" s="203" t="str">
        <f>CONCATENATE(VLOOKUP(B938,★営業所!$A$2:$B$5,2,FALSE),VLOOKUP(申込書!$C$32,★サイズ表記!$D$4:$E$55,2,FALSE),VLOOKUP(D938,★折込地区!$A$2:$B$11,2,FALSE))</f>
        <v>T1001Osk</v>
      </c>
      <c r="X938" s="203" t="str">
        <f>CONCATENATE(申込書!$B$9," ",VLOOKUP(RIGHT(W938,3),★折込地区!$B$2:$C$10,2,FALSE),"")</f>
        <v xml:space="preserve"> 大阪</v>
      </c>
      <c r="Z938" s="206">
        <f t="shared" ca="1" si="111"/>
        <v>0</v>
      </c>
      <c r="AB938" s="383">
        <f t="shared" si="112"/>
        <v>0</v>
      </c>
      <c r="AC938" s="203" t="str">
        <f t="shared" si="113"/>
        <v>D1001</v>
      </c>
      <c r="AD938" s="203" t="str">
        <f>VLOOKUP(AC938,★原価商品!$E$6:$F$349,2,FALSE)</f>
        <v>日本海/B4（折り無し）</v>
      </c>
      <c r="AE938" s="203">
        <f t="shared" ca="1" si="114"/>
        <v>0</v>
      </c>
      <c r="AF938" s="383">
        <f>IFERROR(IF(VLOOKUP(申込書!$C$32,★サイズ表記!$F$4:$H$55,3,FALSE)="切り捨て",ROUNDDOWN(L938*IF(AK938="◎",I938,J938)/100,2),IF(VLOOKUP(申込書!$C$32,★サイズ表記!$F$4:$H$55,3,FALSE)="切り上げ",ROUNDUP(L938*IF(AK938="◎",I938,J938)/100,2),ROUND(L938*IF(AK938="◎",I938,J938)/100,2))),0)</f>
        <v>0</v>
      </c>
      <c r="AG938" s="203">
        <f t="shared" ca="1" si="115"/>
        <v>0</v>
      </c>
      <c r="AJ938" s="460" t="str">
        <f>IFERROR(VLOOKUP(申込書!$C$30,★業種!$D$2:$E$87,2,FALSE),"")</f>
        <v>1003</v>
      </c>
      <c r="AK938" s="460" t="str">
        <f>IF(申込書!$C$36="◎",IF(OR(D938="浜坂・温泉",D938="美方・村岡",D938="香住",D938="岡山",D938="大阪"),"",IF(LEFT(F938)="D","◎",IF(AG938=0,"",IFERROR(IF(VLOOKUP(AG938,★仕入先!$A$2:$C$211,3,FALSE)=0,"","◎"),"")))),"")</f>
        <v/>
      </c>
      <c r="AL938" s="460">
        <f>申込書!$H$14</f>
        <v>0</v>
      </c>
      <c r="AM938" s="460" t="str">
        <f>申込書!$C$32</f>
        <v>B4（折り無し）</v>
      </c>
      <c r="AN938" s="460" t="str">
        <f>VLOOKUP(AM938,★サイズ表記!$D$4:$E$55,2,FALSE)</f>
        <v>1001</v>
      </c>
      <c r="AO938" s="460">
        <f>IF(C938&lt;&gt;"⑧兵庫",VLOOKUP(LEFT(F938),★新聞!$A$4:$B$12,2,FALSE),IF(LEFT(F938)&lt;&gt;"S",VLOOKUP(LEFT(F938),★新聞!$A$4:$B$12,2,FALSE),VLOOKUP("X",★新聞!$A$4:$B$12,2,FALSE)))</f>
        <v>1</v>
      </c>
      <c r="AP938" s="460" t="str">
        <f t="shared" ca="1" si="116"/>
        <v>0</v>
      </c>
      <c r="AQ938" s="460" t="str">
        <f>IF(申込書!$C$38="","",申込書!$C$38)</f>
        <v/>
      </c>
    </row>
    <row r="939" spans="1:43">
      <c r="A939" s="463">
        <f t="shared" si="109"/>
        <v>938</v>
      </c>
      <c r="B939" s="463" t="str">
        <f t="shared" si="110"/>
        <v>東部</v>
      </c>
      <c r="C939" s="464" t="s">
        <v>1244</v>
      </c>
      <c r="D939" s="464" t="s">
        <v>1242</v>
      </c>
      <c r="E939" s="464">
        <f>VLOOKUP(D939,★折込地区!$A$2:$D$10,4,FALSE)</f>
        <v>9</v>
      </c>
      <c r="F939" s="464" t="s">
        <v>1267</v>
      </c>
      <c r="G939" s="464" t="str">
        <f>INDEX(★新聞!$E$4:$I$12, MATCH(LEFT(F939),★新聞!$A$4:$A$12,0), MATCH(LEFT(W939),★新聞!$E$3:$I$3,0))</f>
        <v>X</v>
      </c>
      <c r="H939" s="475" t="s">
        <v>1247</v>
      </c>
      <c r="I939" s="464" cm="1">
        <f t="array" ref="I939">IFERROR(INDEX(★原価率!$A$2:$E$50,MATCH($C939&amp;$H939,★原価率!$A$2:$A$50&amp;★原価率!$B$2:$B$50,0),3),0)</f>
        <v>50</v>
      </c>
      <c r="J939" s="464" cm="1">
        <f t="array" ref="J939">IFERROR(INDEX(★原価率!$A$2:$E$50,MATCH($C939&amp;$H939,★原価率!$A$2:$A$50&amp;★原価率!$B$2:$B$50,0),4),0)</f>
        <v>50</v>
      </c>
      <c r="K939" s="464" cm="1">
        <f t="array" ref="K939">IFERROR(INDEX(★原価率!$A$2:$E$50,MATCH($C939&amp;$H939,★原価率!$A$2:$A$50&amp;★原価率!$B$2:$B$50,0),5),0)</f>
        <v>85</v>
      </c>
      <c r="L939" s="528">
        <f>IFERROR(VLOOKUP(W939,★商品!$A$1:$H$1231,8,FALSE),0)</f>
        <v>0</v>
      </c>
      <c r="M939" s="203" t="str">
        <f ca="1">CONCATENATE(VLOOKUP(B939,★営業所!$A$2:$B$5,2,FALSE),TEXT(NOW(),"yyyy"))</f>
        <v>T2023</v>
      </c>
      <c r="N939" s="203">
        <v>1</v>
      </c>
      <c r="O939" s="203">
        <v>0</v>
      </c>
      <c r="P939" s="213">
        <f>申込書!$B$6</f>
        <v>0</v>
      </c>
      <c r="Q939" s="203">
        <f>申込書!$C$34</f>
        <v>1000040</v>
      </c>
      <c r="R939" s="203">
        <v>0</v>
      </c>
      <c r="U939" s="203">
        <f>VLOOKUP(B939,★営業所!$A$2:$C$5,3,FALSE)</f>
        <v>8</v>
      </c>
      <c r="V939" s="203">
        <f>申込書!$B$9</f>
        <v>0</v>
      </c>
      <c r="W939" s="203" t="str">
        <f>CONCATENATE(VLOOKUP(B939,★営業所!$A$2:$B$5,2,FALSE),VLOOKUP(申込書!$C$32,★サイズ表記!$D$4:$E$55,2,FALSE),VLOOKUP(D939,★折込地区!$A$2:$B$11,2,FALSE))</f>
        <v>T1001Osk</v>
      </c>
      <c r="X939" s="203" t="str">
        <f>CONCATENATE(申込書!$B$9," ",VLOOKUP(RIGHT(W939,3),★折込地区!$B$2:$C$10,2,FALSE),"")</f>
        <v xml:space="preserve"> 大阪</v>
      </c>
      <c r="Z939" s="206">
        <f t="shared" ca="1" si="111"/>
        <v>0</v>
      </c>
      <c r="AB939" s="383">
        <f t="shared" si="112"/>
        <v>0</v>
      </c>
      <c r="AC939" s="203" t="str">
        <f t="shared" si="113"/>
        <v>D1001</v>
      </c>
      <c r="AD939" s="203" t="str">
        <f>VLOOKUP(AC939,★原価商品!$E$6:$F$349,2,FALSE)</f>
        <v>日本海/B4（折り無し）</v>
      </c>
      <c r="AE939" s="203">
        <f t="shared" ca="1" si="114"/>
        <v>0</v>
      </c>
      <c r="AF939" s="383">
        <f>IFERROR(IF(VLOOKUP(申込書!$C$32,★サイズ表記!$F$4:$H$55,3,FALSE)="切り捨て",ROUNDDOWN(L939*IF(AK939="◎",I939,J939)/100,2),IF(VLOOKUP(申込書!$C$32,★サイズ表記!$F$4:$H$55,3,FALSE)="切り上げ",ROUNDUP(L939*IF(AK939="◎",I939,J939)/100,2),ROUND(L939*IF(AK939="◎",I939,J939)/100,2))),0)</f>
        <v>0</v>
      </c>
      <c r="AG939" s="203">
        <f t="shared" ca="1" si="115"/>
        <v>0</v>
      </c>
      <c r="AJ939" s="460" t="str">
        <f>IFERROR(VLOOKUP(申込書!$C$30,★業種!$D$2:$E$87,2,FALSE),"")</f>
        <v>1003</v>
      </c>
      <c r="AK939" s="460" t="str">
        <f>IF(申込書!$C$36="◎",IF(OR(D939="浜坂・温泉",D939="美方・村岡",D939="香住",D939="岡山",D939="大阪"),"",IF(LEFT(F939)="D","◎",IF(AG939=0,"",IFERROR(IF(VLOOKUP(AG939,★仕入先!$A$2:$C$211,3,FALSE)=0,"","◎"),"")))),"")</f>
        <v/>
      </c>
      <c r="AL939" s="460">
        <f>申込書!$H$14</f>
        <v>0</v>
      </c>
      <c r="AM939" s="460" t="str">
        <f>申込書!$C$32</f>
        <v>B4（折り無し）</v>
      </c>
      <c r="AN939" s="460" t="str">
        <f>VLOOKUP(AM939,★サイズ表記!$D$4:$E$55,2,FALSE)</f>
        <v>1001</v>
      </c>
      <c r="AO939" s="460">
        <f>IF(C939&lt;&gt;"⑧兵庫",VLOOKUP(LEFT(F939),★新聞!$A$4:$B$12,2,FALSE),IF(LEFT(F939)&lt;&gt;"S",VLOOKUP(LEFT(F939),★新聞!$A$4:$B$12,2,FALSE),VLOOKUP("X",★新聞!$A$4:$B$12,2,FALSE)))</f>
        <v>1</v>
      </c>
      <c r="AP939" s="460" t="str">
        <f t="shared" ca="1" si="116"/>
        <v>0</v>
      </c>
      <c r="AQ939" s="460" t="str">
        <f>IF(申込書!$C$38="","",申込書!$C$38)</f>
        <v/>
      </c>
    </row>
    <row r="940" spans="1:43">
      <c r="A940" s="463">
        <f t="shared" si="109"/>
        <v>939</v>
      </c>
      <c r="B940" s="463" t="str">
        <f t="shared" si="110"/>
        <v>東部</v>
      </c>
      <c r="C940" s="464" t="s">
        <v>1244</v>
      </c>
      <c r="D940" s="464" t="s">
        <v>1242</v>
      </c>
      <c r="E940" s="464">
        <f>VLOOKUP(D940,★折込地区!$A$2:$D$10,4,FALSE)</f>
        <v>9</v>
      </c>
      <c r="F940" s="464" t="s">
        <v>1268</v>
      </c>
      <c r="G940" s="464" t="str">
        <f>INDEX(★新聞!$E$4:$I$12, MATCH(LEFT(F940),★新聞!$A$4:$A$12,0), MATCH(LEFT(W940),★新聞!$E$3:$I$3,0))</f>
        <v>X</v>
      </c>
      <c r="H940" s="475" t="s">
        <v>1247</v>
      </c>
      <c r="I940" s="464" cm="1">
        <f t="array" ref="I940">IFERROR(INDEX(★原価率!$A$2:$E$50,MATCH($C940&amp;$H940,★原価率!$A$2:$A$50&amp;★原価率!$B$2:$B$50,0),3),0)</f>
        <v>50</v>
      </c>
      <c r="J940" s="464" cm="1">
        <f t="array" ref="J940">IFERROR(INDEX(★原価率!$A$2:$E$50,MATCH($C940&amp;$H940,★原価率!$A$2:$A$50&amp;★原価率!$B$2:$B$50,0),4),0)</f>
        <v>50</v>
      </c>
      <c r="K940" s="464" cm="1">
        <f t="array" ref="K940">IFERROR(INDEX(★原価率!$A$2:$E$50,MATCH($C940&amp;$H940,★原価率!$A$2:$A$50&amp;★原価率!$B$2:$B$50,0),5),0)</f>
        <v>85</v>
      </c>
      <c r="L940" s="528">
        <f>IFERROR(VLOOKUP(W940,★商品!$A$1:$H$1231,8,FALSE),0)</f>
        <v>0</v>
      </c>
      <c r="M940" s="203" t="str">
        <f ca="1">CONCATENATE(VLOOKUP(B940,★営業所!$A$2:$B$5,2,FALSE),TEXT(NOW(),"yyyy"))</f>
        <v>T2023</v>
      </c>
      <c r="N940" s="203">
        <v>1</v>
      </c>
      <c r="O940" s="203">
        <v>0</v>
      </c>
      <c r="P940" s="213">
        <f>申込書!$B$6</f>
        <v>0</v>
      </c>
      <c r="Q940" s="203">
        <f>申込書!$C$34</f>
        <v>1000040</v>
      </c>
      <c r="R940" s="203">
        <v>0</v>
      </c>
      <c r="U940" s="203">
        <f>VLOOKUP(B940,★営業所!$A$2:$C$5,3,FALSE)</f>
        <v>8</v>
      </c>
      <c r="V940" s="203">
        <f>申込書!$B$9</f>
        <v>0</v>
      </c>
      <c r="W940" s="203" t="str">
        <f>CONCATENATE(VLOOKUP(B940,★営業所!$A$2:$B$5,2,FALSE),VLOOKUP(申込書!$C$32,★サイズ表記!$D$4:$E$55,2,FALSE),VLOOKUP(D940,★折込地区!$A$2:$B$11,2,FALSE))</f>
        <v>T1001Osk</v>
      </c>
      <c r="X940" s="203" t="str">
        <f>CONCATENATE(申込書!$B$9," ",VLOOKUP(RIGHT(W940,3),★折込地区!$B$2:$C$10,2,FALSE),"")</f>
        <v xml:space="preserve"> 大阪</v>
      </c>
      <c r="Z940" s="206">
        <f t="shared" ca="1" si="111"/>
        <v>0</v>
      </c>
      <c r="AB940" s="383">
        <f t="shared" si="112"/>
        <v>0</v>
      </c>
      <c r="AC940" s="203" t="str">
        <f t="shared" si="113"/>
        <v>D1001</v>
      </c>
      <c r="AD940" s="203" t="str">
        <f>VLOOKUP(AC940,★原価商品!$E$6:$F$349,2,FALSE)</f>
        <v>日本海/B4（折り無し）</v>
      </c>
      <c r="AE940" s="203">
        <f t="shared" ca="1" si="114"/>
        <v>0</v>
      </c>
      <c r="AF940" s="383">
        <f>IFERROR(IF(VLOOKUP(申込書!$C$32,★サイズ表記!$F$4:$H$55,3,FALSE)="切り捨て",ROUNDDOWN(L940*IF(AK940="◎",I940,J940)/100,2),IF(VLOOKUP(申込書!$C$32,★サイズ表記!$F$4:$H$55,3,FALSE)="切り上げ",ROUNDUP(L940*IF(AK940="◎",I940,J940)/100,2),ROUND(L940*IF(AK940="◎",I940,J940)/100,2))),0)</f>
        <v>0</v>
      </c>
      <c r="AG940" s="203">
        <f t="shared" ca="1" si="115"/>
        <v>0</v>
      </c>
      <c r="AJ940" s="460" t="str">
        <f>IFERROR(VLOOKUP(申込書!$C$30,★業種!$D$2:$E$87,2,FALSE),"")</f>
        <v>1003</v>
      </c>
      <c r="AK940" s="460" t="str">
        <f>IF(申込書!$C$36="◎",IF(OR(D940="浜坂・温泉",D940="美方・村岡",D940="香住",D940="岡山",D940="大阪"),"",IF(LEFT(F940)="D","◎",IF(AG940=0,"",IFERROR(IF(VLOOKUP(AG940,★仕入先!$A$2:$C$211,3,FALSE)=0,"","◎"),"")))),"")</f>
        <v/>
      </c>
      <c r="AL940" s="460">
        <f>申込書!$H$14</f>
        <v>0</v>
      </c>
      <c r="AM940" s="460" t="str">
        <f>申込書!$C$32</f>
        <v>B4（折り無し）</v>
      </c>
      <c r="AN940" s="460" t="str">
        <f>VLOOKUP(AM940,★サイズ表記!$D$4:$E$55,2,FALSE)</f>
        <v>1001</v>
      </c>
      <c r="AO940" s="460">
        <f>IF(C940&lt;&gt;"⑧兵庫",VLOOKUP(LEFT(F940),★新聞!$A$4:$B$12,2,FALSE),IF(LEFT(F940)&lt;&gt;"S",VLOOKUP(LEFT(F940),★新聞!$A$4:$B$12,2,FALSE),VLOOKUP("X",★新聞!$A$4:$B$12,2,FALSE)))</f>
        <v>1</v>
      </c>
      <c r="AP940" s="460" t="str">
        <f t="shared" ca="1" si="116"/>
        <v>0</v>
      </c>
      <c r="AQ940" s="460" t="str">
        <f>IF(申込書!$C$38="","",申込書!$C$38)</f>
        <v/>
      </c>
    </row>
    <row r="941" spans="1:43">
      <c r="A941" s="463">
        <f t="shared" si="109"/>
        <v>940</v>
      </c>
      <c r="B941" s="463" t="str">
        <f t="shared" si="110"/>
        <v>東部</v>
      </c>
      <c r="C941" s="464" t="s">
        <v>1244</v>
      </c>
      <c r="D941" s="464" t="s">
        <v>1242</v>
      </c>
      <c r="E941" s="464">
        <f>VLOOKUP(D941,★折込地区!$A$2:$D$10,4,FALSE)</f>
        <v>9</v>
      </c>
      <c r="F941" s="464" t="s">
        <v>1269</v>
      </c>
      <c r="G941" s="464" t="str">
        <f>INDEX(★新聞!$E$4:$I$12, MATCH(LEFT(F941),★新聞!$A$4:$A$12,0), MATCH(LEFT(W941),★新聞!$E$3:$I$3,0))</f>
        <v>X</v>
      </c>
      <c r="H941" s="475" t="s">
        <v>1247</v>
      </c>
      <c r="I941" s="464" cm="1">
        <f t="array" ref="I941">IFERROR(INDEX(★原価率!$A$2:$E$50,MATCH($C941&amp;$H941,★原価率!$A$2:$A$50&amp;★原価率!$B$2:$B$50,0),3),0)</f>
        <v>50</v>
      </c>
      <c r="J941" s="464" cm="1">
        <f t="array" ref="J941">IFERROR(INDEX(★原価率!$A$2:$E$50,MATCH($C941&amp;$H941,★原価率!$A$2:$A$50&amp;★原価率!$B$2:$B$50,0),4),0)</f>
        <v>50</v>
      </c>
      <c r="K941" s="464" cm="1">
        <f t="array" ref="K941">IFERROR(INDEX(★原価率!$A$2:$E$50,MATCH($C941&amp;$H941,★原価率!$A$2:$A$50&amp;★原価率!$B$2:$B$50,0),5),0)</f>
        <v>85</v>
      </c>
      <c r="L941" s="528">
        <f>IFERROR(VLOOKUP(W941,★商品!$A$1:$H$1231,8,FALSE),0)</f>
        <v>0</v>
      </c>
      <c r="M941" s="203" t="str">
        <f ca="1">CONCATENATE(VLOOKUP(B941,★営業所!$A$2:$B$5,2,FALSE),TEXT(NOW(),"yyyy"))</f>
        <v>T2023</v>
      </c>
      <c r="N941" s="203">
        <v>1</v>
      </c>
      <c r="O941" s="203">
        <v>0</v>
      </c>
      <c r="P941" s="213">
        <f>申込書!$B$6</f>
        <v>0</v>
      </c>
      <c r="Q941" s="203">
        <f>申込書!$C$34</f>
        <v>1000040</v>
      </c>
      <c r="R941" s="203">
        <v>0</v>
      </c>
      <c r="U941" s="203">
        <f>VLOOKUP(B941,★営業所!$A$2:$C$5,3,FALSE)</f>
        <v>8</v>
      </c>
      <c r="V941" s="203">
        <f>申込書!$B$9</f>
        <v>0</v>
      </c>
      <c r="W941" s="203" t="str">
        <f>CONCATENATE(VLOOKUP(B941,★営業所!$A$2:$B$5,2,FALSE),VLOOKUP(申込書!$C$32,★サイズ表記!$D$4:$E$55,2,FALSE),VLOOKUP(D941,★折込地区!$A$2:$B$11,2,FALSE))</f>
        <v>T1001Osk</v>
      </c>
      <c r="X941" s="203" t="str">
        <f>CONCATENATE(申込書!$B$9," ",VLOOKUP(RIGHT(W941,3),★折込地区!$B$2:$C$10,2,FALSE),"")</f>
        <v xml:space="preserve"> 大阪</v>
      </c>
      <c r="Z941" s="206">
        <f t="shared" ca="1" si="111"/>
        <v>0</v>
      </c>
      <c r="AB941" s="383">
        <f t="shared" si="112"/>
        <v>0</v>
      </c>
      <c r="AC941" s="203" t="str">
        <f t="shared" si="113"/>
        <v>D1001</v>
      </c>
      <c r="AD941" s="203" t="str">
        <f>VLOOKUP(AC941,★原価商品!$E$6:$F$349,2,FALSE)</f>
        <v>日本海/B4（折り無し）</v>
      </c>
      <c r="AE941" s="203">
        <f t="shared" ca="1" si="114"/>
        <v>0</v>
      </c>
      <c r="AF941" s="383">
        <f>IFERROR(IF(VLOOKUP(申込書!$C$32,★サイズ表記!$F$4:$H$55,3,FALSE)="切り捨て",ROUNDDOWN(L941*IF(AK941="◎",I941,J941)/100,2),IF(VLOOKUP(申込書!$C$32,★サイズ表記!$F$4:$H$55,3,FALSE)="切り上げ",ROUNDUP(L941*IF(AK941="◎",I941,J941)/100,2),ROUND(L941*IF(AK941="◎",I941,J941)/100,2))),0)</f>
        <v>0</v>
      </c>
      <c r="AG941" s="203">
        <f t="shared" ca="1" si="115"/>
        <v>0</v>
      </c>
      <c r="AJ941" s="460" t="str">
        <f>IFERROR(VLOOKUP(申込書!$C$30,★業種!$D$2:$E$87,2,FALSE),"")</f>
        <v>1003</v>
      </c>
      <c r="AK941" s="460" t="str">
        <f>IF(申込書!$C$36="◎",IF(OR(D941="浜坂・温泉",D941="美方・村岡",D941="香住",D941="岡山",D941="大阪"),"",IF(LEFT(F941)="D","◎",IF(AG941=0,"",IFERROR(IF(VLOOKUP(AG941,★仕入先!$A$2:$C$211,3,FALSE)=0,"","◎"),"")))),"")</f>
        <v/>
      </c>
      <c r="AL941" s="460">
        <f>申込書!$H$14</f>
        <v>0</v>
      </c>
      <c r="AM941" s="460" t="str">
        <f>申込書!$C$32</f>
        <v>B4（折り無し）</v>
      </c>
      <c r="AN941" s="460" t="str">
        <f>VLOOKUP(AM941,★サイズ表記!$D$4:$E$55,2,FALSE)</f>
        <v>1001</v>
      </c>
      <c r="AO941" s="460">
        <f>IF(C941&lt;&gt;"⑧兵庫",VLOOKUP(LEFT(F941),★新聞!$A$4:$B$12,2,FALSE),IF(LEFT(F941)&lt;&gt;"S",VLOOKUP(LEFT(F941),★新聞!$A$4:$B$12,2,FALSE),VLOOKUP("X",★新聞!$A$4:$B$12,2,FALSE)))</f>
        <v>1</v>
      </c>
      <c r="AP941" s="460" t="str">
        <f t="shared" ca="1" si="116"/>
        <v>0</v>
      </c>
      <c r="AQ941" s="460" t="str">
        <f>IF(申込書!$C$38="","",申込書!$C$38)</f>
        <v/>
      </c>
    </row>
    <row r="942" spans="1:43">
      <c r="A942" s="463">
        <f t="shared" si="109"/>
        <v>941</v>
      </c>
      <c r="B942" s="463" t="str">
        <f t="shared" si="110"/>
        <v>東部</v>
      </c>
      <c r="C942" s="464" t="s">
        <v>1244</v>
      </c>
      <c r="D942" s="464" t="s">
        <v>1242</v>
      </c>
      <c r="E942" s="464">
        <f>VLOOKUP(D942,★折込地区!$A$2:$D$10,4,FALSE)</f>
        <v>9</v>
      </c>
      <c r="F942" s="464" t="s">
        <v>1270</v>
      </c>
      <c r="G942" s="464" t="str">
        <f>INDEX(★新聞!$E$4:$I$12, MATCH(LEFT(F942),★新聞!$A$4:$A$12,0), MATCH(LEFT(W942),★新聞!$E$3:$I$3,0))</f>
        <v>X</v>
      </c>
      <c r="H942" s="475" t="s">
        <v>1247</v>
      </c>
      <c r="I942" s="464" cm="1">
        <f t="array" ref="I942">IFERROR(INDEX(★原価率!$A$2:$E$50,MATCH($C942&amp;$H942,★原価率!$A$2:$A$50&amp;★原価率!$B$2:$B$50,0),3),0)</f>
        <v>50</v>
      </c>
      <c r="J942" s="464" cm="1">
        <f t="array" ref="J942">IFERROR(INDEX(★原価率!$A$2:$E$50,MATCH($C942&amp;$H942,★原価率!$A$2:$A$50&amp;★原価率!$B$2:$B$50,0),4),0)</f>
        <v>50</v>
      </c>
      <c r="K942" s="464" cm="1">
        <f t="array" ref="K942">IFERROR(INDEX(★原価率!$A$2:$E$50,MATCH($C942&amp;$H942,★原価率!$A$2:$A$50&amp;★原価率!$B$2:$B$50,0),5),0)</f>
        <v>85</v>
      </c>
      <c r="L942" s="528">
        <f>IFERROR(VLOOKUP(W942,★商品!$A$1:$H$1231,8,FALSE),0)</f>
        <v>0</v>
      </c>
      <c r="M942" s="203" t="str">
        <f ca="1">CONCATENATE(VLOOKUP(B942,★営業所!$A$2:$B$5,2,FALSE),TEXT(NOW(),"yyyy"))</f>
        <v>T2023</v>
      </c>
      <c r="N942" s="203">
        <v>1</v>
      </c>
      <c r="O942" s="203">
        <v>0</v>
      </c>
      <c r="P942" s="213">
        <f>申込書!$B$6</f>
        <v>0</v>
      </c>
      <c r="Q942" s="203">
        <f>申込書!$C$34</f>
        <v>1000040</v>
      </c>
      <c r="R942" s="203">
        <v>0</v>
      </c>
      <c r="U942" s="203">
        <f>VLOOKUP(B942,★営業所!$A$2:$C$5,3,FALSE)</f>
        <v>8</v>
      </c>
      <c r="V942" s="203">
        <f>申込書!$B$9</f>
        <v>0</v>
      </c>
      <c r="W942" s="203" t="str">
        <f>CONCATENATE(VLOOKUP(B942,★営業所!$A$2:$B$5,2,FALSE),VLOOKUP(申込書!$C$32,★サイズ表記!$D$4:$E$55,2,FALSE),VLOOKUP(D942,★折込地区!$A$2:$B$11,2,FALSE))</f>
        <v>T1001Osk</v>
      </c>
      <c r="X942" s="203" t="str">
        <f>CONCATENATE(申込書!$B$9," ",VLOOKUP(RIGHT(W942,3),★折込地区!$B$2:$C$10,2,FALSE),"")</f>
        <v xml:space="preserve"> 大阪</v>
      </c>
      <c r="Z942" s="206">
        <f t="shared" ca="1" si="111"/>
        <v>0</v>
      </c>
      <c r="AB942" s="383">
        <f t="shared" si="112"/>
        <v>0</v>
      </c>
      <c r="AC942" s="203" t="str">
        <f t="shared" si="113"/>
        <v>D1001</v>
      </c>
      <c r="AD942" s="203" t="str">
        <f>VLOOKUP(AC942,★原価商品!$E$6:$F$349,2,FALSE)</f>
        <v>日本海/B4（折り無し）</v>
      </c>
      <c r="AE942" s="203">
        <f t="shared" ca="1" si="114"/>
        <v>0</v>
      </c>
      <c r="AF942" s="383">
        <f>IFERROR(IF(VLOOKUP(申込書!$C$32,★サイズ表記!$F$4:$H$55,3,FALSE)="切り捨て",ROUNDDOWN(L942*IF(AK942="◎",I942,J942)/100,2),IF(VLOOKUP(申込書!$C$32,★サイズ表記!$F$4:$H$55,3,FALSE)="切り上げ",ROUNDUP(L942*IF(AK942="◎",I942,J942)/100,2),ROUND(L942*IF(AK942="◎",I942,J942)/100,2))),0)</f>
        <v>0</v>
      </c>
      <c r="AG942" s="203">
        <f t="shared" ca="1" si="115"/>
        <v>0</v>
      </c>
      <c r="AJ942" s="460" t="str">
        <f>IFERROR(VLOOKUP(申込書!$C$30,★業種!$D$2:$E$87,2,FALSE),"")</f>
        <v>1003</v>
      </c>
      <c r="AK942" s="460" t="str">
        <f>IF(申込書!$C$36="◎",IF(OR(D942="浜坂・温泉",D942="美方・村岡",D942="香住",D942="岡山",D942="大阪"),"",IF(LEFT(F942)="D","◎",IF(AG942=0,"",IFERROR(IF(VLOOKUP(AG942,★仕入先!$A$2:$C$211,3,FALSE)=0,"","◎"),"")))),"")</f>
        <v/>
      </c>
      <c r="AL942" s="460">
        <f>申込書!$H$14</f>
        <v>0</v>
      </c>
      <c r="AM942" s="460" t="str">
        <f>申込書!$C$32</f>
        <v>B4（折り無し）</v>
      </c>
      <c r="AN942" s="460" t="str">
        <f>VLOOKUP(AM942,★サイズ表記!$D$4:$E$55,2,FALSE)</f>
        <v>1001</v>
      </c>
      <c r="AO942" s="460">
        <f>IF(C942&lt;&gt;"⑧兵庫",VLOOKUP(LEFT(F942),★新聞!$A$4:$B$12,2,FALSE),IF(LEFT(F942)&lt;&gt;"S",VLOOKUP(LEFT(F942),★新聞!$A$4:$B$12,2,FALSE),VLOOKUP("X",★新聞!$A$4:$B$12,2,FALSE)))</f>
        <v>1</v>
      </c>
      <c r="AP942" s="460" t="str">
        <f t="shared" ca="1" si="116"/>
        <v>0</v>
      </c>
      <c r="AQ942" s="460" t="str">
        <f>IF(申込書!$C$38="","",申込書!$C$38)</f>
        <v/>
      </c>
    </row>
    <row r="943" spans="1:43">
      <c r="A943" s="463">
        <f t="shared" si="109"/>
        <v>942</v>
      </c>
      <c r="B943" s="463" t="str">
        <f t="shared" si="110"/>
        <v>東部</v>
      </c>
      <c r="C943" s="464" t="s">
        <v>1244</v>
      </c>
      <c r="D943" s="464" t="s">
        <v>1242</v>
      </c>
      <c r="E943" s="464">
        <f>VLOOKUP(D943,★折込地区!$A$2:$D$10,4,FALSE)</f>
        <v>9</v>
      </c>
      <c r="F943" s="464" t="s">
        <v>1271</v>
      </c>
      <c r="G943" s="464" t="str">
        <f>INDEX(★新聞!$E$4:$I$12, MATCH(LEFT(F943),★新聞!$A$4:$A$12,0), MATCH(LEFT(W943),★新聞!$E$3:$I$3,0))</f>
        <v>X</v>
      </c>
      <c r="H943" s="475" t="s">
        <v>1247</v>
      </c>
      <c r="I943" s="464" cm="1">
        <f t="array" ref="I943">IFERROR(INDEX(★原価率!$A$2:$E$50,MATCH($C943&amp;$H943,★原価率!$A$2:$A$50&amp;★原価率!$B$2:$B$50,0),3),0)</f>
        <v>50</v>
      </c>
      <c r="J943" s="464" cm="1">
        <f t="array" ref="J943">IFERROR(INDEX(★原価率!$A$2:$E$50,MATCH($C943&amp;$H943,★原価率!$A$2:$A$50&amp;★原価率!$B$2:$B$50,0),4),0)</f>
        <v>50</v>
      </c>
      <c r="K943" s="464" cm="1">
        <f t="array" ref="K943">IFERROR(INDEX(★原価率!$A$2:$E$50,MATCH($C943&amp;$H943,★原価率!$A$2:$A$50&amp;★原価率!$B$2:$B$50,0),5),0)</f>
        <v>85</v>
      </c>
      <c r="L943" s="528">
        <f>IFERROR(VLOOKUP(W943,★商品!$A$1:$H$1231,8,FALSE),0)</f>
        <v>0</v>
      </c>
      <c r="M943" s="203" t="str">
        <f ca="1">CONCATENATE(VLOOKUP(B943,★営業所!$A$2:$B$5,2,FALSE),TEXT(NOW(),"yyyy"))</f>
        <v>T2023</v>
      </c>
      <c r="N943" s="203">
        <v>1</v>
      </c>
      <c r="O943" s="203">
        <v>0</v>
      </c>
      <c r="P943" s="213">
        <f>申込書!$B$6</f>
        <v>0</v>
      </c>
      <c r="Q943" s="203">
        <f>申込書!$C$34</f>
        <v>1000040</v>
      </c>
      <c r="R943" s="203">
        <v>0</v>
      </c>
      <c r="U943" s="203">
        <f>VLOOKUP(B943,★営業所!$A$2:$C$5,3,FALSE)</f>
        <v>8</v>
      </c>
      <c r="V943" s="203">
        <f>申込書!$B$9</f>
        <v>0</v>
      </c>
      <c r="W943" s="203" t="str">
        <f>CONCATENATE(VLOOKUP(B943,★営業所!$A$2:$B$5,2,FALSE),VLOOKUP(申込書!$C$32,★サイズ表記!$D$4:$E$55,2,FALSE),VLOOKUP(D943,★折込地区!$A$2:$B$11,2,FALSE))</f>
        <v>T1001Osk</v>
      </c>
      <c r="X943" s="203" t="str">
        <f>CONCATENATE(申込書!$B$9," ",VLOOKUP(RIGHT(W943,3),★折込地区!$B$2:$C$10,2,FALSE),"")</f>
        <v xml:space="preserve"> 大阪</v>
      </c>
      <c r="Z943" s="206">
        <f t="shared" ca="1" si="111"/>
        <v>0</v>
      </c>
      <c r="AB943" s="383">
        <f t="shared" si="112"/>
        <v>0</v>
      </c>
      <c r="AC943" s="203" t="str">
        <f t="shared" si="113"/>
        <v>D1001</v>
      </c>
      <c r="AD943" s="203" t="str">
        <f>VLOOKUP(AC943,★原価商品!$E$6:$F$349,2,FALSE)</f>
        <v>日本海/B4（折り無し）</v>
      </c>
      <c r="AE943" s="203">
        <f t="shared" ca="1" si="114"/>
        <v>0</v>
      </c>
      <c r="AF943" s="383">
        <f>IFERROR(IF(VLOOKUP(申込書!$C$32,★サイズ表記!$F$4:$H$55,3,FALSE)="切り捨て",ROUNDDOWN(L943*IF(AK943="◎",I943,J943)/100,2),IF(VLOOKUP(申込書!$C$32,★サイズ表記!$F$4:$H$55,3,FALSE)="切り上げ",ROUNDUP(L943*IF(AK943="◎",I943,J943)/100,2),ROUND(L943*IF(AK943="◎",I943,J943)/100,2))),0)</f>
        <v>0</v>
      </c>
      <c r="AG943" s="203">
        <f t="shared" ca="1" si="115"/>
        <v>0</v>
      </c>
      <c r="AJ943" s="460" t="str">
        <f>IFERROR(VLOOKUP(申込書!$C$30,★業種!$D$2:$E$87,2,FALSE),"")</f>
        <v>1003</v>
      </c>
      <c r="AK943" s="460" t="str">
        <f>IF(申込書!$C$36="◎",IF(OR(D943="浜坂・温泉",D943="美方・村岡",D943="香住",D943="岡山",D943="大阪"),"",IF(LEFT(F943)="D","◎",IF(AG943=0,"",IFERROR(IF(VLOOKUP(AG943,★仕入先!$A$2:$C$211,3,FALSE)=0,"","◎"),"")))),"")</f>
        <v/>
      </c>
      <c r="AL943" s="460">
        <f>申込書!$H$14</f>
        <v>0</v>
      </c>
      <c r="AM943" s="460" t="str">
        <f>申込書!$C$32</f>
        <v>B4（折り無し）</v>
      </c>
      <c r="AN943" s="460" t="str">
        <f>VLOOKUP(AM943,★サイズ表記!$D$4:$E$55,2,FALSE)</f>
        <v>1001</v>
      </c>
      <c r="AO943" s="460">
        <f>IF(C943&lt;&gt;"⑧兵庫",VLOOKUP(LEFT(F943),★新聞!$A$4:$B$12,2,FALSE),IF(LEFT(F943)&lt;&gt;"S",VLOOKUP(LEFT(F943),★新聞!$A$4:$B$12,2,FALSE),VLOOKUP("X",★新聞!$A$4:$B$12,2,FALSE)))</f>
        <v>1</v>
      </c>
      <c r="AP943" s="460" t="str">
        <f t="shared" ca="1" si="116"/>
        <v>0</v>
      </c>
      <c r="AQ943" s="460" t="str">
        <f>IF(申込書!$C$38="","",申込書!$C$38)</f>
        <v/>
      </c>
    </row>
    <row r="944" spans="1:43">
      <c r="A944" s="463">
        <f t="shared" si="109"/>
        <v>943</v>
      </c>
      <c r="B944" s="463" t="str">
        <f t="shared" si="110"/>
        <v>東部</v>
      </c>
      <c r="C944" s="464" t="s">
        <v>1244</v>
      </c>
      <c r="D944" s="464" t="s">
        <v>1242</v>
      </c>
      <c r="E944" s="464">
        <f>VLOOKUP(D944,★折込地区!$A$2:$D$10,4,FALSE)</f>
        <v>9</v>
      </c>
      <c r="F944" s="464" t="s">
        <v>1272</v>
      </c>
      <c r="G944" s="464" t="str">
        <f>INDEX(★新聞!$E$4:$I$12, MATCH(LEFT(F944),★新聞!$A$4:$A$12,0), MATCH(LEFT(W944),★新聞!$E$3:$I$3,0))</f>
        <v>X</v>
      </c>
      <c r="H944" s="475" t="s">
        <v>1247</v>
      </c>
      <c r="I944" s="464" cm="1">
        <f t="array" ref="I944">IFERROR(INDEX(★原価率!$A$2:$E$50,MATCH($C944&amp;$H944,★原価率!$A$2:$A$50&amp;★原価率!$B$2:$B$50,0),3),0)</f>
        <v>50</v>
      </c>
      <c r="J944" s="464" cm="1">
        <f t="array" ref="J944">IFERROR(INDEX(★原価率!$A$2:$E$50,MATCH($C944&amp;$H944,★原価率!$A$2:$A$50&amp;★原価率!$B$2:$B$50,0),4),0)</f>
        <v>50</v>
      </c>
      <c r="K944" s="464" cm="1">
        <f t="array" ref="K944">IFERROR(INDEX(★原価率!$A$2:$E$50,MATCH($C944&amp;$H944,★原価率!$A$2:$A$50&amp;★原価率!$B$2:$B$50,0),5),0)</f>
        <v>85</v>
      </c>
      <c r="L944" s="528">
        <f>IFERROR(VLOOKUP(W944,★商品!$A$1:$H$1231,8,FALSE),0)</f>
        <v>0</v>
      </c>
      <c r="M944" s="203" t="str">
        <f ca="1">CONCATENATE(VLOOKUP(B944,★営業所!$A$2:$B$5,2,FALSE),TEXT(NOW(),"yyyy"))</f>
        <v>T2023</v>
      </c>
      <c r="N944" s="203">
        <v>1</v>
      </c>
      <c r="O944" s="203">
        <v>0</v>
      </c>
      <c r="P944" s="213">
        <f>申込書!$B$6</f>
        <v>0</v>
      </c>
      <c r="Q944" s="203">
        <f>申込書!$C$34</f>
        <v>1000040</v>
      </c>
      <c r="R944" s="203">
        <v>0</v>
      </c>
      <c r="U944" s="203">
        <f>VLOOKUP(B944,★営業所!$A$2:$C$5,3,FALSE)</f>
        <v>8</v>
      </c>
      <c r="V944" s="203">
        <f>申込書!$B$9</f>
        <v>0</v>
      </c>
      <c r="W944" s="203" t="str">
        <f>CONCATENATE(VLOOKUP(B944,★営業所!$A$2:$B$5,2,FALSE),VLOOKUP(申込書!$C$32,★サイズ表記!$D$4:$E$55,2,FALSE),VLOOKUP(D944,★折込地区!$A$2:$B$11,2,FALSE))</f>
        <v>T1001Osk</v>
      </c>
      <c r="X944" s="203" t="str">
        <f>CONCATENATE(申込書!$B$9," ",VLOOKUP(RIGHT(W944,3),★折込地区!$B$2:$C$10,2,FALSE),"")</f>
        <v xml:space="preserve"> 大阪</v>
      </c>
      <c r="Z944" s="206">
        <f t="shared" ca="1" si="111"/>
        <v>0</v>
      </c>
      <c r="AB944" s="383">
        <f t="shared" si="112"/>
        <v>0</v>
      </c>
      <c r="AC944" s="203" t="str">
        <f t="shared" si="113"/>
        <v>D1001</v>
      </c>
      <c r="AD944" s="203" t="str">
        <f>VLOOKUP(AC944,★原価商品!$E$6:$F$349,2,FALSE)</f>
        <v>日本海/B4（折り無し）</v>
      </c>
      <c r="AE944" s="203">
        <f t="shared" ca="1" si="114"/>
        <v>0</v>
      </c>
      <c r="AF944" s="383">
        <f>IFERROR(IF(VLOOKUP(申込書!$C$32,★サイズ表記!$F$4:$H$55,3,FALSE)="切り捨て",ROUNDDOWN(L944*IF(AK944="◎",I944,J944)/100,2),IF(VLOOKUP(申込書!$C$32,★サイズ表記!$F$4:$H$55,3,FALSE)="切り上げ",ROUNDUP(L944*IF(AK944="◎",I944,J944)/100,2),ROUND(L944*IF(AK944="◎",I944,J944)/100,2))),0)</f>
        <v>0</v>
      </c>
      <c r="AG944" s="203">
        <f t="shared" ca="1" si="115"/>
        <v>0</v>
      </c>
      <c r="AJ944" s="460" t="str">
        <f>IFERROR(VLOOKUP(申込書!$C$30,★業種!$D$2:$E$87,2,FALSE),"")</f>
        <v>1003</v>
      </c>
      <c r="AK944" s="460" t="str">
        <f>IF(申込書!$C$36="◎",IF(OR(D944="浜坂・温泉",D944="美方・村岡",D944="香住",D944="岡山",D944="大阪"),"",IF(LEFT(F944)="D","◎",IF(AG944=0,"",IFERROR(IF(VLOOKUP(AG944,★仕入先!$A$2:$C$211,3,FALSE)=0,"","◎"),"")))),"")</f>
        <v/>
      </c>
      <c r="AL944" s="460">
        <f>申込書!$H$14</f>
        <v>0</v>
      </c>
      <c r="AM944" s="460" t="str">
        <f>申込書!$C$32</f>
        <v>B4（折り無し）</v>
      </c>
      <c r="AN944" s="460" t="str">
        <f>VLOOKUP(AM944,★サイズ表記!$D$4:$E$55,2,FALSE)</f>
        <v>1001</v>
      </c>
      <c r="AO944" s="460">
        <f>IF(C944&lt;&gt;"⑧兵庫",VLOOKUP(LEFT(F944),★新聞!$A$4:$B$12,2,FALSE),IF(LEFT(F944)&lt;&gt;"S",VLOOKUP(LEFT(F944),★新聞!$A$4:$B$12,2,FALSE),VLOOKUP("X",★新聞!$A$4:$B$12,2,FALSE)))</f>
        <v>1</v>
      </c>
      <c r="AP944" s="460" t="str">
        <f t="shared" ca="1" si="116"/>
        <v>0</v>
      </c>
      <c r="AQ944" s="460" t="str">
        <f>IF(申込書!$C$38="","",申込書!$C$38)</f>
        <v/>
      </c>
    </row>
    <row r="945" spans="1:43">
      <c r="A945" s="463">
        <f t="shared" si="109"/>
        <v>944</v>
      </c>
      <c r="B945" s="463" t="str">
        <f t="shared" si="110"/>
        <v>東部</v>
      </c>
      <c r="C945" s="464" t="s">
        <v>1244</v>
      </c>
      <c r="D945" s="464" t="s">
        <v>1242</v>
      </c>
      <c r="E945" s="464">
        <f>VLOOKUP(D945,★折込地区!$A$2:$D$10,4,FALSE)</f>
        <v>9</v>
      </c>
      <c r="F945" s="464" t="s">
        <v>1273</v>
      </c>
      <c r="G945" s="464" t="str">
        <f>INDEX(★新聞!$E$4:$I$12, MATCH(LEFT(F945),★新聞!$A$4:$A$12,0), MATCH(LEFT(W945),★新聞!$E$3:$I$3,0))</f>
        <v>X</v>
      </c>
      <c r="H945" s="475" t="s">
        <v>1247</v>
      </c>
      <c r="I945" s="464" cm="1">
        <f t="array" ref="I945">IFERROR(INDEX(★原価率!$A$2:$E$50,MATCH($C945&amp;$H945,★原価率!$A$2:$A$50&amp;★原価率!$B$2:$B$50,0),3),0)</f>
        <v>50</v>
      </c>
      <c r="J945" s="464" cm="1">
        <f t="array" ref="J945">IFERROR(INDEX(★原価率!$A$2:$E$50,MATCH($C945&amp;$H945,★原価率!$A$2:$A$50&amp;★原価率!$B$2:$B$50,0),4),0)</f>
        <v>50</v>
      </c>
      <c r="K945" s="464" cm="1">
        <f t="array" ref="K945">IFERROR(INDEX(★原価率!$A$2:$E$50,MATCH($C945&amp;$H945,★原価率!$A$2:$A$50&amp;★原価率!$B$2:$B$50,0),5),0)</f>
        <v>85</v>
      </c>
      <c r="L945" s="528">
        <f>IFERROR(VLOOKUP(W945,★商品!$A$1:$H$1231,8,FALSE),0)</f>
        <v>0</v>
      </c>
      <c r="M945" s="203" t="str">
        <f ca="1">CONCATENATE(VLOOKUP(B945,★営業所!$A$2:$B$5,2,FALSE),TEXT(NOW(),"yyyy"))</f>
        <v>T2023</v>
      </c>
      <c r="N945" s="203">
        <v>1</v>
      </c>
      <c r="O945" s="203">
        <v>0</v>
      </c>
      <c r="P945" s="213">
        <f>申込書!$B$6</f>
        <v>0</v>
      </c>
      <c r="Q945" s="203">
        <f>申込書!$C$34</f>
        <v>1000040</v>
      </c>
      <c r="R945" s="203">
        <v>0</v>
      </c>
      <c r="U945" s="203">
        <f>VLOOKUP(B945,★営業所!$A$2:$C$5,3,FALSE)</f>
        <v>8</v>
      </c>
      <c r="V945" s="203">
        <f>申込書!$B$9</f>
        <v>0</v>
      </c>
      <c r="W945" s="203" t="str">
        <f>CONCATENATE(VLOOKUP(B945,★営業所!$A$2:$B$5,2,FALSE),VLOOKUP(申込書!$C$32,★サイズ表記!$D$4:$E$55,2,FALSE),VLOOKUP(D945,★折込地区!$A$2:$B$11,2,FALSE))</f>
        <v>T1001Osk</v>
      </c>
      <c r="X945" s="203" t="str">
        <f>CONCATENATE(申込書!$B$9," ",VLOOKUP(RIGHT(W945,3),★折込地区!$B$2:$C$10,2,FALSE),"")</f>
        <v xml:space="preserve"> 大阪</v>
      </c>
      <c r="Z945" s="206">
        <f t="shared" ca="1" si="111"/>
        <v>0</v>
      </c>
      <c r="AB945" s="383">
        <f t="shared" si="112"/>
        <v>0</v>
      </c>
      <c r="AC945" s="203" t="str">
        <f t="shared" si="113"/>
        <v>D1001</v>
      </c>
      <c r="AD945" s="203" t="str">
        <f>VLOOKUP(AC945,★原価商品!$E$6:$F$349,2,FALSE)</f>
        <v>日本海/B4（折り無し）</v>
      </c>
      <c r="AE945" s="203">
        <f t="shared" ca="1" si="114"/>
        <v>0</v>
      </c>
      <c r="AF945" s="383">
        <f>IFERROR(IF(VLOOKUP(申込書!$C$32,★サイズ表記!$F$4:$H$55,3,FALSE)="切り捨て",ROUNDDOWN(L945*IF(AK945="◎",I945,J945)/100,2),IF(VLOOKUP(申込書!$C$32,★サイズ表記!$F$4:$H$55,3,FALSE)="切り上げ",ROUNDUP(L945*IF(AK945="◎",I945,J945)/100,2),ROUND(L945*IF(AK945="◎",I945,J945)/100,2))),0)</f>
        <v>0</v>
      </c>
      <c r="AG945" s="203">
        <f t="shared" ca="1" si="115"/>
        <v>0</v>
      </c>
      <c r="AJ945" s="460" t="str">
        <f>IFERROR(VLOOKUP(申込書!$C$30,★業種!$D$2:$E$87,2,FALSE),"")</f>
        <v>1003</v>
      </c>
      <c r="AK945" s="460" t="str">
        <f>IF(申込書!$C$36="◎",IF(OR(D945="浜坂・温泉",D945="美方・村岡",D945="香住",D945="岡山",D945="大阪"),"",IF(LEFT(F945)="D","◎",IF(AG945=0,"",IFERROR(IF(VLOOKUP(AG945,★仕入先!$A$2:$C$211,3,FALSE)=0,"","◎"),"")))),"")</f>
        <v/>
      </c>
      <c r="AL945" s="460">
        <f>申込書!$H$14</f>
        <v>0</v>
      </c>
      <c r="AM945" s="460" t="str">
        <f>申込書!$C$32</f>
        <v>B4（折り無し）</v>
      </c>
      <c r="AN945" s="460" t="str">
        <f>VLOOKUP(AM945,★サイズ表記!$D$4:$E$55,2,FALSE)</f>
        <v>1001</v>
      </c>
      <c r="AO945" s="460">
        <f>IF(C945&lt;&gt;"⑧兵庫",VLOOKUP(LEFT(F945),★新聞!$A$4:$B$12,2,FALSE),IF(LEFT(F945)&lt;&gt;"S",VLOOKUP(LEFT(F945),★新聞!$A$4:$B$12,2,FALSE),VLOOKUP("X",★新聞!$A$4:$B$12,2,FALSE)))</f>
        <v>1</v>
      </c>
      <c r="AP945" s="460" t="str">
        <f t="shared" ca="1" si="116"/>
        <v>0</v>
      </c>
      <c r="AQ945" s="460" t="str">
        <f>IF(申込書!$C$38="","",申込書!$C$38)</f>
        <v/>
      </c>
    </row>
    <row r="946" spans="1:43">
      <c r="A946" s="463">
        <f t="shared" si="109"/>
        <v>945</v>
      </c>
      <c r="B946" s="463" t="str">
        <f t="shared" si="110"/>
        <v>東部</v>
      </c>
      <c r="C946" s="464" t="s">
        <v>1244</v>
      </c>
      <c r="D946" s="464" t="s">
        <v>1242</v>
      </c>
      <c r="E946" s="464">
        <f>VLOOKUP(D946,★折込地区!$A$2:$D$10,4,FALSE)</f>
        <v>9</v>
      </c>
      <c r="F946" s="464" t="s">
        <v>1274</v>
      </c>
      <c r="G946" s="464" t="str">
        <f>INDEX(★新聞!$E$4:$I$12, MATCH(LEFT(F946),★新聞!$A$4:$A$12,0), MATCH(LEFT(W946),★新聞!$E$3:$I$3,0))</f>
        <v>X</v>
      </c>
      <c r="H946" s="475" t="s">
        <v>1247</v>
      </c>
      <c r="I946" s="464" cm="1">
        <f t="array" ref="I946">IFERROR(INDEX(★原価率!$A$2:$E$50,MATCH($C946&amp;$H946,★原価率!$A$2:$A$50&amp;★原価率!$B$2:$B$50,0),3),0)</f>
        <v>50</v>
      </c>
      <c r="J946" s="464" cm="1">
        <f t="array" ref="J946">IFERROR(INDEX(★原価率!$A$2:$E$50,MATCH($C946&amp;$H946,★原価率!$A$2:$A$50&amp;★原価率!$B$2:$B$50,0),4),0)</f>
        <v>50</v>
      </c>
      <c r="K946" s="464" cm="1">
        <f t="array" ref="K946">IFERROR(INDEX(★原価率!$A$2:$E$50,MATCH($C946&amp;$H946,★原価率!$A$2:$A$50&amp;★原価率!$B$2:$B$50,0),5),0)</f>
        <v>85</v>
      </c>
      <c r="L946" s="528">
        <f>IFERROR(VLOOKUP(W946,★商品!$A$1:$H$1231,8,FALSE),0)</f>
        <v>0</v>
      </c>
      <c r="M946" s="203" t="str">
        <f ca="1">CONCATENATE(VLOOKUP(B946,★営業所!$A$2:$B$5,2,FALSE),TEXT(NOW(),"yyyy"))</f>
        <v>T2023</v>
      </c>
      <c r="N946" s="203">
        <v>1</v>
      </c>
      <c r="O946" s="203">
        <v>0</v>
      </c>
      <c r="P946" s="213">
        <f>申込書!$B$6</f>
        <v>0</v>
      </c>
      <c r="Q946" s="203">
        <f>申込書!$C$34</f>
        <v>1000040</v>
      </c>
      <c r="R946" s="203">
        <v>0</v>
      </c>
      <c r="U946" s="203">
        <f>VLOOKUP(B946,★営業所!$A$2:$C$5,3,FALSE)</f>
        <v>8</v>
      </c>
      <c r="V946" s="203">
        <f>申込書!$B$9</f>
        <v>0</v>
      </c>
      <c r="W946" s="203" t="str">
        <f>CONCATENATE(VLOOKUP(B946,★営業所!$A$2:$B$5,2,FALSE),VLOOKUP(申込書!$C$32,★サイズ表記!$D$4:$E$55,2,FALSE),VLOOKUP(D946,★折込地区!$A$2:$B$11,2,FALSE))</f>
        <v>T1001Osk</v>
      </c>
      <c r="X946" s="203" t="str">
        <f>CONCATENATE(申込書!$B$9," ",VLOOKUP(RIGHT(W946,3),★折込地区!$B$2:$C$10,2,FALSE),"")</f>
        <v xml:space="preserve"> 大阪</v>
      </c>
      <c r="Z946" s="206">
        <f t="shared" ca="1" si="111"/>
        <v>0</v>
      </c>
      <c r="AB946" s="383">
        <f t="shared" si="112"/>
        <v>0</v>
      </c>
      <c r="AC946" s="203" t="str">
        <f t="shared" si="113"/>
        <v>D1001</v>
      </c>
      <c r="AD946" s="203" t="str">
        <f>VLOOKUP(AC946,★原価商品!$E$6:$F$349,2,FALSE)</f>
        <v>日本海/B4（折り無し）</v>
      </c>
      <c r="AE946" s="203">
        <f t="shared" ca="1" si="114"/>
        <v>0</v>
      </c>
      <c r="AF946" s="383">
        <f>IFERROR(IF(VLOOKUP(申込書!$C$32,★サイズ表記!$F$4:$H$55,3,FALSE)="切り捨て",ROUNDDOWN(L946*IF(AK946="◎",I946,J946)/100,2),IF(VLOOKUP(申込書!$C$32,★サイズ表記!$F$4:$H$55,3,FALSE)="切り上げ",ROUNDUP(L946*IF(AK946="◎",I946,J946)/100,2),ROUND(L946*IF(AK946="◎",I946,J946)/100,2))),0)</f>
        <v>0</v>
      </c>
      <c r="AG946" s="203">
        <f t="shared" ca="1" si="115"/>
        <v>0</v>
      </c>
      <c r="AJ946" s="460" t="str">
        <f>IFERROR(VLOOKUP(申込書!$C$30,★業種!$D$2:$E$87,2,FALSE),"")</f>
        <v>1003</v>
      </c>
      <c r="AK946" s="460" t="str">
        <f>IF(申込書!$C$36="◎",IF(OR(D946="浜坂・温泉",D946="美方・村岡",D946="香住",D946="岡山",D946="大阪"),"",IF(LEFT(F946)="D","◎",IF(AG946=0,"",IFERROR(IF(VLOOKUP(AG946,★仕入先!$A$2:$C$211,3,FALSE)=0,"","◎"),"")))),"")</f>
        <v/>
      </c>
      <c r="AL946" s="460">
        <f>申込書!$H$14</f>
        <v>0</v>
      </c>
      <c r="AM946" s="460" t="str">
        <f>申込書!$C$32</f>
        <v>B4（折り無し）</v>
      </c>
      <c r="AN946" s="460" t="str">
        <f>VLOOKUP(AM946,★サイズ表記!$D$4:$E$55,2,FALSE)</f>
        <v>1001</v>
      </c>
      <c r="AO946" s="460">
        <f>IF(C946&lt;&gt;"⑧兵庫",VLOOKUP(LEFT(F946),★新聞!$A$4:$B$12,2,FALSE),IF(LEFT(F946)&lt;&gt;"S",VLOOKUP(LEFT(F946),★新聞!$A$4:$B$12,2,FALSE),VLOOKUP("X",★新聞!$A$4:$B$12,2,FALSE)))</f>
        <v>1</v>
      </c>
      <c r="AP946" s="460" t="str">
        <f t="shared" ca="1" si="116"/>
        <v>0</v>
      </c>
      <c r="AQ946" s="460" t="str">
        <f>IF(申込書!$C$38="","",申込書!$C$38)</f>
        <v/>
      </c>
    </row>
    <row r="947" spans="1:43">
      <c r="A947" s="463">
        <f t="shared" si="109"/>
        <v>946</v>
      </c>
      <c r="B947" s="463" t="str">
        <f t="shared" si="110"/>
        <v>東部</v>
      </c>
      <c r="C947" s="464" t="s">
        <v>1244</v>
      </c>
      <c r="D947" s="464" t="s">
        <v>1242</v>
      </c>
      <c r="E947" s="464">
        <f>VLOOKUP(D947,★折込地区!$A$2:$D$10,4,FALSE)</f>
        <v>9</v>
      </c>
      <c r="F947" s="464" t="s">
        <v>1275</v>
      </c>
      <c r="G947" s="464" t="str">
        <f>INDEX(★新聞!$E$4:$I$12, MATCH(LEFT(F947),★新聞!$A$4:$A$12,0), MATCH(LEFT(W947),★新聞!$E$3:$I$3,0))</f>
        <v>X</v>
      </c>
      <c r="H947" s="475" t="s">
        <v>1247</v>
      </c>
      <c r="I947" s="464" cm="1">
        <f t="array" ref="I947">IFERROR(INDEX(★原価率!$A$2:$E$50,MATCH($C947&amp;$H947,★原価率!$A$2:$A$50&amp;★原価率!$B$2:$B$50,0),3),0)</f>
        <v>50</v>
      </c>
      <c r="J947" s="464" cm="1">
        <f t="array" ref="J947">IFERROR(INDEX(★原価率!$A$2:$E$50,MATCH($C947&amp;$H947,★原価率!$A$2:$A$50&amp;★原価率!$B$2:$B$50,0),4),0)</f>
        <v>50</v>
      </c>
      <c r="K947" s="464" cm="1">
        <f t="array" ref="K947">IFERROR(INDEX(★原価率!$A$2:$E$50,MATCH($C947&amp;$H947,★原価率!$A$2:$A$50&amp;★原価率!$B$2:$B$50,0),5),0)</f>
        <v>85</v>
      </c>
      <c r="L947" s="528">
        <f>IFERROR(VLOOKUP(W947,★商品!$A$1:$H$1231,8,FALSE),0)</f>
        <v>0</v>
      </c>
      <c r="M947" s="203" t="str">
        <f ca="1">CONCATENATE(VLOOKUP(B947,★営業所!$A$2:$B$5,2,FALSE),TEXT(NOW(),"yyyy"))</f>
        <v>T2023</v>
      </c>
      <c r="N947" s="203">
        <v>1</v>
      </c>
      <c r="O947" s="203">
        <v>0</v>
      </c>
      <c r="P947" s="213">
        <f>申込書!$B$6</f>
        <v>0</v>
      </c>
      <c r="Q947" s="203">
        <f>申込書!$C$34</f>
        <v>1000040</v>
      </c>
      <c r="R947" s="203">
        <v>0</v>
      </c>
      <c r="U947" s="203">
        <f>VLOOKUP(B947,★営業所!$A$2:$C$5,3,FALSE)</f>
        <v>8</v>
      </c>
      <c r="V947" s="203">
        <f>申込書!$B$9</f>
        <v>0</v>
      </c>
      <c r="W947" s="203" t="str">
        <f>CONCATENATE(VLOOKUP(B947,★営業所!$A$2:$B$5,2,FALSE),VLOOKUP(申込書!$C$32,★サイズ表記!$D$4:$E$55,2,FALSE),VLOOKUP(D947,★折込地区!$A$2:$B$11,2,FALSE))</f>
        <v>T1001Osk</v>
      </c>
      <c r="X947" s="203" t="str">
        <f>CONCATENATE(申込書!$B$9," ",VLOOKUP(RIGHT(W947,3),★折込地区!$B$2:$C$10,2,FALSE),"")</f>
        <v xml:space="preserve"> 大阪</v>
      </c>
      <c r="Z947" s="206">
        <f t="shared" ca="1" si="111"/>
        <v>0</v>
      </c>
      <c r="AB947" s="383">
        <f t="shared" si="112"/>
        <v>0</v>
      </c>
      <c r="AC947" s="203" t="str">
        <f t="shared" si="113"/>
        <v>D1001</v>
      </c>
      <c r="AD947" s="203" t="str">
        <f>VLOOKUP(AC947,★原価商品!$E$6:$F$349,2,FALSE)</f>
        <v>日本海/B4（折り無し）</v>
      </c>
      <c r="AE947" s="203">
        <f t="shared" ca="1" si="114"/>
        <v>0</v>
      </c>
      <c r="AF947" s="383">
        <f>IFERROR(IF(VLOOKUP(申込書!$C$32,★サイズ表記!$F$4:$H$55,3,FALSE)="切り捨て",ROUNDDOWN(L947*IF(AK947="◎",I947,J947)/100,2),IF(VLOOKUP(申込書!$C$32,★サイズ表記!$F$4:$H$55,3,FALSE)="切り上げ",ROUNDUP(L947*IF(AK947="◎",I947,J947)/100,2),ROUND(L947*IF(AK947="◎",I947,J947)/100,2))),0)</f>
        <v>0</v>
      </c>
      <c r="AG947" s="203">
        <f t="shared" ca="1" si="115"/>
        <v>0</v>
      </c>
      <c r="AJ947" s="460" t="str">
        <f>IFERROR(VLOOKUP(申込書!$C$30,★業種!$D$2:$E$87,2,FALSE),"")</f>
        <v>1003</v>
      </c>
      <c r="AK947" s="460" t="str">
        <f>IF(申込書!$C$36="◎",IF(OR(D947="浜坂・温泉",D947="美方・村岡",D947="香住",D947="岡山",D947="大阪"),"",IF(LEFT(F947)="D","◎",IF(AG947=0,"",IFERROR(IF(VLOOKUP(AG947,★仕入先!$A$2:$C$211,3,FALSE)=0,"","◎"),"")))),"")</f>
        <v/>
      </c>
      <c r="AL947" s="460">
        <f>申込書!$H$14</f>
        <v>0</v>
      </c>
      <c r="AM947" s="460" t="str">
        <f>申込書!$C$32</f>
        <v>B4（折り無し）</v>
      </c>
      <c r="AN947" s="460" t="str">
        <f>VLOOKUP(AM947,★サイズ表記!$D$4:$E$55,2,FALSE)</f>
        <v>1001</v>
      </c>
      <c r="AO947" s="460">
        <f>IF(C947&lt;&gt;"⑧兵庫",VLOOKUP(LEFT(F947),★新聞!$A$4:$B$12,2,FALSE),IF(LEFT(F947)&lt;&gt;"S",VLOOKUP(LEFT(F947),★新聞!$A$4:$B$12,2,FALSE),VLOOKUP("X",★新聞!$A$4:$B$12,2,FALSE)))</f>
        <v>1</v>
      </c>
      <c r="AP947" s="460" t="str">
        <f t="shared" ca="1" si="116"/>
        <v>0</v>
      </c>
      <c r="AQ947" s="460" t="str">
        <f>IF(申込書!$C$38="","",申込書!$C$38)</f>
        <v/>
      </c>
    </row>
    <row r="948" spans="1:43">
      <c r="A948" s="463">
        <f t="shared" si="109"/>
        <v>947</v>
      </c>
      <c r="B948" s="463" t="str">
        <f t="shared" si="110"/>
        <v>東部</v>
      </c>
      <c r="C948" s="464" t="s">
        <v>1244</v>
      </c>
      <c r="D948" s="464" t="s">
        <v>1242</v>
      </c>
      <c r="E948" s="464">
        <f>VLOOKUP(D948,★折込地区!$A$2:$D$10,4,FALSE)</f>
        <v>9</v>
      </c>
      <c r="F948" s="464" t="s">
        <v>1276</v>
      </c>
      <c r="G948" s="464" t="str">
        <f>INDEX(★新聞!$E$4:$I$12, MATCH(LEFT(F948),★新聞!$A$4:$A$12,0), MATCH(LEFT(W948),★新聞!$E$3:$I$3,0))</f>
        <v>X</v>
      </c>
      <c r="H948" s="475" t="s">
        <v>1247</v>
      </c>
      <c r="I948" s="464" cm="1">
        <f t="array" ref="I948">IFERROR(INDEX(★原価率!$A$2:$E$50,MATCH($C948&amp;$H948,★原価率!$A$2:$A$50&amp;★原価率!$B$2:$B$50,0),3),0)</f>
        <v>50</v>
      </c>
      <c r="J948" s="464" cm="1">
        <f t="array" ref="J948">IFERROR(INDEX(★原価率!$A$2:$E$50,MATCH($C948&amp;$H948,★原価率!$A$2:$A$50&amp;★原価率!$B$2:$B$50,0),4),0)</f>
        <v>50</v>
      </c>
      <c r="K948" s="464" cm="1">
        <f t="array" ref="K948">IFERROR(INDEX(★原価率!$A$2:$E$50,MATCH($C948&amp;$H948,★原価率!$A$2:$A$50&amp;★原価率!$B$2:$B$50,0),5),0)</f>
        <v>85</v>
      </c>
      <c r="L948" s="528">
        <f>IFERROR(VLOOKUP(W948,★商品!$A$1:$H$1231,8,FALSE),0)</f>
        <v>0</v>
      </c>
      <c r="M948" s="203" t="str">
        <f ca="1">CONCATENATE(VLOOKUP(B948,★営業所!$A$2:$B$5,2,FALSE),TEXT(NOW(),"yyyy"))</f>
        <v>T2023</v>
      </c>
      <c r="N948" s="203">
        <v>1</v>
      </c>
      <c r="O948" s="203">
        <v>0</v>
      </c>
      <c r="P948" s="213">
        <f>申込書!$B$6</f>
        <v>0</v>
      </c>
      <c r="Q948" s="203">
        <f>申込書!$C$34</f>
        <v>1000040</v>
      </c>
      <c r="R948" s="203">
        <v>0</v>
      </c>
      <c r="U948" s="203">
        <f>VLOOKUP(B948,★営業所!$A$2:$C$5,3,FALSE)</f>
        <v>8</v>
      </c>
      <c r="V948" s="203">
        <f>申込書!$B$9</f>
        <v>0</v>
      </c>
      <c r="W948" s="203" t="str">
        <f>CONCATENATE(VLOOKUP(B948,★営業所!$A$2:$B$5,2,FALSE),VLOOKUP(申込書!$C$32,★サイズ表記!$D$4:$E$55,2,FALSE),VLOOKUP(D948,★折込地区!$A$2:$B$11,2,FALSE))</f>
        <v>T1001Osk</v>
      </c>
      <c r="X948" s="203" t="str">
        <f>CONCATENATE(申込書!$B$9," ",VLOOKUP(RIGHT(W948,3),★折込地区!$B$2:$C$10,2,FALSE),"")</f>
        <v xml:space="preserve"> 大阪</v>
      </c>
      <c r="Z948" s="206">
        <f t="shared" ca="1" si="111"/>
        <v>0</v>
      </c>
      <c r="AB948" s="383">
        <f t="shared" si="112"/>
        <v>0</v>
      </c>
      <c r="AC948" s="203" t="str">
        <f t="shared" si="113"/>
        <v>D1001</v>
      </c>
      <c r="AD948" s="203" t="str">
        <f>VLOOKUP(AC948,★原価商品!$E$6:$F$349,2,FALSE)</f>
        <v>日本海/B4（折り無し）</v>
      </c>
      <c r="AE948" s="203">
        <f t="shared" ca="1" si="114"/>
        <v>0</v>
      </c>
      <c r="AF948" s="383">
        <f>IFERROR(IF(VLOOKUP(申込書!$C$32,★サイズ表記!$F$4:$H$55,3,FALSE)="切り捨て",ROUNDDOWN(L948*IF(AK948="◎",I948,J948)/100,2),IF(VLOOKUP(申込書!$C$32,★サイズ表記!$F$4:$H$55,3,FALSE)="切り上げ",ROUNDUP(L948*IF(AK948="◎",I948,J948)/100,2),ROUND(L948*IF(AK948="◎",I948,J948)/100,2))),0)</f>
        <v>0</v>
      </c>
      <c r="AG948" s="203">
        <f t="shared" ca="1" si="115"/>
        <v>0</v>
      </c>
      <c r="AJ948" s="460" t="str">
        <f>IFERROR(VLOOKUP(申込書!$C$30,★業種!$D$2:$E$87,2,FALSE),"")</f>
        <v>1003</v>
      </c>
      <c r="AK948" s="460" t="str">
        <f>IF(申込書!$C$36="◎",IF(OR(D948="浜坂・温泉",D948="美方・村岡",D948="香住",D948="岡山",D948="大阪"),"",IF(LEFT(F948)="D","◎",IF(AG948=0,"",IFERROR(IF(VLOOKUP(AG948,★仕入先!$A$2:$C$211,3,FALSE)=0,"","◎"),"")))),"")</f>
        <v/>
      </c>
      <c r="AL948" s="460">
        <f>申込書!$H$14</f>
        <v>0</v>
      </c>
      <c r="AM948" s="460" t="str">
        <f>申込書!$C$32</f>
        <v>B4（折り無し）</v>
      </c>
      <c r="AN948" s="460" t="str">
        <f>VLOOKUP(AM948,★サイズ表記!$D$4:$E$55,2,FALSE)</f>
        <v>1001</v>
      </c>
      <c r="AO948" s="460">
        <f>IF(C948&lt;&gt;"⑧兵庫",VLOOKUP(LEFT(F948),★新聞!$A$4:$B$12,2,FALSE),IF(LEFT(F948)&lt;&gt;"S",VLOOKUP(LEFT(F948),★新聞!$A$4:$B$12,2,FALSE),VLOOKUP("X",★新聞!$A$4:$B$12,2,FALSE)))</f>
        <v>1</v>
      </c>
      <c r="AP948" s="460" t="str">
        <f t="shared" ca="1" si="116"/>
        <v>0</v>
      </c>
      <c r="AQ948" s="460" t="str">
        <f>IF(申込書!$C$38="","",申込書!$C$38)</f>
        <v/>
      </c>
    </row>
    <row r="949" spans="1:43">
      <c r="A949" s="463">
        <f t="shared" si="109"/>
        <v>948</v>
      </c>
      <c r="B949" s="463" t="str">
        <f t="shared" si="110"/>
        <v>東部</v>
      </c>
      <c r="C949" s="464" t="s">
        <v>1244</v>
      </c>
      <c r="D949" s="464" t="s">
        <v>1242</v>
      </c>
      <c r="E949" s="464">
        <f>VLOOKUP(D949,★折込地区!$A$2:$D$10,4,FALSE)</f>
        <v>9</v>
      </c>
      <c r="F949" s="464" t="s">
        <v>1277</v>
      </c>
      <c r="G949" s="464" t="str">
        <f>INDEX(★新聞!$E$4:$I$12, MATCH(LEFT(F949),★新聞!$A$4:$A$12,0), MATCH(LEFT(W949),★新聞!$E$3:$I$3,0))</f>
        <v>X</v>
      </c>
      <c r="H949" s="475" t="s">
        <v>1247</v>
      </c>
      <c r="I949" s="464" cm="1">
        <f t="array" ref="I949">IFERROR(INDEX(★原価率!$A$2:$E$50,MATCH($C949&amp;$H949,★原価率!$A$2:$A$50&amp;★原価率!$B$2:$B$50,0),3),0)</f>
        <v>50</v>
      </c>
      <c r="J949" s="464" cm="1">
        <f t="array" ref="J949">IFERROR(INDEX(★原価率!$A$2:$E$50,MATCH($C949&amp;$H949,★原価率!$A$2:$A$50&amp;★原価率!$B$2:$B$50,0),4),0)</f>
        <v>50</v>
      </c>
      <c r="K949" s="464" cm="1">
        <f t="array" ref="K949">IFERROR(INDEX(★原価率!$A$2:$E$50,MATCH($C949&amp;$H949,★原価率!$A$2:$A$50&amp;★原価率!$B$2:$B$50,0),5),0)</f>
        <v>85</v>
      </c>
      <c r="L949" s="528">
        <f>IFERROR(VLOOKUP(W949,★商品!$A$1:$H$1231,8,FALSE),0)</f>
        <v>0</v>
      </c>
      <c r="M949" s="203" t="str">
        <f ca="1">CONCATENATE(VLOOKUP(B949,★営業所!$A$2:$B$5,2,FALSE),TEXT(NOW(),"yyyy"))</f>
        <v>T2023</v>
      </c>
      <c r="N949" s="203">
        <v>1</v>
      </c>
      <c r="O949" s="203">
        <v>0</v>
      </c>
      <c r="P949" s="213">
        <f>申込書!$B$6</f>
        <v>0</v>
      </c>
      <c r="Q949" s="203">
        <f>申込書!$C$34</f>
        <v>1000040</v>
      </c>
      <c r="R949" s="203">
        <v>0</v>
      </c>
      <c r="U949" s="203">
        <f>VLOOKUP(B949,★営業所!$A$2:$C$5,3,FALSE)</f>
        <v>8</v>
      </c>
      <c r="V949" s="203">
        <f>申込書!$B$9</f>
        <v>0</v>
      </c>
      <c r="W949" s="203" t="str">
        <f>CONCATENATE(VLOOKUP(B949,★営業所!$A$2:$B$5,2,FALSE),VLOOKUP(申込書!$C$32,★サイズ表記!$D$4:$E$55,2,FALSE),VLOOKUP(D949,★折込地区!$A$2:$B$11,2,FALSE))</f>
        <v>T1001Osk</v>
      </c>
      <c r="X949" s="203" t="str">
        <f>CONCATENATE(申込書!$B$9," ",VLOOKUP(RIGHT(W949,3),★折込地区!$B$2:$C$10,2,FALSE),"")</f>
        <v xml:space="preserve"> 大阪</v>
      </c>
      <c r="Z949" s="206">
        <f t="shared" ca="1" si="111"/>
        <v>0</v>
      </c>
      <c r="AB949" s="383">
        <f t="shared" si="112"/>
        <v>0</v>
      </c>
      <c r="AC949" s="203" t="str">
        <f t="shared" si="113"/>
        <v>D1001</v>
      </c>
      <c r="AD949" s="203" t="str">
        <f>VLOOKUP(AC949,★原価商品!$E$6:$F$349,2,FALSE)</f>
        <v>日本海/B4（折り無し）</v>
      </c>
      <c r="AE949" s="203">
        <f t="shared" ca="1" si="114"/>
        <v>0</v>
      </c>
      <c r="AF949" s="383">
        <f>IFERROR(IF(VLOOKUP(申込書!$C$32,★サイズ表記!$F$4:$H$55,3,FALSE)="切り捨て",ROUNDDOWN(L949*IF(AK949="◎",I949,J949)/100,2),IF(VLOOKUP(申込書!$C$32,★サイズ表記!$F$4:$H$55,3,FALSE)="切り上げ",ROUNDUP(L949*IF(AK949="◎",I949,J949)/100,2),ROUND(L949*IF(AK949="◎",I949,J949)/100,2))),0)</f>
        <v>0</v>
      </c>
      <c r="AG949" s="203">
        <f t="shared" ca="1" si="115"/>
        <v>0</v>
      </c>
      <c r="AJ949" s="460" t="str">
        <f>IFERROR(VLOOKUP(申込書!$C$30,★業種!$D$2:$E$87,2,FALSE),"")</f>
        <v>1003</v>
      </c>
      <c r="AK949" s="460" t="str">
        <f>IF(申込書!$C$36="◎",IF(OR(D949="浜坂・温泉",D949="美方・村岡",D949="香住",D949="岡山",D949="大阪"),"",IF(LEFT(F949)="D","◎",IF(AG949=0,"",IFERROR(IF(VLOOKUP(AG949,★仕入先!$A$2:$C$211,3,FALSE)=0,"","◎"),"")))),"")</f>
        <v/>
      </c>
      <c r="AL949" s="460">
        <f>申込書!$H$14</f>
        <v>0</v>
      </c>
      <c r="AM949" s="460" t="str">
        <f>申込書!$C$32</f>
        <v>B4（折り無し）</v>
      </c>
      <c r="AN949" s="460" t="str">
        <f>VLOOKUP(AM949,★サイズ表記!$D$4:$E$55,2,FALSE)</f>
        <v>1001</v>
      </c>
      <c r="AO949" s="460">
        <f>IF(C949&lt;&gt;"⑧兵庫",VLOOKUP(LEFT(F949),★新聞!$A$4:$B$12,2,FALSE),IF(LEFT(F949)&lt;&gt;"S",VLOOKUP(LEFT(F949),★新聞!$A$4:$B$12,2,FALSE),VLOOKUP("X",★新聞!$A$4:$B$12,2,FALSE)))</f>
        <v>1</v>
      </c>
      <c r="AP949" s="460" t="str">
        <f t="shared" ca="1" si="116"/>
        <v>0</v>
      </c>
      <c r="AQ949" s="460" t="str">
        <f>IF(申込書!$C$38="","",申込書!$C$38)</f>
        <v/>
      </c>
    </row>
    <row r="950" spans="1:43">
      <c r="A950" s="463">
        <f t="shared" si="109"/>
        <v>949</v>
      </c>
      <c r="B950" s="463" t="str">
        <f t="shared" si="110"/>
        <v>東部</v>
      </c>
      <c r="C950" s="464" t="s">
        <v>1244</v>
      </c>
      <c r="D950" s="464" t="s">
        <v>1242</v>
      </c>
      <c r="E950" s="464">
        <f>VLOOKUP(D950,★折込地区!$A$2:$D$10,4,FALSE)</f>
        <v>9</v>
      </c>
      <c r="F950" s="464" t="s">
        <v>1278</v>
      </c>
      <c r="G950" s="464" t="str">
        <f>INDEX(★新聞!$E$4:$I$12, MATCH(LEFT(F950),★新聞!$A$4:$A$12,0), MATCH(LEFT(W950),★新聞!$E$3:$I$3,0))</f>
        <v>X</v>
      </c>
      <c r="H950" s="475" t="s">
        <v>1247</v>
      </c>
      <c r="I950" s="464" cm="1">
        <f t="array" ref="I950">IFERROR(INDEX(★原価率!$A$2:$E$50,MATCH($C950&amp;$H950,★原価率!$A$2:$A$50&amp;★原価率!$B$2:$B$50,0),3),0)</f>
        <v>50</v>
      </c>
      <c r="J950" s="464" cm="1">
        <f t="array" ref="J950">IFERROR(INDEX(★原価率!$A$2:$E$50,MATCH($C950&amp;$H950,★原価率!$A$2:$A$50&amp;★原価率!$B$2:$B$50,0),4),0)</f>
        <v>50</v>
      </c>
      <c r="K950" s="464" cm="1">
        <f t="array" ref="K950">IFERROR(INDEX(★原価率!$A$2:$E$50,MATCH($C950&amp;$H950,★原価率!$A$2:$A$50&amp;★原価率!$B$2:$B$50,0),5),0)</f>
        <v>85</v>
      </c>
      <c r="L950" s="528">
        <f>IFERROR(VLOOKUP(W950,★商品!$A$1:$H$1231,8,FALSE),0)</f>
        <v>0</v>
      </c>
      <c r="M950" s="203" t="str">
        <f ca="1">CONCATENATE(VLOOKUP(B950,★営業所!$A$2:$B$5,2,FALSE),TEXT(NOW(),"yyyy"))</f>
        <v>T2023</v>
      </c>
      <c r="N950" s="203">
        <v>1</v>
      </c>
      <c r="O950" s="203">
        <v>0</v>
      </c>
      <c r="P950" s="213">
        <f>申込書!$B$6</f>
        <v>0</v>
      </c>
      <c r="Q950" s="203">
        <f>申込書!$C$34</f>
        <v>1000040</v>
      </c>
      <c r="R950" s="203">
        <v>0</v>
      </c>
      <c r="U950" s="203">
        <f>VLOOKUP(B950,★営業所!$A$2:$C$5,3,FALSE)</f>
        <v>8</v>
      </c>
      <c r="V950" s="203">
        <f>申込書!$B$9</f>
        <v>0</v>
      </c>
      <c r="W950" s="203" t="str">
        <f>CONCATENATE(VLOOKUP(B950,★営業所!$A$2:$B$5,2,FALSE),VLOOKUP(申込書!$C$32,★サイズ表記!$D$4:$E$55,2,FALSE),VLOOKUP(D950,★折込地区!$A$2:$B$11,2,FALSE))</f>
        <v>T1001Osk</v>
      </c>
      <c r="X950" s="203" t="str">
        <f>CONCATENATE(申込書!$B$9," ",VLOOKUP(RIGHT(W950,3),★折込地区!$B$2:$C$10,2,FALSE),"")</f>
        <v xml:space="preserve"> 大阪</v>
      </c>
      <c r="Z950" s="206">
        <f t="shared" ca="1" si="111"/>
        <v>0</v>
      </c>
      <c r="AB950" s="383">
        <f t="shared" si="112"/>
        <v>0</v>
      </c>
      <c r="AC950" s="203" t="str">
        <f t="shared" si="113"/>
        <v>D1001</v>
      </c>
      <c r="AD950" s="203" t="str">
        <f>VLOOKUP(AC950,★原価商品!$E$6:$F$349,2,FALSE)</f>
        <v>日本海/B4（折り無し）</v>
      </c>
      <c r="AE950" s="203">
        <f t="shared" ca="1" si="114"/>
        <v>0</v>
      </c>
      <c r="AF950" s="383">
        <f>IFERROR(IF(VLOOKUP(申込書!$C$32,★サイズ表記!$F$4:$H$55,3,FALSE)="切り捨て",ROUNDDOWN(L950*IF(AK950="◎",I950,J950)/100,2),IF(VLOOKUP(申込書!$C$32,★サイズ表記!$F$4:$H$55,3,FALSE)="切り上げ",ROUNDUP(L950*IF(AK950="◎",I950,J950)/100,2),ROUND(L950*IF(AK950="◎",I950,J950)/100,2))),0)</f>
        <v>0</v>
      </c>
      <c r="AG950" s="203">
        <f t="shared" ca="1" si="115"/>
        <v>0</v>
      </c>
      <c r="AJ950" s="460" t="str">
        <f>IFERROR(VLOOKUP(申込書!$C$30,★業種!$D$2:$E$87,2,FALSE),"")</f>
        <v>1003</v>
      </c>
      <c r="AK950" s="460" t="str">
        <f>IF(申込書!$C$36="◎",IF(OR(D950="浜坂・温泉",D950="美方・村岡",D950="香住",D950="岡山",D950="大阪"),"",IF(LEFT(F950)="D","◎",IF(AG950=0,"",IFERROR(IF(VLOOKUP(AG950,★仕入先!$A$2:$C$211,3,FALSE)=0,"","◎"),"")))),"")</f>
        <v/>
      </c>
      <c r="AL950" s="460">
        <f>申込書!$H$14</f>
        <v>0</v>
      </c>
      <c r="AM950" s="460" t="str">
        <f>申込書!$C$32</f>
        <v>B4（折り無し）</v>
      </c>
      <c r="AN950" s="460" t="str">
        <f>VLOOKUP(AM950,★サイズ表記!$D$4:$E$55,2,FALSE)</f>
        <v>1001</v>
      </c>
      <c r="AO950" s="460">
        <f>IF(C950&lt;&gt;"⑧兵庫",VLOOKUP(LEFT(F950),★新聞!$A$4:$B$12,2,FALSE),IF(LEFT(F950)&lt;&gt;"S",VLOOKUP(LEFT(F950),★新聞!$A$4:$B$12,2,FALSE),VLOOKUP("X",★新聞!$A$4:$B$12,2,FALSE)))</f>
        <v>1</v>
      </c>
      <c r="AP950" s="460" t="str">
        <f t="shared" ca="1" si="116"/>
        <v>0</v>
      </c>
      <c r="AQ950" s="460" t="str">
        <f>IF(申込書!$C$38="","",申込書!$C$38)</f>
        <v/>
      </c>
    </row>
    <row r="951" spans="1:43">
      <c r="A951" s="463">
        <f t="shared" si="109"/>
        <v>950</v>
      </c>
      <c r="B951" s="463" t="str">
        <f t="shared" si="110"/>
        <v>東部</v>
      </c>
      <c r="C951" s="464" t="s">
        <v>1244</v>
      </c>
      <c r="D951" s="464" t="s">
        <v>1242</v>
      </c>
      <c r="E951" s="464">
        <f>VLOOKUP(D951,★折込地区!$A$2:$D$10,4,FALSE)</f>
        <v>9</v>
      </c>
      <c r="F951" s="464" t="s">
        <v>1279</v>
      </c>
      <c r="G951" s="464" t="str">
        <f>INDEX(★新聞!$E$4:$I$12, MATCH(LEFT(F951),★新聞!$A$4:$A$12,0), MATCH(LEFT(W951),★新聞!$E$3:$I$3,0))</f>
        <v>X</v>
      </c>
      <c r="H951" s="475" t="s">
        <v>1247</v>
      </c>
      <c r="I951" s="464" cm="1">
        <f t="array" ref="I951">IFERROR(INDEX(★原価率!$A$2:$E$50,MATCH($C951&amp;$H951,★原価率!$A$2:$A$50&amp;★原価率!$B$2:$B$50,0),3),0)</f>
        <v>50</v>
      </c>
      <c r="J951" s="464" cm="1">
        <f t="array" ref="J951">IFERROR(INDEX(★原価率!$A$2:$E$50,MATCH($C951&amp;$H951,★原価率!$A$2:$A$50&amp;★原価率!$B$2:$B$50,0),4),0)</f>
        <v>50</v>
      </c>
      <c r="K951" s="464" cm="1">
        <f t="array" ref="K951">IFERROR(INDEX(★原価率!$A$2:$E$50,MATCH($C951&amp;$H951,★原価率!$A$2:$A$50&amp;★原価率!$B$2:$B$50,0),5),0)</f>
        <v>85</v>
      </c>
      <c r="L951" s="528">
        <f>IFERROR(VLOOKUP(W951,★商品!$A$1:$H$1231,8,FALSE),0)</f>
        <v>0</v>
      </c>
      <c r="M951" s="203" t="str">
        <f ca="1">CONCATENATE(VLOOKUP(B951,★営業所!$A$2:$B$5,2,FALSE),TEXT(NOW(),"yyyy"))</f>
        <v>T2023</v>
      </c>
      <c r="N951" s="203">
        <v>1</v>
      </c>
      <c r="O951" s="203">
        <v>0</v>
      </c>
      <c r="P951" s="213">
        <f>申込書!$B$6</f>
        <v>0</v>
      </c>
      <c r="Q951" s="203">
        <f>申込書!$C$34</f>
        <v>1000040</v>
      </c>
      <c r="R951" s="203">
        <v>0</v>
      </c>
      <c r="U951" s="203">
        <f>VLOOKUP(B951,★営業所!$A$2:$C$5,3,FALSE)</f>
        <v>8</v>
      </c>
      <c r="V951" s="203">
        <f>申込書!$B$9</f>
        <v>0</v>
      </c>
      <c r="W951" s="203" t="str">
        <f>CONCATENATE(VLOOKUP(B951,★営業所!$A$2:$B$5,2,FALSE),VLOOKUP(申込書!$C$32,★サイズ表記!$D$4:$E$55,2,FALSE),VLOOKUP(D951,★折込地区!$A$2:$B$11,2,FALSE))</f>
        <v>T1001Osk</v>
      </c>
      <c r="X951" s="203" t="str">
        <f>CONCATENATE(申込書!$B$9," ",VLOOKUP(RIGHT(W951,3),★折込地区!$B$2:$C$10,2,FALSE),"")</f>
        <v xml:space="preserve"> 大阪</v>
      </c>
      <c r="Z951" s="206">
        <f t="shared" ca="1" si="111"/>
        <v>0</v>
      </c>
      <c r="AB951" s="383">
        <f t="shared" si="112"/>
        <v>0</v>
      </c>
      <c r="AC951" s="203" t="str">
        <f t="shared" si="113"/>
        <v>D1001</v>
      </c>
      <c r="AD951" s="203" t="str">
        <f>VLOOKUP(AC951,★原価商品!$E$6:$F$349,2,FALSE)</f>
        <v>日本海/B4（折り無し）</v>
      </c>
      <c r="AE951" s="203">
        <f t="shared" ca="1" si="114"/>
        <v>0</v>
      </c>
      <c r="AF951" s="383">
        <f>IFERROR(IF(VLOOKUP(申込書!$C$32,★サイズ表記!$F$4:$H$55,3,FALSE)="切り捨て",ROUNDDOWN(L951*IF(AK951="◎",I951,J951)/100,2),IF(VLOOKUP(申込書!$C$32,★サイズ表記!$F$4:$H$55,3,FALSE)="切り上げ",ROUNDUP(L951*IF(AK951="◎",I951,J951)/100,2),ROUND(L951*IF(AK951="◎",I951,J951)/100,2))),0)</f>
        <v>0</v>
      </c>
      <c r="AG951" s="203">
        <f t="shared" ca="1" si="115"/>
        <v>0</v>
      </c>
      <c r="AJ951" s="460" t="str">
        <f>IFERROR(VLOOKUP(申込書!$C$30,★業種!$D$2:$E$87,2,FALSE),"")</f>
        <v>1003</v>
      </c>
      <c r="AK951" s="460" t="str">
        <f>IF(申込書!$C$36="◎",IF(OR(D951="浜坂・温泉",D951="美方・村岡",D951="香住",D951="岡山",D951="大阪"),"",IF(LEFT(F951)="D","◎",IF(AG951=0,"",IFERROR(IF(VLOOKUP(AG951,★仕入先!$A$2:$C$211,3,FALSE)=0,"","◎"),"")))),"")</f>
        <v/>
      </c>
      <c r="AL951" s="460">
        <f>申込書!$H$14</f>
        <v>0</v>
      </c>
      <c r="AM951" s="460" t="str">
        <f>申込書!$C$32</f>
        <v>B4（折り無し）</v>
      </c>
      <c r="AN951" s="460" t="str">
        <f>VLOOKUP(AM951,★サイズ表記!$D$4:$E$55,2,FALSE)</f>
        <v>1001</v>
      </c>
      <c r="AO951" s="460">
        <f>IF(C951&lt;&gt;"⑧兵庫",VLOOKUP(LEFT(F951),★新聞!$A$4:$B$12,2,FALSE),IF(LEFT(F951)&lt;&gt;"S",VLOOKUP(LEFT(F951),★新聞!$A$4:$B$12,2,FALSE),VLOOKUP("X",★新聞!$A$4:$B$12,2,FALSE)))</f>
        <v>1</v>
      </c>
      <c r="AP951" s="460" t="str">
        <f t="shared" ca="1" si="116"/>
        <v>0</v>
      </c>
      <c r="AQ951" s="460" t="str">
        <f>IF(申込書!$C$38="","",申込書!$C$38)</f>
        <v/>
      </c>
    </row>
    <row r="952" spans="1:43">
      <c r="A952" s="463">
        <f t="shared" si="109"/>
        <v>951</v>
      </c>
      <c r="B952" s="463" t="str">
        <f t="shared" si="110"/>
        <v>東部</v>
      </c>
      <c r="C952" s="464" t="s">
        <v>1244</v>
      </c>
      <c r="D952" s="464" t="s">
        <v>1242</v>
      </c>
      <c r="E952" s="464">
        <f>VLOOKUP(D952,★折込地区!$A$2:$D$10,4,FALSE)</f>
        <v>9</v>
      </c>
      <c r="F952" s="464" t="s">
        <v>1280</v>
      </c>
      <c r="G952" s="464" t="str">
        <f>INDEX(★新聞!$E$4:$I$12, MATCH(LEFT(F952),★新聞!$A$4:$A$12,0), MATCH(LEFT(W952),★新聞!$E$3:$I$3,0))</f>
        <v>X</v>
      </c>
      <c r="H952" s="475" t="s">
        <v>1247</v>
      </c>
      <c r="I952" s="464" cm="1">
        <f t="array" ref="I952">IFERROR(INDEX(★原価率!$A$2:$E$50,MATCH($C952&amp;$H952,★原価率!$A$2:$A$50&amp;★原価率!$B$2:$B$50,0),3),0)</f>
        <v>50</v>
      </c>
      <c r="J952" s="464" cm="1">
        <f t="array" ref="J952">IFERROR(INDEX(★原価率!$A$2:$E$50,MATCH($C952&amp;$H952,★原価率!$A$2:$A$50&amp;★原価率!$B$2:$B$50,0),4),0)</f>
        <v>50</v>
      </c>
      <c r="K952" s="464" cm="1">
        <f t="array" ref="K952">IFERROR(INDEX(★原価率!$A$2:$E$50,MATCH($C952&amp;$H952,★原価率!$A$2:$A$50&amp;★原価率!$B$2:$B$50,0),5),0)</f>
        <v>85</v>
      </c>
      <c r="L952" s="528">
        <f>IFERROR(VLOOKUP(W952,★商品!$A$1:$H$1231,8,FALSE),0)</f>
        <v>0</v>
      </c>
      <c r="M952" s="203" t="str">
        <f ca="1">CONCATENATE(VLOOKUP(B952,★営業所!$A$2:$B$5,2,FALSE),TEXT(NOW(),"yyyy"))</f>
        <v>T2023</v>
      </c>
      <c r="N952" s="203">
        <v>1</v>
      </c>
      <c r="O952" s="203">
        <v>0</v>
      </c>
      <c r="P952" s="213">
        <f>申込書!$B$6</f>
        <v>0</v>
      </c>
      <c r="Q952" s="203">
        <f>申込書!$C$34</f>
        <v>1000040</v>
      </c>
      <c r="R952" s="203">
        <v>0</v>
      </c>
      <c r="U952" s="203">
        <f>VLOOKUP(B952,★営業所!$A$2:$C$5,3,FALSE)</f>
        <v>8</v>
      </c>
      <c r="V952" s="203">
        <f>申込書!$B$9</f>
        <v>0</v>
      </c>
      <c r="W952" s="203" t="str">
        <f>CONCATENATE(VLOOKUP(B952,★営業所!$A$2:$B$5,2,FALSE),VLOOKUP(申込書!$C$32,★サイズ表記!$D$4:$E$55,2,FALSE),VLOOKUP(D952,★折込地区!$A$2:$B$11,2,FALSE))</f>
        <v>T1001Osk</v>
      </c>
      <c r="X952" s="203" t="str">
        <f>CONCATENATE(申込書!$B$9," ",VLOOKUP(RIGHT(W952,3),★折込地区!$B$2:$C$10,2,FALSE),"")</f>
        <v xml:space="preserve"> 大阪</v>
      </c>
      <c r="Z952" s="206">
        <f t="shared" ca="1" si="111"/>
        <v>0</v>
      </c>
      <c r="AB952" s="383">
        <f t="shared" si="112"/>
        <v>0</v>
      </c>
      <c r="AC952" s="203" t="str">
        <f t="shared" si="113"/>
        <v>D1001</v>
      </c>
      <c r="AD952" s="203" t="str">
        <f>VLOOKUP(AC952,★原価商品!$E$6:$F$349,2,FALSE)</f>
        <v>日本海/B4（折り無し）</v>
      </c>
      <c r="AE952" s="203">
        <f t="shared" ca="1" si="114"/>
        <v>0</v>
      </c>
      <c r="AF952" s="383">
        <f>IFERROR(IF(VLOOKUP(申込書!$C$32,★サイズ表記!$F$4:$H$55,3,FALSE)="切り捨て",ROUNDDOWN(L952*IF(AK952="◎",I952,J952)/100,2),IF(VLOOKUP(申込書!$C$32,★サイズ表記!$F$4:$H$55,3,FALSE)="切り上げ",ROUNDUP(L952*IF(AK952="◎",I952,J952)/100,2),ROUND(L952*IF(AK952="◎",I952,J952)/100,2))),0)</f>
        <v>0</v>
      </c>
      <c r="AG952" s="203">
        <f t="shared" ca="1" si="115"/>
        <v>0</v>
      </c>
      <c r="AJ952" s="460" t="str">
        <f>IFERROR(VLOOKUP(申込書!$C$30,★業種!$D$2:$E$87,2,FALSE),"")</f>
        <v>1003</v>
      </c>
      <c r="AK952" s="460" t="str">
        <f>IF(申込書!$C$36="◎",IF(OR(D952="浜坂・温泉",D952="美方・村岡",D952="香住",D952="岡山",D952="大阪"),"",IF(LEFT(F952)="D","◎",IF(AG952=0,"",IFERROR(IF(VLOOKUP(AG952,★仕入先!$A$2:$C$211,3,FALSE)=0,"","◎"),"")))),"")</f>
        <v/>
      </c>
      <c r="AL952" s="460">
        <f>申込書!$H$14</f>
        <v>0</v>
      </c>
      <c r="AM952" s="460" t="str">
        <f>申込書!$C$32</f>
        <v>B4（折り無し）</v>
      </c>
      <c r="AN952" s="460" t="str">
        <f>VLOOKUP(AM952,★サイズ表記!$D$4:$E$55,2,FALSE)</f>
        <v>1001</v>
      </c>
      <c r="AO952" s="460">
        <f>IF(C952&lt;&gt;"⑧兵庫",VLOOKUP(LEFT(F952),★新聞!$A$4:$B$12,2,FALSE),IF(LEFT(F952)&lt;&gt;"S",VLOOKUP(LEFT(F952),★新聞!$A$4:$B$12,2,FALSE),VLOOKUP("X",★新聞!$A$4:$B$12,2,FALSE)))</f>
        <v>1</v>
      </c>
      <c r="AP952" s="460" t="str">
        <f t="shared" ca="1" si="116"/>
        <v>0</v>
      </c>
      <c r="AQ952" s="460" t="str">
        <f>IF(申込書!$C$38="","",申込書!$C$38)</f>
        <v/>
      </c>
    </row>
    <row r="953" spans="1:43">
      <c r="A953" s="463">
        <f t="shared" si="109"/>
        <v>952</v>
      </c>
      <c r="B953" s="463" t="str">
        <f t="shared" si="110"/>
        <v>東部</v>
      </c>
      <c r="C953" s="464" t="s">
        <v>1244</v>
      </c>
      <c r="D953" s="464" t="s">
        <v>1242</v>
      </c>
      <c r="E953" s="464">
        <f>VLOOKUP(D953,★折込地区!$A$2:$D$10,4,FALSE)</f>
        <v>9</v>
      </c>
      <c r="F953" s="464" t="s">
        <v>1281</v>
      </c>
      <c r="G953" s="464" t="str">
        <f>INDEX(★新聞!$E$4:$I$12, MATCH(LEFT(F953),★新聞!$A$4:$A$12,0), MATCH(LEFT(W953),★新聞!$E$3:$I$3,0))</f>
        <v>X</v>
      </c>
      <c r="H953" s="475" t="s">
        <v>1247</v>
      </c>
      <c r="I953" s="464" cm="1">
        <f t="array" ref="I953">IFERROR(INDEX(★原価率!$A$2:$E$50,MATCH($C953&amp;$H953,★原価率!$A$2:$A$50&amp;★原価率!$B$2:$B$50,0),3),0)</f>
        <v>50</v>
      </c>
      <c r="J953" s="464" cm="1">
        <f t="array" ref="J953">IFERROR(INDEX(★原価率!$A$2:$E$50,MATCH($C953&amp;$H953,★原価率!$A$2:$A$50&amp;★原価率!$B$2:$B$50,0),4),0)</f>
        <v>50</v>
      </c>
      <c r="K953" s="464" cm="1">
        <f t="array" ref="K953">IFERROR(INDEX(★原価率!$A$2:$E$50,MATCH($C953&amp;$H953,★原価率!$A$2:$A$50&amp;★原価率!$B$2:$B$50,0),5),0)</f>
        <v>85</v>
      </c>
      <c r="L953" s="528">
        <f>IFERROR(VLOOKUP(W953,★商品!$A$1:$H$1231,8,FALSE),0)</f>
        <v>0</v>
      </c>
      <c r="M953" s="203" t="str">
        <f ca="1">CONCATENATE(VLOOKUP(B953,★営業所!$A$2:$B$5,2,FALSE),TEXT(NOW(),"yyyy"))</f>
        <v>T2023</v>
      </c>
      <c r="N953" s="203">
        <v>1</v>
      </c>
      <c r="O953" s="203">
        <v>0</v>
      </c>
      <c r="P953" s="213">
        <f>申込書!$B$6</f>
        <v>0</v>
      </c>
      <c r="Q953" s="203">
        <f>申込書!$C$34</f>
        <v>1000040</v>
      </c>
      <c r="R953" s="203">
        <v>0</v>
      </c>
      <c r="U953" s="203">
        <f>VLOOKUP(B953,★営業所!$A$2:$C$5,3,FALSE)</f>
        <v>8</v>
      </c>
      <c r="V953" s="203">
        <f>申込書!$B$9</f>
        <v>0</v>
      </c>
      <c r="W953" s="203" t="str">
        <f>CONCATENATE(VLOOKUP(B953,★営業所!$A$2:$B$5,2,FALSE),VLOOKUP(申込書!$C$32,★サイズ表記!$D$4:$E$55,2,FALSE),VLOOKUP(D953,★折込地区!$A$2:$B$11,2,FALSE))</f>
        <v>T1001Osk</v>
      </c>
      <c r="X953" s="203" t="str">
        <f>CONCATENATE(申込書!$B$9," ",VLOOKUP(RIGHT(W953,3),★折込地区!$B$2:$C$10,2,FALSE),"")</f>
        <v xml:space="preserve"> 大阪</v>
      </c>
      <c r="Z953" s="206">
        <f t="shared" ca="1" si="111"/>
        <v>0</v>
      </c>
      <c r="AB953" s="383">
        <f t="shared" si="112"/>
        <v>0</v>
      </c>
      <c r="AC953" s="203" t="str">
        <f t="shared" si="113"/>
        <v>D1001</v>
      </c>
      <c r="AD953" s="203" t="str">
        <f>VLOOKUP(AC953,★原価商品!$E$6:$F$349,2,FALSE)</f>
        <v>日本海/B4（折り無し）</v>
      </c>
      <c r="AE953" s="203">
        <f t="shared" ca="1" si="114"/>
        <v>0</v>
      </c>
      <c r="AF953" s="383">
        <f>IFERROR(IF(VLOOKUP(申込書!$C$32,★サイズ表記!$F$4:$H$55,3,FALSE)="切り捨て",ROUNDDOWN(L953*IF(AK953="◎",I953,J953)/100,2),IF(VLOOKUP(申込書!$C$32,★サイズ表記!$F$4:$H$55,3,FALSE)="切り上げ",ROUNDUP(L953*IF(AK953="◎",I953,J953)/100,2),ROUND(L953*IF(AK953="◎",I953,J953)/100,2))),0)</f>
        <v>0</v>
      </c>
      <c r="AG953" s="203">
        <f t="shared" ca="1" si="115"/>
        <v>0</v>
      </c>
      <c r="AJ953" s="460" t="str">
        <f>IFERROR(VLOOKUP(申込書!$C$30,★業種!$D$2:$E$87,2,FALSE),"")</f>
        <v>1003</v>
      </c>
      <c r="AK953" s="460" t="str">
        <f>IF(申込書!$C$36="◎",IF(OR(D953="浜坂・温泉",D953="美方・村岡",D953="香住",D953="岡山",D953="大阪"),"",IF(LEFT(F953)="D","◎",IF(AG953=0,"",IFERROR(IF(VLOOKUP(AG953,★仕入先!$A$2:$C$211,3,FALSE)=0,"","◎"),"")))),"")</f>
        <v/>
      </c>
      <c r="AL953" s="460">
        <f>申込書!$H$14</f>
        <v>0</v>
      </c>
      <c r="AM953" s="460" t="str">
        <f>申込書!$C$32</f>
        <v>B4（折り無し）</v>
      </c>
      <c r="AN953" s="460" t="str">
        <f>VLOOKUP(AM953,★サイズ表記!$D$4:$E$55,2,FALSE)</f>
        <v>1001</v>
      </c>
      <c r="AO953" s="460">
        <f>IF(C953&lt;&gt;"⑧兵庫",VLOOKUP(LEFT(F953),★新聞!$A$4:$B$12,2,FALSE),IF(LEFT(F953)&lt;&gt;"S",VLOOKUP(LEFT(F953),★新聞!$A$4:$B$12,2,FALSE),VLOOKUP("X",★新聞!$A$4:$B$12,2,FALSE)))</f>
        <v>1</v>
      </c>
      <c r="AP953" s="460" t="str">
        <f t="shared" ca="1" si="116"/>
        <v>0</v>
      </c>
      <c r="AQ953" s="460" t="str">
        <f>IF(申込書!$C$38="","",申込書!$C$38)</f>
        <v/>
      </c>
    </row>
    <row r="954" spans="1:43">
      <c r="A954" s="463">
        <f t="shared" si="109"/>
        <v>953</v>
      </c>
      <c r="B954" s="463" t="str">
        <f t="shared" si="110"/>
        <v>東部</v>
      </c>
      <c r="C954" s="464" t="s">
        <v>1244</v>
      </c>
      <c r="D954" s="464" t="s">
        <v>1242</v>
      </c>
      <c r="E954" s="464">
        <f>VLOOKUP(D954,★折込地区!$A$2:$D$10,4,FALSE)</f>
        <v>9</v>
      </c>
      <c r="F954" s="464" t="s">
        <v>1282</v>
      </c>
      <c r="G954" s="464" t="str">
        <f>INDEX(★新聞!$E$4:$I$12, MATCH(LEFT(F954),★新聞!$A$4:$A$12,0), MATCH(LEFT(W954),★新聞!$E$3:$I$3,0))</f>
        <v>X</v>
      </c>
      <c r="H954" s="475" t="s">
        <v>1247</v>
      </c>
      <c r="I954" s="464" cm="1">
        <f t="array" ref="I954">IFERROR(INDEX(★原価率!$A$2:$E$50,MATCH($C954&amp;$H954,★原価率!$A$2:$A$50&amp;★原価率!$B$2:$B$50,0),3),0)</f>
        <v>50</v>
      </c>
      <c r="J954" s="464" cm="1">
        <f t="array" ref="J954">IFERROR(INDEX(★原価率!$A$2:$E$50,MATCH($C954&amp;$H954,★原価率!$A$2:$A$50&amp;★原価率!$B$2:$B$50,0),4),0)</f>
        <v>50</v>
      </c>
      <c r="K954" s="464" cm="1">
        <f t="array" ref="K954">IFERROR(INDEX(★原価率!$A$2:$E$50,MATCH($C954&amp;$H954,★原価率!$A$2:$A$50&amp;★原価率!$B$2:$B$50,0),5),0)</f>
        <v>85</v>
      </c>
      <c r="L954" s="528">
        <f>IFERROR(VLOOKUP(W954,★商品!$A$1:$H$1231,8,FALSE),0)</f>
        <v>0</v>
      </c>
      <c r="M954" s="203" t="str">
        <f ca="1">CONCATENATE(VLOOKUP(B954,★営業所!$A$2:$B$5,2,FALSE),TEXT(NOW(),"yyyy"))</f>
        <v>T2023</v>
      </c>
      <c r="N954" s="203">
        <v>1</v>
      </c>
      <c r="O954" s="203">
        <v>0</v>
      </c>
      <c r="P954" s="213">
        <f>申込書!$B$6</f>
        <v>0</v>
      </c>
      <c r="Q954" s="203">
        <f>申込書!$C$34</f>
        <v>1000040</v>
      </c>
      <c r="R954" s="203">
        <v>0</v>
      </c>
      <c r="U954" s="203">
        <f>VLOOKUP(B954,★営業所!$A$2:$C$5,3,FALSE)</f>
        <v>8</v>
      </c>
      <c r="V954" s="203">
        <f>申込書!$B$9</f>
        <v>0</v>
      </c>
      <c r="W954" s="203" t="str">
        <f>CONCATENATE(VLOOKUP(B954,★営業所!$A$2:$B$5,2,FALSE),VLOOKUP(申込書!$C$32,★サイズ表記!$D$4:$E$55,2,FALSE),VLOOKUP(D954,★折込地区!$A$2:$B$11,2,FALSE))</f>
        <v>T1001Osk</v>
      </c>
      <c r="X954" s="203" t="str">
        <f>CONCATENATE(申込書!$B$9," ",VLOOKUP(RIGHT(W954,3),★折込地区!$B$2:$C$10,2,FALSE),"")</f>
        <v xml:space="preserve"> 大阪</v>
      </c>
      <c r="Z954" s="206">
        <f t="shared" ca="1" si="111"/>
        <v>0</v>
      </c>
      <c r="AB954" s="383">
        <f t="shared" si="112"/>
        <v>0</v>
      </c>
      <c r="AC954" s="203" t="str">
        <f t="shared" si="113"/>
        <v>D1001</v>
      </c>
      <c r="AD954" s="203" t="str">
        <f>VLOOKUP(AC954,★原価商品!$E$6:$F$349,2,FALSE)</f>
        <v>日本海/B4（折り無し）</v>
      </c>
      <c r="AE954" s="203">
        <f t="shared" ca="1" si="114"/>
        <v>0</v>
      </c>
      <c r="AF954" s="383">
        <f>IFERROR(IF(VLOOKUP(申込書!$C$32,★サイズ表記!$F$4:$H$55,3,FALSE)="切り捨て",ROUNDDOWN(L954*IF(AK954="◎",I954,J954)/100,2),IF(VLOOKUP(申込書!$C$32,★サイズ表記!$F$4:$H$55,3,FALSE)="切り上げ",ROUNDUP(L954*IF(AK954="◎",I954,J954)/100,2),ROUND(L954*IF(AK954="◎",I954,J954)/100,2))),0)</f>
        <v>0</v>
      </c>
      <c r="AG954" s="203">
        <f t="shared" ca="1" si="115"/>
        <v>0</v>
      </c>
      <c r="AJ954" s="460" t="str">
        <f>IFERROR(VLOOKUP(申込書!$C$30,★業種!$D$2:$E$87,2,FALSE),"")</f>
        <v>1003</v>
      </c>
      <c r="AK954" s="460" t="str">
        <f>IF(申込書!$C$36="◎",IF(OR(D954="浜坂・温泉",D954="美方・村岡",D954="香住",D954="岡山",D954="大阪"),"",IF(LEFT(F954)="D","◎",IF(AG954=0,"",IFERROR(IF(VLOOKUP(AG954,★仕入先!$A$2:$C$211,3,FALSE)=0,"","◎"),"")))),"")</f>
        <v/>
      </c>
      <c r="AL954" s="460">
        <f>申込書!$H$14</f>
        <v>0</v>
      </c>
      <c r="AM954" s="460" t="str">
        <f>申込書!$C$32</f>
        <v>B4（折り無し）</v>
      </c>
      <c r="AN954" s="460" t="str">
        <f>VLOOKUP(AM954,★サイズ表記!$D$4:$E$55,2,FALSE)</f>
        <v>1001</v>
      </c>
      <c r="AO954" s="460">
        <f>IF(C954&lt;&gt;"⑧兵庫",VLOOKUP(LEFT(F954),★新聞!$A$4:$B$12,2,FALSE),IF(LEFT(F954)&lt;&gt;"S",VLOOKUP(LEFT(F954),★新聞!$A$4:$B$12,2,FALSE),VLOOKUP("X",★新聞!$A$4:$B$12,2,FALSE)))</f>
        <v>1</v>
      </c>
      <c r="AP954" s="460" t="str">
        <f t="shared" ca="1" si="116"/>
        <v>0</v>
      </c>
      <c r="AQ954" s="460" t="str">
        <f>IF(申込書!$C$38="","",申込書!$C$38)</f>
        <v/>
      </c>
    </row>
    <row r="955" spans="1:43">
      <c r="A955" s="463">
        <f t="shared" si="109"/>
        <v>954</v>
      </c>
      <c r="B955" s="463" t="str">
        <f t="shared" si="110"/>
        <v>東部</v>
      </c>
      <c r="C955" s="464" t="s">
        <v>1244</v>
      </c>
      <c r="D955" s="464" t="s">
        <v>1242</v>
      </c>
      <c r="E955" s="464">
        <f>VLOOKUP(D955,★折込地区!$A$2:$D$10,4,FALSE)</f>
        <v>9</v>
      </c>
      <c r="F955" s="464" t="s">
        <v>1283</v>
      </c>
      <c r="G955" s="464" t="str">
        <f>INDEX(★新聞!$E$4:$I$12, MATCH(LEFT(F955),★新聞!$A$4:$A$12,0), MATCH(LEFT(W955),★新聞!$E$3:$I$3,0))</f>
        <v>X</v>
      </c>
      <c r="H955" s="475" t="s">
        <v>1247</v>
      </c>
      <c r="I955" s="464" cm="1">
        <f t="array" ref="I955">IFERROR(INDEX(★原価率!$A$2:$E$50,MATCH($C955&amp;$H955,★原価率!$A$2:$A$50&amp;★原価率!$B$2:$B$50,0),3),0)</f>
        <v>50</v>
      </c>
      <c r="J955" s="464" cm="1">
        <f t="array" ref="J955">IFERROR(INDEX(★原価率!$A$2:$E$50,MATCH($C955&amp;$H955,★原価率!$A$2:$A$50&amp;★原価率!$B$2:$B$50,0),4),0)</f>
        <v>50</v>
      </c>
      <c r="K955" s="464" cm="1">
        <f t="array" ref="K955">IFERROR(INDEX(★原価率!$A$2:$E$50,MATCH($C955&amp;$H955,★原価率!$A$2:$A$50&amp;★原価率!$B$2:$B$50,0),5),0)</f>
        <v>85</v>
      </c>
      <c r="L955" s="528">
        <f>IFERROR(VLOOKUP(W955,★商品!$A$1:$H$1231,8,FALSE),0)</f>
        <v>0</v>
      </c>
      <c r="M955" s="203" t="str">
        <f ca="1">CONCATENATE(VLOOKUP(B955,★営業所!$A$2:$B$5,2,FALSE),TEXT(NOW(),"yyyy"))</f>
        <v>T2023</v>
      </c>
      <c r="N955" s="203">
        <v>1</v>
      </c>
      <c r="O955" s="203">
        <v>0</v>
      </c>
      <c r="P955" s="213">
        <f>申込書!$B$6</f>
        <v>0</v>
      </c>
      <c r="Q955" s="203">
        <f>申込書!$C$34</f>
        <v>1000040</v>
      </c>
      <c r="R955" s="203">
        <v>0</v>
      </c>
      <c r="U955" s="203">
        <f>VLOOKUP(B955,★営業所!$A$2:$C$5,3,FALSE)</f>
        <v>8</v>
      </c>
      <c r="V955" s="203">
        <f>申込書!$B$9</f>
        <v>0</v>
      </c>
      <c r="W955" s="203" t="str">
        <f>CONCATENATE(VLOOKUP(B955,★営業所!$A$2:$B$5,2,FALSE),VLOOKUP(申込書!$C$32,★サイズ表記!$D$4:$E$55,2,FALSE),VLOOKUP(D955,★折込地区!$A$2:$B$11,2,FALSE))</f>
        <v>T1001Osk</v>
      </c>
      <c r="X955" s="203" t="str">
        <f>CONCATENATE(申込書!$B$9," ",VLOOKUP(RIGHT(W955,3),★折込地区!$B$2:$C$10,2,FALSE),"")</f>
        <v xml:space="preserve"> 大阪</v>
      </c>
      <c r="Z955" s="206">
        <f t="shared" ca="1" si="111"/>
        <v>0</v>
      </c>
      <c r="AB955" s="383">
        <f t="shared" si="112"/>
        <v>0</v>
      </c>
      <c r="AC955" s="203" t="str">
        <f t="shared" si="113"/>
        <v>D1001</v>
      </c>
      <c r="AD955" s="203" t="str">
        <f>VLOOKUP(AC955,★原価商品!$E$6:$F$349,2,FALSE)</f>
        <v>日本海/B4（折り無し）</v>
      </c>
      <c r="AE955" s="203">
        <f t="shared" ca="1" si="114"/>
        <v>0</v>
      </c>
      <c r="AF955" s="383">
        <f>IFERROR(IF(VLOOKUP(申込書!$C$32,★サイズ表記!$F$4:$H$55,3,FALSE)="切り捨て",ROUNDDOWN(L955*IF(AK955="◎",I955,J955)/100,2),IF(VLOOKUP(申込書!$C$32,★サイズ表記!$F$4:$H$55,3,FALSE)="切り上げ",ROUNDUP(L955*IF(AK955="◎",I955,J955)/100,2),ROUND(L955*IF(AK955="◎",I955,J955)/100,2))),0)</f>
        <v>0</v>
      </c>
      <c r="AG955" s="203">
        <f t="shared" ca="1" si="115"/>
        <v>0</v>
      </c>
      <c r="AJ955" s="460" t="str">
        <f>IFERROR(VLOOKUP(申込書!$C$30,★業種!$D$2:$E$87,2,FALSE),"")</f>
        <v>1003</v>
      </c>
      <c r="AK955" s="460" t="str">
        <f>IF(申込書!$C$36="◎",IF(OR(D955="浜坂・温泉",D955="美方・村岡",D955="香住",D955="岡山",D955="大阪"),"",IF(LEFT(F955)="D","◎",IF(AG955=0,"",IFERROR(IF(VLOOKUP(AG955,★仕入先!$A$2:$C$211,3,FALSE)=0,"","◎"),"")))),"")</f>
        <v/>
      </c>
      <c r="AL955" s="460">
        <f>申込書!$H$14</f>
        <v>0</v>
      </c>
      <c r="AM955" s="460" t="str">
        <f>申込書!$C$32</f>
        <v>B4（折り無し）</v>
      </c>
      <c r="AN955" s="460" t="str">
        <f>VLOOKUP(AM955,★サイズ表記!$D$4:$E$55,2,FALSE)</f>
        <v>1001</v>
      </c>
      <c r="AO955" s="460">
        <f>IF(C955&lt;&gt;"⑧兵庫",VLOOKUP(LEFT(F955),★新聞!$A$4:$B$12,2,FALSE),IF(LEFT(F955)&lt;&gt;"S",VLOOKUP(LEFT(F955),★新聞!$A$4:$B$12,2,FALSE),VLOOKUP("X",★新聞!$A$4:$B$12,2,FALSE)))</f>
        <v>1</v>
      </c>
      <c r="AP955" s="460" t="str">
        <f t="shared" ca="1" si="116"/>
        <v>0</v>
      </c>
      <c r="AQ955" s="460" t="str">
        <f>IF(申込書!$C$38="","",申込書!$C$38)</f>
        <v/>
      </c>
    </row>
    <row r="956" spans="1:43">
      <c r="A956" s="463">
        <f t="shared" si="109"/>
        <v>955</v>
      </c>
      <c r="B956" s="463" t="str">
        <f t="shared" si="110"/>
        <v>東部</v>
      </c>
      <c r="C956" s="464" t="s">
        <v>1244</v>
      </c>
      <c r="D956" s="464" t="s">
        <v>1242</v>
      </c>
      <c r="E956" s="464">
        <f>VLOOKUP(D956,★折込地区!$A$2:$D$10,4,FALSE)</f>
        <v>9</v>
      </c>
      <c r="F956" s="464" t="s">
        <v>1284</v>
      </c>
      <c r="G956" s="464" t="str">
        <f>INDEX(★新聞!$E$4:$I$12, MATCH(LEFT(F956),★新聞!$A$4:$A$12,0), MATCH(LEFT(W956),★新聞!$E$3:$I$3,0))</f>
        <v>X</v>
      </c>
      <c r="H956" s="475" t="s">
        <v>1247</v>
      </c>
      <c r="I956" s="464" cm="1">
        <f t="array" ref="I956">IFERROR(INDEX(★原価率!$A$2:$E$50,MATCH($C956&amp;$H956,★原価率!$A$2:$A$50&amp;★原価率!$B$2:$B$50,0),3),0)</f>
        <v>50</v>
      </c>
      <c r="J956" s="464" cm="1">
        <f t="array" ref="J956">IFERROR(INDEX(★原価率!$A$2:$E$50,MATCH($C956&amp;$H956,★原価率!$A$2:$A$50&amp;★原価率!$B$2:$B$50,0),4),0)</f>
        <v>50</v>
      </c>
      <c r="K956" s="464" cm="1">
        <f t="array" ref="K956">IFERROR(INDEX(★原価率!$A$2:$E$50,MATCH($C956&amp;$H956,★原価率!$A$2:$A$50&amp;★原価率!$B$2:$B$50,0),5),0)</f>
        <v>85</v>
      </c>
      <c r="L956" s="528">
        <f>IFERROR(VLOOKUP(W956,★商品!$A$1:$H$1231,8,FALSE),0)</f>
        <v>0</v>
      </c>
      <c r="M956" s="203" t="str">
        <f ca="1">CONCATENATE(VLOOKUP(B956,★営業所!$A$2:$B$5,2,FALSE),TEXT(NOW(),"yyyy"))</f>
        <v>T2023</v>
      </c>
      <c r="N956" s="203">
        <v>1</v>
      </c>
      <c r="O956" s="203">
        <v>0</v>
      </c>
      <c r="P956" s="213">
        <f>申込書!$B$6</f>
        <v>0</v>
      </c>
      <c r="Q956" s="203">
        <f>申込書!$C$34</f>
        <v>1000040</v>
      </c>
      <c r="R956" s="203">
        <v>0</v>
      </c>
      <c r="U956" s="203">
        <f>VLOOKUP(B956,★営業所!$A$2:$C$5,3,FALSE)</f>
        <v>8</v>
      </c>
      <c r="V956" s="203">
        <f>申込書!$B$9</f>
        <v>0</v>
      </c>
      <c r="W956" s="203" t="str">
        <f>CONCATENATE(VLOOKUP(B956,★営業所!$A$2:$B$5,2,FALSE),VLOOKUP(申込書!$C$32,★サイズ表記!$D$4:$E$55,2,FALSE),VLOOKUP(D956,★折込地区!$A$2:$B$11,2,FALSE))</f>
        <v>T1001Osk</v>
      </c>
      <c r="X956" s="203" t="str">
        <f>CONCATENATE(申込書!$B$9," ",VLOOKUP(RIGHT(W956,3),★折込地区!$B$2:$C$10,2,FALSE),"")</f>
        <v xml:space="preserve"> 大阪</v>
      </c>
      <c r="Z956" s="206">
        <f t="shared" ca="1" si="111"/>
        <v>0</v>
      </c>
      <c r="AB956" s="383">
        <f t="shared" si="112"/>
        <v>0</v>
      </c>
      <c r="AC956" s="203" t="str">
        <f t="shared" si="113"/>
        <v>D1001</v>
      </c>
      <c r="AD956" s="203" t="str">
        <f>VLOOKUP(AC956,★原価商品!$E$6:$F$349,2,FALSE)</f>
        <v>日本海/B4（折り無し）</v>
      </c>
      <c r="AE956" s="203">
        <f t="shared" ca="1" si="114"/>
        <v>0</v>
      </c>
      <c r="AF956" s="383">
        <f>IFERROR(IF(VLOOKUP(申込書!$C$32,★サイズ表記!$F$4:$H$55,3,FALSE)="切り捨て",ROUNDDOWN(L956*IF(AK956="◎",I956,J956)/100,2),IF(VLOOKUP(申込書!$C$32,★サイズ表記!$F$4:$H$55,3,FALSE)="切り上げ",ROUNDUP(L956*IF(AK956="◎",I956,J956)/100,2),ROUND(L956*IF(AK956="◎",I956,J956)/100,2))),0)</f>
        <v>0</v>
      </c>
      <c r="AG956" s="203">
        <f t="shared" ca="1" si="115"/>
        <v>0</v>
      </c>
      <c r="AJ956" s="460" t="str">
        <f>IFERROR(VLOOKUP(申込書!$C$30,★業種!$D$2:$E$87,2,FALSE),"")</f>
        <v>1003</v>
      </c>
      <c r="AK956" s="460" t="str">
        <f>IF(申込書!$C$36="◎",IF(OR(D956="浜坂・温泉",D956="美方・村岡",D956="香住",D956="岡山",D956="大阪"),"",IF(LEFT(F956)="D","◎",IF(AG956=0,"",IFERROR(IF(VLOOKUP(AG956,★仕入先!$A$2:$C$211,3,FALSE)=0,"","◎"),"")))),"")</f>
        <v/>
      </c>
      <c r="AL956" s="460">
        <f>申込書!$H$14</f>
        <v>0</v>
      </c>
      <c r="AM956" s="460" t="str">
        <f>申込書!$C$32</f>
        <v>B4（折り無し）</v>
      </c>
      <c r="AN956" s="460" t="str">
        <f>VLOOKUP(AM956,★サイズ表記!$D$4:$E$55,2,FALSE)</f>
        <v>1001</v>
      </c>
      <c r="AO956" s="460">
        <f>IF(C956&lt;&gt;"⑧兵庫",VLOOKUP(LEFT(F956),★新聞!$A$4:$B$12,2,FALSE),IF(LEFT(F956)&lt;&gt;"S",VLOOKUP(LEFT(F956),★新聞!$A$4:$B$12,2,FALSE),VLOOKUP("X",★新聞!$A$4:$B$12,2,FALSE)))</f>
        <v>1</v>
      </c>
      <c r="AP956" s="460" t="str">
        <f t="shared" ca="1" si="116"/>
        <v>0</v>
      </c>
      <c r="AQ956" s="460" t="str">
        <f>IF(申込書!$C$38="","",申込書!$C$38)</f>
        <v/>
      </c>
    </row>
    <row r="957" spans="1:43">
      <c r="A957" s="463">
        <f t="shared" si="109"/>
        <v>956</v>
      </c>
      <c r="B957" s="463" t="str">
        <f t="shared" si="110"/>
        <v>東部</v>
      </c>
      <c r="C957" s="464" t="s">
        <v>1244</v>
      </c>
      <c r="D957" s="464" t="s">
        <v>1242</v>
      </c>
      <c r="E957" s="464">
        <f>VLOOKUP(D957,★折込地区!$A$2:$D$10,4,FALSE)</f>
        <v>9</v>
      </c>
      <c r="F957" s="464" t="s">
        <v>1285</v>
      </c>
      <c r="G957" s="464" t="str">
        <f>INDEX(★新聞!$E$4:$I$12, MATCH(LEFT(F957),★新聞!$A$4:$A$12,0), MATCH(LEFT(W957),★新聞!$E$3:$I$3,0))</f>
        <v>X</v>
      </c>
      <c r="H957" s="475" t="s">
        <v>1247</v>
      </c>
      <c r="I957" s="464" cm="1">
        <f t="array" ref="I957">IFERROR(INDEX(★原価率!$A$2:$E$50,MATCH($C957&amp;$H957,★原価率!$A$2:$A$50&amp;★原価率!$B$2:$B$50,0),3),0)</f>
        <v>50</v>
      </c>
      <c r="J957" s="464" cm="1">
        <f t="array" ref="J957">IFERROR(INDEX(★原価率!$A$2:$E$50,MATCH($C957&amp;$H957,★原価率!$A$2:$A$50&amp;★原価率!$B$2:$B$50,0),4),0)</f>
        <v>50</v>
      </c>
      <c r="K957" s="464" cm="1">
        <f t="array" ref="K957">IFERROR(INDEX(★原価率!$A$2:$E$50,MATCH($C957&amp;$H957,★原価率!$A$2:$A$50&amp;★原価率!$B$2:$B$50,0),5),0)</f>
        <v>85</v>
      </c>
      <c r="L957" s="528">
        <f>IFERROR(VLOOKUP(W957,★商品!$A$1:$H$1231,8,FALSE),0)</f>
        <v>0</v>
      </c>
      <c r="M957" s="203" t="str">
        <f ca="1">CONCATENATE(VLOOKUP(B957,★営業所!$A$2:$B$5,2,FALSE),TEXT(NOW(),"yyyy"))</f>
        <v>T2023</v>
      </c>
      <c r="N957" s="203">
        <v>1</v>
      </c>
      <c r="O957" s="203">
        <v>0</v>
      </c>
      <c r="P957" s="213">
        <f>申込書!$B$6</f>
        <v>0</v>
      </c>
      <c r="Q957" s="203">
        <f>申込書!$C$34</f>
        <v>1000040</v>
      </c>
      <c r="R957" s="203">
        <v>0</v>
      </c>
      <c r="U957" s="203">
        <f>VLOOKUP(B957,★営業所!$A$2:$C$5,3,FALSE)</f>
        <v>8</v>
      </c>
      <c r="V957" s="203">
        <f>申込書!$B$9</f>
        <v>0</v>
      </c>
      <c r="W957" s="203" t="str">
        <f>CONCATENATE(VLOOKUP(B957,★営業所!$A$2:$B$5,2,FALSE),VLOOKUP(申込書!$C$32,★サイズ表記!$D$4:$E$55,2,FALSE),VLOOKUP(D957,★折込地区!$A$2:$B$11,2,FALSE))</f>
        <v>T1001Osk</v>
      </c>
      <c r="X957" s="203" t="str">
        <f>CONCATENATE(申込書!$B$9," ",VLOOKUP(RIGHT(W957,3),★折込地区!$B$2:$C$10,2,FALSE),"")</f>
        <v xml:space="preserve"> 大阪</v>
      </c>
      <c r="Z957" s="206">
        <f t="shared" ca="1" si="111"/>
        <v>0</v>
      </c>
      <c r="AB957" s="383">
        <f t="shared" si="112"/>
        <v>0</v>
      </c>
      <c r="AC957" s="203" t="str">
        <f t="shared" si="113"/>
        <v>D1001</v>
      </c>
      <c r="AD957" s="203" t="str">
        <f>VLOOKUP(AC957,★原価商品!$E$6:$F$349,2,FALSE)</f>
        <v>日本海/B4（折り無し）</v>
      </c>
      <c r="AE957" s="203">
        <f t="shared" ca="1" si="114"/>
        <v>0</v>
      </c>
      <c r="AF957" s="383">
        <f>IFERROR(IF(VLOOKUP(申込書!$C$32,★サイズ表記!$F$4:$H$55,3,FALSE)="切り捨て",ROUNDDOWN(L957*IF(AK957="◎",I957,J957)/100,2),IF(VLOOKUP(申込書!$C$32,★サイズ表記!$F$4:$H$55,3,FALSE)="切り上げ",ROUNDUP(L957*IF(AK957="◎",I957,J957)/100,2),ROUND(L957*IF(AK957="◎",I957,J957)/100,2))),0)</f>
        <v>0</v>
      </c>
      <c r="AG957" s="203">
        <f t="shared" ca="1" si="115"/>
        <v>0</v>
      </c>
      <c r="AJ957" s="460" t="str">
        <f>IFERROR(VLOOKUP(申込書!$C$30,★業種!$D$2:$E$87,2,FALSE),"")</f>
        <v>1003</v>
      </c>
      <c r="AK957" s="460" t="str">
        <f>IF(申込書!$C$36="◎",IF(OR(D957="浜坂・温泉",D957="美方・村岡",D957="香住",D957="岡山",D957="大阪"),"",IF(LEFT(F957)="D","◎",IF(AG957=0,"",IFERROR(IF(VLOOKUP(AG957,★仕入先!$A$2:$C$211,3,FALSE)=0,"","◎"),"")))),"")</f>
        <v/>
      </c>
      <c r="AL957" s="460">
        <f>申込書!$H$14</f>
        <v>0</v>
      </c>
      <c r="AM957" s="460" t="str">
        <f>申込書!$C$32</f>
        <v>B4（折り無し）</v>
      </c>
      <c r="AN957" s="460" t="str">
        <f>VLOOKUP(AM957,★サイズ表記!$D$4:$E$55,2,FALSE)</f>
        <v>1001</v>
      </c>
      <c r="AO957" s="460">
        <f>IF(C957&lt;&gt;"⑧兵庫",VLOOKUP(LEFT(F957),★新聞!$A$4:$B$12,2,FALSE),IF(LEFT(F957)&lt;&gt;"S",VLOOKUP(LEFT(F957),★新聞!$A$4:$B$12,2,FALSE),VLOOKUP("X",★新聞!$A$4:$B$12,2,FALSE)))</f>
        <v>1</v>
      </c>
      <c r="AP957" s="460" t="str">
        <f t="shared" ca="1" si="116"/>
        <v>0</v>
      </c>
      <c r="AQ957" s="460" t="str">
        <f>IF(申込書!$C$38="","",申込書!$C$38)</f>
        <v/>
      </c>
    </row>
    <row r="958" spans="1:43">
      <c r="A958" s="463">
        <f t="shared" si="109"/>
        <v>957</v>
      </c>
      <c r="B958" s="463" t="str">
        <f t="shared" si="110"/>
        <v>東部</v>
      </c>
      <c r="C958" s="464" t="s">
        <v>1244</v>
      </c>
      <c r="D958" s="464" t="s">
        <v>1242</v>
      </c>
      <c r="E958" s="464">
        <f>VLOOKUP(D958,★折込地区!$A$2:$D$10,4,FALSE)</f>
        <v>9</v>
      </c>
      <c r="F958" s="464" t="s">
        <v>1286</v>
      </c>
      <c r="G958" s="464" t="str">
        <f>INDEX(★新聞!$E$4:$I$12, MATCH(LEFT(F958),★新聞!$A$4:$A$12,0), MATCH(LEFT(W958),★新聞!$E$3:$I$3,0))</f>
        <v>X</v>
      </c>
      <c r="H958" s="475" t="s">
        <v>1247</v>
      </c>
      <c r="I958" s="464" cm="1">
        <f t="array" ref="I958">IFERROR(INDEX(★原価率!$A$2:$E$50,MATCH($C958&amp;$H958,★原価率!$A$2:$A$50&amp;★原価率!$B$2:$B$50,0),3),0)</f>
        <v>50</v>
      </c>
      <c r="J958" s="464" cm="1">
        <f t="array" ref="J958">IFERROR(INDEX(★原価率!$A$2:$E$50,MATCH($C958&amp;$H958,★原価率!$A$2:$A$50&amp;★原価率!$B$2:$B$50,0),4),0)</f>
        <v>50</v>
      </c>
      <c r="K958" s="464" cm="1">
        <f t="array" ref="K958">IFERROR(INDEX(★原価率!$A$2:$E$50,MATCH($C958&amp;$H958,★原価率!$A$2:$A$50&amp;★原価率!$B$2:$B$50,0),5),0)</f>
        <v>85</v>
      </c>
      <c r="L958" s="528">
        <f>IFERROR(VLOOKUP(W958,★商品!$A$1:$H$1231,8,FALSE),0)</f>
        <v>0</v>
      </c>
      <c r="M958" s="203" t="str">
        <f ca="1">CONCATENATE(VLOOKUP(B958,★営業所!$A$2:$B$5,2,FALSE),TEXT(NOW(),"yyyy"))</f>
        <v>T2023</v>
      </c>
      <c r="N958" s="203">
        <v>1</v>
      </c>
      <c r="O958" s="203">
        <v>0</v>
      </c>
      <c r="P958" s="213">
        <f>申込書!$B$6</f>
        <v>0</v>
      </c>
      <c r="Q958" s="203">
        <f>申込書!$C$34</f>
        <v>1000040</v>
      </c>
      <c r="R958" s="203">
        <v>0</v>
      </c>
      <c r="U958" s="203">
        <f>VLOOKUP(B958,★営業所!$A$2:$C$5,3,FALSE)</f>
        <v>8</v>
      </c>
      <c r="V958" s="203">
        <f>申込書!$B$9</f>
        <v>0</v>
      </c>
      <c r="W958" s="203" t="str">
        <f>CONCATENATE(VLOOKUP(B958,★営業所!$A$2:$B$5,2,FALSE),VLOOKUP(申込書!$C$32,★サイズ表記!$D$4:$E$55,2,FALSE),VLOOKUP(D958,★折込地区!$A$2:$B$11,2,FALSE))</f>
        <v>T1001Osk</v>
      </c>
      <c r="X958" s="203" t="str">
        <f>CONCATENATE(申込書!$B$9," ",VLOOKUP(RIGHT(W958,3),★折込地区!$B$2:$C$10,2,FALSE),"")</f>
        <v xml:space="preserve"> 大阪</v>
      </c>
      <c r="Z958" s="206">
        <f t="shared" ca="1" si="111"/>
        <v>0</v>
      </c>
      <c r="AB958" s="383">
        <f t="shared" si="112"/>
        <v>0</v>
      </c>
      <c r="AC958" s="203" t="str">
        <f t="shared" si="113"/>
        <v>D1001</v>
      </c>
      <c r="AD958" s="203" t="str">
        <f>VLOOKUP(AC958,★原価商品!$E$6:$F$349,2,FALSE)</f>
        <v>日本海/B4（折り無し）</v>
      </c>
      <c r="AE958" s="203">
        <f t="shared" ca="1" si="114"/>
        <v>0</v>
      </c>
      <c r="AF958" s="383">
        <f>IFERROR(IF(VLOOKUP(申込書!$C$32,★サイズ表記!$F$4:$H$55,3,FALSE)="切り捨て",ROUNDDOWN(L958*IF(AK958="◎",I958,J958)/100,2),IF(VLOOKUP(申込書!$C$32,★サイズ表記!$F$4:$H$55,3,FALSE)="切り上げ",ROUNDUP(L958*IF(AK958="◎",I958,J958)/100,2),ROUND(L958*IF(AK958="◎",I958,J958)/100,2))),0)</f>
        <v>0</v>
      </c>
      <c r="AG958" s="203">
        <f t="shared" ca="1" si="115"/>
        <v>0</v>
      </c>
      <c r="AJ958" s="460" t="str">
        <f>IFERROR(VLOOKUP(申込書!$C$30,★業種!$D$2:$E$87,2,FALSE),"")</f>
        <v>1003</v>
      </c>
      <c r="AK958" s="460" t="str">
        <f>IF(申込書!$C$36="◎",IF(OR(D958="浜坂・温泉",D958="美方・村岡",D958="香住",D958="岡山",D958="大阪"),"",IF(LEFT(F958)="D","◎",IF(AG958=0,"",IFERROR(IF(VLOOKUP(AG958,★仕入先!$A$2:$C$211,3,FALSE)=0,"","◎"),"")))),"")</f>
        <v/>
      </c>
      <c r="AL958" s="460">
        <f>申込書!$H$14</f>
        <v>0</v>
      </c>
      <c r="AM958" s="460" t="str">
        <f>申込書!$C$32</f>
        <v>B4（折り無し）</v>
      </c>
      <c r="AN958" s="460" t="str">
        <f>VLOOKUP(AM958,★サイズ表記!$D$4:$E$55,2,FALSE)</f>
        <v>1001</v>
      </c>
      <c r="AO958" s="460">
        <f>IF(C958&lt;&gt;"⑧兵庫",VLOOKUP(LEFT(F958),★新聞!$A$4:$B$12,2,FALSE),IF(LEFT(F958)&lt;&gt;"S",VLOOKUP(LEFT(F958),★新聞!$A$4:$B$12,2,FALSE),VLOOKUP("X",★新聞!$A$4:$B$12,2,FALSE)))</f>
        <v>1</v>
      </c>
      <c r="AP958" s="460" t="str">
        <f t="shared" ca="1" si="116"/>
        <v>0</v>
      </c>
      <c r="AQ958" s="460" t="str">
        <f>IF(申込書!$C$38="","",申込書!$C$38)</f>
        <v/>
      </c>
    </row>
    <row r="959" spans="1:43">
      <c r="A959" s="463">
        <f t="shared" si="109"/>
        <v>958</v>
      </c>
      <c r="B959" s="463" t="str">
        <f t="shared" si="110"/>
        <v>東部</v>
      </c>
      <c r="C959" s="464" t="s">
        <v>1244</v>
      </c>
      <c r="D959" s="464" t="s">
        <v>1242</v>
      </c>
      <c r="E959" s="464">
        <f>VLOOKUP(D959,★折込地区!$A$2:$D$10,4,FALSE)</f>
        <v>9</v>
      </c>
      <c r="F959" s="464" t="s">
        <v>1287</v>
      </c>
      <c r="G959" s="464" t="str">
        <f>INDEX(★新聞!$E$4:$I$12, MATCH(LEFT(F959),★新聞!$A$4:$A$12,0), MATCH(LEFT(W959),★新聞!$E$3:$I$3,0))</f>
        <v>X</v>
      </c>
      <c r="H959" s="475" t="s">
        <v>1247</v>
      </c>
      <c r="I959" s="464" cm="1">
        <f t="array" ref="I959">IFERROR(INDEX(★原価率!$A$2:$E$50,MATCH($C959&amp;$H959,★原価率!$A$2:$A$50&amp;★原価率!$B$2:$B$50,0),3),0)</f>
        <v>50</v>
      </c>
      <c r="J959" s="464" cm="1">
        <f t="array" ref="J959">IFERROR(INDEX(★原価率!$A$2:$E$50,MATCH($C959&amp;$H959,★原価率!$A$2:$A$50&amp;★原価率!$B$2:$B$50,0),4),0)</f>
        <v>50</v>
      </c>
      <c r="K959" s="464" cm="1">
        <f t="array" ref="K959">IFERROR(INDEX(★原価率!$A$2:$E$50,MATCH($C959&amp;$H959,★原価率!$A$2:$A$50&amp;★原価率!$B$2:$B$50,0),5),0)</f>
        <v>85</v>
      </c>
      <c r="L959" s="528">
        <f>IFERROR(VLOOKUP(W959,★商品!$A$1:$H$1231,8,FALSE),0)</f>
        <v>0</v>
      </c>
      <c r="M959" s="203" t="str">
        <f ca="1">CONCATENATE(VLOOKUP(B959,★営業所!$A$2:$B$5,2,FALSE),TEXT(NOW(),"yyyy"))</f>
        <v>T2023</v>
      </c>
      <c r="N959" s="203">
        <v>1</v>
      </c>
      <c r="O959" s="203">
        <v>0</v>
      </c>
      <c r="P959" s="213">
        <f>申込書!$B$6</f>
        <v>0</v>
      </c>
      <c r="Q959" s="203">
        <f>申込書!$C$34</f>
        <v>1000040</v>
      </c>
      <c r="R959" s="203">
        <v>0</v>
      </c>
      <c r="U959" s="203">
        <f>VLOOKUP(B959,★営業所!$A$2:$C$5,3,FALSE)</f>
        <v>8</v>
      </c>
      <c r="V959" s="203">
        <f>申込書!$B$9</f>
        <v>0</v>
      </c>
      <c r="W959" s="203" t="str">
        <f>CONCATENATE(VLOOKUP(B959,★営業所!$A$2:$B$5,2,FALSE),VLOOKUP(申込書!$C$32,★サイズ表記!$D$4:$E$55,2,FALSE),VLOOKUP(D959,★折込地区!$A$2:$B$11,2,FALSE))</f>
        <v>T1001Osk</v>
      </c>
      <c r="X959" s="203" t="str">
        <f>CONCATENATE(申込書!$B$9," ",VLOOKUP(RIGHT(W959,3),★折込地区!$B$2:$C$10,2,FALSE),"")</f>
        <v xml:space="preserve"> 大阪</v>
      </c>
      <c r="Z959" s="206">
        <f t="shared" ca="1" si="111"/>
        <v>0</v>
      </c>
      <c r="AB959" s="383">
        <f t="shared" si="112"/>
        <v>0</v>
      </c>
      <c r="AC959" s="203" t="str">
        <f t="shared" si="113"/>
        <v>D1001</v>
      </c>
      <c r="AD959" s="203" t="str">
        <f>VLOOKUP(AC959,★原価商品!$E$6:$F$349,2,FALSE)</f>
        <v>日本海/B4（折り無し）</v>
      </c>
      <c r="AE959" s="203">
        <f t="shared" ca="1" si="114"/>
        <v>0</v>
      </c>
      <c r="AF959" s="383">
        <f>IFERROR(IF(VLOOKUP(申込書!$C$32,★サイズ表記!$F$4:$H$55,3,FALSE)="切り捨て",ROUNDDOWN(L959*IF(AK959="◎",I959,J959)/100,2),IF(VLOOKUP(申込書!$C$32,★サイズ表記!$F$4:$H$55,3,FALSE)="切り上げ",ROUNDUP(L959*IF(AK959="◎",I959,J959)/100,2),ROUND(L959*IF(AK959="◎",I959,J959)/100,2))),0)</f>
        <v>0</v>
      </c>
      <c r="AG959" s="203">
        <f t="shared" ca="1" si="115"/>
        <v>0</v>
      </c>
      <c r="AJ959" s="460" t="str">
        <f>IFERROR(VLOOKUP(申込書!$C$30,★業種!$D$2:$E$87,2,FALSE),"")</f>
        <v>1003</v>
      </c>
      <c r="AK959" s="460" t="str">
        <f>IF(申込書!$C$36="◎",IF(OR(D959="浜坂・温泉",D959="美方・村岡",D959="香住",D959="岡山",D959="大阪"),"",IF(LEFT(F959)="D","◎",IF(AG959=0,"",IFERROR(IF(VLOOKUP(AG959,★仕入先!$A$2:$C$211,3,FALSE)=0,"","◎"),"")))),"")</f>
        <v/>
      </c>
      <c r="AL959" s="460">
        <f>申込書!$H$14</f>
        <v>0</v>
      </c>
      <c r="AM959" s="460" t="str">
        <f>申込書!$C$32</f>
        <v>B4（折り無し）</v>
      </c>
      <c r="AN959" s="460" t="str">
        <f>VLOOKUP(AM959,★サイズ表記!$D$4:$E$55,2,FALSE)</f>
        <v>1001</v>
      </c>
      <c r="AO959" s="460">
        <f>IF(C959&lt;&gt;"⑧兵庫",VLOOKUP(LEFT(F959),★新聞!$A$4:$B$12,2,FALSE),IF(LEFT(F959)&lt;&gt;"S",VLOOKUP(LEFT(F959),★新聞!$A$4:$B$12,2,FALSE),VLOOKUP("X",★新聞!$A$4:$B$12,2,FALSE)))</f>
        <v>1</v>
      </c>
      <c r="AP959" s="460" t="str">
        <f t="shared" ca="1" si="116"/>
        <v>0</v>
      </c>
      <c r="AQ959" s="460" t="str">
        <f>IF(申込書!$C$38="","",申込書!$C$38)</f>
        <v/>
      </c>
    </row>
    <row r="960" spans="1:43">
      <c r="A960" s="463">
        <f t="shared" si="109"/>
        <v>959</v>
      </c>
      <c r="B960" s="463" t="str">
        <f t="shared" si="110"/>
        <v>東部</v>
      </c>
      <c r="C960" s="464" t="s">
        <v>1244</v>
      </c>
      <c r="D960" s="464" t="s">
        <v>1242</v>
      </c>
      <c r="E960" s="464">
        <f>VLOOKUP(D960,★折込地区!$A$2:$D$10,4,FALSE)</f>
        <v>9</v>
      </c>
      <c r="F960" s="464" t="s">
        <v>1288</v>
      </c>
      <c r="G960" s="464" t="str">
        <f>INDEX(★新聞!$E$4:$I$12, MATCH(LEFT(F960),★新聞!$A$4:$A$12,0), MATCH(LEFT(W960),★新聞!$E$3:$I$3,0))</f>
        <v>X</v>
      </c>
      <c r="H960" s="475" t="s">
        <v>1247</v>
      </c>
      <c r="I960" s="464" cm="1">
        <f t="array" ref="I960">IFERROR(INDEX(★原価率!$A$2:$E$50,MATCH($C960&amp;$H960,★原価率!$A$2:$A$50&amp;★原価率!$B$2:$B$50,0),3),0)</f>
        <v>50</v>
      </c>
      <c r="J960" s="464" cm="1">
        <f t="array" ref="J960">IFERROR(INDEX(★原価率!$A$2:$E$50,MATCH($C960&amp;$H960,★原価率!$A$2:$A$50&amp;★原価率!$B$2:$B$50,0),4),0)</f>
        <v>50</v>
      </c>
      <c r="K960" s="464" cm="1">
        <f t="array" ref="K960">IFERROR(INDEX(★原価率!$A$2:$E$50,MATCH($C960&amp;$H960,★原価率!$A$2:$A$50&amp;★原価率!$B$2:$B$50,0),5),0)</f>
        <v>85</v>
      </c>
      <c r="L960" s="528">
        <f>IFERROR(VLOOKUP(W960,★商品!$A$1:$H$1231,8,FALSE),0)</f>
        <v>0</v>
      </c>
      <c r="M960" s="203" t="str">
        <f ca="1">CONCATENATE(VLOOKUP(B960,★営業所!$A$2:$B$5,2,FALSE),TEXT(NOW(),"yyyy"))</f>
        <v>T2023</v>
      </c>
      <c r="N960" s="203">
        <v>1</v>
      </c>
      <c r="O960" s="203">
        <v>0</v>
      </c>
      <c r="P960" s="213">
        <f>申込書!$B$6</f>
        <v>0</v>
      </c>
      <c r="Q960" s="203">
        <f>申込書!$C$34</f>
        <v>1000040</v>
      </c>
      <c r="R960" s="203">
        <v>0</v>
      </c>
      <c r="U960" s="203">
        <f>VLOOKUP(B960,★営業所!$A$2:$C$5,3,FALSE)</f>
        <v>8</v>
      </c>
      <c r="V960" s="203">
        <f>申込書!$B$9</f>
        <v>0</v>
      </c>
      <c r="W960" s="203" t="str">
        <f>CONCATENATE(VLOOKUP(B960,★営業所!$A$2:$B$5,2,FALSE),VLOOKUP(申込書!$C$32,★サイズ表記!$D$4:$E$55,2,FALSE),VLOOKUP(D960,★折込地区!$A$2:$B$11,2,FALSE))</f>
        <v>T1001Osk</v>
      </c>
      <c r="X960" s="203" t="str">
        <f>CONCATENATE(申込書!$B$9," ",VLOOKUP(RIGHT(W960,3),★折込地区!$B$2:$C$10,2,FALSE),"")</f>
        <v xml:space="preserve"> 大阪</v>
      </c>
      <c r="Z960" s="206">
        <f t="shared" ca="1" si="111"/>
        <v>0</v>
      </c>
      <c r="AB960" s="383">
        <f t="shared" si="112"/>
        <v>0</v>
      </c>
      <c r="AC960" s="203" t="str">
        <f t="shared" si="113"/>
        <v>D1001</v>
      </c>
      <c r="AD960" s="203" t="str">
        <f>VLOOKUP(AC960,★原価商品!$E$6:$F$349,2,FALSE)</f>
        <v>日本海/B4（折り無し）</v>
      </c>
      <c r="AE960" s="203">
        <f t="shared" ca="1" si="114"/>
        <v>0</v>
      </c>
      <c r="AF960" s="383">
        <f>IFERROR(IF(VLOOKUP(申込書!$C$32,★サイズ表記!$F$4:$H$55,3,FALSE)="切り捨て",ROUNDDOWN(L960*IF(AK960="◎",I960,J960)/100,2),IF(VLOOKUP(申込書!$C$32,★サイズ表記!$F$4:$H$55,3,FALSE)="切り上げ",ROUNDUP(L960*IF(AK960="◎",I960,J960)/100,2),ROUND(L960*IF(AK960="◎",I960,J960)/100,2))),0)</f>
        <v>0</v>
      </c>
      <c r="AG960" s="203">
        <f t="shared" ca="1" si="115"/>
        <v>0</v>
      </c>
      <c r="AJ960" s="460" t="str">
        <f>IFERROR(VLOOKUP(申込書!$C$30,★業種!$D$2:$E$87,2,FALSE),"")</f>
        <v>1003</v>
      </c>
      <c r="AK960" s="460" t="str">
        <f>IF(申込書!$C$36="◎",IF(OR(D960="浜坂・温泉",D960="美方・村岡",D960="香住",D960="岡山",D960="大阪"),"",IF(LEFT(F960)="D","◎",IF(AG960=0,"",IFERROR(IF(VLOOKUP(AG960,★仕入先!$A$2:$C$211,3,FALSE)=0,"","◎"),"")))),"")</f>
        <v/>
      </c>
      <c r="AL960" s="460">
        <f>申込書!$H$14</f>
        <v>0</v>
      </c>
      <c r="AM960" s="460" t="str">
        <f>申込書!$C$32</f>
        <v>B4（折り無し）</v>
      </c>
      <c r="AN960" s="460" t="str">
        <f>VLOOKUP(AM960,★サイズ表記!$D$4:$E$55,2,FALSE)</f>
        <v>1001</v>
      </c>
      <c r="AO960" s="460">
        <f>IF(C960&lt;&gt;"⑧兵庫",VLOOKUP(LEFT(F960),★新聞!$A$4:$B$12,2,FALSE),IF(LEFT(F960)&lt;&gt;"S",VLOOKUP(LEFT(F960),★新聞!$A$4:$B$12,2,FALSE),VLOOKUP("X",★新聞!$A$4:$B$12,2,FALSE)))</f>
        <v>1</v>
      </c>
      <c r="AP960" s="460" t="str">
        <f t="shared" ca="1" si="116"/>
        <v>0</v>
      </c>
      <c r="AQ960" s="460" t="str">
        <f>IF(申込書!$C$38="","",申込書!$C$38)</f>
        <v/>
      </c>
    </row>
    <row r="961" spans="1:43">
      <c r="A961" s="463">
        <f t="shared" si="109"/>
        <v>960</v>
      </c>
      <c r="B961" s="463" t="str">
        <f t="shared" si="110"/>
        <v>東部</v>
      </c>
      <c r="C961" s="464" t="s">
        <v>1244</v>
      </c>
      <c r="D961" s="464" t="s">
        <v>1242</v>
      </c>
      <c r="E961" s="464">
        <f>VLOOKUP(D961,★折込地区!$A$2:$D$10,4,FALSE)</f>
        <v>9</v>
      </c>
      <c r="F961" s="464" t="s">
        <v>1289</v>
      </c>
      <c r="G961" s="464" t="str">
        <f>INDEX(★新聞!$E$4:$I$12, MATCH(LEFT(F961),★新聞!$A$4:$A$12,0), MATCH(LEFT(W961),★新聞!$E$3:$I$3,0))</f>
        <v>X</v>
      </c>
      <c r="H961" s="475" t="s">
        <v>1247</v>
      </c>
      <c r="I961" s="464" cm="1">
        <f t="array" ref="I961">IFERROR(INDEX(★原価率!$A$2:$E$50,MATCH($C961&amp;$H961,★原価率!$A$2:$A$50&amp;★原価率!$B$2:$B$50,0),3),0)</f>
        <v>50</v>
      </c>
      <c r="J961" s="464" cm="1">
        <f t="array" ref="J961">IFERROR(INDEX(★原価率!$A$2:$E$50,MATCH($C961&amp;$H961,★原価率!$A$2:$A$50&amp;★原価率!$B$2:$B$50,0),4),0)</f>
        <v>50</v>
      </c>
      <c r="K961" s="464" cm="1">
        <f t="array" ref="K961">IFERROR(INDEX(★原価率!$A$2:$E$50,MATCH($C961&amp;$H961,★原価率!$A$2:$A$50&amp;★原価率!$B$2:$B$50,0),5),0)</f>
        <v>85</v>
      </c>
      <c r="L961" s="528">
        <f>IFERROR(VLOOKUP(W961,★商品!$A$1:$H$1231,8,FALSE),0)</f>
        <v>0</v>
      </c>
      <c r="M961" s="203" t="str">
        <f ca="1">CONCATENATE(VLOOKUP(B961,★営業所!$A$2:$B$5,2,FALSE),TEXT(NOW(),"yyyy"))</f>
        <v>T2023</v>
      </c>
      <c r="N961" s="203">
        <v>1</v>
      </c>
      <c r="O961" s="203">
        <v>0</v>
      </c>
      <c r="P961" s="213">
        <f>申込書!$B$6</f>
        <v>0</v>
      </c>
      <c r="Q961" s="203">
        <f>申込書!$C$34</f>
        <v>1000040</v>
      </c>
      <c r="R961" s="203">
        <v>0</v>
      </c>
      <c r="U961" s="203">
        <f>VLOOKUP(B961,★営業所!$A$2:$C$5,3,FALSE)</f>
        <v>8</v>
      </c>
      <c r="V961" s="203">
        <f>申込書!$B$9</f>
        <v>0</v>
      </c>
      <c r="W961" s="203" t="str">
        <f>CONCATENATE(VLOOKUP(B961,★営業所!$A$2:$B$5,2,FALSE),VLOOKUP(申込書!$C$32,★サイズ表記!$D$4:$E$55,2,FALSE),VLOOKUP(D961,★折込地区!$A$2:$B$11,2,FALSE))</f>
        <v>T1001Osk</v>
      </c>
      <c r="X961" s="203" t="str">
        <f>CONCATENATE(申込書!$B$9," ",VLOOKUP(RIGHT(W961,3),★折込地区!$B$2:$C$10,2,FALSE),"")</f>
        <v xml:space="preserve"> 大阪</v>
      </c>
      <c r="Z961" s="206">
        <f t="shared" ca="1" si="111"/>
        <v>0</v>
      </c>
      <c r="AB961" s="383">
        <f t="shared" si="112"/>
        <v>0</v>
      </c>
      <c r="AC961" s="203" t="str">
        <f t="shared" si="113"/>
        <v>D1001</v>
      </c>
      <c r="AD961" s="203" t="str">
        <f>VLOOKUP(AC961,★原価商品!$E$6:$F$349,2,FALSE)</f>
        <v>日本海/B4（折り無し）</v>
      </c>
      <c r="AE961" s="203">
        <f t="shared" ca="1" si="114"/>
        <v>0</v>
      </c>
      <c r="AF961" s="383">
        <f>IFERROR(IF(VLOOKUP(申込書!$C$32,★サイズ表記!$F$4:$H$55,3,FALSE)="切り捨て",ROUNDDOWN(L961*IF(AK961="◎",I961,J961)/100,2),IF(VLOOKUP(申込書!$C$32,★サイズ表記!$F$4:$H$55,3,FALSE)="切り上げ",ROUNDUP(L961*IF(AK961="◎",I961,J961)/100,2),ROUND(L961*IF(AK961="◎",I961,J961)/100,2))),0)</f>
        <v>0</v>
      </c>
      <c r="AG961" s="203">
        <f t="shared" ca="1" si="115"/>
        <v>0</v>
      </c>
      <c r="AJ961" s="460" t="str">
        <f>IFERROR(VLOOKUP(申込書!$C$30,★業種!$D$2:$E$87,2,FALSE),"")</f>
        <v>1003</v>
      </c>
      <c r="AK961" s="460" t="str">
        <f>IF(申込書!$C$36="◎",IF(OR(D961="浜坂・温泉",D961="美方・村岡",D961="香住",D961="岡山",D961="大阪"),"",IF(LEFT(F961)="D","◎",IF(AG961=0,"",IFERROR(IF(VLOOKUP(AG961,★仕入先!$A$2:$C$211,3,FALSE)=0,"","◎"),"")))),"")</f>
        <v/>
      </c>
      <c r="AL961" s="460">
        <f>申込書!$H$14</f>
        <v>0</v>
      </c>
      <c r="AM961" s="460" t="str">
        <f>申込書!$C$32</f>
        <v>B4（折り無し）</v>
      </c>
      <c r="AN961" s="460" t="str">
        <f>VLOOKUP(AM961,★サイズ表記!$D$4:$E$55,2,FALSE)</f>
        <v>1001</v>
      </c>
      <c r="AO961" s="460">
        <f>IF(C961&lt;&gt;"⑧兵庫",VLOOKUP(LEFT(F961),★新聞!$A$4:$B$12,2,FALSE),IF(LEFT(F961)&lt;&gt;"S",VLOOKUP(LEFT(F961),★新聞!$A$4:$B$12,2,FALSE),VLOOKUP("X",★新聞!$A$4:$B$12,2,FALSE)))</f>
        <v>1</v>
      </c>
      <c r="AP961" s="460" t="str">
        <f t="shared" ca="1" si="116"/>
        <v>0</v>
      </c>
      <c r="AQ961" s="460" t="str">
        <f>IF(申込書!$C$38="","",申込書!$C$38)</f>
        <v/>
      </c>
    </row>
    <row r="962" spans="1:43">
      <c r="A962" s="463">
        <f t="shared" si="109"/>
        <v>961</v>
      </c>
      <c r="B962" s="463" t="str">
        <f t="shared" si="110"/>
        <v>東部</v>
      </c>
      <c r="C962" s="464" t="s">
        <v>1244</v>
      </c>
      <c r="D962" s="464" t="s">
        <v>1242</v>
      </c>
      <c r="E962" s="464">
        <f>VLOOKUP(D962,★折込地区!$A$2:$D$10,4,FALSE)</f>
        <v>9</v>
      </c>
      <c r="F962" s="464" t="s">
        <v>1290</v>
      </c>
      <c r="G962" s="464" t="str">
        <f>INDEX(★新聞!$E$4:$I$12, MATCH(LEFT(F962),★新聞!$A$4:$A$12,0), MATCH(LEFT(W962),★新聞!$E$3:$I$3,0))</f>
        <v>X</v>
      </c>
      <c r="H962" s="475" t="s">
        <v>1247</v>
      </c>
      <c r="I962" s="464" cm="1">
        <f t="array" ref="I962">IFERROR(INDEX(★原価率!$A$2:$E$50,MATCH($C962&amp;$H962,★原価率!$A$2:$A$50&amp;★原価率!$B$2:$B$50,0),3),0)</f>
        <v>50</v>
      </c>
      <c r="J962" s="464" cm="1">
        <f t="array" ref="J962">IFERROR(INDEX(★原価率!$A$2:$E$50,MATCH($C962&amp;$H962,★原価率!$A$2:$A$50&amp;★原価率!$B$2:$B$50,0),4),0)</f>
        <v>50</v>
      </c>
      <c r="K962" s="464" cm="1">
        <f t="array" ref="K962">IFERROR(INDEX(★原価率!$A$2:$E$50,MATCH($C962&amp;$H962,★原価率!$A$2:$A$50&amp;★原価率!$B$2:$B$50,0),5),0)</f>
        <v>85</v>
      </c>
      <c r="L962" s="528">
        <f>IFERROR(VLOOKUP(W962,★商品!$A$1:$H$1231,8,FALSE),0)</f>
        <v>0</v>
      </c>
      <c r="M962" s="203" t="str">
        <f ca="1">CONCATENATE(VLOOKUP(B962,★営業所!$A$2:$B$5,2,FALSE),TEXT(NOW(),"yyyy"))</f>
        <v>T2023</v>
      </c>
      <c r="N962" s="203">
        <v>1</v>
      </c>
      <c r="O962" s="203">
        <v>0</v>
      </c>
      <c r="P962" s="213">
        <f>申込書!$B$6</f>
        <v>0</v>
      </c>
      <c r="Q962" s="203">
        <f>申込書!$C$34</f>
        <v>1000040</v>
      </c>
      <c r="R962" s="203">
        <v>0</v>
      </c>
      <c r="U962" s="203">
        <f>VLOOKUP(B962,★営業所!$A$2:$C$5,3,FALSE)</f>
        <v>8</v>
      </c>
      <c r="V962" s="203">
        <f>申込書!$B$9</f>
        <v>0</v>
      </c>
      <c r="W962" s="203" t="str">
        <f>CONCATENATE(VLOOKUP(B962,★営業所!$A$2:$B$5,2,FALSE),VLOOKUP(申込書!$C$32,★サイズ表記!$D$4:$E$55,2,FALSE),VLOOKUP(D962,★折込地区!$A$2:$B$11,2,FALSE))</f>
        <v>T1001Osk</v>
      </c>
      <c r="X962" s="203" t="str">
        <f>CONCATENATE(申込書!$B$9," ",VLOOKUP(RIGHT(W962,3),★折込地区!$B$2:$C$10,2,FALSE),"")</f>
        <v xml:space="preserve"> 大阪</v>
      </c>
      <c r="Z962" s="206">
        <f t="shared" ref="Z962:Z976" ca="1" si="117">SUMIFS($AE$2:$AE$977,$W$2:$W$977,W962,$AG$2:$AG$977,"&lt;&gt;0")</f>
        <v>0</v>
      </c>
      <c r="AB962" s="383">
        <f t="shared" ref="AB962:AB976" si="118">IFERROR(L962*K962/100,0)</f>
        <v>0</v>
      </c>
      <c r="AC962" s="203" t="str">
        <f t="shared" ref="AC962:AC976" si="119">CONCATENATE(LEFT(F962),AN962)</f>
        <v>D1001</v>
      </c>
      <c r="AD962" s="203" t="str">
        <f>VLOOKUP(AC962,★原価商品!$E$6:$F$349,2,FALSE)</f>
        <v>日本海/B4（折り無し）</v>
      </c>
      <c r="AE962" s="203">
        <f t="shared" ref="AE962:AE968" ca="1" si="120">INDIRECT(C962 &amp; "!" &amp; F962)</f>
        <v>0</v>
      </c>
      <c r="AF962" s="383">
        <f>IFERROR(IF(VLOOKUP(申込書!$C$32,★サイズ表記!$F$4:$H$55,3,FALSE)="切り捨て",ROUNDDOWN(L962*IF(AK962="◎",I962,J962)/100,2),IF(VLOOKUP(申込書!$C$32,★サイズ表記!$F$4:$H$55,3,FALSE)="切り上げ",ROUNDUP(L962*IF(AK962="◎",I962,J962)/100,2),ROUND(L962*IF(AK962="◎",I962,J962)/100,2))),0)</f>
        <v>0</v>
      </c>
      <c r="AG962" s="203">
        <f t="shared" ca="1" si="115"/>
        <v>0</v>
      </c>
      <c r="AJ962" s="460" t="str">
        <f>IFERROR(VLOOKUP(申込書!$C$30,★業種!$D$2:$E$87,2,FALSE),"")</f>
        <v>1003</v>
      </c>
      <c r="AK962" s="460" t="str">
        <f>IF(申込書!$C$36="◎",IF(OR(D962="浜坂・温泉",D962="美方・村岡",D962="香住",D962="岡山",D962="大阪"),"",IF(LEFT(F962)="D","◎",IF(AG962=0,"",IFERROR(IF(VLOOKUP(AG962,★仕入先!$A$2:$C$211,3,FALSE)=0,"","◎"),"")))),"")</f>
        <v/>
      </c>
      <c r="AL962" s="460">
        <f>申込書!$H$14</f>
        <v>0</v>
      </c>
      <c r="AM962" s="460" t="str">
        <f>申込書!$C$32</f>
        <v>B4（折り無し）</v>
      </c>
      <c r="AN962" s="460" t="str">
        <f>VLOOKUP(AM962,★サイズ表記!$D$4:$E$55,2,FALSE)</f>
        <v>1001</v>
      </c>
      <c r="AO962" s="460">
        <f>IF(C962&lt;&gt;"⑧兵庫",VLOOKUP(LEFT(F962),★新聞!$A$4:$B$12,2,FALSE),IF(LEFT(F962)&lt;&gt;"S",VLOOKUP(LEFT(F962),★新聞!$A$4:$B$12,2,FALSE),VLOOKUP("X",★新聞!$A$4:$B$12,2,FALSE)))</f>
        <v>1</v>
      </c>
      <c r="AP962" s="460" t="str">
        <f t="shared" ref="AP962:AP976" ca="1" si="121">FIXED(SUM($AE$2:$AE$977),0,FALSE)</f>
        <v>0</v>
      </c>
      <c r="AQ962" s="460" t="str">
        <f>IF(申込書!$C$38="","",申込書!$C$38)</f>
        <v/>
      </c>
    </row>
    <row r="963" spans="1:43">
      <c r="A963" s="463">
        <f t="shared" si="109"/>
        <v>962</v>
      </c>
      <c r="B963" s="463" t="str">
        <f t="shared" si="110"/>
        <v>東部</v>
      </c>
      <c r="C963" s="464" t="s">
        <v>1244</v>
      </c>
      <c r="D963" s="464" t="s">
        <v>1242</v>
      </c>
      <c r="E963" s="464">
        <f>VLOOKUP(D963,★折込地区!$A$2:$D$10,4,FALSE)</f>
        <v>9</v>
      </c>
      <c r="F963" s="464" t="s">
        <v>1291</v>
      </c>
      <c r="G963" s="464" t="str">
        <f>INDEX(★新聞!$E$4:$I$12, MATCH(LEFT(F963),★新聞!$A$4:$A$12,0), MATCH(LEFT(W963),★新聞!$E$3:$I$3,0))</f>
        <v>X</v>
      </c>
      <c r="H963" s="475" t="s">
        <v>1247</v>
      </c>
      <c r="I963" s="464" cm="1">
        <f t="array" ref="I963">IFERROR(INDEX(★原価率!$A$2:$E$50,MATCH($C963&amp;$H963,★原価率!$A$2:$A$50&amp;★原価率!$B$2:$B$50,0),3),0)</f>
        <v>50</v>
      </c>
      <c r="J963" s="464" cm="1">
        <f t="array" ref="J963">IFERROR(INDEX(★原価率!$A$2:$E$50,MATCH($C963&amp;$H963,★原価率!$A$2:$A$50&amp;★原価率!$B$2:$B$50,0),4),0)</f>
        <v>50</v>
      </c>
      <c r="K963" s="464" cm="1">
        <f t="array" ref="K963">IFERROR(INDEX(★原価率!$A$2:$E$50,MATCH($C963&amp;$H963,★原価率!$A$2:$A$50&amp;★原価率!$B$2:$B$50,0),5),0)</f>
        <v>85</v>
      </c>
      <c r="L963" s="528">
        <f>IFERROR(VLOOKUP(W963,★商品!$A$1:$H$1231,8,FALSE),0)</f>
        <v>0</v>
      </c>
      <c r="M963" s="203" t="str">
        <f ca="1">CONCATENATE(VLOOKUP(B963,★営業所!$A$2:$B$5,2,FALSE),TEXT(NOW(),"yyyy"))</f>
        <v>T2023</v>
      </c>
      <c r="N963" s="203">
        <v>1</v>
      </c>
      <c r="O963" s="203">
        <v>0</v>
      </c>
      <c r="P963" s="213">
        <f>申込書!$B$6</f>
        <v>0</v>
      </c>
      <c r="Q963" s="203">
        <f>申込書!$C$34</f>
        <v>1000040</v>
      </c>
      <c r="R963" s="203">
        <v>0</v>
      </c>
      <c r="U963" s="203">
        <f>VLOOKUP(B963,★営業所!$A$2:$C$5,3,FALSE)</f>
        <v>8</v>
      </c>
      <c r="V963" s="203">
        <f>申込書!$B$9</f>
        <v>0</v>
      </c>
      <c r="W963" s="203" t="str">
        <f>CONCATENATE(VLOOKUP(B963,★営業所!$A$2:$B$5,2,FALSE),VLOOKUP(申込書!$C$32,★サイズ表記!$D$4:$E$55,2,FALSE),VLOOKUP(D963,★折込地区!$A$2:$B$11,2,FALSE))</f>
        <v>T1001Osk</v>
      </c>
      <c r="X963" s="203" t="str">
        <f>CONCATENATE(申込書!$B$9," ",VLOOKUP(RIGHT(W963,3),★折込地区!$B$2:$C$10,2,FALSE),"")</f>
        <v xml:space="preserve"> 大阪</v>
      </c>
      <c r="Z963" s="206">
        <f t="shared" ca="1" si="117"/>
        <v>0</v>
      </c>
      <c r="AB963" s="383">
        <f t="shared" si="118"/>
        <v>0</v>
      </c>
      <c r="AC963" s="203" t="str">
        <f t="shared" si="119"/>
        <v>D1001</v>
      </c>
      <c r="AD963" s="203" t="str">
        <f>VLOOKUP(AC963,★原価商品!$E$6:$F$349,2,FALSE)</f>
        <v>日本海/B4（折り無し）</v>
      </c>
      <c r="AE963" s="203">
        <f t="shared" ca="1" si="120"/>
        <v>0</v>
      </c>
      <c r="AF963" s="383">
        <f>IFERROR(IF(VLOOKUP(申込書!$C$32,★サイズ表記!$F$4:$H$55,3,FALSE)="切り捨て",ROUNDDOWN(L963*IF(AK963="◎",I963,J963)/100,2),IF(VLOOKUP(申込書!$C$32,★サイズ表記!$F$4:$H$55,3,FALSE)="切り上げ",ROUNDUP(L963*IF(AK963="◎",I963,J963)/100,2),ROUND(L963*IF(AK963="◎",I963,J963)/100,2))),0)</f>
        <v>0</v>
      </c>
      <c r="AG963" s="203">
        <f t="shared" ref="AG963:AG976" ca="1" si="122">IFERROR(INDIRECT(C963 &amp; "!" &amp; G963 &amp; MID(F963,2,1000)),0)</f>
        <v>0</v>
      </c>
      <c r="AJ963" s="460" t="str">
        <f>IFERROR(VLOOKUP(申込書!$C$30,★業種!$D$2:$E$87,2,FALSE),"")</f>
        <v>1003</v>
      </c>
      <c r="AK963" s="460" t="str">
        <f>IF(申込書!$C$36="◎",IF(OR(D963="浜坂・温泉",D963="美方・村岡",D963="香住",D963="岡山",D963="大阪"),"",IF(LEFT(F963)="D","◎",IF(AG963=0,"",IFERROR(IF(VLOOKUP(AG963,★仕入先!$A$2:$C$211,3,FALSE)=0,"","◎"),"")))),"")</f>
        <v/>
      </c>
      <c r="AL963" s="460">
        <f>申込書!$H$14</f>
        <v>0</v>
      </c>
      <c r="AM963" s="460" t="str">
        <f>申込書!$C$32</f>
        <v>B4（折り無し）</v>
      </c>
      <c r="AN963" s="460" t="str">
        <f>VLOOKUP(AM963,★サイズ表記!$D$4:$E$55,2,FALSE)</f>
        <v>1001</v>
      </c>
      <c r="AO963" s="460">
        <f>IF(C963&lt;&gt;"⑧兵庫",VLOOKUP(LEFT(F963),★新聞!$A$4:$B$12,2,FALSE),IF(LEFT(F963)&lt;&gt;"S",VLOOKUP(LEFT(F963),★新聞!$A$4:$B$12,2,FALSE),VLOOKUP("X",★新聞!$A$4:$B$12,2,FALSE)))</f>
        <v>1</v>
      </c>
      <c r="AP963" s="460" t="str">
        <f t="shared" ca="1" si="121"/>
        <v>0</v>
      </c>
      <c r="AQ963" s="460" t="str">
        <f>IF(申込書!$C$38="","",申込書!$C$38)</f>
        <v/>
      </c>
    </row>
    <row r="964" spans="1:43">
      <c r="A964" s="463">
        <f t="shared" si="109"/>
        <v>963</v>
      </c>
      <c r="B964" s="463" t="str">
        <f t="shared" si="110"/>
        <v>東部</v>
      </c>
      <c r="C964" s="464" t="s">
        <v>1244</v>
      </c>
      <c r="D964" s="464" t="s">
        <v>1242</v>
      </c>
      <c r="E964" s="464">
        <f>VLOOKUP(D964,★折込地区!$A$2:$D$10,4,FALSE)</f>
        <v>9</v>
      </c>
      <c r="F964" s="464" t="s">
        <v>1292</v>
      </c>
      <c r="G964" s="464" t="str">
        <f>INDEX(★新聞!$E$4:$I$12, MATCH(LEFT(F964),★新聞!$A$4:$A$12,0), MATCH(LEFT(W964),★新聞!$E$3:$I$3,0))</f>
        <v>X</v>
      </c>
      <c r="H964" s="475" t="s">
        <v>1247</v>
      </c>
      <c r="I964" s="464" cm="1">
        <f t="array" ref="I964">IFERROR(INDEX(★原価率!$A$2:$E$50,MATCH($C964&amp;$H964,★原価率!$A$2:$A$50&amp;★原価率!$B$2:$B$50,0),3),0)</f>
        <v>50</v>
      </c>
      <c r="J964" s="464" cm="1">
        <f t="array" ref="J964">IFERROR(INDEX(★原価率!$A$2:$E$50,MATCH($C964&amp;$H964,★原価率!$A$2:$A$50&amp;★原価率!$B$2:$B$50,0),4),0)</f>
        <v>50</v>
      </c>
      <c r="K964" s="464" cm="1">
        <f t="array" ref="K964">IFERROR(INDEX(★原価率!$A$2:$E$50,MATCH($C964&amp;$H964,★原価率!$A$2:$A$50&amp;★原価率!$B$2:$B$50,0),5),0)</f>
        <v>85</v>
      </c>
      <c r="L964" s="528">
        <f>IFERROR(VLOOKUP(W964,★商品!$A$1:$H$1231,8,FALSE),0)</f>
        <v>0</v>
      </c>
      <c r="M964" s="203" t="str">
        <f ca="1">CONCATENATE(VLOOKUP(B964,★営業所!$A$2:$B$5,2,FALSE),TEXT(NOW(),"yyyy"))</f>
        <v>T2023</v>
      </c>
      <c r="N964" s="203">
        <v>1</v>
      </c>
      <c r="O964" s="203">
        <v>0</v>
      </c>
      <c r="P964" s="213">
        <f>申込書!$B$6</f>
        <v>0</v>
      </c>
      <c r="Q964" s="203">
        <f>申込書!$C$34</f>
        <v>1000040</v>
      </c>
      <c r="R964" s="203">
        <v>0</v>
      </c>
      <c r="U964" s="203">
        <f>VLOOKUP(B964,★営業所!$A$2:$C$5,3,FALSE)</f>
        <v>8</v>
      </c>
      <c r="V964" s="203">
        <f>申込書!$B$9</f>
        <v>0</v>
      </c>
      <c r="W964" s="203" t="str">
        <f>CONCATENATE(VLOOKUP(B964,★営業所!$A$2:$B$5,2,FALSE),VLOOKUP(申込書!$C$32,★サイズ表記!$D$4:$E$55,2,FALSE),VLOOKUP(D964,★折込地区!$A$2:$B$11,2,FALSE))</f>
        <v>T1001Osk</v>
      </c>
      <c r="X964" s="203" t="str">
        <f>CONCATENATE(申込書!$B$9," ",VLOOKUP(RIGHT(W964,3),★折込地区!$B$2:$C$10,2,FALSE),"")</f>
        <v xml:space="preserve"> 大阪</v>
      </c>
      <c r="Z964" s="206">
        <f t="shared" ca="1" si="117"/>
        <v>0</v>
      </c>
      <c r="AB964" s="383">
        <f t="shared" si="118"/>
        <v>0</v>
      </c>
      <c r="AC964" s="203" t="str">
        <f t="shared" si="119"/>
        <v>D1001</v>
      </c>
      <c r="AD964" s="203" t="str">
        <f>VLOOKUP(AC964,★原価商品!$E$6:$F$349,2,FALSE)</f>
        <v>日本海/B4（折り無し）</v>
      </c>
      <c r="AE964" s="203">
        <f t="shared" ca="1" si="120"/>
        <v>0</v>
      </c>
      <c r="AF964" s="383">
        <f>IFERROR(IF(VLOOKUP(申込書!$C$32,★サイズ表記!$F$4:$H$55,3,FALSE)="切り捨て",ROUNDDOWN(L964*IF(AK964="◎",I964,J964)/100,2),IF(VLOOKUP(申込書!$C$32,★サイズ表記!$F$4:$H$55,3,FALSE)="切り上げ",ROUNDUP(L964*IF(AK964="◎",I964,J964)/100,2),ROUND(L964*IF(AK964="◎",I964,J964)/100,2))),0)</f>
        <v>0</v>
      </c>
      <c r="AG964" s="203">
        <f t="shared" ca="1" si="122"/>
        <v>0</v>
      </c>
      <c r="AJ964" s="460" t="str">
        <f>IFERROR(VLOOKUP(申込書!$C$30,★業種!$D$2:$E$87,2,FALSE),"")</f>
        <v>1003</v>
      </c>
      <c r="AK964" s="460" t="str">
        <f>IF(申込書!$C$36="◎",IF(OR(D964="浜坂・温泉",D964="美方・村岡",D964="香住",D964="岡山",D964="大阪"),"",IF(LEFT(F964)="D","◎",IF(AG964=0,"",IFERROR(IF(VLOOKUP(AG964,★仕入先!$A$2:$C$211,3,FALSE)=0,"","◎"),"")))),"")</f>
        <v/>
      </c>
      <c r="AL964" s="460">
        <f>申込書!$H$14</f>
        <v>0</v>
      </c>
      <c r="AM964" s="460" t="str">
        <f>申込書!$C$32</f>
        <v>B4（折り無し）</v>
      </c>
      <c r="AN964" s="460" t="str">
        <f>VLOOKUP(AM964,★サイズ表記!$D$4:$E$55,2,FALSE)</f>
        <v>1001</v>
      </c>
      <c r="AO964" s="460">
        <f>IF(C964&lt;&gt;"⑧兵庫",VLOOKUP(LEFT(F964),★新聞!$A$4:$B$12,2,FALSE),IF(LEFT(F964)&lt;&gt;"S",VLOOKUP(LEFT(F964),★新聞!$A$4:$B$12,2,FALSE),VLOOKUP("X",★新聞!$A$4:$B$12,2,FALSE)))</f>
        <v>1</v>
      </c>
      <c r="AP964" s="460" t="str">
        <f t="shared" ca="1" si="121"/>
        <v>0</v>
      </c>
      <c r="AQ964" s="460" t="str">
        <f>IF(申込書!$C$38="","",申込書!$C$38)</f>
        <v/>
      </c>
    </row>
    <row r="965" spans="1:43">
      <c r="A965" s="463">
        <f t="shared" si="109"/>
        <v>964</v>
      </c>
      <c r="B965" s="463" t="str">
        <f t="shared" si="110"/>
        <v>東部</v>
      </c>
      <c r="C965" s="464" t="s">
        <v>1244</v>
      </c>
      <c r="D965" s="464" t="s">
        <v>1242</v>
      </c>
      <c r="E965" s="464">
        <f>VLOOKUP(D965,★折込地区!$A$2:$D$10,4,FALSE)</f>
        <v>9</v>
      </c>
      <c r="F965" s="464" t="s">
        <v>1293</v>
      </c>
      <c r="G965" s="464" t="str">
        <f>INDEX(★新聞!$E$4:$I$12, MATCH(LEFT(F965),★新聞!$A$4:$A$12,0), MATCH(LEFT(W965),★新聞!$E$3:$I$3,0))</f>
        <v>X</v>
      </c>
      <c r="H965" s="475" t="s">
        <v>1247</v>
      </c>
      <c r="I965" s="464" cm="1">
        <f t="array" ref="I965">IFERROR(INDEX(★原価率!$A$2:$E$50,MATCH($C965&amp;$H965,★原価率!$A$2:$A$50&amp;★原価率!$B$2:$B$50,0),3),0)</f>
        <v>50</v>
      </c>
      <c r="J965" s="464" cm="1">
        <f t="array" ref="J965">IFERROR(INDEX(★原価率!$A$2:$E$50,MATCH($C965&amp;$H965,★原価率!$A$2:$A$50&amp;★原価率!$B$2:$B$50,0),4),0)</f>
        <v>50</v>
      </c>
      <c r="K965" s="464" cm="1">
        <f t="array" ref="K965">IFERROR(INDEX(★原価率!$A$2:$E$50,MATCH($C965&amp;$H965,★原価率!$A$2:$A$50&amp;★原価率!$B$2:$B$50,0),5),0)</f>
        <v>85</v>
      </c>
      <c r="L965" s="528">
        <f>IFERROR(VLOOKUP(W965,★商品!$A$1:$H$1231,8,FALSE),0)</f>
        <v>0</v>
      </c>
      <c r="M965" s="203" t="str">
        <f ca="1">CONCATENATE(VLOOKUP(B965,★営業所!$A$2:$B$5,2,FALSE),TEXT(NOW(),"yyyy"))</f>
        <v>T2023</v>
      </c>
      <c r="N965" s="203">
        <v>1</v>
      </c>
      <c r="O965" s="203">
        <v>0</v>
      </c>
      <c r="P965" s="213">
        <f>申込書!$B$6</f>
        <v>0</v>
      </c>
      <c r="Q965" s="203">
        <f>申込書!$C$34</f>
        <v>1000040</v>
      </c>
      <c r="R965" s="203">
        <v>0</v>
      </c>
      <c r="U965" s="203">
        <f>VLOOKUP(B965,★営業所!$A$2:$C$5,3,FALSE)</f>
        <v>8</v>
      </c>
      <c r="V965" s="203">
        <f>申込書!$B$9</f>
        <v>0</v>
      </c>
      <c r="W965" s="203" t="str">
        <f>CONCATENATE(VLOOKUP(B965,★営業所!$A$2:$B$5,2,FALSE),VLOOKUP(申込書!$C$32,★サイズ表記!$D$4:$E$55,2,FALSE),VLOOKUP(D965,★折込地区!$A$2:$B$11,2,FALSE))</f>
        <v>T1001Osk</v>
      </c>
      <c r="X965" s="203" t="str">
        <f>CONCATENATE(申込書!$B$9," ",VLOOKUP(RIGHT(W965,3),★折込地区!$B$2:$C$10,2,FALSE),"")</f>
        <v xml:space="preserve"> 大阪</v>
      </c>
      <c r="Z965" s="206">
        <f t="shared" ca="1" si="117"/>
        <v>0</v>
      </c>
      <c r="AB965" s="383">
        <f t="shared" si="118"/>
        <v>0</v>
      </c>
      <c r="AC965" s="203" t="str">
        <f t="shared" si="119"/>
        <v>D1001</v>
      </c>
      <c r="AD965" s="203" t="str">
        <f>VLOOKUP(AC965,★原価商品!$E$6:$F$349,2,FALSE)</f>
        <v>日本海/B4（折り無し）</v>
      </c>
      <c r="AE965" s="203">
        <f t="shared" ca="1" si="120"/>
        <v>0</v>
      </c>
      <c r="AF965" s="383">
        <f>IFERROR(IF(VLOOKUP(申込書!$C$32,★サイズ表記!$F$4:$H$55,3,FALSE)="切り捨て",ROUNDDOWN(L965*IF(AK965="◎",I965,J965)/100,2),IF(VLOOKUP(申込書!$C$32,★サイズ表記!$F$4:$H$55,3,FALSE)="切り上げ",ROUNDUP(L965*IF(AK965="◎",I965,J965)/100,2),ROUND(L965*IF(AK965="◎",I965,J965)/100,2))),0)</f>
        <v>0</v>
      </c>
      <c r="AG965" s="203">
        <f t="shared" ca="1" si="122"/>
        <v>0</v>
      </c>
      <c r="AJ965" s="460" t="str">
        <f>IFERROR(VLOOKUP(申込書!$C$30,★業種!$D$2:$E$87,2,FALSE),"")</f>
        <v>1003</v>
      </c>
      <c r="AK965" s="460" t="str">
        <f>IF(申込書!$C$36="◎",IF(OR(D965="浜坂・温泉",D965="美方・村岡",D965="香住",D965="岡山",D965="大阪"),"",IF(LEFT(F965)="D","◎",IF(AG965=0,"",IFERROR(IF(VLOOKUP(AG965,★仕入先!$A$2:$C$211,3,FALSE)=0,"","◎"),"")))),"")</f>
        <v/>
      </c>
      <c r="AL965" s="460">
        <f>申込書!$H$14</f>
        <v>0</v>
      </c>
      <c r="AM965" s="460" t="str">
        <f>申込書!$C$32</f>
        <v>B4（折り無し）</v>
      </c>
      <c r="AN965" s="460" t="str">
        <f>VLOOKUP(AM965,★サイズ表記!$D$4:$E$55,2,FALSE)</f>
        <v>1001</v>
      </c>
      <c r="AO965" s="460">
        <f>IF(C965&lt;&gt;"⑧兵庫",VLOOKUP(LEFT(F965),★新聞!$A$4:$B$12,2,FALSE),IF(LEFT(F965)&lt;&gt;"S",VLOOKUP(LEFT(F965),★新聞!$A$4:$B$12,2,FALSE),VLOOKUP("X",★新聞!$A$4:$B$12,2,FALSE)))</f>
        <v>1</v>
      </c>
      <c r="AP965" s="460" t="str">
        <f t="shared" ca="1" si="121"/>
        <v>0</v>
      </c>
      <c r="AQ965" s="460" t="str">
        <f>IF(申込書!$C$38="","",申込書!$C$38)</f>
        <v/>
      </c>
    </row>
    <row r="966" spans="1:43">
      <c r="A966" s="463">
        <f t="shared" si="109"/>
        <v>965</v>
      </c>
      <c r="B966" s="463" t="str">
        <f t="shared" si="110"/>
        <v>東部</v>
      </c>
      <c r="C966" s="464" t="s">
        <v>1244</v>
      </c>
      <c r="D966" s="464" t="s">
        <v>1242</v>
      </c>
      <c r="E966" s="464">
        <f>VLOOKUP(D966,★折込地区!$A$2:$D$10,4,FALSE)</f>
        <v>9</v>
      </c>
      <c r="F966" s="464" t="s">
        <v>1294</v>
      </c>
      <c r="G966" s="464" t="str">
        <f>INDEX(★新聞!$E$4:$I$12, MATCH(LEFT(F966),★新聞!$A$4:$A$12,0), MATCH(LEFT(W966),★新聞!$E$3:$I$3,0))</f>
        <v>X</v>
      </c>
      <c r="H966" s="475" t="s">
        <v>1247</v>
      </c>
      <c r="I966" s="464" cm="1">
        <f t="array" ref="I966">IFERROR(INDEX(★原価率!$A$2:$E$50,MATCH($C966&amp;$H966,★原価率!$A$2:$A$50&amp;★原価率!$B$2:$B$50,0),3),0)</f>
        <v>50</v>
      </c>
      <c r="J966" s="464" cm="1">
        <f t="array" ref="J966">IFERROR(INDEX(★原価率!$A$2:$E$50,MATCH($C966&amp;$H966,★原価率!$A$2:$A$50&amp;★原価率!$B$2:$B$50,0),4),0)</f>
        <v>50</v>
      </c>
      <c r="K966" s="464" cm="1">
        <f t="array" ref="K966">IFERROR(INDEX(★原価率!$A$2:$E$50,MATCH($C966&amp;$H966,★原価率!$A$2:$A$50&amp;★原価率!$B$2:$B$50,0),5),0)</f>
        <v>85</v>
      </c>
      <c r="L966" s="528">
        <f>IFERROR(VLOOKUP(W966,★商品!$A$1:$H$1231,8,FALSE),0)</f>
        <v>0</v>
      </c>
      <c r="M966" s="203" t="str">
        <f ca="1">CONCATENATE(VLOOKUP(B966,★営業所!$A$2:$B$5,2,FALSE),TEXT(NOW(),"yyyy"))</f>
        <v>T2023</v>
      </c>
      <c r="N966" s="203">
        <v>1</v>
      </c>
      <c r="O966" s="203">
        <v>0</v>
      </c>
      <c r="P966" s="213">
        <f>申込書!$B$6</f>
        <v>0</v>
      </c>
      <c r="Q966" s="203">
        <f>申込書!$C$34</f>
        <v>1000040</v>
      </c>
      <c r="R966" s="203">
        <v>0</v>
      </c>
      <c r="U966" s="203">
        <f>VLOOKUP(B966,★営業所!$A$2:$C$5,3,FALSE)</f>
        <v>8</v>
      </c>
      <c r="V966" s="203">
        <f>申込書!$B$9</f>
        <v>0</v>
      </c>
      <c r="W966" s="203" t="str">
        <f>CONCATENATE(VLOOKUP(B966,★営業所!$A$2:$B$5,2,FALSE),VLOOKUP(申込書!$C$32,★サイズ表記!$D$4:$E$55,2,FALSE),VLOOKUP(D966,★折込地区!$A$2:$B$11,2,FALSE))</f>
        <v>T1001Osk</v>
      </c>
      <c r="X966" s="203" t="str">
        <f>CONCATENATE(申込書!$B$9," ",VLOOKUP(RIGHT(W966,3),★折込地区!$B$2:$C$10,2,FALSE),"")</f>
        <v xml:space="preserve"> 大阪</v>
      </c>
      <c r="Z966" s="206">
        <f t="shared" ca="1" si="117"/>
        <v>0</v>
      </c>
      <c r="AB966" s="383">
        <f t="shared" si="118"/>
        <v>0</v>
      </c>
      <c r="AC966" s="203" t="str">
        <f t="shared" si="119"/>
        <v>D1001</v>
      </c>
      <c r="AD966" s="203" t="str">
        <f>VLOOKUP(AC966,★原価商品!$E$6:$F$349,2,FALSE)</f>
        <v>日本海/B4（折り無し）</v>
      </c>
      <c r="AE966" s="203">
        <f t="shared" ca="1" si="120"/>
        <v>0</v>
      </c>
      <c r="AF966" s="383">
        <f>IFERROR(IF(VLOOKUP(申込書!$C$32,★サイズ表記!$F$4:$H$55,3,FALSE)="切り捨て",ROUNDDOWN(L966*IF(AK966="◎",I966,J966)/100,2),IF(VLOOKUP(申込書!$C$32,★サイズ表記!$F$4:$H$55,3,FALSE)="切り上げ",ROUNDUP(L966*IF(AK966="◎",I966,J966)/100,2),ROUND(L966*IF(AK966="◎",I966,J966)/100,2))),0)</f>
        <v>0</v>
      </c>
      <c r="AG966" s="203">
        <f t="shared" ca="1" si="122"/>
        <v>0</v>
      </c>
      <c r="AJ966" s="460" t="str">
        <f>IFERROR(VLOOKUP(申込書!$C$30,★業種!$D$2:$E$87,2,FALSE),"")</f>
        <v>1003</v>
      </c>
      <c r="AK966" s="460" t="str">
        <f>IF(申込書!$C$36="◎",IF(OR(D966="浜坂・温泉",D966="美方・村岡",D966="香住",D966="岡山",D966="大阪"),"",IF(LEFT(F966)="D","◎",IF(AG966=0,"",IFERROR(IF(VLOOKUP(AG966,★仕入先!$A$2:$C$211,3,FALSE)=0,"","◎"),"")))),"")</f>
        <v/>
      </c>
      <c r="AL966" s="460">
        <f>申込書!$H$14</f>
        <v>0</v>
      </c>
      <c r="AM966" s="460" t="str">
        <f>申込書!$C$32</f>
        <v>B4（折り無し）</v>
      </c>
      <c r="AN966" s="460" t="str">
        <f>VLOOKUP(AM966,★サイズ表記!$D$4:$E$55,2,FALSE)</f>
        <v>1001</v>
      </c>
      <c r="AO966" s="460">
        <f>IF(C966&lt;&gt;"⑧兵庫",VLOOKUP(LEFT(F966),★新聞!$A$4:$B$12,2,FALSE),IF(LEFT(F966)&lt;&gt;"S",VLOOKUP(LEFT(F966),★新聞!$A$4:$B$12,2,FALSE),VLOOKUP("X",★新聞!$A$4:$B$12,2,FALSE)))</f>
        <v>1</v>
      </c>
      <c r="AP966" s="460" t="str">
        <f t="shared" ca="1" si="121"/>
        <v>0</v>
      </c>
      <c r="AQ966" s="460" t="str">
        <f>IF(申込書!$C$38="","",申込書!$C$38)</f>
        <v/>
      </c>
    </row>
    <row r="967" spans="1:43">
      <c r="A967" s="463">
        <f t="shared" si="109"/>
        <v>966</v>
      </c>
      <c r="B967" s="463" t="str">
        <f t="shared" si="110"/>
        <v>東部</v>
      </c>
      <c r="C967" s="464" t="s">
        <v>1244</v>
      </c>
      <c r="D967" s="464" t="s">
        <v>1242</v>
      </c>
      <c r="E967" s="464">
        <f>VLOOKUP(D967,★折込地区!$A$2:$D$10,4,FALSE)</f>
        <v>9</v>
      </c>
      <c r="F967" s="464" t="s">
        <v>1295</v>
      </c>
      <c r="G967" s="464" t="str">
        <f>INDEX(★新聞!$E$4:$I$12, MATCH(LEFT(F967),★新聞!$A$4:$A$12,0), MATCH(LEFT(W967),★新聞!$E$3:$I$3,0))</f>
        <v>X</v>
      </c>
      <c r="H967" s="475" t="s">
        <v>1247</v>
      </c>
      <c r="I967" s="464" cm="1">
        <f t="array" ref="I967">IFERROR(INDEX(★原価率!$A$2:$E$50,MATCH($C967&amp;$H967,★原価率!$A$2:$A$50&amp;★原価率!$B$2:$B$50,0),3),0)</f>
        <v>50</v>
      </c>
      <c r="J967" s="464" cm="1">
        <f t="array" ref="J967">IFERROR(INDEX(★原価率!$A$2:$E$50,MATCH($C967&amp;$H967,★原価率!$A$2:$A$50&amp;★原価率!$B$2:$B$50,0),4),0)</f>
        <v>50</v>
      </c>
      <c r="K967" s="464" cm="1">
        <f t="array" ref="K967">IFERROR(INDEX(★原価率!$A$2:$E$50,MATCH($C967&amp;$H967,★原価率!$A$2:$A$50&amp;★原価率!$B$2:$B$50,0),5),0)</f>
        <v>85</v>
      </c>
      <c r="L967" s="528">
        <f>IFERROR(VLOOKUP(W967,★商品!$A$1:$H$1231,8,FALSE),0)</f>
        <v>0</v>
      </c>
      <c r="M967" s="203" t="str">
        <f ca="1">CONCATENATE(VLOOKUP(B967,★営業所!$A$2:$B$5,2,FALSE),TEXT(NOW(),"yyyy"))</f>
        <v>T2023</v>
      </c>
      <c r="N967" s="203">
        <v>1</v>
      </c>
      <c r="O967" s="203">
        <v>0</v>
      </c>
      <c r="P967" s="213">
        <f>申込書!$B$6</f>
        <v>0</v>
      </c>
      <c r="Q967" s="203">
        <f>申込書!$C$34</f>
        <v>1000040</v>
      </c>
      <c r="R967" s="203">
        <v>0</v>
      </c>
      <c r="U967" s="203">
        <f>VLOOKUP(B967,★営業所!$A$2:$C$5,3,FALSE)</f>
        <v>8</v>
      </c>
      <c r="V967" s="203">
        <f>申込書!$B$9</f>
        <v>0</v>
      </c>
      <c r="W967" s="203" t="str">
        <f>CONCATENATE(VLOOKUP(B967,★営業所!$A$2:$B$5,2,FALSE),VLOOKUP(申込書!$C$32,★サイズ表記!$D$4:$E$55,2,FALSE),VLOOKUP(D967,★折込地区!$A$2:$B$11,2,FALSE))</f>
        <v>T1001Osk</v>
      </c>
      <c r="X967" s="203" t="str">
        <f>CONCATENATE(申込書!$B$9," ",VLOOKUP(RIGHT(W967,3),★折込地区!$B$2:$C$10,2,FALSE),"")</f>
        <v xml:space="preserve"> 大阪</v>
      </c>
      <c r="Z967" s="206">
        <f t="shared" ca="1" si="117"/>
        <v>0</v>
      </c>
      <c r="AB967" s="383">
        <f t="shared" si="118"/>
        <v>0</v>
      </c>
      <c r="AC967" s="203" t="str">
        <f t="shared" si="119"/>
        <v>D1001</v>
      </c>
      <c r="AD967" s="203" t="str">
        <f>VLOOKUP(AC967,★原価商品!$E$6:$F$349,2,FALSE)</f>
        <v>日本海/B4（折り無し）</v>
      </c>
      <c r="AE967" s="203">
        <f t="shared" ca="1" si="120"/>
        <v>0</v>
      </c>
      <c r="AF967" s="383">
        <f>IFERROR(IF(VLOOKUP(申込書!$C$32,★サイズ表記!$F$4:$H$55,3,FALSE)="切り捨て",ROUNDDOWN(L967*IF(AK967="◎",I967,J967)/100,2),IF(VLOOKUP(申込書!$C$32,★サイズ表記!$F$4:$H$55,3,FALSE)="切り上げ",ROUNDUP(L967*IF(AK967="◎",I967,J967)/100,2),ROUND(L967*IF(AK967="◎",I967,J967)/100,2))),0)</f>
        <v>0</v>
      </c>
      <c r="AG967" s="203">
        <f t="shared" ca="1" si="122"/>
        <v>0</v>
      </c>
      <c r="AJ967" s="460" t="str">
        <f>IFERROR(VLOOKUP(申込書!$C$30,★業種!$D$2:$E$87,2,FALSE),"")</f>
        <v>1003</v>
      </c>
      <c r="AK967" s="460" t="str">
        <f>IF(申込書!$C$36="◎",IF(OR(D967="浜坂・温泉",D967="美方・村岡",D967="香住",D967="岡山",D967="大阪"),"",IF(LEFT(F967)="D","◎",IF(AG967=0,"",IFERROR(IF(VLOOKUP(AG967,★仕入先!$A$2:$C$211,3,FALSE)=0,"","◎"),"")))),"")</f>
        <v/>
      </c>
      <c r="AL967" s="460">
        <f>申込書!$H$14</f>
        <v>0</v>
      </c>
      <c r="AM967" s="460" t="str">
        <f>申込書!$C$32</f>
        <v>B4（折り無し）</v>
      </c>
      <c r="AN967" s="460" t="str">
        <f>VLOOKUP(AM967,★サイズ表記!$D$4:$E$55,2,FALSE)</f>
        <v>1001</v>
      </c>
      <c r="AO967" s="460">
        <f>IF(C967&lt;&gt;"⑧兵庫",VLOOKUP(LEFT(F967),★新聞!$A$4:$B$12,2,FALSE),IF(LEFT(F967)&lt;&gt;"S",VLOOKUP(LEFT(F967),★新聞!$A$4:$B$12,2,FALSE),VLOOKUP("X",★新聞!$A$4:$B$12,2,FALSE)))</f>
        <v>1</v>
      </c>
      <c r="AP967" s="460" t="str">
        <f t="shared" ca="1" si="121"/>
        <v>0</v>
      </c>
      <c r="AQ967" s="460" t="str">
        <f>IF(申込書!$C$38="","",申込書!$C$38)</f>
        <v/>
      </c>
    </row>
    <row r="968" spans="1:43">
      <c r="A968" s="463">
        <f t="shared" si="109"/>
        <v>967</v>
      </c>
      <c r="B968" s="463" t="str">
        <f t="shared" si="110"/>
        <v>東部</v>
      </c>
      <c r="C968" s="464" t="s">
        <v>1244</v>
      </c>
      <c r="D968" s="464" t="s">
        <v>1242</v>
      </c>
      <c r="E968" s="464">
        <f>VLOOKUP(D968,★折込地区!$A$2:$D$10,4,FALSE)</f>
        <v>9</v>
      </c>
      <c r="F968" s="464" t="s">
        <v>1296</v>
      </c>
      <c r="G968" s="464" t="str">
        <f>INDEX(★新聞!$E$4:$I$12, MATCH(LEFT(F968),★新聞!$A$4:$A$12,0), MATCH(LEFT(W968),★新聞!$E$3:$I$3,0))</f>
        <v>X</v>
      </c>
      <c r="H968" s="475" t="s">
        <v>1247</v>
      </c>
      <c r="I968" s="464" cm="1">
        <f t="array" ref="I968">IFERROR(INDEX(★原価率!$A$2:$E$50,MATCH($C968&amp;$H968,★原価率!$A$2:$A$50&amp;★原価率!$B$2:$B$50,0),3),0)</f>
        <v>50</v>
      </c>
      <c r="J968" s="464" cm="1">
        <f t="array" ref="J968">IFERROR(INDEX(★原価率!$A$2:$E$50,MATCH($C968&amp;$H968,★原価率!$A$2:$A$50&amp;★原価率!$B$2:$B$50,0),4),0)</f>
        <v>50</v>
      </c>
      <c r="K968" s="464" cm="1">
        <f t="array" ref="K968">IFERROR(INDEX(★原価率!$A$2:$E$50,MATCH($C968&amp;$H968,★原価率!$A$2:$A$50&amp;★原価率!$B$2:$B$50,0),5),0)</f>
        <v>85</v>
      </c>
      <c r="L968" s="528">
        <f>IFERROR(VLOOKUP(W968,★商品!$A$1:$H$1231,8,FALSE),0)</f>
        <v>0</v>
      </c>
      <c r="M968" s="203" t="str">
        <f ca="1">CONCATENATE(VLOOKUP(B968,★営業所!$A$2:$B$5,2,FALSE),TEXT(NOW(),"yyyy"))</f>
        <v>T2023</v>
      </c>
      <c r="N968" s="203">
        <v>1</v>
      </c>
      <c r="O968" s="203">
        <v>0</v>
      </c>
      <c r="P968" s="213">
        <f>申込書!$B$6</f>
        <v>0</v>
      </c>
      <c r="Q968" s="203">
        <f>申込書!$C$34</f>
        <v>1000040</v>
      </c>
      <c r="R968" s="203">
        <v>0</v>
      </c>
      <c r="U968" s="203">
        <f>VLOOKUP(B968,★営業所!$A$2:$C$5,3,FALSE)</f>
        <v>8</v>
      </c>
      <c r="V968" s="203">
        <f>申込書!$B$9</f>
        <v>0</v>
      </c>
      <c r="W968" s="203" t="str">
        <f>CONCATENATE(VLOOKUP(B968,★営業所!$A$2:$B$5,2,FALSE),VLOOKUP(申込書!$C$32,★サイズ表記!$D$4:$E$55,2,FALSE),VLOOKUP(D968,★折込地区!$A$2:$B$11,2,FALSE))</f>
        <v>T1001Osk</v>
      </c>
      <c r="X968" s="203" t="str">
        <f>CONCATENATE(申込書!$B$9," ",VLOOKUP(RIGHT(W968,3),★折込地区!$B$2:$C$10,2,FALSE),"")</f>
        <v xml:space="preserve"> 大阪</v>
      </c>
      <c r="Z968" s="206">
        <f t="shared" ca="1" si="117"/>
        <v>0</v>
      </c>
      <c r="AB968" s="383">
        <f t="shared" si="118"/>
        <v>0</v>
      </c>
      <c r="AC968" s="203" t="str">
        <f t="shared" si="119"/>
        <v>D1001</v>
      </c>
      <c r="AD968" s="203" t="str">
        <f>VLOOKUP(AC968,★原価商品!$E$6:$F$349,2,FALSE)</f>
        <v>日本海/B4（折り無し）</v>
      </c>
      <c r="AE968" s="203">
        <f t="shared" ca="1" si="120"/>
        <v>0</v>
      </c>
      <c r="AF968" s="383">
        <f>IFERROR(IF(VLOOKUP(申込書!$C$32,★サイズ表記!$F$4:$H$55,3,FALSE)="切り捨て",ROUNDDOWN(L968*IF(AK968="◎",I968,J968)/100,2),IF(VLOOKUP(申込書!$C$32,★サイズ表記!$F$4:$H$55,3,FALSE)="切り上げ",ROUNDUP(L968*IF(AK968="◎",I968,J968)/100,2),ROUND(L968*IF(AK968="◎",I968,J968)/100,2))),0)</f>
        <v>0</v>
      </c>
      <c r="AG968" s="203">
        <f t="shared" ca="1" si="122"/>
        <v>0</v>
      </c>
      <c r="AJ968" s="460" t="str">
        <f>IFERROR(VLOOKUP(申込書!$C$30,★業種!$D$2:$E$87,2,FALSE),"")</f>
        <v>1003</v>
      </c>
      <c r="AK968" s="460" t="str">
        <f>IF(申込書!$C$36="◎",IF(OR(D968="浜坂・温泉",D968="美方・村岡",D968="香住",D968="岡山",D968="大阪"),"",IF(LEFT(F968)="D","◎",IF(AG968=0,"",IFERROR(IF(VLOOKUP(AG968,★仕入先!$A$2:$C$211,3,FALSE)=0,"","◎"),"")))),"")</f>
        <v/>
      </c>
      <c r="AL968" s="460">
        <f>申込書!$H$14</f>
        <v>0</v>
      </c>
      <c r="AM968" s="460" t="str">
        <f>申込書!$C$32</f>
        <v>B4（折り無し）</v>
      </c>
      <c r="AN968" s="460" t="str">
        <f>VLOOKUP(AM968,★サイズ表記!$D$4:$E$55,2,FALSE)</f>
        <v>1001</v>
      </c>
      <c r="AO968" s="460">
        <f>IF(C968&lt;&gt;"⑧兵庫",VLOOKUP(LEFT(F968),★新聞!$A$4:$B$12,2,FALSE),IF(LEFT(F968)&lt;&gt;"S",VLOOKUP(LEFT(F968),★新聞!$A$4:$B$12,2,FALSE),VLOOKUP("X",★新聞!$A$4:$B$12,2,FALSE)))</f>
        <v>1</v>
      </c>
      <c r="AP968" s="460" t="str">
        <f t="shared" ca="1" si="121"/>
        <v>0</v>
      </c>
      <c r="AQ968" s="460" t="str">
        <f>IF(申込書!$C$38="","",申込書!$C$38)</f>
        <v/>
      </c>
    </row>
    <row r="969" spans="1:43">
      <c r="A969" s="463">
        <f t="shared" si="109"/>
        <v>968</v>
      </c>
      <c r="B969" s="463" t="str">
        <f t="shared" si="110"/>
        <v>東部</v>
      </c>
      <c r="C969" s="464" t="s">
        <v>1244</v>
      </c>
      <c r="D969" s="464" t="s">
        <v>1242</v>
      </c>
      <c r="E969" s="464">
        <f>VLOOKUP(D969,★折込地区!$A$2:$D$10,4,FALSE)</f>
        <v>9</v>
      </c>
      <c r="F969" s="464" t="s">
        <v>1297</v>
      </c>
      <c r="G969" s="464" t="str">
        <f>INDEX(★新聞!$E$4:$I$12, MATCH(LEFT(F969),★新聞!$A$4:$A$12,0), MATCH(LEFT(W969),★新聞!$E$3:$I$3,0))</f>
        <v>X</v>
      </c>
      <c r="H969" s="475" t="s">
        <v>1247</v>
      </c>
      <c r="I969" s="464" cm="1">
        <f t="array" ref="I969">IFERROR(INDEX(★原価率!$A$2:$E$50,MATCH($C969&amp;$H969,★原価率!$A$2:$A$50&amp;★原価率!$B$2:$B$50,0),3),0)</f>
        <v>50</v>
      </c>
      <c r="J969" s="464" cm="1">
        <f t="array" ref="J969">IFERROR(INDEX(★原価率!$A$2:$E$50,MATCH($C969&amp;$H969,★原価率!$A$2:$A$50&amp;★原価率!$B$2:$B$50,0),4),0)</f>
        <v>50</v>
      </c>
      <c r="K969" s="464" cm="1">
        <f t="array" ref="K969">IFERROR(INDEX(★原価率!$A$2:$E$50,MATCH($C969&amp;$H969,★原価率!$A$2:$A$50&amp;★原価率!$B$2:$B$50,0),5),0)</f>
        <v>85</v>
      </c>
      <c r="L969" s="528">
        <f>IFERROR(VLOOKUP(W969,★商品!$A$1:$H$1231,8,FALSE),0)</f>
        <v>0</v>
      </c>
      <c r="M969" s="203" t="str">
        <f ca="1">CONCATENATE(VLOOKUP(B969,★営業所!$A$2:$B$5,2,FALSE),TEXT(NOW(),"yyyy"))</f>
        <v>T2023</v>
      </c>
      <c r="N969" s="203">
        <v>1</v>
      </c>
      <c r="O969" s="203">
        <v>0</v>
      </c>
      <c r="P969" s="213">
        <f>申込書!$B$6</f>
        <v>0</v>
      </c>
      <c r="Q969" s="203">
        <f>申込書!$C$34</f>
        <v>1000040</v>
      </c>
      <c r="R969" s="203">
        <v>0</v>
      </c>
      <c r="U969" s="203">
        <f>VLOOKUP(B969,★営業所!$A$2:$C$5,3,FALSE)</f>
        <v>8</v>
      </c>
      <c r="V969" s="203">
        <f>申込書!$B$9</f>
        <v>0</v>
      </c>
      <c r="W969" s="203" t="str">
        <f>CONCATENATE(VLOOKUP(B969,★営業所!$A$2:$B$5,2,FALSE),VLOOKUP(申込書!$C$32,★サイズ表記!$D$4:$E$55,2,FALSE),VLOOKUP(D969,★折込地区!$A$2:$B$11,2,FALSE))</f>
        <v>T1001Osk</v>
      </c>
      <c r="X969" s="203" t="str">
        <f>CONCATENATE(申込書!$B$9," ",VLOOKUP(RIGHT(W969,3),★折込地区!$B$2:$C$10,2,FALSE),"")</f>
        <v xml:space="preserve"> 大阪</v>
      </c>
      <c r="Z969" s="206">
        <f t="shared" ca="1" si="117"/>
        <v>0</v>
      </c>
      <c r="AB969" s="383">
        <f t="shared" si="118"/>
        <v>0</v>
      </c>
      <c r="AC969" s="203" t="str">
        <f t="shared" si="119"/>
        <v>D1001</v>
      </c>
      <c r="AD969" s="203" t="str">
        <f>VLOOKUP(AC969,★原価商品!$E$6:$F$349,2,FALSE)</f>
        <v>日本海/B4（折り無し）</v>
      </c>
      <c r="AE969" s="203">
        <f t="shared" ref="AE969:AE973" ca="1" si="123">INDIRECT(C969 &amp; "!" &amp; F969)</f>
        <v>0</v>
      </c>
      <c r="AF969" s="383">
        <f>IFERROR(IF(VLOOKUP(申込書!$C$32,★サイズ表記!$F$4:$H$55,3,FALSE)="切り捨て",ROUNDDOWN(L969*IF(AK969="◎",I969,J969)/100,2),IF(VLOOKUP(申込書!$C$32,★サイズ表記!$F$4:$H$55,3,FALSE)="切り上げ",ROUNDUP(L969*IF(AK969="◎",I969,J969)/100,2),ROUND(L969*IF(AK969="◎",I969,J969)/100,2))),0)</f>
        <v>0</v>
      </c>
      <c r="AG969" s="203">
        <f t="shared" ca="1" si="122"/>
        <v>0</v>
      </c>
      <c r="AJ969" s="460" t="str">
        <f>IFERROR(VLOOKUP(申込書!$C$30,★業種!$D$2:$E$87,2,FALSE),"")</f>
        <v>1003</v>
      </c>
      <c r="AK969" s="460" t="str">
        <f>IF(申込書!$C$36="◎",IF(OR(D969="浜坂・温泉",D969="美方・村岡",D969="香住",D969="岡山",D969="大阪"),"",IF(LEFT(F969)="D","◎",IF(AG969=0,"",IFERROR(IF(VLOOKUP(AG969,★仕入先!$A$2:$C$211,3,FALSE)=0,"","◎"),"")))),"")</f>
        <v/>
      </c>
      <c r="AL969" s="460">
        <f>申込書!$H$14</f>
        <v>0</v>
      </c>
      <c r="AM969" s="460" t="str">
        <f>申込書!$C$32</f>
        <v>B4（折り無し）</v>
      </c>
      <c r="AN969" s="460" t="str">
        <f>VLOOKUP(AM969,★サイズ表記!$D$4:$E$55,2,FALSE)</f>
        <v>1001</v>
      </c>
      <c r="AO969" s="460">
        <f>IF(C969&lt;&gt;"⑧兵庫",VLOOKUP(LEFT(F969),★新聞!$A$4:$B$12,2,FALSE),IF(LEFT(F969)&lt;&gt;"S",VLOOKUP(LEFT(F969),★新聞!$A$4:$B$12,2,FALSE),VLOOKUP("X",★新聞!$A$4:$B$12,2,FALSE)))</f>
        <v>1</v>
      </c>
      <c r="AP969" s="460" t="str">
        <f t="shared" ca="1" si="121"/>
        <v>0</v>
      </c>
      <c r="AQ969" s="460" t="str">
        <f>IF(申込書!$C$38="","",申込書!$C$38)</f>
        <v/>
      </c>
    </row>
    <row r="970" spans="1:43">
      <c r="A970" s="463">
        <f t="shared" si="109"/>
        <v>969</v>
      </c>
      <c r="B970" s="463" t="str">
        <f t="shared" si="110"/>
        <v>東部</v>
      </c>
      <c r="C970" s="464" t="s">
        <v>1244</v>
      </c>
      <c r="D970" s="464" t="s">
        <v>1242</v>
      </c>
      <c r="E970" s="464">
        <f>VLOOKUP(D970,★折込地区!$A$2:$D$10,4,FALSE)</f>
        <v>9</v>
      </c>
      <c r="F970" s="464" t="s">
        <v>1298</v>
      </c>
      <c r="G970" s="464" t="str">
        <f>INDEX(★新聞!$E$4:$I$12, MATCH(LEFT(F970),★新聞!$A$4:$A$12,0), MATCH(LEFT(W970),★新聞!$E$3:$I$3,0))</f>
        <v>X</v>
      </c>
      <c r="H970" s="475" t="s">
        <v>1247</v>
      </c>
      <c r="I970" s="464" cm="1">
        <f t="array" ref="I970">IFERROR(INDEX(★原価率!$A$2:$E$50,MATCH($C970&amp;$H970,★原価率!$A$2:$A$50&amp;★原価率!$B$2:$B$50,0),3),0)</f>
        <v>50</v>
      </c>
      <c r="J970" s="464" cm="1">
        <f t="array" ref="J970">IFERROR(INDEX(★原価率!$A$2:$E$50,MATCH($C970&amp;$H970,★原価率!$A$2:$A$50&amp;★原価率!$B$2:$B$50,0),4),0)</f>
        <v>50</v>
      </c>
      <c r="K970" s="464" cm="1">
        <f t="array" ref="K970">IFERROR(INDEX(★原価率!$A$2:$E$50,MATCH($C970&amp;$H970,★原価率!$A$2:$A$50&amp;★原価率!$B$2:$B$50,0),5),0)</f>
        <v>85</v>
      </c>
      <c r="L970" s="528">
        <f>IFERROR(VLOOKUP(W970,★商品!$A$1:$H$1231,8,FALSE),0)</f>
        <v>0</v>
      </c>
      <c r="M970" s="203" t="str">
        <f ca="1">CONCATENATE(VLOOKUP(B970,★営業所!$A$2:$B$5,2,FALSE),TEXT(NOW(),"yyyy"))</f>
        <v>T2023</v>
      </c>
      <c r="N970" s="203">
        <v>1</v>
      </c>
      <c r="O970" s="203">
        <v>0</v>
      </c>
      <c r="P970" s="213">
        <f>申込書!$B$6</f>
        <v>0</v>
      </c>
      <c r="Q970" s="203">
        <f>申込書!$C$34</f>
        <v>1000040</v>
      </c>
      <c r="R970" s="203">
        <v>0</v>
      </c>
      <c r="U970" s="203">
        <f>VLOOKUP(B970,★営業所!$A$2:$C$5,3,FALSE)</f>
        <v>8</v>
      </c>
      <c r="V970" s="203">
        <f>申込書!$B$9</f>
        <v>0</v>
      </c>
      <c r="W970" s="203" t="str">
        <f>CONCATENATE(VLOOKUP(B970,★営業所!$A$2:$B$5,2,FALSE),VLOOKUP(申込書!$C$32,★サイズ表記!$D$4:$E$55,2,FALSE),VLOOKUP(D970,★折込地区!$A$2:$B$11,2,FALSE))</f>
        <v>T1001Osk</v>
      </c>
      <c r="X970" s="203" t="str">
        <f>CONCATENATE(申込書!$B$9," ",VLOOKUP(RIGHT(W970,3),★折込地区!$B$2:$C$10,2,FALSE),"")</f>
        <v xml:space="preserve"> 大阪</v>
      </c>
      <c r="Z970" s="206">
        <f t="shared" ca="1" si="117"/>
        <v>0</v>
      </c>
      <c r="AB970" s="383">
        <f t="shared" si="118"/>
        <v>0</v>
      </c>
      <c r="AC970" s="203" t="str">
        <f t="shared" si="119"/>
        <v>D1001</v>
      </c>
      <c r="AD970" s="203" t="str">
        <f>VLOOKUP(AC970,★原価商品!$E$6:$F$349,2,FALSE)</f>
        <v>日本海/B4（折り無し）</v>
      </c>
      <c r="AE970" s="203">
        <f t="shared" ca="1" si="123"/>
        <v>0</v>
      </c>
      <c r="AF970" s="383">
        <f>IFERROR(IF(VLOOKUP(申込書!$C$32,★サイズ表記!$F$4:$H$55,3,FALSE)="切り捨て",ROUNDDOWN(L970*IF(AK970="◎",I970,J970)/100,2),IF(VLOOKUP(申込書!$C$32,★サイズ表記!$F$4:$H$55,3,FALSE)="切り上げ",ROUNDUP(L970*IF(AK970="◎",I970,J970)/100,2),ROUND(L970*IF(AK970="◎",I970,J970)/100,2))),0)</f>
        <v>0</v>
      </c>
      <c r="AG970" s="203">
        <f t="shared" ca="1" si="122"/>
        <v>0</v>
      </c>
      <c r="AJ970" s="460" t="str">
        <f>IFERROR(VLOOKUP(申込書!$C$30,★業種!$D$2:$E$87,2,FALSE),"")</f>
        <v>1003</v>
      </c>
      <c r="AK970" s="460" t="str">
        <f>IF(申込書!$C$36="◎",IF(OR(D970="浜坂・温泉",D970="美方・村岡",D970="香住",D970="岡山",D970="大阪"),"",IF(LEFT(F970)="D","◎",IF(AG970=0,"",IFERROR(IF(VLOOKUP(AG970,★仕入先!$A$2:$C$211,3,FALSE)=0,"","◎"),"")))),"")</f>
        <v/>
      </c>
      <c r="AL970" s="460">
        <f>申込書!$H$14</f>
        <v>0</v>
      </c>
      <c r="AM970" s="460" t="str">
        <f>申込書!$C$32</f>
        <v>B4（折り無し）</v>
      </c>
      <c r="AN970" s="460" t="str">
        <f>VLOOKUP(AM970,★サイズ表記!$D$4:$E$55,2,FALSE)</f>
        <v>1001</v>
      </c>
      <c r="AO970" s="460">
        <f>IF(C970&lt;&gt;"⑧兵庫",VLOOKUP(LEFT(F970),★新聞!$A$4:$B$12,2,FALSE),IF(LEFT(F970)&lt;&gt;"S",VLOOKUP(LEFT(F970),★新聞!$A$4:$B$12,2,FALSE),VLOOKUP("X",★新聞!$A$4:$B$12,2,FALSE)))</f>
        <v>1</v>
      </c>
      <c r="AP970" s="460" t="str">
        <f t="shared" ca="1" si="121"/>
        <v>0</v>
      </c>
      <c r="AQ970" s="460" t="str">
        <f>IF(申込書!$C$38="","",申込書!$C$38)</f>
        <v/>
      </c>
    </row>
    <row r="971" spans="1:43">
      <c r="A971" s="463">
        <f t="shared" si="109"/>
        <v>970</v>
      </c>
      <c r="B971" s="463" t="str">
        <f t="shared" si="110"/>
        <v>東部</v>
      </c>
      <c r="C971" s="464" t="s">
        <v>1244</v>
      </c>
      <c r="D971" s="464" t="s">
        <v>1242</v>
      </c>
      <c r="E971" s="464">
        <f>VLOOKUP(D971,★折込地区!$A$2:$D$10,4,FALSE)</f>
        <v>9</v>
      </c>
      <c r="F971" s="464" t="s">
        <v>1299</v>
      </c>
      <c r="G971" s="464" t="str">
        <f>INDEX(★新聞!$E$4:$I$12, MATCH(LEFT(F971),★新聞!$A$4:$A$12,0), MATCH(LEFT(W971),★新聞!$E$3:$I$3,0))</f>
        <v>X</v>
      </c>
      <c r="H971" s="475" t="s">
        <v>1247</v>
      </c>
      <c r="I971" s="464" cm="1">
        <f t="array" ref="I971">IFERROR(INDEX(★原価率!$A$2:$E$50,MATCH($C971&amp;$H971,★原価率!$A$2:$A$50&amp;★原価率!$B$2:$B$50,0),3),0)</f>
        <v>50</v>
      </c>
      <c r="J971" s="464" cm="1">
        <f t="array" ref="J971">IFERROR(INDEX(★原価率!$A$2:$E$50,MATCH($C971&amp;$H971,★原価率!$A$2:$A$50&amp;★原価率!$B$2:$B$50,0),4),0)</f>
        <v>50</v>
      </c>
      <c r="K971" s="464" cm="1">
        <f t="array" ref="K971">IFERROR(INDEX(★原価率!$A$2:$E$50,MATCH($C971&amp;$H971,★原価率!$A$2:$A$50&amp;★原価率!$B$2:$B$50,0),5),0)</f>
        <v>85</v>
      </c>
      <c r="L971" s="528">
        <f>IFERROR(VLOOKUP(W971,★商品!$A$1:$H$1231,8,FALSE),0)</f>
        <v>0</v>
      </c>
      <c r="M971" s="203" t="str">
        <f ca="1">CONCATENATE(VLOOKUP(B971,★営業所!$A$2:$B$5,2,FALSE),TEXT(NOW(),"yyyy"))</f>
        <v>T2023</v>
      </c>
      <c r="N971" s="203">
        <v>1</v>
      </c>
      <c r="O971" s="203">
        <v>0</v>
      </c>
      <c r="P971" s="213">
        <f>申込書!$B$6</f>
        <v>0</v>
      </c>
      <c r="Q971" s="203">
        <f>申込書!$C$34</f>
        <v>1000040</v>
      </c>
      <c r="R971" s="203">
        <v>0</v>
      </c>
      <c r="U971" s="203">
        <f>VLOOKUP(B971,★営業所!$A$2:$C$5,3,FALSE)</f>
        <v>8</v>
      </c>
      <c r="V971" s="203">
        <f>申込書!$B$9</f>
        <v>0</v>
      </c>
      <c r="W971" s="203" t="str">
        <f>CONCATENATE(VLOOKUP(B971,★営業所!$A$2:$B$5,2,FALSE),VLOOKUP(申込書!$C$32,★サイズ表記!$D$4:$E$55,2,FALSE),VLOOKUP(D971,★折込地区!$A$2:$B$11,2,FALSE))</f>
        <v>T1001Osk</v>
      </c>
      <c r="X971" s="203" t="str">
        <f>CONCATENATE(申込書!$B$9," ",VLOOKUP(RIGHT(W971,3),★折込地区!$B$2:$C$10,2,FALSE),"")</f>
        <v xml:space="preserve"> 大阪</v>
      </c>
      <c r="Z971" s="206">
        <f t="shared" ca="1" si="117"/>
        <v>0</v>
      </c>
      <c r="AB971" s="383">
        <f t="shared" si="118"/>
        <v>0</v>
      </c>
      <c r="AC971" s="203" t="str">
        <f t="shared" si="119"/>
        <v>D1001</v>
      </c>
      <c r="AD971" s="203" t="str">
        <f>VLOOKUP(AC971,★原価商品!$E$6:$F$349,2,FALSE)</f>
        <v>日本海/B4（折り無し）</v>
      </c>
      <c r="AE971" s="203">
        <f t="shared" ca="1" si="123"/>
        <v>0</v>
      </c>
      <c r="AF971" s="383">
        <f>IFERROR(IF(VLOOKUP(申込書!$C$32,★サイズ表記!$F$4:$H$55,3,FALSE)="切り捨て",ROUNDDOWN(L971*IF(AK971="◎",I971,J971)/100,2),IF(VLOOKUP(申込書!$C$32,★サイズ表記!$F$4:$H$55,3,FALSE)="切り上げ",ROUNDUP(L971*IF(AK971="◎",I971,J971)/100,2),ROUND(L971*IF(AK971="◎",I971,J971)/100,2))),0)</f>
        <v>0</v>
      </c>
      <c r="AG971" s="203">
        <f t="shared" ca="1" si="122"/>
        <v>0</v>
      </c>
      <c r="AJ971" s="460" t="str">
        <f>IFERROR(VLOOKUP(申込書!$C$30,★業種!$D$2:$E$87,2,FALSE),"")</f>
        <v>1003</v>
      </c>
      <c r="AK971" s="460" t="str">
        <f>IF(申込書!$C$36="◎",IF(OR(D971="浜坂・温泉",D971="美方・村岡",D971="香住",D971="岡山",D971="大阪"),"",IF(LEFT(F971)="D","◎",IF(AG971=0,"",IFERROR(IF(VLOOKUP(AG971,★仕入先!$A$2:$C$211,3,FALSE)=0,"","◎"),"")))),"")</f>
        <v/>
      </c>
      <c r="AL971" s="460">
        <f>申込書!$H$14</f>
        <v>0</v>
      </c>
      <c r="AM971" s="460" t="str">
        <f>申込書!$C$32</f>
        <v>B4（折り無し）</v>
      </c>
      <c r="AN971" s="460" t="str">
        <f>VLOOKUP(AM971,★サイズ表記!$D$4:$E$55,2,FALSE)</f>
        <v>1001</v>
      </c>
      <c r="AO971" s="460">
        <f>IF(C971&lt;&gt;"⑧兵庫",VLOOKUP(LEFT(F971),★新聞!$A$4:$B$12,2,FALSE),IF(LEFT(F971)&lt;&gt;"S",VLOOKUP(LEFT(F971),★新聞!$A$4:$B$12,2,FALSE),VLOOKUP("X",★新聞!$A$4:$B$12,2,FALSE)))</f>
        <v>1</v>
      </c>
      <c r="AP971" s="460" t="str">
        <f t="shared" ca="1" si="121"/>
        <v>0</v>
      </c>
      <c r="AQ971" s="460" t="str">
        <f>IF(申込書!$C$38="","",申込書!$C$38)</f>
        <v/>
      </c>
    </row>
    <row r="972" spans="1:43">
      <c r="A972" s="463">
        <f t="shared" si="109"/>
        <v>971</v>
      </c>
      <c r="B972" s="463" t="str">
        <f t="shared" si="110"/>
        <v>東部</v>
      </c>
      <c r="C972" s="464" t="s">
        <v>1244</v>
      </c>
      <c r="D972" s="464" t="s">
        <v>1242</v>
      </c>
      <c r="E972" s="464">
        <f>VLOOKUP(D972,★折込地区!$A$2:$D$10,4,FALSE)</f>
        <v>9</v>
      </c>
      <c r="F972" s="464" t="s">
        <v>1300</v>
      </c>
      <c r="G972" s="464" t="str">
        <f>INDEX(★新聞!$E$4:$I$12, MATCH(LEFT(F972),★新聞!$A$4:$A$12,0), MATCH(LEFT(W972),★新聞!$E$3:$I$3,0))</f>
        <v>X</v>
      </c>
      <c r="H972" s="475" t="s">
        <v>1247</v>
      </c>
      <c r="I972" s="464" cm="1">
        <f t="array" ref="I972">IFERROR(INDEX(★原価率!$A$2:$E$50,MATCH($C972&amp;$H972,★原価率!$A$2:$A$50&amp;★原価率!$B$2:$B$50,0),3),0)</f>
        <v>50</v>
      </c>
      <c r="J972" s="464" cm="1">
        <f t="array" ref="J972">IFERROR(INDEX(★原価率!$A$2:$E$50,MATCH($C972&amp;$H972,★原価率!$A$2:$A$50&amp;★原価率!$B$2:$B$50,0),4),0)</f>
        <v>50</v>
      </c>
      <c r="K972" s="464" cm="1">
        <f t="array" ref="K972">IFERROR(INDEX(★原価率!$A$2:$E$50,MATCH($C972&amp;$H972,★原価率!$A$2:$A$50&amp;★原価率!$B$2:$B$50,0),5),0)</f>
        <v>85</v>
      </c>
      <c r="L972" s="528">
        <f>IFERROR(VLOOKUP(W972,★商品!$A$1:$H$1231,8,FALSE),0)</f>
        <v>0</v>
      </c>
      <c r="M972" s="203" t="str">
        <f ca="1">CONCATENATE(VLOOKUP(B972,★営業所!$A$2:$B$5,2,FALSE),TEXT(NOW(),"yyyy"))</f>
        <v>T2023</v>
      </c>
      <c r="N972" s="203">
        <v>1</v>
      </c>
      <c r="O972" s="203">
        <v>0</v>
      </c>
      <c r="P972" s="213">
        <f>申込書!$B$6</f>
        <v>0</v>
      </c>
      <c r="Q972" s="203">
        <f>申込書!$C$34</f>
        <v>1000040</v>
      </c>
      <c r="R972" s="203">
        <v>0</v>
      </c>
      <c r="U972" s="203">
        <f>VLOOKUP(B972,★営業所!$A$2:$C$5,3,FALSE)</f>
        <v>8</v>
      </c>
      <c r="V972" s="203">
        <f>申込書!$B$9</f>
        <v>0</v>
      </c>
      <c r="W972" s="203" t="str">
        <f>CONCATENATE(VLOOKUP(B972,★営業所!$A$2:$B$5,2,FALSE),VLOOKUP(申込書!$C$32,★サイズ表記!$D$4:$E$55,2,FALSE),VLOOKUP(D972,★折込地区!$A$2:$B$11,2,FALSE))</f>
        <v>T1001Osk</v>
      </c>
      <c r="X972" s="203" t="str">
        <f>CONCATENATE(申込書!$B$9," ",VLOOKUP(RIGHT(W972,3),★折込地区!$B$2:$C$10,2,FALSE),"")</f>
        <v xml:space="preserve"> 大阪</v>
      </c>
      <c r="Z972" s="206">
        <f t="shared" ca="1" si="117"/>
        <v>0</v>
      </c>
      <c r="AB972" s="383">
        <f t="shared" si="118"/>
        <v>0</v>
      </c>
      <c r="AC972" s="203" t="str">
        <f t="shared" si="119"/>
        <v>D1001</v>
      </c>
      <c r="AD972" s="203" t="str">
        <f>VLOOKUP(AC972,★原価商品!$E$6:$F$349,2,FALSE)</f>
        <v>日本海/B4（折り無し）</v>
      </c>
      <c r="AE972" s="203">
        <f t="shared" ca="1" si="123"/>
        <v>0</v>
      </c>
      <c r="AF972" s="383">
        <f>IFERROR(IF(VLOOKUP(申込書!$C$32,★サイズ表記!$F$4:$H$55,3,FALSE)="切り捨て",ROUNDDOWN(L972*IF(AK972="◎",I972,J972)/100,2),IF(VLOOKUP(申込書!$C$32,★サイズ表記!$F$4:$H$55,3,FALSE)="切り上げ",ROUNDUP(L972*IF(AK972="◎",I972,J972)/100,2),ROUND(L972*IF(AK972="◎",I972,J972)/100,2))),0)</f>
        <v>0</v>
      </c>
      <c r="AG972" s="203">
        <f t="shared" ca="1" si="122"/>
        <v>0</v>
      </c>
      <c r="AJ972" s="460" t="str">
        <f>IFERROR(VLOOKUP(申込書!$C$30,★業種!$D$2:$E$87,2,FALSE),"")</f>
        <v>1003</v>
      </c>
      <c r="AK972" s="460" t="str">
        <f>IF(申込書!$C$36="◎",IF(OR(D972="浜坂・温泉",D972="美方・村岡",D972="香住",D972="岡山",D972="大阪"),"",IF(LEFT(F972)="D","◎",IF(AG972=0,"",IFERROR(IF(VLOOKUP(AG972,★仕入先!$A$2:$C$211,3,FALSE)=0,"","◎"),"")))),"")</f>
        <v/>
      </c>
      <c r="AL972" s="460">
        <f>申込書!$H$14</f>
        <v>0</v>
      </c>
      <c r="AM972" s="460" t="str">
        <f>申込書!$C$32</f>
        <v>B4（折り無し）</v>
      </c>
      <c r="AN972" s="460" t="str">
        <f>VLOOKUP(AM972,★サイズ表記!$D$4:$E$55,2,FALSE)</f>
        <v>1001</v>
      </c>
      <c r="AO972" s="460">
        <f>IF(C972&lt;&gt;"⑧兵庫",VLOOKUP(LEFT(F972),★新聞!$A$4:$B$12,2,FALSE),IF(LEFT(F972)&lt;&gt;"S",VLOOKUP(LEFT(F972),★新聞!$A$4:$B$12,2,FALSE),VLOOKUP("X",★新聞!$A$4:$B$12,2,FALSE)))</f>
        <v>1</v>
      </c>
      <c r="AP972" s="460" t="str">
        <f t="shared" ca="1" si="121"/>
        <v>0</v>
      </c>
      <c r="AQ972" s="460" t="str">
        <f>IF(申込書!$C$38="","",申込書!$C$38)</f>
        <v/>
      </c>
    </row>
    <row r="973" spans="1:43">
      <c r="A973" s="463">
        <f t="shared" si="109"/>
        <v>972</v>
      </c>
      <c r="B973" s="463" t="str">
        <f t="shared" si="110"/>
        <v>東部</v>
      </c>
      <c r="C973" s="464" t="s">
        <v>1244</v>
      </c>
      <c r="D973" s="464" t="s">
        <v>1242</v>
      </c>
      <c r="E973" s="464">
        <f>VLOOKUP(D973,★折込地区!$A$2:$D$10,4,FALSE)</f>
        <v>9</v>
      </c>
      <c r="F973" s="464" t="s">
        <v>1301</v>
      </c>
      <c r="G973" s="464" t="str">
        <f>INDEX(★新聞!$E$4:$I$12, MATCH(LEFT(F973),★新聞!$A$4:$A$12,0), MATCH(LEFT(W973),★新聞!$E$3:$I$3,0))</f>
        <v>X</v>
      </c>
      <c r="H973" s="475" t="s">
        <v>1247</v>
      </c>
      <c r="I973" s="464" cm="1">
        <f t="array" ref="I973">IFERROR(INDEX(★原価率!$A$2:$E$50,MATCH($C973&amp;$H973,★原価率!$A$2:$A$50&amp;★原価率!$B$2:$B$50,0),3),0)</f>
        <v>50</v>
      </c>
      <c r="J973" s="464" cm="1">
        <f t="array" ref="J973">IFERROR(INDEX(★原価率!$A$2:$E$50,MATCH($C973&amp;$H973,★原価率!$A$2:$A$50&amp;★原価率!$B$2:$B$50,0),4),0)</f>
        <v>50</v>
      </c>
      <c r="K973" s="464" cm="1">
        <f t="array" ref="K973">IFERROR(INDEX(★原価率!$A$2:$E$50,MATCH($C973&amp;$H973,★原価率!$A$2:$A$50&amp;★原価率!$B$2:$B$50,0),5),0)</f>
        <v>85</v>
      </c>
      <c r="L973" s="528">
        <f>IFERROR(VLOOKUP(W973,★商品!$A$1:$H$1231,8,FALSE),0)</f>
        <v>0</v>
      </c>
      <c r="M973" s="203" t="str">
        <f ca="1">CONCATENATE(VLOOKUP(B973,★営業所!$A$2:$B$5,2,FALSE),TEXT(NOW(),"yyyy"))</f>
        <v>T2023</v>
      </c>
      <c r="N973" s="203">
        <v>1</v>
      </c>
      <c r="O973" s="203">
        <v>0</v>
      </c>
      <c r="P973" s="213">
        <f>申込書!$B$6</f>
        <v>0</v>
      </c>
      <c r="Q973" s="203">
        <f>申込書!$C$34</f>
        <v>1000040</v>
      </c>
      <c r="R973" s="203">
        <v>0</v>
      </c>
      <c r="U973" s="203">
        <f>VLOOKUP(B973,★営業所!$A$2:$C$5,3,FALSE)</f>
        <v>8</v>
      </c>
      <c r="V973" s="203">
        <f>申込書!$B$9</f>
        <v>0</v>
      </c>
      <c r="W973" s="203" t="str">
        <f>CONCATENATE(VLOOKUP(B973,★営業所!$A$2:$B$5,2,FALSE),VLOOKUP(申込書!$C$32,★サイズ表記!$D$4:$E$55,2,FALSE),VLOOKUP(D973,★折込地区!$A$2:$B$11,2,FALSE))</f>
        <v>T1001Osk</v>
      </c>
      <c r="X973" s="203" t="str">
        <f>CONCATENATE(申込書!$B$9," ",VLOOKUP(RIGHT(W973,3),★折込地区!$B$2:$C$10,2,FALSE),"")</f>
        <v xml:space="preserve"> 大阪</v>
      </c>
      <c r="Z973" s="206">
        <f t="shared" ca="1" si="117"/>
        <v>0</v>
      </c>
      <c r="AB973" s="383">
        <f t="shared" si="118"/>
        <v>0</v>
      </c>
      <c r="AC973" s="203" t="str">
        <f t="shared" si="119"/>
        <v>D1001</v>
      </c>
      <c r="AD973" s="203" t="str">
        <f>VLOOKUP(AC973,★原価商品!$E$6:$F$349,2,FALSE)</f>
        <v>日本海/B4（折り無し）</v>
      </c>
      <c r="AE973" s="203">
        <f t="shared" ca="1" si="123"/>
        <v>0</v>
      </c>
      <c r="AF973" s="383">
        <f>IFERROR(IF(VLOOKUP(申込書!$C$32,★サイズ表記!$F$4:$H$55,3,FALSE)="切り捨て",ROUNDDOWN(L973*IF(AK973="◎",I973,J973)/100,2),IF(VLOOKUP(申込書!$C$32,★サイズ表記!$F$4:$H$55,3,FALSE)="切り上げ",ROUNDUP(L973*IF(AK973="◎",I973,J973)/100,2),ROUND(L973*IF(AK973="◎",I973,J973)/100,2))),0)</f>
        <v>0</v>
      </c>
      <c r="AG973" s="203">
        <f t="shared" ca="1" si="122"/>
        <v>0</v>
      </c>
      <c r="AJ973" s="460" t="str">
        <f>IFERROR(VLOOKUP(申込書!$C$30,★業種!$D$2:$E$87,2,FALSE),"")</f>
        <v>1003</v>
      </c>
      <c r="AK973" s="460" t="str">
        <f>IF(申込書!$C$36="◎",IF(OR(D973="浜坂・温泉",D973="美方・村岡",D973="香住",D973="岡山",D973="大阪"),"",IF(LEFT(F973)="D","◎",IF(AG973=0,"",IFERROR(IF(VLOOKUP(AG973,★仕入先!$A$2:$C$211,3,FALSE)=0,"","◎"),"")))),"")</f>
        <v/>
      </c>
      <c r="AL973" s="460">
        <f>申込書!$H$14</f>
        <v>0</v>
      </c>
      <c r="AM973" s="460" t="str">
        <f>申込書!$C$32</f>
        <v>B4（折り無し）</v>
      </c>
      <c r="AN973" s="460" t="str">
        <f>VLOOKUP(AM973,★サイズ表記!$D$4:$E$55,2,FALSE)</f>
        <v>1001</v>
      </c>
      <c r="AO973" s="460">
        <f>IF(C973&lt;&gt;"⑧兵庫",VLOOKUP(LEFT(F973),★新聞!$A$4:$B$12,2,FALSE),IF(LEFT(F973)&lt;&gt;"S",VLOOKUP(LEFT(F973),★新聞!$A$4:$B$12,2,FALSE),VLOOKUP("X",★新聞!$A$4:$B$12,2,FALSE)))</f>
        <v>1</v>
      </c>
      <c r="AP973" s="460" t="str">
        <f t="shared" ca="1" si="121"/>
        <v>0</v>
      </c>
      <c r="AQ973" s="460" t="str">
        <f>IF(申込書!$C$38="","",申込書!$C$38)</f>
        <v/>
      </c>
    </row>
    <row r="974" spans="1:43">
      <c r="A974" s="463">
        <f t="shared" si="109"/>
        <v>973</v>
      </c>
      <c r="B974" s="463" t="str">
        <f t="shared" si="110"/>
        <v>東部</v>
      </c>
      <c r="C974" s="464" t="s">
        <v>1244</v>
      </c>
      <c r="D974" s="464" t="s">
        <v>1242</v>
      </c>
      <c r="E974" s="464">
        <f>VLOOKUP(D974,★折込地区!$A$2:$D$10,4,FALSE)</f>
        <v>9</v>
      </c>
      <c r="F974" s="464" t="s">
        <v>1302</v>
      </c>
      <c r="G974" s="464" t="str">
        <f>INDEX(★新聞!$E$4:$I$12, MATCH(LEFT(F974),★新聞!$A$4:$A$12,0), MATCH(LEFT(W974),★新聞!$E$3:$I$3,0))</f>
        <v>X</v>
      </c>
      <c r="H974" s="475" t="s">
        <v>1247</v>
      </c>
      <c r="I974" s="464" cm="1">
        <f t="array" ref="I974">IFERROR(INDEX(★原価率!$A$2:$E$50,MATCH($C974&amp;$H974,★原価率!$A$2:$A$50&amp;★原価率!$B$2:$B$50,0),3),0)</f>
        <v>50</v>
      </c>
      <c r="J974" s="464" cm="1">
        <f t="array" ref="J974">IFERROR(INDEX(★原価率!$A$2:$E$50,MATCH($C974&amp;$H974,★原価率!$A$2:$A$50&amp;★原価率!$B$2:$B$50,0),4),0)</f>
        <v>50</v>
      </c>
      <c r="K974" s="464" cm="1">
        <f t="array" ref="K974">IFERROR(INDEX(★原価率!$A$2:$E$50,MATCH($C974&amp;$H974,★原価率!$A$2:$A$50&amp;★原価率!$B$2:$B$50,0),5),0)</f>
        <v>85</v>
      </c>
      <c r="L974" s="528">
        <f>IFERROR(VLOOKUP(W974,★商品!$A$1:$H$1231,8,FALSE),0)</f>
        <v>0</v>
      </c>
      <c r="M974" s="203" t="str">
        <f ca="1">CONCATENATE(VLOOKUP(B974,★営業所!$A$2:$B$5,2,FALSE),TEXT(NOW(),"yyyy"))</f>
        <v>T2023</v>
      </c>
      <c r="N974" s="203">
        <v>1</v>
      </c>
      <c r="O974" s="203">
        <v>0</v>
      </c>
      <c r="P974" s="213">
        <f>申込書!$B$6</f>
        <v>0</v>
      </c>
      <c r="Q974" s="203">
        <f>申込書!$C$34</f>
        <v>1000040</v>
      </c>
      <c r="R974" s="203">
        <v>0</v>
      </c>
      <c r="U974" s="203">
        <f>VLOOKUP(B974,★営業所!$A$2:$C$5,3,FALSE)</f>
        <v>8</v>
      </c>
      <c r="V974" s="203">
        <f>申込書!$B$9</f>
        <v>0</v>
      </c>
      <c r="W974" s="203" t="str">
        <f>CONCATENATE(VLOOKUP(B974,★営業所!$A$2:$B$5,2,FALSE),VLOOKUP(申込書!$C$32,★サイズ表記!$D$4:$E$55,2,FALSE),VLOOKUP(D974,★折込地区!$A$2:$B$11,2,FALSE))</f>
        <v>T1001Osk</v>
      </c>
      <c r="X974" s="203" t="str">
        <f>CONCATENATE(申込書!$B$9," ",VLOOKUP(RIGHT(W974,3),★折込地区!$B$2:$C$10,2,FALSE),"")</f>
        <v xml:space="preserve"> 大阪</v>
      </c>
      <c r="Z974" s="206">
        <f t="shared" ca="1" si="117"/>
        <v>0</v>
      </c>
      <c r="AB974" s="383">
        <f t="shared" si="118"/>
        <v>0</v>
      </c>
      <c r="AC974" s="203" t="str">
        <f t="shared" si="119"/>
        <v>D1001</v>
      </c>
      <c r="AD974" s="203" t="str">
        <f>VLOOKUP(AC974,★原価商品!$E$6:$F$349,2,FALSE)</f>
        <v>日本海/B4（折り無し）</v>
      </c>
      <c r="AE974" s="203">
        <f t="shared" ref="AE974:AE976" ca="1" si="124">INDIRECT(C974 &amp; "!" &amp; F974)</f>
        <v>0</v>
      </c>
      <c r="AF974" s="383">
        <f>IFERROR(IF(VLOOKUP(申込書!$C$32,★サイズ表記!$F$4:$H$55,3,FALSE)="切り捨て",ROUNDDOWN(L974*IF(AK974="◎",I974,J974)/100,2),IF(VLOOKUP(申込書!$C$32,★サイズ表記!$F$4:$H$55,3,FALSE)="切り上げ",ROUNDUP(L974*IF(AK974="◎",I974,J974)/100,2),ROUND(L974*IF(AK974="◎",I974,J974)/100,2))),0)</f>
        <v>0</v>
      </c>
      <c r="AG974" s="203">
        <f t="shared" ca="1" si="122"/>
        <v>0</v>
      </c>
      <c r="AJ974" s="460" t="str">
        <f>IFERROR(VLOOKUP(申込書!$C$30,★業種!$D$2:$E$87,2,FALSE),"")</f>
        <v>1003</v>
      </c>
      <c r="AK974" s="460" t="str">
        <f>IF(申込書!$C$36="◎",IF(OR(D974="浜坂・温泉",D974="美方・村岡",D974="香住",D974="岡山",D974="大阪"),"",IF(LEFT(F974)="D","◎",IF(AG974=0,"",IFERROR(IF(VLOOKUP(AG974,★仕入先!$A$2:$C$211,3,FALSE)=0,"","◎"),"")))),"")</f>
        <v/>
      </c>
      <c r="AL974" s="460">
        <f>申込書!$H$14</f>
        <v>0</v>
      </c>
      <c r="AM974" s="460" t="str">
        <f>申込書!$C$32</f>
        <v>B4（折り無し）</v>
      </c>
      <c r="AN974" s="460" t="str">
        <f>VLOOKUP(AM974,★サイズ表記!$D$4:$E$55,2,FALSE)</f>
        <v>1001</v>
      </c>
      <c r="AO974" s="460">
        <f>IF(C974&lt;&gt;"⑧兵庫",VLOOKUP(LEFT(F974),★新聞!$A$4:$B$12,2,FALSE),IF(LEFT(F974)&lt;&gt;"S",VLOOKUP(LEFT(F974),★新聞!$A$4:$B$12,2,FALSE),VLOOKUP("X",★新聞!$A$4:$B$12,2,FALSE)))</f>
        <v>1</v>
      </c>
      <c r="AP974" s="460" t="str">
        <f t="shared" ca="1" si="121"/>
        <v>0</v>
      </c>
      <c r="AQ974" s="460" t="str">
        <f>IF(申込書!$C$38="","",申込書!$C$38)</f>
        <v/>
      </c>
    </row>
    <row r="975" spans="1:43">
      <c r="A975" s="463">
        <f>A974+1</f>
        <v>974</v>
      </c>
      <c r="B975" s="463" t="str">
        <f t="shared" si="110"/>
        <v>東部</v>
      </c>
      <c r="C975" s="464" t="s">
        <v>1244</v>
      </c>
      <c r="D975" s="464" t="s">
        <v>1242</v>
      </c>
      <c r="E975" s="464">
        <f>VLOOKUP(D975,★折込地区!$A$2:$D$10,4,FALSE)</f>
        <v>9</v>
      </c>
      <c r="F975" s="464" t="s">
        <v>1303</v>
      </c>
      <c r="G975" s="464" t="str">
        <f>INDEX(★新聞!$E$4:$I$12, MATCH(LEFT(F975),★新聞!$A$4:$A$12,0), MATCH(LEFT(W975),★新聞!$E$3:$I$3,0))</f>
        <v>X</v>
      </c>
      <c r="H975" s="475" t="s">
        <v>1247</v>
      </c>
      <c r="I975" s="464" cm="1">
        <f t="array" ref="I975">IFERROR(INDEX(★原価率!$A$2:$E$50,MATCH($C975&amp;$H975,★原価率!$A$2:$A$50&amp;★原価率!$B$2:$B$50,0),3),0)</f>
        <v>50</v>
      </c>
      <c r="J975" s="464" cm="1">
        <f t="array" ref="J975">IFERROR(INDEX(★原価率!$A$2:$E$50,MATCH($C975&amp;$H975,★原価率!$A$2:$A$50&amp;★原価率!$B$2:$B$50,0),4),0)</f>
        <v>50</v>
      </c>
      <c r="K975" s="464" cm="1">
        <f t="array" ref="K975">IFERROR(INDEX(★原価率!$A$2:$E$50,MATCH($C975&amp;$H975,★原価率!$A$2:$A$50&amp;★原価率!$B$2:$B$50,0),5),0)</f>
        <v>85</v>
      </c>
      <c r="L975" s="528">
        <f>IFERROR(VLOOKUP(W975,★商品!$A$1:$H$1231,8,FALSE),0)</f>
        <v>0</v>
      </c>
      <c r="M975" s="203" t="str">
        <f ca="1">CONCATENATE(VLOOKUP(B975,★営業所!$A$2:$B$5,2,FALSE),TEXT(NOW(),"yyyy"))</f>
        <v>T2023</v>
      </c>
      <c r="N975" s="203">
        <v>1</v>
      </c>
      <c r="O975" s="203">
        <v>0</v>
      </c>
      <c r="P975" s="213">
        <f>申込書!$B$6</f>
        <v>0</v>
      </c>
      <c r="Q975" s="203">
        <f>申込書!$C$34</f>
        <v>1000040</v>
      </c>
      <c r="R975" s="203">
        <v>0</v>
      </c>
      <c r="U975" s="203">
        <f>VLOOKUP(B975,★営業所!$A$2:$C$5,3,FALSE)</f>
        <v>8</v>
      </c>
      <c r="V975" s="203">
        <f>申込書!$B$9</f>
        <v>0</v>
      </c>
      <c r="W975" s="203" t="str">
        <f>CONCATENATE(VLOOKUP(B975,★営業所!$A$2:$B$5,2,FALSE),VLOOKUP(申込書!$C$32,★サイズ表記!$D$4:$E$55,2,FALSE),VLOOKUP(D975,★折込地区!$A$2:$B$11,2,FALSE))</f>
        <v>T1001Osk</v>
      </c>
      <c r="X975" s="203" t="str">
        <f>CONCATENATE(申込書!$B$9," ",VLOOKUP(RIGHT(W975,3),★折込地区!$B$2:$C$10,2,FALSE),"")</f>
        <v xml:space="preserve"> 大阪</v>
      </c>
      <c r="Z975" s="206">
        <f t="shared" ca="1" si="117"/>
        <v>0</v>
      </c>
      <c r="AB975" s="383">
        <f t="shared" si="118"/>
        <v>0</v>
      </c>
      <c r="AC975" s="203" t="str">
        <f t="shared" si="119"/>
        <v>D1001</v>
      </c>
      <c r="AD975" s="203" t="str">
        <f>VLOOKUP(AC975,★原価商品!$E$6:$F$349,2,FALSE)</f>
        <v>日本海/B4（折り無し）</v>
      </c>
      <c r="AE975" s="203">
        <f t="shared" ca="1" si="124"/>
        <v>0</v>
      </c>
      <c r="AF975" s="383">
        <f>IFERROR(IF(VLOOKUP(申込書!$C$32,★サイズ表記!$F$4:$H$55,3,FALSE)="切り捨て",ROUNDDOWN(L975*IF(AK975="◎",I975,J975)/100,2),IF(VLOOKUP(申込書!$C$32,★サイズ表記!$F$4:$H$55,3,FALSE)="切り上げ",ROUNDUP(L975*IF(AK975="◎",I975,J975)/100,2),ROUND(L975*IF(AK975="◎",I975,J975)/100,2))),0)</f>
        <v>0</v>
      </c>
      <c r="AG975" s="203">
        <f t="shared" ca="1" si="122"/>
        <v>0</v>
      </c>
      <c r="AJ975" s="460" t="str">
        <f>IFERROR(VLOOKUP(申込書!$C$30,★業種!$D$2:$E$87,2,FALSE),"")</f>
        <v>1003</v>
      </c>
      <c r="AK975" s="460" t="str">
        <f>IF(申込書!$C$36="◎",IF(OR(D975="浜坂・温泉",D975="美方・村岡",D975="香住",D975="岡山",D975="大阪"),"",IF(LEFT(F975)="D","◎",IF(AG975=0,"",IFERROR(IF(VLOOKUP(AG975,★仕入先!$A$2:$C$211,3,FALSE)=0,"","◎"),"")))),"")</f>
        <v/>
      </c>
      <c r="AL975" s="460">
        <f>申込書!$H$14</f>
        <v>0</v>
      </c>
      <c r="AM975" s="460" t="str">
        <f>申込書!$C$32</f>
        <v>B4（折り無し）</v>
      </c>
      <c r="AN975" s="460" t="str">
        <f>VLOOKUP(AM975,★サイズ表記!$D$4:$E$55,2,FALSE)</f>
        <v>1001</v>
      </c>
      <c r="AO975" s="460">
        <f>IF(C975&lt;&gt;"⑧兵庫",VLOOKUP(LEFT(F975),★新聞!$A$4:$B$12,2,FALSE),IF(LEFT(F975)&lt;&gt;"S",VLOOKUP(LEFT(F975),★新聞!$A$4:$B$12,2,FALSE),VLOOKUP("X",★新聞!$A$4:$B$12,2,FALSE)))</f>
        <v>1</v>
      </c>
      <c r="AP975" s="460" t="str">
        <f t="shared" ca="1" si="121"/>
        <v>0</v>
      </c>
      <c r="AQ975" s="460" t="str">
        <f>IF(申込書!$C$38="","",申込書!$C$38)</f>
        <v/>
      </c>
    </row>
    <row r="976" spans="1:43">
      <c r="A976" s="463">
        <f>A975+1</f>
        <v>975</v>
      </c>
      <c r="B976" s="463" t="str">
        <f t="shared" si="110"/>
        <v>東部</v>
      </c>
      <c r="C976" s="464" t="s">
        <v>1244</v>
      </c>
      <c r="D976" s="464" t="s">
        <v>1242</v>
      </c>
      <c r="E976" s="464">
        <f>VLOOKUP(D976,★折込地区!$A$2:$D$10,4,FALSE)</f>
        <v>9</v>
      </c>
      <c r="F976" s="464" t="s">
        <v>1304</v>
      </c>
      <c r="G976" s="464" t="str">
        <f>INDEX(★新聞!$E$4:$I$12, MATCH(LEFT(F976),★新聞!$A$4:$A$12,0), MATCH(LEFT(W976),★新聞!$E$3:$I$3,0))</f>
        <v>X</v>
      </c>
      <c r="H976" s="475" t="s">
        <v>1247</v>
      </c>
      <c r="I976" s="464" cm="1">
        <f t="array" ref="I976">IFERROR(INDEX(★原価率!$A$2:$E$50,MATCH($C976&amp;$H976,★原価率!$A$2:$A$50&amp;★原価率!$B$2:$B$50,0),3),0)</f>
        <v>50</v>
      </c>
      <c r="J976" s="464" cm="1">
        <f t="array" ref="J976">IFERROR(INDEX(★原価率!$A$2:$E$50,MATCH($C976&amp;$H976,★原価率!$A$2:$A$50&amp;★原価率!$B$2:$B$50,0),4),0)</f>
        <v>50</v>
      </c>
      <c r="K976" s="464" cm="1">
        <f t="array" ref="K976">IFERROR(INDEX(★原価率!$A$2:$E$50,MATCH($C976&amp;$H976,★原価率!$A$2:$A$50&amp;★原価率!$B$2:$B$50,0),5),0)</f>
        <v>85</v>
      </c>
      <c r="L976" s="528">
        <f>IFERROR(VLOOKUP(W976,★商品!$A$1:$H$1231,8,FALSE),0)</f>
        <v>0</v>
      </c>
      <c r="M976" s="203" t="str">
        <f ca="1">CONCATENATE(VLOOKUP(B976,★営業所!$A$2:$B$5,2,FALSE),TEXT(NOW(),"yyyy"))</f>
        <v>T2023</v>
      </c>
      <c r="N976" s="203">
        <v>1</v>
      </c>
      <c r="O976" s="203">
        <v>0</v>
      </c>
      <c r="P976" s="213">
        <f>申込書!$B$6</f>
        <v>0</v>
      </c>
      <c r="Q976" s="203">
        <f>申込書!$C$34</f>
        <v>1000040</v>
      </c>
      <c r="R976" s="203">
        <v>0</v>
      </c>
      <c r="U976" s="203">
        <f>VLOOKUP(B976,★営業所!$A$2:$C$5,3,FALSE)</f>
        <v>8</v>
      </c>
      <c r="V976" s="203">
        <f>申込書!$B$9</f>
        <v>0</v>
      </c>
      <c r="W976" s="203" t="str">
        <f>CONCATENATE(VLOOKUP(B976,★営業所!$A$2:$B$5,2,FALSE),VLOOKUP(申込書!$C$32,★サイズ表記!$D$4:$E$55,2,FALSE),VLOOKUP(D976,★折込地区!$A$2:$B$11,2,FALSE))</f>
        <v>T1001Osk</v>
      </c>
      <c r="X976" s="203" t="str">
        <f>CONCATENATE(申込書!$B$9," ",VLOOKUP(RIGHT(W976,3),★折込地区!$B$2:$C$10,2,FALSE),"")</f>
        <v xml:space="preserve"> 大阪</v>
      </c>
      <c r="Z976" s="206">
        <f t="shared" ca="1" si="117"/>
        <v>0</v>
      </c>
      <c r="AB976" s="383">
        <f t="shared" si="118"/>
        <v>0</v>
      </c>
      <c r="AC976" s="203" t="str">
        <f t="shared" si="119"/>
        <v>D1001</v>
      </c>
      <c r="AD976" s="203" t="str">
        <f>VLOOKUP(AC976,★原価商品!$E$6:$F$349,2,FALSE)</f>
        <v>日本海/B4（折り無し）</v>
      </c>
      <c r="AE976" s="203">
        <f t="shared" ca="1" si="124"/>
        <v>0</v>
      </c>
      <c r="AF976" s="383">
        <f>IFERROR(IF(VLOOKUP(申込書!$C$32,★サイズ表記!$F$4:$H$55,3,FALSE)="切り捨て",ROUNDDOWN(L976*IF(AK976="◎",I976,J976)/100,2),IF(VLOOKUP(申込書!$C$32,★サイズ表記!$F$4:$H$55,3,FALSE)="切り上げ",ROUNDUP(L976*IF(AK976="◎",I976,J976)/100,2),ROUND(L976*IF(AK976="◎",I976,J976)/100,2))),0)</f>
        <v>0</v>
      </c>
      <c r="AG976" s="203">
        <f t="shared" ca="1" si="122"/>
        <v>0</v>
      </c>
      <c r="AJ976" s="460" t="str">
        <f>IFERROR(VLOOKUP(申込書!$C$30,★業種!$D$2:$E$87,2,FALSE),"")</f>
        <v>1003</v>
      </c>
      <c r="AK976" s="460" t="str">
        <f>IF(申込書!$C$36="◎",IF(OR(D976="浜坂・温泉",D976="美方・村岡",D976="香住",D976="岡山",D976="大阪"),"",IF(LEFT(F976)="D","◎",IF(AG976=0,"",IFERROR(IF(VLOOKUP(AG976,★仕入先!$A$2:$C$211,3,FALSE)=0,"","◎"),"")))),"")</f>
        <v/>
      </c>
      <c r="AL976" s="460">
        <f>申込書!$H$14</f>
        <v>0</v>
      </c>
      <c r="AM976" s="460" t="str">
        <f>申込書!$C$32</f>
        <v>B4（折り無し）</v>
      </c>
      <c r="AN976" s="460" t="str">
        <f>VLOOKUP(AM976,★サイズ表記!$D$4:$E$55,2,FALSE)</f>
        <v>1001</v>
      </c>
      <c r="AO976" s="460">
        <f>IF(C976&lt;&gt;"⑧兵庫",VLOOKUP(LEFT(F976),★新聞!$A$4:$B$12,2,FALSE),IF(LEFT(F976)&lt;&gt;"S",VLOOKUP(LEFT(F976),★新聞!$A$4:$B$12,2,FALSE),VLOOKUP("X",★新聞!$A$4:$B$12,2,FALSE)))</f>
        <v>1</v>
      </c>
      <c r="AP976" s="460" t="str">
        <f t="shared" ca="1" si="121"/>
        <v>0</v>
      </c>
      <c r="AQ976" s="460" t="str">
        <f>IF(申込書!$C$38="","",申込書!$C$38)</f>
        <v/>
      </c>
    </row>
    <row r="977" spans="1:33">
      <c r="A977" s="463">
        <v>9999</v>
      </c>
      <c r="B977" s="463"/>
      <c r="C977" s="464"/>
      <c r="D977" s="464"/>
      <c r="E977" s="464"/>
      <c r="F977" s="464"/>
      <c r="G977" s="464"/>
      <c r="H977" s="464"/>
      <c r="I977" s="464"/>
      <c r="J977" s="464"/>
      <c r="K977" s="464"/>
      <c r="L977" s="464"/>
      <c r="M977" s="203" t="s">
        <v>1118</v>
      </c>
      <c r="AE977" s="203">
        <v>0</v>
      </c>
      <c r="AG977" s="203">
        <v>0</v>
      </c>
    </row>
  </sheetData>
  <sheetProtection algorithmName="SHA-512" hashValue="kg5TEqPqSDC+gv05czrPovAPGqZQnVrTu8UFdXml8+MA4BGUtDnup6ReAl+a05mzKkMfhHSt61Tj0uVjVKpN5A==" saltValue="Xlbnr+gILRkX5WGyT0GOZQ==" spinCount="100000" sheet="1" objects="1" scenarios="1"/>
  <autoFilter ref="A1:AP977" xr:uid="{93581CAB-2485-45A2-A0E2-576B1114E798}"/>
  <phoneticPr fontId="15"/>
  <pageMargins left="0.7" right="0.7" top="0.75" bottom="0.75" header="0.3" footer="0.3"/>
  <pageSetup paperSize="9" scale="6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19243CE-246D-40FE-AD2A-547BE8A30154}">
          <x14:formula1>
            <xm:f>★シート!$A$2:$A$11</xm:f>
          </x14:formula1>
          <xm:sqref>C2:C976</xm:sqref>
        </x14:dataValidation>
        <x14:dataValidation type="list" allowBlank="1" showInputMessage="1" showErrorMessage="1" xr:uid="{3F0D59FA-7E85-467F-9D8E-BF63629AB1A7}">
          <x14:formula1>
            <xm:f>★折込地区!$A$2:$A$11</xm:f>
          </x14:formula1>
          <xm:sqref>D2:D976</xm:sqref>
        </x14:dataValidation>
        <x14:dataValidation type="list" allowBlank="1" showInputMessage="1" showErrorMessage="1" xr:uid="{16272E25-D7DA-4FE8-9709-97B1BC1CD700}">
          <x14:formula1>
            <xm:f>★営業所!$A$2:$A$5</xm:f>
          </x14:formula1>
          <xm:sqref>B2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60AD-6FDC-455B-8464-B1A1AD73DE4B}">
  <sheetPr codeName="Sheet17">
    <tabColor rgb="FF0070C0"/>
  </sheetPr>
  <dimension ref="A1:D212"/>
  <sheetViews>
    <sheetView zoomScale="80" zoomScaleNormal="80" workbookViewId="0">
      <pane ySplit="1" topLeftCell="A62" activePane="bottomLeft" state="frozen"/>
      <selection pane="bottomLeft" activeCell="A79" sqref="A79"/>
    </sheetView>
  </sheetViews>
  <sheetFormatPr defaultColWidth="8.875" defaultRowHeight="18.75"/>
  <cols>
    <col min="1" max="1" width="7.25" style="545" bestFit="1" customWidth="1"/>
    <col min="2" max="2" width="44.5" style="545" bestFit="1" customWidth="1"/>
    <col min="3" max="3" width="4.875" style="545" bestFit="1" customWidth="1"/>
    <col min="4" max="4" width="44.5" style="545" bestFit="1" customWidth="1"/>
    <col min="5" max="16384" width="8.875" style="545"/>
  </cols>
  <sheetData>
    <row r="1" spans="1:3" s="204" customFormat="1" ht="114">
      <c r="A1" s="543" t="s">
        <v>1368</v>
      </c>
      <c r="B1" s="543" t="s">
        <v>1369</v>
      </c>
      <c r="C1" s="543" t="s">
        <v>1617</v>
      </c>
    </row>
    <row r="2" spans="1:3">
      <c r="A2" s="544">
        <v>10002</v>
      </c>
      <c r="B2" s="544" t="s">
        <v>1370</v>
      </c>
      <c r="C2" s="544">
        <v>1</v>
      </c>
    </row>
    <row r="3" spans="1:3">
      <c r="A3" s="544">
        <v>10003</v>
      </c>
      <c r="B3" s="544" t="s">
        <v>1371</v>
      </c>
      <c r="C3" s="544">
        <v>1</v>
      </c>
    </row>
    <row r="4" spans="1:3">
      <c r="A4" s="544">
        <v>10004</v>
      </c>
      <c r="B4" s="544" t="s">
        <v>1372</v>
      </c>
      <c r="C4" s="544">
        <v>1</v>
      </c>
    </row>
    <row r="5" spans="1:3">
      <c r="A5" s="544">
        <v>10006</v>
      </c>
      <c r="B5" s="544" t="s">
        <v>1373</v>
      </c>
      <c r="C5" s="544">
        <v>1</v>
      </c>
    </row>
    <row r="6" spans="1:3">
      <c r="A6" s="544">
        <v>10009</v>
      </c>
      <c r="B6" s="544" t="s">
        <v>1374</v>
      </c>
      <c r="C6" s="544">
        <v>1</v>
      </c>
    </row>
    <row r="7" spans="1:3">
      <c r="A7" s="544">
        <v>10010</v>
      </c>
      <c r="B7" s="544" t="s">
        <v>1375</v>
      </c>
      <c r="C7" s="544">
        <v>1</v>
      </c>
    </row>
    <row r="8" spans="1:3">
      <c r="A8" s="544">
        <v>10011</v>
      </c>
      <c r="B8" s="544" t="s">
        <v>1376</v>
      </c>
      <c r="C8" s="544">
        <v>1</v>
      </c>
    </row>
    <row r="9" spans="1:3">
      <c r="A9" s="544">
        <v>10012</v>
      </c>
      <c r="B9" s="544" t="s">
        <v>1377</v>
      </c>
      <c r="C9" s="544">
        <v>1</v>
      </c>
    </row>
    <row r="10" spans="1:3">
      <c r="A10" s="544">
        <v>10013</v>
      </c>
      <c r="B10" s="544" t="s">
        <v>1378</v>
      </c>
      <c r="C10" s="544">
        <v>1</v>
      </c>
    </row>
    <row r="11" spans="1:3">
      <c r="A11" s="544">
        <v>10014</v>
      </c>
      <c r="B11" s="544" t="s">
        <v>1379</v>
      </c>
      <c r="C11" s="544">
        <v>1</v>
      </c>
    </row>
    <row r="12" spans="1:3">
      <c r="A12" s="544">
        <v>10017</v>
      </c>
      <c r="B12" s="544" t="s">
        <v>1380</v>
      </c>
      <c r="C12" s="544">
        <v>1</v>
      </c>
    </row>
    <row r="13" spans="1:3">
      <c r="A13" s="544">
        <v>10020</v>
      </c>
      <c r="B13" s="544" t="s">
        <v>1381</v>
      </c>
      <c r="C13" s="544">
        <v>1</v>
      </c>
    </row>
    <row r="14" spans="1:3">
      <c r="A14" s="544">
        <v>10022</v>
      </c>
      <c r="B14" s="544" t="s">
        <v>1382</v>
      </c>
      <c r="C14" s="544">
        <v>1</v>
      </c>
    </row>
    <row r="15" spans="1:3">
      <c r="A15" s="544">
        <v>10024</v>
      </c>
      <c r="B15" s="544" t="s">
        <v>1383</v>
      </c>
      <c r="C15" s="544">
        <v>1</v>
      </c>
    </row>
    <row r="16" spans="1:3">
      <c r="A16" s="544">
        <v>10027</v>
      </c>
      <c r="B16" s="544" t="s">
        <v>1384</v>
      </c>
      <c r="C16" s="544">
        <v>1</v>
      </c>
    </row>
    <row r="17" spans="1:3">
      <c r="A17" s="544">
        <v>10028</v>
      </c>
      <c r="B17" s="544" t="s">
        <v>1385</v>
      </c>
      <c r="C17" s="544">
        <v>1</v>
      </c>
    </row>
    <row r="18" spans="1:3">
      <c r="A18" s="544">
        <v>10029</v>
      </c>
      <c r="B18" s="544" t="s">
        <v>1386</v>
      </c>
      <c r="C18" s="544">
        <v>1</v>
      </c>
    </row>
    <row r="19" spans="1:3">
      <c r="A19" s="544">
        <v>10033</v>
      </c>
      <c r="B19" s="544" t="s">
        <v>1387</v>
      </c>
      <c r="C19" s="544">
        <v>1</v>
      </c>
    </row>
    <row r="20" spans="1:3">
      <c r="A20" s="544">
        <v>10036</v>
      </c>
      <c r="B20" s="544" t="s">
        <v>1388</v>
      </c>
      <c r="C20" s="544">
        <v>1</v>
      </c>
    </row>
    <row r="21" spans="1:3">
      <c r="A21" s="544">
        <v>10045</v>
      </c>
      <c r="B21" s="544" t="s">
        <v>1389</v>
      </c>
      <c r="C21" s="544">
        <v>0</v>
      </c>
    </row>
    <row r="22" spans="1:3">
      <c r="A22" s="544">
        <v>10046</v>
      </c>
      <c r="B22" s="544" t="s">
        <v>1390</v>
      </c>
      <c r="C22" s="544">
        <v>1</v>
      </c>
    </row>
    <row r="23" spans="1:3">
      <c r="A23" s="544">
        <v>10051</v>
      </c>
      <c r="B23" s="544" t="s">
        <v>1391</v>
      </c>
      <c r="C23" s="544">
        <v>1</v>
      </c>
    </row>
    <row r="24" spans="1:3">
      <c r="A24" s="544">
        <v>10053</v>
      </c>
      <c r="B24" s="544" t="s">
        <v>1392</v>
      </c>
      <c r="C24" s="544">
        <v>0</v>
      </c>
    </row>
    <row r="25" spans="1:3">
      <c r="A25" s="544">
        <v>10061</v>
      </c>
      <c r="B25" s="544" t="s">
        <v>1393</v>
      </c>
      <c r="C25" s="544">
        <v>1</v>
      </c>
    </row>
    <row r="26" spans="1:3">
      <c r="A26" s="544">
        <v>10064</v>
      </c>
      <c r="B26" s="544" t="s">
        <v>1394</v>
      </c>
      <c r="C26" s="544">
        <v>0</v>
      </c>
    </row>
    <row r="27" spans="1:3">
      <c r="A27" s="544">
        <v>10074</v>
      </c>
      <c r="B27" s="544" t="s">
        <v>1395</v>
      </c>
      <c r="C27" s="544">
        <v>0</v>
      </c>
    </row>
    <row r="28" spans="1:3">
      <c r="A28" s="544">
        <v>10075</v>
      </c>
      <c r="B28" s="544" t="s">
        <v>1396</v>
      </c>
      <c r="C28" s="544">
        <v>1</v>
      </c>
    </row>
    <row r="29" spans="1:3">
      <c r="A29" s="544">
        <v>10101</v>
      </c>
      <c r="B29" s="544" t="s">
        <v>1397</v>
      </c>
      <c r="C29" s="544">
        <v>0</v>
      </c>
    </row>
    <row r="30" spans="1:3">
      <c r="A30" s="544">
        <v>10102</v>
      </c>
      <c r="B30" s="544" t="s">
        <v>1398</v>
      </c>
      <c r="C30" s="544">
        <v>0</v>
      </c>
    </row>
    <row r="31" spans="1:3">
      <c r="A31" s="544">
        <v>10103</v>
      </c>
      <c r="B31" s="544" t="s">
        <v>1399</v>
      </c>
      <c r="C31" s="544">
        <v>0</v>
      </c>
    </row>
    <row r="32" spans="1:3">
      <c r="A32" s="544">
        <v>10104</v>
      </c>
      <c r="B32" s="544" t="s">
        <v>1400</v>
      </c>
      <c r="C32" s="544">
        <v>0</v>
      </c>
    </row>
    <row r="33" spans="1:3">
      <c r="A33" s="544">
        <v>10111</v>
      </c>
      <c r="B33" s="544" t="s">
        <v>1401</v>
      </c>
      <c r="C33" s="544">
        <v>0</v>
      </c>
    </row>
    <row r="34" spans="1:3">
      <c r="A34" s="544">
        <v>10113</v>
      </c>
      <c r="B34" s="544" t="s">
        <v>1402</v>
      </c>
      <c r="C34" s="544">
        <v>0</v>
      </c>
    </row>
    <row r="35" spans="1:3">
      <c r="A35" s="544">
        <v>10114</v>
      </c>
      <c r="B35" s="544" t="s">
        <v>1403</v>
      </c>
      <c r="C35" s="544">
        <v>0</v>
      </c>
    </row>
    <row r="36" spans="1:3">
      <c r="A36" s="544">
        <v>10121</v>
      </c>
      <c r="B36" s="544" t="s">
        <v>1404</v>
      </c>
      <c r="C36" s="544">
        <v>0</v>
      </c>
    </row>
    <row r="37" spans="1:3">
      <c r="A37" s="544">
        <v>10122</v>
      </c>
      <c r="B37" s="544" t="s">
        <v>1405</v>
      </c>
      <c r="C37" s="544">
        <v>0</v>
      </c>
    </row>
    <row r="38" spans="1:3">
      <c r="A38" s="544">
        <v>10141</v>
      </c>
      <c r="B38" s="544" t="s">
        <v>1406</v>
      </c>
      <c r="C38" s="544">
        <v>0</v>
      </c>
    </row>
    <row r="39" spans="1:3">
      <c r="A39" s="544">
        <v>10142</v>
      </c>
      <c r="B39" s="544" t="s">
        <v>1407</v>
      </c>
      <c r="C39" s="544">
        <v>0</v>
      </c>
    </row>
    <row r="40" spans="1:3">
      <c r="A40" s="544">
        <v>10143</v>
      </c>
      <c r="B40" s="544" t="s">
        <v>1406</v>
      </c>
      <c r="C40" s="544">
        <v>0</v>
      </c>
    </row>
    <row r="41" spans="1:3">
      <c r="A41" s="544">
        <v>10201</v>
      </c>
      <c r="B41" s="544" t="s">
        <v>1408</v>
      </c>
      <c r="C41" s="544">
        <v>1</v>
      </c>
    </row>
    <row r="42" spans="1:3">
      <c r="A42" s="544">
        <v>10205</v>
      </c>
      <c r="B42" s="544" t="s">
        <v>1409</v>
      </c>
      <c r="C42" s="544">
        <v>1</v>
      </c>
    </row>
    <row r="43" spans="1:3">
      <c r="A43" s="544">
        <v>10206</v>
      </c>
      <c r="B43" s="544" t="s">
        <v>1410</v>
      </c>
      <c r="C43" s="544">
        <v>0</v>
      </c>
    </row>
    <row r="44" spans="1:3">
      <c r="A44" s="544">
        <v>10208</v>
      </c>
      <c r="B44" s="544" t="s">
        <v>1411</v>
      </c>
      <c r="C44" s="544">
        <v>1</v>
      </c>
    </row>
    <row r="45" spans="1:3">
      <c r="A45" s="544">
        <v>10303</v>
      </c>
      <c r="B45" s="544" t="s">
        <v>1412</v>
      </c>
      <c r="C45" s="544">
        <v>0</v>
      </c>
    </row>
    <row r="46" spans="1:3">
      <c r="A46" s="544">
        <v>10412</v>
      </c>
      <c r="B46" s="544" t="s">
        <v>1413</v>
      </c>
      <c r="C46" s="544">
        <v>0</v>
      </c>
    </row>
    <row r="47" spans="1:3">
      <c r="A47" s="544">
        <v>10413</v>
      </c>
      <c r="B47" s="544" t="s">
        <v>1414</v>
      </c>
      <c r="C47" s="544">
        <v>0</v>
      </c>
    </row>
    <row r="48" spans="1:3">
      <c r="A48" s="544">
        <v>10414</v>
      </c>
      <c r="B48" s="544" t="s">
        <v>1415</v>
      </c>
      <c r="C48" s="544">
        <v>1</v>
      </c>
    </row>
    <row r="49" spans="1:3">
      <c r="A49" s="544">
        <v>10421</v>
      </c>
      <c r="B49" s="544" t="s">
        <v>1416</v>
      </c>
      <c r="C49" s="544">
        <v>1</v>
      </c>
    </row>
    <row r="50" spans="1:3">
      <c r="A50" s="544">
        <v>10422</v>
      </c>
      <c r="B50" s="544" t="s">
        <v>1417</v>
      </c>
      <c r="C50" s="544">
        <v>0</v>
      </c>
    </row>
    <row r="51" spans="1:3">
      <c r="A51" s="544">
        <v>10432</v>
      </c>
      <c r="B51" s="544" t="s">
        <v>1418</v>
      </c>
      <c r="C51" s="544">
        <v>0</v>
      </c>
    </row>
    <row r="52" spans="1:3">
      <c r="A52" s="544">
        <v>10434</v>
      </c>
      <c r="B52" s="544" t="s">
        <v>1419</v>
      </c>
      <c r="C52" s="544">
        <v>1</v>
      </c>
    </row>
    <row r="53" spans="1:3">
      <c r="A53" s="544">
        <v>10441</v>
      </c>
      <c r="B53" s="544" t="s">
        <v>1420</v>
      </c>
      <c r="C53" s="544">
        <v>1</v>
      </c>
    </row>
    <row r="54" spans="1:3">
      <c r="A54" s="544">
        <v>10442</v>
      </c>
      <c r="B54" s="544" t="s">
        <v>1421</v>
      </c>
      <c r="C54" s="544">
        <v>0</v>
      </c>
    </row>
    <row r="55" spans="1:3">
      <c r="A55" s="544">
        <v>10443</v>
      </c>
      <c r="B55" s="544" t="s">
        <v>1422</v>
      </c>
      <c r="C55" s="544">
        <v>0</v>
      </c>
    </row>
    <row r="56" spans="1:3">
      <c r="A56" s="544">
        <v>10451</v>
      </c>
      <c r="B56" s="544" t="s">
        <v>1423</v>
      </c>
      <c r="C56" s="544">
        <v>1</v>
      </c>
    </row>
    <row r="57" spans="1:3">
      <c r="A57" s="544">
        <v>10452</v>
      </c>
      <c r="B57" s="544" t="s">
        <v>1424</v>
      </c>
      <c r="C57" s="544">
        <v>0</v>
      </c>
    </row>
    <row r="58" spans="1:3">
      <c r="A58" s="544">
        <v>10461</v>
      </c>
      <c r="B58" s="544" t="s">
        <v>1425</v>
      </c>
      <c r="C58" s="544">
        <v>1</v>
      </c>
    </row>
    <row r="59" spans="1:3">
      <c r="A59" s="544">
        <v>10462</v>
      </c>
      <c r="B59" s="544" t="s">
        <v>1426</v>
      </c>
      <c r="C59" s="544">
        <v>1</v>
      </c>
    </row>
    <row r="60" spans="1:3">
      <c r="A60" s="544">
        <v>10463</v>
      </c>
      <c r="B60" s="544" t="s">
        <v>1427</v>
      </c>
      <c r="C60" s="544">
        <v>0</v>
      </c>
    </row>
    <row r="61" spans="1:3">
      <c r="A61" s="544">
        <v>10465</v>
      </c>
      <c r="B61" s="544" t="s">
        <v>1428</v>
      </c>
      <c r="C61" s="544">
        <v>0</v>
      </c>
    </row>
    <row r="62" spans="1:3">
      <c r="A62" s="544">
        <v>10466</v>
      </c>
      <c r="B62" s="544" t="s">
        <v>1429</v>
      </c>
      <c r="C62" s="544">
        <v>1</v>
      </c>
    </row>
    <row r="63" spans="1:3">
      <c r="A63" s="544">
        <v>10472</v>
      </c>
      <c r="B63" s="544" t="s">
        <v>1430</v>
      </c>
      <c r="C63" s="544">
        <v>1</v>
      </c>
    </row>
    <row r="64" spans="1:3">
      <c r="A64" s="544">
        <v>10473</v>
      </c>
      <c r="B64" s="544" t="s">
        <v>1431</v>
      </c>
      <c r="C64" s="544">
        <v>0</v>
      </c>
    </row>
    <row r="65" spans="1:3">
      <c r="A65" s="544">
        <v>10474</v>
      </c>
      <c r="B65" s="544" t="s">
        <v>1432</v>
      </c>
      <c r="C65" s="544">
        <v>0</v>
      </c>
    </row>
    <row r="66" spans="1:3">
      <c r="A66" s="544">
        <v>10475</v>
      </c>
      <c r="B66" s="544" t="s">
        <v>1433</v>
      </c>
      <c r="C66" s="544">
        <v>1</v>
      </c>
    </row>
    <row r="67" spans="1:3">
      <c r="A67" s="544">
        <v>10476</v>
      </c>
      <c r="B67" s="544" t="s">
        <v>1434</v>
      </c>
      <c r="C67" s="544">
        <v>1</v>
      </c>
    </row>
    <row r="68" spans="1:3">
      <c r="A68" s="544">
        <v>10478</v>
      </c>
      <c r="B68" s="544" t="s">
        <v>1435</v>
      </c>
      <c r="C68" s="544">
        <v>1</v>
      </c>
    </row>
    <row r="69" spans="1:3">
      <c r="A69" s="544">
        <v>10502</v>
      </c>
      <c r="B69" s="544" t="s">
        <v>1436</v>
      </c>
      <c r="C69" s="544">
        <v>1</v>
      </c>
    </row>
    <row r="70" spans="1:3">
      <c r="A70" s="544">
        <v>10504</v>
      </c>
      <c r="B70" s="544" t="s">
        <v>1437</v>
      </c>
      <c r="C70" s="544">
        <v>0</v>
      </c>
    </row>
    <row r="71" spans="1:3">
      <c r="A71" s="544">
        <v>10507</v>
      </c>
      <c r="B71" s="544" t="s">
        <v>1438</v>
      </c>
      <c r="C71" s="544">
        <v>0</v>
      </c>
    </row>
    <row r="72" spans="1:3">
      <c r="A72" s="544">
        <v>10515</v>
      </c>
      <c r="B72" s="544" t="s">
        <v>1439</v>
      </c>
      <c r="C72" s="544">
        <v>1</v>
      </c>
    </row>
    <row r="73" spans="1:3">
      <c r="A73" s="544">
        <v>10516</v>
      </c>
      <c r="B73" s="544" t="s">
        <v>1440</v>
      </c>
      <c r="C73" s="544">
        <v>0</v>
      </c>
    </row>
    <row r="74" spans="1:3">
      <c r="A74" s="544">
        <v>10518</v>
      </c>
      <c r="B74" s="544" t="s">
        <v>1441</v>
      </c>
      <c r="C74" s="544">
        <v>0</v>
      </c>
    </row>
    <row r="75" spans="1:3">
      <c r="A75" s="544">
        <v>10521</v>
      </c>
      <c r="B75" s="544" t="s">
        <v>1442</v>
      </c>
      <c r="C75" s="544">
        <v>1</v>
      </c>
    </row>
    <row r="76" spans="1:3">
      <c r="A76" s="544">
        <v>10522</v>
      </c>
      <c r="B76" s="544" t="s">
        <v>1443</v>
      </c>
      <c r="C76" s="544">
        <v>0</v>
      </c>
    </row>
    <row r="77" spans="1:3">
      <c r="A77" s="544">
        <v>10523</v>
      </c>
      <c r="B77" s="544" t="s">
        <v>1444</v>
      </c>
      <c r="C77" s="544">
        <v>0</v>
      </c>
    </row>
    <row r="78" spans="1:3">
      <c r="A78" s="544">
        <v>10530</v>
      </c>
      <c r="B78" s="544" t="s">
        <v>1445</v>
      </c>
      <c r="C78" s="544">
        <v>0</v>
      </c>
    </row>
    <row r="79" spans="1:3">
      <c r="A79" s="544">
        <v>10526</v>
      </c>
      <c r="B79" s="544" t="s">
        <v>1446</v>
      </c>
      <c r="C79" s="544">
        <v>0</v>
      </c>
    </row>
    <row r="80" spans="1:3">
      <c r="A80" s="544">
        <v>10527</v>
      </c>
      <c r="B80" s="544" t="s">
        <v>1447</v>
      </c>
      <c r="C80" s="544">
        <v>0</v>
      </c>
    </row>
    <row r="81" spans="1:3">
      <c r="A81" s="544">
        <v>10528</v>
      </c>
      <c r="B81" s="544" t="s">
        <v>1448</v>
      </c>
      <c r="C81" s="544">
        <v>0</v>
      </c>
    </row>
    <row r="82" spans="1:3">
      <c r="A82" s="544">
        <v>10529</v>
      </c>
      <c r="B82" s="544" t="s">
        <v>1449</v>
      </c>
      <c r="C82" s="544">
        <v>0</v>
      </c>
    </row>
    <row r="83" spans="1:3">
      <c r="A83" s="544">
        <v>10533</v>
      </c>
      <c r="B83" s="544" t="s">
        <v>1450</v>
      </c>
      <c r="C83" s="544">
        <v>0</v>
      </c>
    </row>
    <row r="84" spans="1:3">
      <c r="A84" s="544">
        <v>10534</v>
      </c>
      <c r="B84" s="544" t="s">
        <v>1451</v>
      </c>
      <c r="C84" s="544">
        <v>0</v>
      </c>
    </row>
    <row r="85" spans="1:3">
      <c r="A85" s="544">
        <v>10535</v>
      </c>
      <c r="B85" s="544" t="s">
        <v>1452</v>
      </c>
      <c r="C85" s="544">
        <v>0</v>
      </c>
    </row>
    <row r="86" spans="1:3">
      <c r="A86" s="544">
        <v>10537</v>
      </c>
      <c r="B86" s="544" t="s">
        <v>1453</v>
      </c>
      <c r="C86" s="544">
        <v>0</v>
      </c>
    </row>
    <row r="87" spans="1:3">
      <c r="A87" s="544">
        <v>10538</v>
      </c>
      <c r="B87" s="544" t="s">
        <v>1454</v>
      </c>
      <c r="C87" s="544">
        <v>1</v>
      </c>
    </row>
    <row r="88" spans="1:3">
      <c r="A88" s="544">
        <v>10540</v>
      </c>
      <c r="B88" s="544" t="s">
        <v>1455</v>
      </c>
      <c r="C88" s="544">
        <v>1</v>
      </c>
    </row>
    <row r="89" spans="1:3">
      <c r="A89" s="544">
        <v>10543</v>
      </c>
      <c r="B89" s="544" t="s">
        <v>1456</v>
      </c>
      <c r="C89" s="544">
        <v>0</v>
      </c>
    </row>
    <row r="90" spans="1:3">
      <c r="A90" s="544">
        <v>10551</v>
      </c>
      <c r="B90" s="544" t="s">
        <v>1457</v>
      </c>
      <c r="C90" s="544">
        <v>0</v>
      </c>
    </row>
    <row r="91" spans="1:3">
      <c r="A91" s="544">
        <v>10561</v>
      </c>
      <c r="B91" s="544" t="s">
        <v>1458</v>
      </c>
      <c r="C91" s="544">
        <v>0</v>
      </c>
    </row>
    <row r="92" spans="1:3">
      <c r="A92" s="544">
        <v>10564</v>
      </c>
      <c r="B92" s="544" t="s">
        <v>1459</v>
      </c>
      <c r="C92" s="544">
        <v>0</v>
      </c>
    </row>
    <row r="93" spans="1:3">
      <c r="A93" s="544">
        <v>10565</v>
      </c>
      <c r="B93" s="544" t="s">
        <v>1460</v>
      </c>
      <c r="C93" s="544">
        <v>0</v>
      </c>
    </row>
    <row r="94" spans="1:3">
      <c r="A94" s="544">
        <v>10566</v>
      </c>
      <c r="B94" s="544" t="s">
        <v>1461</v>
      </c>
      <c r="C94" s="544">
        <v>0</v>
      </c>
    </row>
    <row r="95" spans="1:3">
      <c r="A95" s="544">
        <v>10567</v>
      </c>
      <c r="B95" s="544" t="s">
        <v>1462</v>
      </c>
      <c r="C95" s="544">
        <v>0</v>
      </c>
    </row>
    <row r="96" spans="1:3">
      <c r="A96" s="544">
        <v>10568</v>
      </c>
      <c r="B96" s="544" t="s">
        <v>1463</v>
      </c>
      <c r="C96" s="544">
        <v>0</v>
      </c>
    </row>
    <row r="97" spans="1:3">
      <c r="A97" s="544">
        <v>10569</v>
      </c>
      <c r="B97" s="544" t="s">
        <v>1464</v>
      </c>
      <c r="C97" s="544">
        <v>0</v>
      </c>
    </row>
    <row r="98" spans="1:3">
      <c r="A98" s="544">
        <v>10570</v>
      </c>
      <c r="B98" s="544" t="s">
        <v>1465</v>
      </c>
      <c r="C98" s="544">
        <v>0</v>
      </c>
    </row>
    <row r="99" spans="1:3">
      <c r="A99" s="544">
        <v>20003</v>
      </c>
      <c r="B99" s="544" t="s">
        <v>1466</v>
      </c>
      <c r="C99" s="544">
        <v>1</v>
      </c>
    </row>
    <row r="100" spans="1:3">
      <c r="A100" s="544">
        <v>20004</v>
      </c>
      <c r="B100" s="544" t="s">
        <v>1467</v>
      </c>
      <c r="C100" s="544">
        <v>1</v>
      </c>
    </row>
    <row r="101" spans="1:3">
      <c r="A101" s="544">
        <v>20006</v>
      </c>
      <c r="B101" s="544" t="s">
        <v>1468</v>
      </c>
      <c r="C101" s="544">
        <v>1</v>
      </c>
    </row>
    <row r="102" spans="1:3">
      <c r="A102" s="544">
        <v>20010</v>
      </c>
      <c r="B102" s="544" t="s">
        <v>1469</v>
      </c>
      <c r="C102" s="544">
        <v>1</v>
      </c>
    </row>
    <row r="103" spans="1:3">
      <c r="A103" s="544">
        <v>20011</v>
      </c>
      <c r="B103" s="544" t="s">
        <v>1470</v>
      </c>
      <c r="C103" s="544">
        <v>1</v>
      </c>
    </row>
    <row r="104" spans="1:3">
      <c r="A104" s="544">
        <v>20012</v>
      </c>
      <c r="B104" s="544" t="s">
        <v>1471</v>
      </c>
      <c r="C104" s="544">
        <v>1</v>
      </c>
    </row>
    <row r="105" spans="1:3">
      <c r="A105" s="544">
        <v>20015</v>
      </c>
      <c r="B105" s="544" t="s">
        <v>1472</v>
      </c>
      <c r="C105" s="544">
        <v>1</v>
      </c>
    </row>
    <row r="106" spans="1:3">
      <c r="A106" s="544">
        <v>20017</v>
      </c>
      <c r="B106" s="544" t="s">
        <v>1473</v>
      </c>
      <c r="C106" s="544">
        <v>1</v>
      </c>
    </row>
    <row r="107" spans="1:3">
      <c r="A107" s="544">
        <v>20018</v>
      </c>
      <c r="B107" s="544" t="s">
        <v>1474</v>
      </c>
      <c r="C107" s="544">
        <v>1</v>
      </c>
    </row>
    <row r="108" spans="1:3">
      <c r="A108" s="544">
        <v>20019</v>
      </c>
      <c r="B108" s="544" t="s">
        <v>1475</v>
      </c>
      <c r="C108" s="544">
        <v>1</v>
      </c>
    </row>
    <row r="109" spans="1:3">
      <c r="A109" s="544">
        <v>20020</v>
      </c>
      <c r="B109" s="544" t="s">
        <v>1476</v>
      </c>
      <c r="C109" s="544">
        <v>1</v>
      </c>
    </row>
    <row r="110" spans="1:3">
      <c r="A110" s="544">
        <v>20022</v>
      </c>
      <c r="B110" s="544" t="s">
        <v>1477</v>
      </c>
      <c r="C110" s="544">
        <v>2</v>
      </c>
    </row>
    <row r="111" spans="1:3">
      <c r="A111" s="544">
        <v>20023</v>
      </c>
      <c r="B111" s="544" t="s">
        <v>1478</v>
      </c>
      <c r="C111" s="544">
        <v>1</v>
      </c>
    </row>
    <row r="112" spans="1:3">
      <c r="A112" s="544">
        <v>20026</v>
      </c>
      <c r="B112" s="544" t="s">
        <v>1479</v>
      </c>
      <c r="C112" s="544">
        <v>1</v>
      </c>
    </row>
    <row r="113" spans="1:3">
      <c r="A113" s="544">
        <v>20027</v>
      </c>
      <c r="B113" s="544" t="s">
        <v>1480</v>
      </c>
      <c r="C113" s="544">
        <v>1</v>
      </c>
    </row>
    <row r="114" spans="1:3">
      <c r="A114" s="544">
        <v>20028</v>
      </c>
      <c r="B114" s="544" t="s">
        <v>1481</v>
      </c>
      <c r="C114" s="544">
        <v>1</v>
      </c>
    </row>
    <row r="115" spans="1:3">
      <c r="A115" s="544">
        <v>20029</v>
      </c>
      <c r="B115" s="544" t="s">
        <v>1482</v>
      </c>
      <c r="C115" s="544">
        <v>1</v>
      </c>
    </row>
    <row r="116" spans="1:3">
      <c r="A116" s="544">
        <v>20050</v>
      </c>
      <c r="B116" s="544" t="s">
        <v>1483</v>
      </c>
      <c r="C116" s="544">
        <v>1</v>
      </c>
    </row>
    <row r="117" spans="1:3">
      <c r="A117" s="544">
        <v>20051</v>
      </c>
      <c r="B117" s="544" t="s">
        <v>1484</v>
      </c>
      <c r="C117" s="544">
        <v>1</v>
      </c>
    </row>
    <row r="118" spans="1:3">
      <c r="A118" s="544">
        <v>20060</v>
      </c>
      <c r="B118" s="544" t="s">
        <v>1485</v>
      </c>
      <c r="C118" s="544">
        <v>1</v>
      </c>
    </row>
    <row r="119" spans="1:3">
      <c r="A119" s="544">
        <v>20062</v>
      </c>
      <c r="B119" s="544" t="s">
        <v>1486</v>
      </c>
      <c r="C119" s="544">
        <v>1</v>
      </c>
    </row>
    <row r="120" spans="1:3">
      <c r="A120" s="544">
        <v>20063</v>
      </c>
      <c r="B120" s="544" t="s">
        <v>1487</v>
      </c>
      <c r="C120" s="544">
        <v>2</v>
      </c>
    </row>
    <row r="121" spans="1:3">
      <c r="A121" s="544">
        <v>20065</v>
      </c>
      <c r="B121" s="544" t="s">
        <v>1488</v>
      </c>
      <c r="C121" s="544">
        <v>1</v>
      </c>
    </row>
    <row r="122" spans="1:3">
      <c r="A122" s="544">
        <v>20070</v>
      </c>
      <c r="B122" s="544" t="s">
        <v>1489</v>
      </c>
      <c r="C122" s="544">
        <v>1</v>
      </c>
    </row>
    <row r="123" spans="1:3">
      <c r="A123" s="544">
        <v>20072</v>
      </c>
      <c r="B123" s="544" t="s">
        <v>1490</v>
      </c>
      <c r="C123" s="544">
        <v>1</v>
      </c>
    </row>
    <row r="124" spans="1:3">
      <c r="A124" s="544">
        <v>20076</v>
      </c>
      <c r="B124" s="544" t="s">
        <v>1491</v>
      </c>
      <c r="C124" s="544">
        <v>0</v>
      </c>
    </row>
    <row r="125" spans="1:3">
      <c r="A125" s="544">
        <v>20077</v>
      </c>
      <c r="B125" s="544" t="s">
        <v>1492</v>
      </c>
      <c r="C125" s="544">
        <v>1</v>
      </c>
    </row>
    <row r="126" spans="1:3">
      <c r="A126" s="544">
        <v>20078</v>
      </c>
      <c r="B126" s="544" t="s">
        <v>1493</v>
      </c>
      <c r="C126" s="544">
        <v>1</v>
      </c>
    </row>
    <row r="127" spans="1:3">
      <c r="A127" s="544">
        <v>20079</v>
      </c>
      <c r="B127" s="544" t="s">
        <v>1494</v>
      </c>
      <c r="C127" s="544">
        <v>1</v>
      </c>
    </row>
    <row r="128" spans="1:3">
      <c r="A128" s="544">
        <v>20080</v>
      </c>
      <c r="B128" s="544" t="s">
        <v>1495</v>
      </c>
      <c r="C128" s="544">
        <v>1</v>
      </c>
    </row>
    <row r="129" spans="1:3">
      <c r="A129" s="544">
        <v>20081</v>
      </c>
      <c r="B129" s="544" t="s">
        <v>1496</v>
      </c>
      <c r="C129" s="544">
        <v>1</v>
      </c>
    </row>
    <row r="130" spans="1:3">
      <c r="A130" s="544">
        <v>20082</v>
      </c>
      <c r="B130" s="544" t="s">
        <v>1497</v>
      </c>
      <c r="C130" s="544">
        <v>1</v>
      </c>
    </row>
    <row r="131" spans="1:3">
      <c r="A131" s="544">
        <v>20083</v>
      </c>
      <c r="B131" s="544" t="s">
        <v>1498</v>
      </c>
      <c r="C131" s="544">
        <v>1</v>
      </c>
    </row>
    <row r="132" spans="1:3">
      <c r="A132" s="544">
        <v>20086</v>
      </c>
      <c r="B132" s="544" t="s">
        <v>1499</v>
      </c>
      <c r="C132" s="544">
        <v>1</v>
      </c>
    </row>
    <row r="133" spans="1:3">
      <c r="A133" s="544">
        <v>20088</v>
      </c>
      <c r="B133" s="544" t="s">
        <v>1500</v>
      </c>
      <c r="C133" s="544">
        <v>1</v>
      </c>
    </row>
    <row r="134" spans="1:3">
      <c r="A134" s="544">
        <v>20089</v>
      </c>
      <c r="B134" s="544" t="s">
        <v>1501</v>
      </c>
      <c r="C134" s="544">
        <v>1</v>
      </c>
    </row>
    <row r="135" spans="1:3">
      <c r="A135" s="544">
        <v>20090</v>
      </c>
      <c r="B135" s="544" t="s">
        <v>1502</v>
      </c>
      <c r="C135" s="544">
        <v>1</v>
      </c>
    </row>
    <row r="136" spans="1:3">
      <c r="A136" s="544">
        <v>20091</v>
      </c>
      <c r="B136" s="544" t="s">
        <v>1503</v>
      </c>
      <c r="C136" s="544">
        <v>1</v>
      </c>
    </row>
    <row r="137" spans="1:3">
      <c r="A137" s="544">
        <v>20092</v>
      </c>
      <c r="B137" s="544" t="s">
        <v>1504</v>
      </c>
      <c r="C137" s="544">
        <v>2</v>
      </c>
    </row>
    <row r="138" spans="1:3">
      <c r="A138" s="544">
        <v>20111</v>
      </c>
      <c r="B138" s="544" t="s">
        <v>1505</v>
      </c>
      <c r="C138" s="544">
        <v>1</v>
      </c>
    </row>
    <row r="139" spans="1:3">
      <c r="A139" s="544">
        <v>20120</v>
      </c>
      <c r="B139" s="544" t="s">
        <v>1506</v>
      </c>
      <c r="C139" s="544">
        <v>1</v>
      </c>
    </row>
    <row r="140" spans="1:3">
      <c r="A140" s="544">
        <v>20121</v>
      </c>
      <c r="B140" s="544" t="s">
        <v>1507</v>
      </c>
      <c r="C140" s="544">
        <v>1</v>
      </c>
    </row>
    <row r="141" spans="1:3">
      <c r="A141" s="544">
        <v>20122</v>
      </c>
      <c r="B141" s="544" t="s">
        <v>1508</v>
      </c>
      <c r="C141" s="544">
        <v>1</v>
      </c>
    </row>
    <row r="142" spans="1:3">
      <c r="A142" s="544">
        <v>20131</v>
      </c>
      <c r="B142" s="544" t="s">
        <v>1509</v>
      </c>
      <c r="C142" s="544">
        <v>1</v>
      </c>
    </row>
    <row r="143" spans="1:3">
      <c r="A143" s="544">
        <v>20132</v>
      </c>
      <c r="B143" s="544" t="s">
        <v>1510</v>
      </c>
      <c r="C143" s="544">
        <v>1</v>
      </c>
    </row>
    <row r="144" spans="1:3">
      <c r="A144" s="544">
        <v>20133</v>
      </c>
      <c r="B144" s="544" t="s">
        <v>1511</v>
      </c>
      <c r="C144" s="544">
        <v>1</v>
      </c>
    </row>
    <row r="145" spans="1:3">
      <c r="A145" s="544">
        <v>20134</v>
      </c>
      <c r="B145" s="544" t="s">
        <v>1512</v>
      </c>
      <c r="C145" s="544">
        <v>1</v>
      </c>
    </row>
    <row r="146" spans="1:3">
      <c r="A146" s="544">
        <v>20140</v>
      </c>
      <c r="B146" s="544" t="s">
        <v>1513</v>
      </c>
      <c r="C146" s="544">
        <v>1</v>
      </c>
    </row>
    <row r="147" spans="1:3">
      <c r="A147" s="544">
        <v>20141</v>
      </c>
      <c r="B147" s="544" t="s">
        <v>1514</v>
      </c>
      <c r="C147" s="544">
        <v>1</v>
      </c>
    </row>
    <row r="148" spans="1:3">
      <c r="A148" s="544">
        <v>20143</v>
      </c>
      <c r="B148" s="544" t="s">
        <v>1515</v>
      </c>
      <c r="C148" s="544">
        <v>1</v>
      </c>
    </row>
    <row r="149" spans="1:3">
      <c r="A149" s="544">
        <v>20251</v>
      </c>
      <c r="B149" s="544" t="s">
        <v>1516</v>
      </c>
      <c r="C149" s="544">
        <v>0</v>
      </c>
    </row>
    <row r="150" spans="1:3">
      <c r="A150" s="544">
        <v>20252</v>
      </c>
      <c r="B150" s="544" t="s">
        <v>1517</v>
      </c>
      <c r="C150" s="544">
        <v>0</v>
      </c>
    </row>
    <row r="151" spans="1:3">
      <c r="A151" s="544">
        <v>20253</v>
      </c>
      <c r="B151" s="544" t="s">
        <v>1518</v>
      </c>
      <c r="C151" s="544">
        <v>0</v>
      </c>
    </row>
    <row r="152" spans="1:3">
      <c r="A152" s="544">
        <v>20255</v>
      </c>
      <c r="B152" s="544" t="s">
        <v>1519</v>
      </c>
      <c r="C152" s="544">
        <v>0</v>
      </c>
    </row>
    <row r="153" spans="1:3">
      <c r="A153" s="544">
        <v>20256</v>
      </c>
      <c r="B153" s="544" t="s">
        <v>1519</v>
      </c>
      <c r="C153" s="544">
        <v>0</v>
      </c>
    </row>
    <row r="154" spans="1:3">
      <c r="A154" s="544">
        <v>20257</v>
      </c>
      <c r="B154" s="544" t="s">
        <v>1520</v>
      </c>
      <c r="C154" s="544">
        <v>0</v>
      </c>
    </row>
    <row r="155" spans="1:3">
      <c r="A155" s="544">
        <v>20258</v>
      </c>
      <c r="B155" s="544" t="s">
        <v>1521</v>
      </c>
      <c r="C155" s="544">
        <v>0</v>
      </c>
    </row>
    <row r="156" spans="1:3">
      <c r="A156" s="544">
        <v>20261</v>
      </c>
      <c r="B156" s="544" t="s">
        <v>1522</v>
      </c>
      <c r="C156" s="544">
        <v>0</v>
      </c>
    </row>
    <row r="157" spans="1:3">
      <c r="A157" s="544">
        <v>20262</v>
      </c>
      <c r="B157" s="544" t="s">
        <v>1522</v>
      </c>
      <c r="C157" s="544">
        <v>0</v>
      </c>
    </row>
    <row r="158" spans="1:3">
      <c r="A158" s="544">
        <v>20263</v>
      </c>
      <c r="B158" s="544" t="s">
        <v>1523</v>
      </c>
      <c r="C158" s="544">
        <v>0</v>
      </c>
    </row>
    <row r="159" spans="1:3">
      <c r="A159" s="544">
        <v>20266</v>
      </c>
      <c r="B159" s="544" t="s">
        <v>1519</v>
      </c>
      <c r="C159" s="544">
        <v>0</v>
      </c>
    </row>
    <row r="160" spans="1:3">
      <c r="A160" s="544">
        <v>20267</v>
      </c>
      <c r="B160" s="544" t="s">
        <v>1524</v>
      </c>
      <c r="C160" s="544">
        <v>0</v>
      </c>
    </row>
    <row r="161" spans="1:3">
      <c r="A161" s="544">
        <v>20268</v>
      </c>
      <c r="B161" s="544" t="s">
        <v>1522</v>
      </c>
      <c r="C161" s="544">
        <v>0</v>
      </c>
    </row>
    <row r="162" spans="1:3">
      <c r="A162" s="544">
        <v>20269</v>
      </c>
      <c r="B162" s="544" t="s">
        <v>1519</v>
      </c>
      <c r="C162" s="544">
        <v>0</v>
      </c>
    </row>
    <row r="163" spans="1:3">
      <c r="A163" s="544">
        <v>20301</v>
      </c>
      <c r="B163" s="544" t="s">
        <v>1524</v>
      </c>
      <c r="C163" s="544">
        <v>0</v>
      </c>
    </row>
    <row r="164" spans="1:3">
      <c r="A164" s="544">
        <v>20302</v>
      </c>
      <c r="B164" s="544" t="s">
        <v>1524</v>
      </c>
      <c r="C164" s="544">
        <v>0</v>
      </c>
    </row>
    <row r="165" spans="1:3">
      <c r="A165" s="544">
        <v>20311</v>
      </c>
      <c r="B165" s="544" t="s">
        <v>1525</v>
      </c>
      <c r="C165" s="544">
        <v>0</v>
      </c>
    </row>
    <row r="166" spans="1:3">
      <c r="A166" s="544">
        <v>20314</v>
      </c>
      <c r="B166" s="544" t="s">
        <v>1521</v>
      </c>
      <c r="C166" s="544">
        <v>0</v>
      </c>
    </row>
    <row r="167" spans="1:3">
      <c r="A167" s="544">
        <v>20318</v>
      </c>
      <c r="B167" s="544" t="s">
        <v>1524</v>
      </c>
      <c r="C167" s="544">
        <v>0</v>
      </c>
    </row>
    <row r="168" spans="1:3">
      <c r="A168" s="544">
        <v>20321</v>
      </c>
      <c r="B168" s="544" t="s">
        <v>1524</v>
      </c>
      <c r="C168" s="544">
        <v>0</v>
      </c>
    </row>
    <row r="169" spans="1:3">
      <c r="A169" s="544">
        <v>20331</v>
      </c>
      <c r="B169" s="544" t="s">
        <v>1524</v>
      </c>
      <c r="C169" s="544">
        <v>0</v>
      </c>
    </row>
    <row r="170" spans="1:3">
      <c r="A170" s="544">
        <v>20351</v>
      </c>
      <c r="B170" s="544" t="s">
        <v>1526</v>
      </c>
      <c r="C170" s="544">
        <v>0</v>
      </c>
    </row>
    <row r="171" spans="1:3">
      <c r="A171" s="544">
        <v>20501</v>
      </c>
      <c r="B171" s="544" t="s">
        <v>1527</v>
      </c>
      <c r="C171" s="544">
        <v>0</v>
      </c>
    </row>
    <row r="172" spans="1:3">
      <c r="A172" s="544">
        <v>20601</v>
      </c>
      <c r="B172" s="544" t="s">
        <v>1528</v>
      </c>
      <c r="C172" s="544">
        <v>0</v>
      </c>
    </row>
    <row r="173" spans="1:3">
      <c r="A173" s="544">
        <v>20900</v>
      </c>
      <c r="B173" s="544" t="s">
        <v>1529</v>
      </c>
      <c r="C173" s="544">
        <v>0</v>
      </c>
    </row>
    <row r="174" spans="1:3">
      <c r="A174" s="544">
        <v>30001</v>
      </c>
      <c r="B174" s="544" t="s">
        <v>1530</v>
      </c>
      <c r="C174" s="544">
        <v>1</v>
      </c>
    </row>
    <row r="175" spans="1:3">
      <c r="A175" s="544">
        <v>30003</v>
      </c>
      <c r="B175" s="544" t="s">
        <v>1531</v>
      </c>
      <c r="C175" s="544">
        <v>1</v>
      </c>
    </row>
    <row r="176" spans="1:3">
      <c r="A176" s="544">
        <v>30004</v>
      </c>
      <c r="B176" s="544" t="s">
        <v>1532</v>
      </c>
      <c r="C176" s="544">
        <v>1</v>
      </c>
    </row>
    <row r="177" spans="1:3">
      <c r="A177" s="544">
        <v>30005</v>
      </c>
      <c r="B177" s="544" t="s">
        <v>1533</v>
      </c>
      <c r="C177" s="544">
        <v>1</v>
      </c>
    </row>
    <row r="178" spans="1:3">
      <c r="A178" s="544">
        <v>30007</v>
      </c>
      <c r="B178" s="544" t="s">
        <v>1534</v>
      </c>
      <c r="C178" s="544">
        <v>1</v>
      </c>
    </row>
    <row r="179" spans="1:3">
      <c r="A179" s="544">
        <v>30011</v>
      </c>
      <c r="B179" s="544" t="s">
        <v>1535</v>
      </c>
      <c r="C179" s="544">
        <v>1</v>
      </c>
    </row>
    <row r="180" spans="1:3">
      <c r="A180" s="544">
        <v>30012</v>
      </c>
      <c r="B180" s="544" t="s">
        <v>1536</v>
      </c>
      <c r="C180" s="544">
        <v>1</v>
      </c>
    </row>
    <row r="181" spans="1:3">
      <c r="A181" s="544">
        <v>30013</v>
      </c>
      <c r="B181" s="544" t="s">
        <v>1537</v>
      </c>
      <c r="C181" s="544">
        <v>1</v>
      </c>
    </row>
    <row r="182" spans="1:3">
      <c r="A182" s="544">
        <v>30014</v>
      </c>
      <c r="B182" s="544" t="s">
        <v>1538</v>
      </c>
      <c r="C182" s="544">
        <v>1</v>
      </c>
    </row>
    <row r="183" spans="1:3">
      <c r="A183" s="544">
        <v>30015</v>
      </c>
      <c r="B183" s="544" t="s">
        <v>1539</v>
      </c>
      <c r="C183" s="544">
        <v>1</v>
      </c>
    </row>
    <row r="184" spans="1:3">
      <c r="A184" s="544">
        <v>30016</v>
      </c>
      <c r="B184" s="544" t="s">
        <v>1540</v>
      </c>
      <c r="C184" s="544">
        <v>1</v>
      </c>
    </row>
    <row r="185" spans="1:3">
      <c r="A185" s="544">
        <v>30017</v>
      </c>
      <c r="B185" s="544" t="s">
        <v>1541</v>
      </c>
      <c r="C185" s="544">
        <v>2</v>
      </c>
    </row>
    <row r="186" spans="1:3">
      <c r="A186" s="544">
        <v>30018</v>
      </c>
      <c r="B186" s="544" t="s">
        <v>1542</v>
      </c>
      <c r="C186" s="544">
        <v>1</v>
      </c>
    </row>
    <row r="187" spans="1:3">
      <c r="A187" s="544">
        <v>30019</v>
      </c>
      <c r="B187" s="544" t="s">
        <v>1543</v>
      </c>
      <c r="C187" s="544">
        <v>1</v>
      </c>
    </row>
    <row r="188" spans="1:3">
      <c r="A188" s="544">
        <v>30020</v>
      </c>
      <c r="B188" s="544" t="s">
        <v>1544</v>
      </c>
      <c r="C188" s="544">
        <v>1</v>
      </c>
    </row>
    <row r="189" spans="1:3">
      <c r="A189" s="544">
        <v>30021</v>
      </c>
      <c r="B189" s="544" t="s">
        <v>1545</v>
      </c>
      <c r="C189" s="544">
        <v>1</v>
      </c>
    </row>
    <row r="190" spans="1:3">
      <c r="A190" s="544">
        <v>30031</v>
      </c>
      <c r="B190" s="544" t="s">
        <v>1546</v>
      </c>
      <c r="C190" s="544">
        <v>0</v>
      </c>
    </row>
    <row r="191" spans="1:3">
      <c r="A191" s="544">
        <v>30033</v>
      </c>
      <c r="B191" s="544" t="s">
        <v>1547</v>
      </c>
      <c r="C191" s="544">
        <v>0</v>
      </c>
    </row>
    <row r="192" spans="1:3">
      <c r="A192" s="544">
        <v>30042</v>
      </c>
      <c r="B192" s="544" t="s">
        <v>1548</v>
      </c>
      <c r="C192" s="544">
        <v>0</v>
      </c>
    </row>
    <row r="193" spans="1:3">
      <c r="A193" s="544">
        <v>30051</v>
      </c>
      <c r="B193" s="544" t="s">
        <v>1549</v>
      </c>
      <c r="C193" s="544">
        <v>1</v>
      </c>
    </row>
    <row r="194" spans="1:3">
      <c r="A194" s="544">
        <v>30052</v>
      </c>
      <c r="B194" s="544" t="s">
        <v>1549</v>
      </c>
      <c r="C194" s="544">
        <v>1</v>
      </c>
    </row>
    <row r="195" spans="1:3">
      <c r="A195" s="544">
        <v>30053</v>
      </c>
      <c r="B195" s="544" t="s">
        <v>1550</v>
      </c>
      <c r="C195" s="544">
        <v>1</v>
      </c>
    </row>
    <row r="196" spans="1:3">
      <c r="A196" s="544">
        <v>30054</v>
      </c>
      <c r="B196" s="544" t="s">
        <v>1549</v>
      </c>
      <c r="C196" s="544">
        <v>0</v>
      </c>
    </row>
    <row r="197" spans="1:3">
      <c r="A197" s="544">
        <v>30060</v>
      </c>
      <c r="B197" s="544" t="s">
        <v>1551</v>
      </c>
      <c r="C197" s="544">
        <v>0</v>
      </c>
    </row>
    <row r="198" spans="1:3">
      <c r="A198" s="544">
        <v>30061</v>
      </c>
      <c r="B198" s="544" t="s">
        <v>1552</v>
      </c>
      <c r="C198" s="544">
        <v>0</v>
      </c>
    </row>
    <row r="199" spans="1:3">
      <c r="A199" s="544">
        <v>30062</v>
      </c>
      <c r="B199" s="544" t="s">
        <v>1552</v>
      </c>
      <c r="C199" s="544">
        <v>0</v>
      </c>
    </row>
    <row r="200" spans="1:3">
      <c r="A200" s="544">
        <v>30063</v>
      </c>
      <c r="B200" s="544" t="s">
        <v>1553</v>
      </c>
      <c r="C200" s="544">
        <v>0</v>
      </c>
    </row>
    <row r="201" spans="1:3">
      <c r="A201" s="544">
        <v>30066</v>
      </c>
      <c r="B201" s="544" t="s">
        <v>1554</v>
      </c>
      <c r="C201" s="544">
        <v>0</v>
      </c>
    </row>
    <row r="202" spans="1:3">
      <c r="A202" s="544">
        <v>30068</v>
      </c>
      <c r="B202" s="544" t="s">
        <v>1555</v>
      </c>
      <c r="C202" s="544">
        <v>0</v>
      </c>
    </row>
    <row r="203" spans="1:3">
      <c r="A203" s="544">
        <v>30070</v>
      </c>
      <c r="B203" s="544" t="s">
        <v>1556</v>
      </c>
      <c r="C203" s="544">
        <v>0</v>
      </c>
    </row>
    <row r="204" spans="1:3">
      <c r="A204" s="544">
        <v>30071</v>
      </c>
      <c r="B204" s="544" t="s">
        <v>1556</v>
      </c>
      <c r="C204" s="544">
        <v>0</v>
      </c>
    </row>
    <row r="205" spans="1:3">
      <c r="A205" s="544">
        <v>30072</v>
      </c>
      <c r="B205" s="544" t="s">
        <v>1557</v>
      </c>
      <c r="C205" s="544">
        <v>0</v>
      </c>
    </row>
    <row r="206" spans="1:3">
      <c r="A206" s="544">
        <v>30073</v>
      </c>
      <c r="B206" s="544" t="s">
        <v>1558</v>
      </c>
      <c r="C206" s="544">
        <v>0</v>
      </c>
    </row>
    <row r="207" spans="1:3">
      <c r="A207" s="544">
        <v>30074</v>
      </c>
      <c r="B207" s="544" t="s">
        <v>1559</v>
      </c>
      <c r="C207" s="544">
        <v>0</v>
      </c>
    </row>
    <row r="208" spans="1:3">
      <c r="A208" s="544">
        <v>30101</v>
      </c>
      <c r="B208" s="544" t="s">
        <v>1560</v>
      </c>
      <c r="C208" s="544">
        <v>0</v>
      </c>
    </row>
    <row r="209" spans="1:4">
      <c r="A209" s="544">
        <v>30111</v>
      </c>
      <c r="B209" s="544" t="s">
        <v>1561</v>
      </c>
      <c r="C209" s="544">
        <v>0</v>
      </c>
    </row>
    <row r="210" spans="1:4">
      <c r="A210" s="544">
        <v>30121</v>
      </c>
      <c r="B210" s="544" t="s">
        <v>1562</v>
      </c>
      <c r="C210" s="544">
        <v>0</v>
      </c>
    </row>
    <row r="211" spans="1:4">
      <c r="A211" s="544">
        <v>30131</v>
      </c>
      <c r="B211" s="544" t="s">
        <v>1563</v>
      </c>
      <c r="C211" s="544">
        <v>0</v>
      </c>
    </row>
    <row r="212" spans="1:4" s="203" customFormat="1">
      <c r="A212" s="517"/>
      <c r="B212" s="405"/>
      <c r="C212" s="405"/>
      <c r="D212" s="203" t="s">
        <v>1118</v>
      </c>
    </row>
  </sheetData>
  <sheetProtection algorithmName="SHA-512" hashValue="oWM8WuI6FDIx9s7xyXlRrf9tFt9/iETgKYRLI0eh5K3ngWZqYLVsSJhsP5J76hKZR6vJEH8jJOZWWxYtw9b7/Q==" saltValue="f39npXe/u1j5ll9fHIKL7w==" spinCount="100000" sheet="1" objects="1" scenarios="1"/>
  <phoneticPr fontId="15"/>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FB2E-B8D3-4532-A801-1DC18A022BE2}">
  <sheetPr codeName="Sheet21">
    <tabColor rgb="FF0070C0"/>
  </sheetPr>
  <dimension ref="A1:D8"/>
  <sheetViews>
    <sheetView zoomScale="80" zoomScaleNormal="80" workbookViewId="0">
      <pane ySplit="1" topLeftCell="A2" activePane="bottomLeft" state="frozen"/>
      <selection pane="bottomLeft" activeCell="J11" sqref="J11"/>
    </sheetView>
  </sheetViews>
  <sheetFormatPr defaultColWidth="8.875" defaultRowHeight="18.75"/>
  <cols>
    <col min="1" max="1" width="5.75" style="203" customWidth="1"/>
    <col min="2" max="3" width="4.875" style="205" bestFit="1" customWidth="1"/>
    <col min="4" max="16384" width="8.875" style="203"/>
  </cols>
  <sheetData>
    <row r="1" spans="1:4" s="204" customFormat="1" ht="151.5">
      <c r="A1" s="404" t="s">
        <v>1149</v>
      </c>
      <c r="B1" s="404" t="s">
        <v>557</v>
      </c>
      <c r="C1" s="404" t="s">
        <v>1610</v>
      </c>
    </row>
    <row r="2" spans="1:4">
      <c r="A2" s="406" t="s">
        <v>275</v>
      </c>
      <c r="B2" s="405" t="s">
        <v>564</v>
      </c>
      <c r="C2" s="405">
        <v>8</v>
      </c>
    </row>
    <row r="3" spans="1:4">
      <c r="A3" s="406" t="s">
        <v>276</v>
      </c>
      <c r="B3" s="405" t="s">
        <v>543</v>
      </c>
      <c r="C3" s="405">
        <v>9</v>
      </c>
    </row>
    <row r="4" spans="1:4">
      <c r="A4" s="406" t="s">
        <v>116</v>
      </c>
      <c r="B4" s="405" t="s">
        <v>565</v>
      </c>
      <c r="C4" s="405">
        <v>10</v>
      </c>
    </row>
    <row r="5" spans="1:4">
      <c r="A5" s="478"/>
      <c r="B5" s="405"/>
      <c r="C5" s="405"/>
      <c r="D5" s="203" t="s">
        <v>1118</v>
      </c>
    </row>
    <row r="6" spans="1:4">
      <c r="D6" s="203" t="s">
        <v>1608</v>
      </c>
    </row>
    <row r="8" spans="1:4">
      <c r="A8" s="406" t="s">
        <v>1157</v>
      </c>
      <c r="B8" s="405" t="s">
        <v>1243</v>
      </c>
      <c r="C8" s="405">
        <v>0</v>
      </c>
    </row>
  </sheetData>
  <sheetProtection algorithmName="SHA-512" hashValue="tKXm3beRyJmYiu4hgVhHTDd8VGpBUurSI6z0C/T9hwjI7qQzqRznFHkuQHUREOIA1eWb/lZ1vkTRzJMBpC9tVQ==" saltValue="6UwhvgqxokjTDLMQsommcg==" spinCount="100000" sheet="1" objects="1" scenarios="1"/>
  <phoneticPr fontId="15"/>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DED3-5290-4060-939A-E95E9C7ED9BC}">
  <sheetPr codeName="Sheet18">
    <tabColor rgb="FF0070C0"/>
  </sheetPr>
  <dimension ref="A1:C123"/>
  <sheetViews>
    <sheetView zoomScale="80" zoomScaleNormal="80" workbookViewId="0">
      <pane ySplit="1" topLeftCell="A71" activePane="bottomLeft" state="frozen"/>
      <selection pane="bottomLeft" activeCell="B76" sqref="B76"/>
    </sheetView>
  </sheetViews>
  <sheetFormatPr defaultColWidth="8.875" defaultRowHeight="18.75"/>
  <cols>
    <col min="1" max="1" width="7.25" style="545" bestFit="1" customWidth="1"/>
    <col min="2" max="2" width="26.125" style="545" bestFit="1" customWidth="1"/>
    <col min="3" max="3" width="44.5" style="545" bestFit="1" customWidth="1"/>
    <col min="4" max="16384" width="8.875" style="545"/>
  </cols>
  <sheetData>
    <row r="1" spans="1:2" s="204" customFormat="1" ht="114">
      <c r="A1" s="543" t="s">
        <v>1368</v>
      </c>
      <c r="B1" s="543" t="s">
        <v>1369</v>
      </c>
    </row>
    <row r="2" spans="1:2">
      <c r="A2" s="544">
        <v>40001</v>
      </c>
      <c r="B2" s="550" t="s">
        <v>1564</v>
      </c>
    </row>
    <row r="3" spans="1:2">
      <c r="A3" s="544">
        <v>40002</v>
      </c>
      <c r="B3" s="550" t="s">
        <v>1565</v>
      </c>
    </row>
    <row r="4" spans="1:2">
      <c r="A4" s="544">
        <v>40003</v>
      </c>
      <c r="B4" s="550" t="s">
        <v>1566</v>
      </c>
    </row>
    <row r="5" spans="1:2">
      <c r="A5" s="544">
        <v>40004</v>
      </c>
      <c r="B5" s="550" t="s">
        <v>1159</v>
      </c>
    </row>
    <row r="6" spans="1:2">
      <c r="A6" s="544">
        <v>40005</v>
      </c>
      <c r="B6" s="550" t="s">
        <v>1567</v>
      </c>
    </row>
    <row r="7" spans="1:2">
      <c r="A7" s="544">
        <v>40006</v>
      </c>
      <c r="B7" s="550" t="s">
        <v>1568</v>
      </c>
    </row>
    <row r="8" spans="1:2">
      <c r="A8" s="544">
        <v>40007</v>
      </c>
      <c r="B8" s="550" t="s">
        <v>1569</v>
      </c>
    </row>
    <row r="9" spans="1:2">
      <c r="A9" s="544">
        <v>40008</v>
      </c>
      <c r="B9" s="550" t="s">
        <v>1570</v>
      </c>
    </row>
    <row r="10" spans="1:2">
      <c r="A10" s="544">
        <v>40009</v>
      </c>
      <c r="B10" s="550" t="s">
        <v>1571</v>
      </c>
    </row>
    <row r="11" spans="1:2">
      <c r="A11" s="544">
        <v>40010</v>
      </c>
      <c r="B11" s="550" t="s">
        <v>1572</v>
      </c>
    </row>
    <row r="12" spans="1:2">
      <c r="A12" s="544">
        <v>40011</v>
      </c>
      <c r="B12" s="550" t="s">
        <v>1573</v>
      </c>
    </row>
    <row r="13" spans="1:2">
      <c r="A13" s="544">
        <v>40012</v>
      </c>
      <c r="B13" s="550" t="s">
        <v>1574</v>
      </c>
    </row>
    <row r="14" spans="1:2">
      <c r="A14" s="544">
        <v>40013</v>
      </c>
      <c r="B14" s="550" t="s">
        <v>1575</v>
      </c>
    </row>
    <row r="15" spans="1:2">
      <c r="A15" s="544">
        <v>40014</v>
      </c>
      <c r="B15" s="550" t="s">
        <v>1576</v>
      </c>
    </row>
    <row r="16" spans="1:2">
      <c r="A16" s="544">
        <v>40015</v>
      </c>
      <c r="B16" s="550" t="s">
        <v>1577</v>
      </c>
    </row>
    <row r="17" spans="1:2">
      <c r="A17" s="544">
        <v>40016</v>
      </c>
      <c r="B17" s="550" t="s">
        <v>1578</v>
      </c>
    </row>
    <row r="18" spans="1:2">
      <c r="A18" s="544">
        <v>40017</v>
      </c>
      <c r="B18" s="550" t="s">
        <v>1579</v>
      </c>
    </row>
    <row r="19" spans="1:2">
      <c r="A19" s="544">
        <v>40018</v>
      </c>
      <c r="B19" s="550" t="s">
        <v>1580</v>
      </c>
    </row>
    <row r="20" spans="1:2">
      <c r="A20" s="544">
        <v>40019</v>
      </c>
      <c r="B20" s="550" t="s">
        <v>1581</v>
      </c>
    </row>
    <row r="21" spans="1:2">
      <c r="A21" s="544">
        <v>40020</v>
      </c>
      <c r="B21" s="550" t="s">
        <v>1582</v>
      </c>
    </row>
    <row r="22" spans="1:2">
      <c r="A22" s="544">
        <v>40021</v>
      </c>
      <c r="B22" s="550" t="s">
        <v>1583</v>
      </c>
    </row>
    <row r="23" spans="1:2">
      <c r="A23" s="544">
        <v>40022</v>
      </c>
      <c r="B23" s="550" t="s">
        <v>1584</v>
      </c>
    </row>
    <row r="24" spans="1:2">
      <c r="A24" s="544">
        <v>40023</v>
      </c>
      <c r="B24" s="550" t="s">
        <v>1585</v>
      </c>
    </row>
    <row r="25" spans="1:2">
      <c r="A25" s="544">
        <v>40024</v>
      </c>
      <c r="B25" s="550" t="s">
        <v>1586</v>
      </c>
    </row>
    <row r="26" spans="1:2">
      <c r="A26" s="544">
        <v>40025</v>
      </c>
      <c r="B26" s="550" t="s">
        <v>1587</v>
      </c>
    </row>
    <row r="27" spans="1:2">
      <c r="A27" s="544">
        <v>40026</v>
      </c>
      <c r="B27" s="550" t="s">
        <v>1588</v>
      </c>
    </row>
    <row r="28" spans="1:2">
      <c r="A28" s="544">
        <v>40027</v>
      </c>
      <c r="B28" s="550" t="s">
        <v>1589</v>
      </c>
    </row>
    <row r="29" spans="1:2">
      <c r="A29" s="544">
        <v>40028</v>
      </c>
      <c r="B29" s="550" t="s">
        <v>1590</v>
      </c>
    </row>
    <row r="30" spans="1:2">
      <c r="A30" s="544">
        <v>40029</v>
      </c>
      <c r="B30" s="550" t="s">
        <v>1160</v>
      </c>
    </row>
    <row r="31" spans="1:2">
      <c r="A31" s="544">
        <v>40030</v>
      </c>
      <c r="B31" s="550" t="s">
        <v>1591</v>
      </c>
    </row>
    <row r="32" spans="1:2">
      <c r="A32" s="544">
        <v>40031</v>
      </c>
      <c r="B32" s="550" t="s">
        <v>1161</v>
      </c>
    </row>
    <row r="33" spans="1:2">
      <c r="A33" s="544">
        <v>40032</v>
      </c>
      <c r="B33" s="550" t="s">
        <v>1162</v>
      </c>
    </row>
    <row r="34" spans="1:2">
      <c r="A34" s="544">
        <v>40033</v>
      </c>
      <c r="B34" s="550" t="s">
        <v>1163</v>
      </c>
    </row>
    <row r="35" spans="1:2">
      <c r="A35" s="544">
        <v>40034</v>
      </c>
      <c r="B35" s="550" t="s">
        <v>1164</v>
      </c>
    </row>
    <row r="36" spans="1:2">
      <c r="A36" s="544">
        <v>40035</v>
      </c>
      <c r="B36" s="550" t="s">
        <v>1165</v>
      </c>
    </row>
    <row r="37" spans="1:2">
      <c r="A37" s="544">
        <v>40036</v>
      </c>
      <c r="B37" s="550" t="s">
        <v>1166</v>
      </c>
    </row>
    <row r="38" spans="1:2">
      <c r="A38" s="544">
        <v>40037</v>
      </c>
      <c r="B38" s="550" t="s">
        <v>1592</v>
      </c>
    </row>
    <row r="39" spans="1:2">
      <c r="A39" s="544">
        <v>40038</v>
      </c>
      <c r="B39" s="550" t="s">
        <v>1593</v>
      </c>
    </row>
    <row r="40" spans="1:2">
      <c r="A40" s="544">
        <v>40039</v>
      </c>
      <c r="B40" s="550" t="s">
        <v>1167</v>
      </c>
    </row>
    <row r="41" spans="1:2">
      <c r="A41" s="544">
        <v>40040</v>
      </c>
      <c r="B41" s="550" t="s">
        <v>1168</v>
      </c>
    </row>
    <row r="42" spans="1:2">
      <c r="A42" s="544">
        <v>40041</v>
      </c>
      <c r="B42" s="550" t="s">
        <v>1169</v>
      </c>
    </row>
    <row r="43" spans="1:2">
      <c r="A43" s="544">
        <v>40042</v>
      </c>
      <c r="B43" s="550" t="s">
        <v>1170</v>
      </c>
    </row>
    <row r="44" spans="1:2">
      <c r="A44" s="544">
        <v>40043</v>
      </c>
      <c r="B44" s="550" t="s">
        <v>1171</v>
      </c>
    </row>
    <row r="45" spans="1:2">
      <c r="A45" s="544">
        <v>40044</v>
      </c>
      <c r="B45" s="550" t="s">
        <v>1172</v>
      </c>
    </row>
    <row r="46" spans="1:2">
      <c r="A46" s="544">
        <v>40045</v>
      </c>
      <c r="B46" s="550" t="s">
        <v>1173</v>
      </c>
    </row>
    <row r="47" spans="1:2">
      <c r="A47" s="544">
        <v>40046</v>
      </c>
      <c r="B47" s="550" t="s">
        <v>1174</v>
      </c>
    </row>
    <row r="48" spans="1:2">
      <c r="A48" s="544">
        <v>40047</v>
      </c>
      <c r="B48" s="550" t="s">
        <v>1175</v>
      </c>
    </row>
    <row r="49" spans="1:2">
      <c r="A49" s="544">
        <v>40048</v>
      </c>
      <c r="B49" s="550" t="s">
        <v>1176</v>
      </c>
    </row>
    <row r="50" spans="1:2">
      <c r="A50" s="544">
        <v>40049</v>
      </c>
      <c r="B50" s="550" t="s">
        <v>1177</v>
      </c>
    </row>
    <row r="51" spans="1:2">
      <c r="A51" s="544">
        <v>40050</v>
      </c>
      <c r="B51" s="550" t="s">
        <v>1178</v>
      </c>
    </row>
    <row r="52" spans="1:2">
      <c r="A52" s="544">
        <v>40052</v>
      </c>
      <c r="B52" s="550" t="s">
        <v>1179</v>
      </c>
    </row>
    <row r="53" spans="1:2">
      <c r="A53" s="544">
        <v>40053</v>
      </c>
      <c r="B53" s="550" t="s">
        <v>1180</v>
      </c>
    </row>
    <row r="54" spans="1:2">
      <c r="A54" s="544">
        <v>40054</v>
      </c>
      <c r="B54" s="550" t="s">
        <v>1181</v>
      </c>
    </row>
    <row r="55" spans="1:2">
      <c r="A55" s="544">
        <v>40055</v>
      </c>
      <c r="B55" s="550" t="s">
        <v>1182</v>
      </c>
    </row>
    <row r="56" spans="1:2">
      <c r="A56" s="544">
        <v>40056</v>
      </c>
      <c r="B56" s="550" t="s">
        <v>1183</v>
      </c>
    </row>
    <row r="57" spans="1:2">
      <c r="A57" s="544">
        <v>40057</v>
      </c>
      <c r="B57" s="550" t="s">
        <v>1184</v>
      </c>
    </row>
    <row r="58" spans="1:2">
      <c r="A58" s="544">
        <v>40058</v>
      </c>
      <c r="B58" s="550" t="s">
        <v>1185</v>
      </c>
    </row>
    <row r="59" spans="1:2">
      <c r="A59" s="544">
        <v>40059</v>
      </c>
      <c r="B59" s="550" t="s">
        <v>1186</v>
      </c>
    </row>
    <row r="60" spans="1:2">
      <c r="A60" s="544">
        <v>40060</v>
      </c>
      <c r="B60" s="550" t="s">
        <v>1187</v>
      </c>
    </row>
    <row r="61" spans="1:2">
      <c r="A61" s="544">
        <v>40061</v>
      </c>
      <c r="B61" s="550" t="s">
        <v>1594</v>
      </c>
    </row>
    <row r="62" spans="1:2">
      <c r="A62" s="544">
        <v>40062</v>
      </c>
      <c r="B62" s="550" t="s">
        <v>1595</v>
      </c>
    </row>
    <row r="63" spans="1:2">
      <c r="A63" s="544">
        <v>40063</v>
      </c>
      <c r="B63" s="550" t="s">
        <v>1596</v>
      </c>
    </row>
    <row r="64" spans="1:2">
      <c r="A64" s="544">
        <v>40064</v>
      </c>
      <c r="B64" s="550" t="s">
        <v>1188</v>
      </c>
    </row>
    <row r="65" spans="1:2">
      <c r="A65" s="544">
        <v>40065</v>
      </c>
      <c r="B65" s="550" t="s">
        <v>1189</v>
      </c>
    </row>
    <row r="66" spans="1:2">
      <c r="A66" s="544">
        <v>40066</v>
      </c>
      <c r="B66" s="550" t="s">
        <v>1190</v>
      </c>
    </row>
    <row r="67" spans="1:2">
      <c r="A67" s="544">
        <v>40067</v>
      </c>
      <c r="B67" s="550" t="s">
        <v>1597</v>
      </c>
    </row>
    <row r="68" spans="1:2">
      <c r="A68" s="544">
        <v>40068</v>
      </c>
      <c r="B68" s="550" t="s">
        <v>1191</v>
      </c>
    </row>
    <row r="69" spans="1:2">
      <c r="A69" s="544">
        <v>40069</v>
      </c>
      <c r="B69" s="550" t="s">
        <v>1192</v>
      </c>
    </row>
    <row r="70" spans="1:2">
      <c r="A70" s="544">
        <v>40070</v>
      </c>
      <c r="B70" s="550" t="s">
        <v>1193</v>
      </c>
    </row>
    <row r="71" spans="1:2">
      <c r="A71" s="544">
        <v>40071</v>
      </c>
      <c r="B71" s="550" t="s">
        <v>1194</v>
      </c>
    </row>
    <row r="72" spans="1:2">
      <c r="A72" s="544">
        <v>40072</v>
      </c>
      <c r="B72" s="550" t="s">
        <v>1195</v>
      </c>
    </row>
    <row r="73" spans="1:2">
      <c r="A73" s="544">
        <v>40073</v>
      </c>
      <c r="B73" s="550" t="s">
        <v>1196</v>
      </c>
    </row>
    <row r="74" spans="1:2">
      <c r="A74" s="544">
        <v>40074</v>
      </c>
      <c r="B74" s="550" t="s">
        <v>1197</v>
      </c>
    </row>
    <row r="75" spans="1:2">
      <c r="A75" s="544">
        <v>40075</v>
      </c>
      <c r="B75" s="550" t="s">
        <v>1598</v>
      </c>
    </row>
    <row r="76" spans="1:2">
      <c r="A76" s="544">
        <v>40076</v>
      </c>
      <c r="B76" s="550" t="s">
        <v>1198</v>
      </c>
    </row>
    <row r="77" spans="1:2">
      <c r="A77" s="544">
        <v>40077</v>
      </c>
      <c r="B77" s="550" t="s">
        <v>1199</v>
      </c>
    </row>
    <row r="78" spans="1:2">
      <c r="A78" s="544">
        <v>40078</v>
      </c>
      <c r="B78" s="550" t="s">
        <v>1200</v>
      </c>
    </row>
    <row r="79" spans="1:2">
      <c r="A79" s="544">
        <v>40079</v>
      </c>
      <c r="B79" s="550" t="s">
        <v>1201</v>
      </c>
    </row>
    <row r="80" spans="1:2">
      <c r="A80" s="544">
        <v>40080</v>
      </c>
      <c r="B80" s="550" t="s">
        <v>1202</v>
      </c>
    </row>
    <row r="81" spans="1:2">
      <c r="A81" s="544">
        <v>40081</v>
      </c>
      <c r="B81" s="550" t="s">
        <v>1203</v>
      </c>
    </row>
    <row r="82" spans="1:2">
      <c r="A82" s="544">
        <v>40082</v>
      </c>
      <c r="B82" s="550" t="s">
        <v>1204</v>
      </c>
    </row>
    <row r="83" spans="1:2">
      <c r="A83" s="544">
        <v>40083</v>
      </c>
      <c r="B83" s="550" t="s">
        <v>1205</v>
      </c>
    </row>
    <row r="84" spans="1:2">
      <c r="A84" s="544">
        <v>40084</v>
      </c>
      <c r="B84" s="550" t="s">
        <v>1206</v>
      </c>
    </row>
    <row r="85" spans="1:2">
      <c r="A85" s="544">
        <v>40085</v>
      </c>
      <c r="B85" s="550" t="s">
        <v>1207</v>
      </c>
    </row>
    <row r="86" spans="1:2">
      <c r="A86" s="544">
        <v>40086</v>
      </c>
      <c r="B86" s="550" t="s">
        <v>1208</v>
      </c>
    </row>
    <row r="87" spans="1:2">
      <c r="A87" s="544">
        <v>40087</v>
      </c>
      <c r="B87" s="550" t="s">
        <v>1209</v>
      </c>
    </row>
    <row r="88" spans="1:2">
      <c r="A88" s="544">
        <v>40088</v>
      </c>
      <c r="B88" s="550" t="s">
        <v>1210</v>
      </c>
    </row>
    <row r="89" spans="1:2">
      <c r="A89" s="544">
        <v>40089</v>
      </c>
      <c r="B89" s="550" t="s">
        <v>1211</v>
      </c>
    </row>
    <row r="90" spans="1:2">
      <c r="A90" s="544">
        <v>40090</v>
      </c>
      <c r="B90" s="550" t="s">
        <v>1212</v>
      </c>
    </row>
    <row r="91" spans="1:2">
      <c r="A91" s="544">
        <v>40091</v>
      </c>
      <c r="B91" s="550" t="s">
        <v>1213</v>
      </c>
    </row>
    <row r="92" spans="1:2">
      <c r="A92" s="544">
        <v>40092</v>
      </c>
      <c r="B92" s="550" t="s">
        <v>1214</v>
      </c>
    </row>
    <row r="93" spans="1:2">
      <c r="A93" s="544">
        <v>40093</v>
      </c>
      <c r="B93" s="550" t="s">
        <v>1215</v>
      </c>
    </row>
    <row r="94" spans="1:2">
      <c r="A94" s="544">
        <v>40094</v>
      </c>
      <c r="B94" s="550" t="s">
        <v>1216</v>
      </c>
    </row>
    <row r="95" spans="1:2">
      <c r="A95" s="544">
        <v>40095</v>
      </c>
      <c r="B95" s="550" t="s">
        <v>1217</v>
      </c>
    </row>
    <row r="96" spans="1:2">
      <c r="A96" s="544">
        <v>40096</v>
      </c>
      <c r="B96" s="550" t="s">
        <v>1218</v>
      </c>
    </row>
    <row r="97" spans="1:2">
      <c r="A97" s="544">
        <v>40097</v>
      </c>
      <c r="B97" s="550" t="s">
        <v>1599</v>
      </c>
    </row>
    <row r="98" spans="1:2">
      <c r="A98" s="544">
        <v>40098</v>
      </c>
      <c r="B98" s="550" t="s">
        <v>1219</v>
      </c>
    </row>
    <row r="99" spans="1:2">
      <c r="A99" s="544">
        <v>40099</v>
      </c>
      <c r="B99" s="550" t="s">
        <v>1600</v>
      </c>
    </row>
    <row r="100" spans="1:2">
      <c r="A100" s="544">
        <v>40100</v>
      </c>
      <c r="B100" s="550" t="s">
        <v>1220</v>
      </c>
    </row>
    <row r="101" spans="1:2">
      <c r="A101" s="544">
        <v>40101</v>
      </c>
      <c r="B101" s="550" t="s">
        <v>1601</v>
      </c>
    </row>
    <row r="102" spans="1:2">
      <c r="A102" s="544">
        <v>40102</v>
      </c>
      <c r="B102" s="550" t="s">
        <v>1221</v>
      </c>
    </row>
    <row r="103" spans="1:2">
      <c r="A103" s="544">
        <v>40103</v>
      </c>
      <c r="B103" s="550" t="s">
        <v>1222</v>
      </c>
    </row>
    <row r="104" spans="1:2">
      <c r="A104" s="544">
        <v>40104</v>
      </c>
      <c r="B104" s="550" t="s">
        <v>1223</v>
      </c>
    </row>
    <row r="105" spans="1:2">
      <c r="A105" s="544">
        <v>40105</v>
      </c>
      <c r="B105" s="550" t="s">
        <v>1224</v>
      </c>
    </row>
    <row r="106" spans="1:2">
      <c r="A106" s="544">
        <v>40106</v>
      </c>
      <c r="B106" s="550" t="s">
        <v>1225</v>
      </c>
    </row>
    <row r="107" spans="1:2">
      <c r="A107" s="544">
        <v>40107</v>
      </c>
      <c r="B107" s="550" t="s">
        <v>1226</v>
      </c>
    </row>
    <row r="108" spans="1:2">
      <c r="A108" s="544">
        <v>40108</v>
      </c>
      <c r="B108" s="550" t="s">
        <v>1227</v>
      </c>
    </row>
    <row r="109" spans="1:2">
      <c r="A109" s="544">
        <v>40109</v>
      </c>
      <c r="B109" s="550" t="s">
        <v>1228</v>
      </c>
    </row>
    <row r="110" spans="1:2">
      <c r="A110" s="544">
        <v>40110</v>
      </c>
      <c r="B110" s="550" t="s">
        <v>1229</v>
      </c>
    </row>
    <row r="111" spans="1:2">
      <c r="A111" s="544">
        <v>40111</v>
      </c>
      <c r="B111" s="550" t="s">
        <v>1230</v>
      </c>
    </row>
    <row r="112" spans="1:2">
      <c r="A112" s="544">
        <v>40112</v>
      </c>
      <c r="B112" s="550" t="s">
        <v>1231</v>
      </c>
    </row>
    <row r="113" spans="1:3">
      <c r="A113" s="544">
        <v>40113</v>
      </c>
      <c r="B113" s="550" t="s">
        <v>1232</v>
      </c>
    </row>
    <row r="114" spans="1:3">
      <c r="A114" s="544">
        <v>40114</v>
      </c>
      <c r="B114" s="550" t="s">
        <v>1233</v>
      </c>
    </row>
    <row r="115" spans="1:3">
      <c r="A115" s="544">
        <v>40115</v>
      </c>
      <c r="B115" s="550" t="s">
        <v>1234</v>
      </c>
    </row>
    <row r="116" spans="1:3">
      <c r="A116" s="544">
        <v>40116</v>
      </c>
      <c r="B116" s="550" t="s">
        <v>1235</v>
      </c>
    </row>
    <row r="117" spans="1:3">
      <c r="A117" s="544">
        <v>40117</v>
      </c>
      <c r="B117" s="550" t="s">
        <v>1236</v>
      </c>
    </row>
    <row r="118" spans="1:3">
      <c r="A118" s="544">
        <v>40118</v>
      </c>
      <c r="B118" s="550" t="s">
        <v>1237</v>
      </c>
    </row>
    <row r="119" spans="1:3">
      <c r="A119" s="544">
        <v>40119</v>
      </c>
      <c r="B119" s="550" t="s">
        <v>1238</v>
      </c>
    </row>
    <row r="120" spans="1:3">
      <c r="A120" s="544">
        <v>40120</v>
      </c>
      <c r="B120" s="550" t="s">
        <v>1239</v>
      </c>
    </row>
    <row r="121" spans="1:3">
      <c r="A121" s="544">
        <v>40121</v>
      </c>
      <c r="B121" s="550" t="s">
        <v>1240</v>
      </c>
    </row>
    <row r="122" spans="1:3">
      <c r="A122" s="544">
        <v>40122</v>
      </c>
      <c r="B122" s="550" t="s">
        <v>1241</v>
      </c>
    </row>
    <row r="123" spans="1:3" s="203" customFormat="1">
      <c r="A123" s="517"/>
      <c r="B123" s="405"/>
      <c r="C123" s="203" t="s">
        <v>1118</v>
      </c>
    </row>
  </sheetData>
  <sheetProtection algorithmName="SHA-512" hashValue="O1QJ9emqo+8SUjFmfbK8sBQsWpH5N7dfnZTuz1hXBAE2y+PwSSa5VGwFMgJueNuL+weYMe/bdHmAsv7ouwn5Jw==" saltValue="xGrYc2Ko80lPPGjNWTui5Q==" spinCount="100000" sheet="1" objects="1" scenarios="1"/>
  <phoneticPr fontId="15"/>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CCD6D-911F-43CA-A38C-8717129FB49B}">
  <sheetPr codeName="Sheet13">
    <tabColor rgb="FF0070C0"/>
  </sheetPr>
  <dimension ref="A1:K87"/>
  <sheetViews>
    <sheetView zoomScale="66" zoomScaleNormal="66" workbookViewId="0">
      <pane xSplit="1" ySplit="1" topLeftCell="B2" activePane="bottomRight" state="frozen"/>
      <selection pane="topRight" activeCell="B1" sqref="B1"/>
      <selection pane="bottomLeft" activeCell="A2" sqref="A2"/>
      <selection pane="bottomRight" activeCell="D102" sqref="D102"/>
    </sheetView>
  </sheetViews>
  <sheetFormatPr defaultColWidth="8.875" defaultRowHeight="13.5"/>
  <cols>
    <col min="1" max="1" width="5.5" style="443" bestFit="1" customWidth="1"/>
    <col min="2" max="3" width="7.5" style="443" bestFit="1" customWidth="1"/>
    <col min="4" max="4" width="58.625" style="444" bestFit="1" customWidth="1"/>
    <col min="5" max="5" width="9.5" style="428" bestFit="1" customWidth="1"/>
    <col min="6" max="6" width="58.625" style="444" bestFit="1" customWidth="1"/>
    <col min="7" max="7" width="12.25" style="431" bestFit="1" customWidth="1"/>
    <col min="8" max="9" width="23.75" style="431" bestFit="1" customWidth="1"/>
    <col min="10" max="11" width="127.75" style="431" bestFit="1" customWidth="1"/>
    <col min="12" max="16384" width="8.875" style="431"/>
  </cols>
  <sheetData>
    <row r="1" spans="1:11" ht="14.25" thickBot="1">
      <c r="A1" s="426" t="s">
        <v>597</v>
      </c>
      <c r="B1" s="426" t="s">
        <v>598</v>
      </c>
      <c r="C1" s="426" t="s">
        <v>599</v>
      </c>
      <c r="D1" s="428" t="s">
        <v>602</v>
      </c>
      <c r="E1" s="427" t="s">
        <v>601</v>
      </c>
      <c r="F1" s="428" t="s">
        <v>602</v>
      </c>
      <c r="G1" s="429" t="s">
        <v>598</v>
      </c>
      <c r="H1" s="429" t="s">
        <v>599</v>
      </c>
      <c r="I1" s="429" t="s">
        <v>600</v>
      </c>
      <c r="J1" s="429" t="s">
        <v>603</v>
      </c>
      <c r="K1" s="430" t="s">
        <v>604</v>
      </c>
    </row>
    <row r="2" spans="1:11">
      <c r="A2" s="432">
        <v>1</v>
      </c>
      <c r="B2" s="433">
        <v>10</v>
      </c>
      <c r="C2" s="434">
        <v>1</v>
      </c>
      <c r="D2" s="436" t="str">
        <f>F2</f>
        <v>流通&gt;百貨店</v>
      </c>
      <c r="E2" s="435" t="str">
        <f t="shared" ref="E2:E33" si="0">CONCATENATE(TEXT(B2,"00"),TEXT(C2,"00"))</f>
        <v>1001</v>
      </c>
      <c r="F2" s="436" t="str">
        <f>CONCATENATE(G2,"&gt;",I2)</f>
        <v>流通&gt;百貨店</v>
      </c>
      <c r="G2" s="437" t="s">
        <v>605</v>
      </c>
      <c r="H2" s="437" t="s">
        <v>606</v>
      </c>
      <c r="I2" s="437" t="s">
        <v>606</v>
      </c>
      <c r="J2" s="437" t="s">
        <v>607</v>
      </c>
    </row>
    <row r="3" spans="1:11">
      <c r="A3" s="432">
        <v>2</v>
      </c>
      <c r="B3" s="433">
        <v>10</v>
      </c>
      <c r="C3" s="434">
        <v>2</v>
      </c>
      <c r="D3" s="436" t="str">
        <f t="shared" ref="D3:D66" si="1">F3</f>
        <v>流通&gt;SC・駅ビル</v>
      </c>
      <c r="E3" s="435" t="str">
        <f t="shared" si="0"/>
        <v>1002</v>
      </c>
      <c r="F3" s="436" t="str">
        <f t="shared" ref="F3:F66" si="2">CONCATENATE(G3,"&gt;",I3)</f>
        <v>流通&gt;SC・駅ビル</v>
      </c>
      <c r="G3" s="437" t="s">
        <v>605</v>
      </c>
      <c r="H3" s="438" t="s">
        <v>608</v>
      </c>
      <c r="I3" s="438" t="s">
        <v>608</v>
      </c>
      <c r="J3" s="438" t="s">
        <v>609</v>
      </c>
      <c r="K3" s="439" t="s">
        <v>610</v>
      </c>
    </row>
    <row r="4" spans="1:11">
      <c r="A4" s="432">
        <v>3</v>
      </c>
      <c r="B4" s="433">
        <v>10</v>
      </c>
      <c r="C4" s="434">
        <v>3</v>
      </c>
      <c r="D4" s="436" t="str">
        <f t="shared" si="1"/>
        <v>流通&gt;スーパー</v>
      </c>
      <c r="E4" s="435" t="str">
        <f t="shared" si="0"/>
        <v>1003</v>
      </c>
      <c r="F4" s="436" t="str">
        <f t="shared" si="2"/>
        <v>流通&gt;スーパー</v>
      </c>
      <c r="G4" s="437" t="s">
        <v>605</v>
      </c>
      <c r="H4" s="842" t="s">
        <v>611</v>
      </c>
      <c r="I4" s="438" t="s">
        <v>611</v>
      </c>
      <c r="J4" s="438" t="s">
        <v>612</v>
      </c>
      <c r="K4" s="439" t="s">
        <v>613</v>
      </c>
    </row>
    <row r="5" spans="1:11">
      <c r="A5" s="432">
        <v>4</v>
      </c>
      <c r="B5" s="433">
        <v>10</v>
      </c>
      <c r="C5" s="434">
        <v>4</v>
      </c>
      <c r="D5" s="436" t="str">
        <f t="shared" si="1"/>
        <v>流通&gt;地場スーパー</v>
      </c>
      <c r="E5" s="435" t="str">
        <f t="shared" si="0"/>
        <v>1004</v>
      </c>
      <c r="F5" s="436" t="str">
        <f t="shared" si="2"/>
        <v>流通&gt;地場スーパー</v>
      </c>
      <c r="G5" s="437" t="s">
        <v>605</v>
      </c>
      <c r="H5" s="843"/>
      <c r="I5" s="438" t="s">
        <v>614</v>
      </c>
      <c r="J5" s="438" t="s">
        <v>615</v>
      </c>
      <c r="K5" s="431" t="s">
        <v>616</v>
      </c>
    </row>
    <row r="6" spans="1:11">
      <c r="A6" s="432">
        <v>5</v>
      </c>
      <c r="B6" s="433">
        <v>10</v>
      </c>
      <c r="C6" s="434">
        <v>5</v>
      </c>
      <c r="D6" s="436" t="str">
        <f t="shared" si="1"/>
        <v>流通&gt;コンビニエンスストア</v>
      </c>
      <c r="E6" s="435" t="str">
        <f t="shared" si="0"/>
        <v>1005</v>
      </c>
      <c r="F6" s="436" t="str">
        <f t="shared" si="2"/>
        <v>流通&gt;コンビニエンスストア</v>
      </c>
      <c r="G6" s="437" t="s">
        <v>605</v>
      </c>
      <c r="H6" s="438" t="s">
        <v>617</v>
      </c>
      <c r="I6" s="438" t="s">
        <v>617</v>
      </c>
      <c r="J6" s="438" t="s">
        <v>617</v>
      </c>
      <c r="K6" s="439" t="s">
        <v>618</v>
      </c>
    </row>
    <row r="7" spans="1:11">
      <c r="A7" s="432">
        <v>6</v>
      </c>
      <c r="B7" s="433">
        <v>10</v>
      </c>
      <c r="C7" s="434">
        <v>6</v>
      </c>
      <c r="D7" s="436" t="str">
        <f t="shared" si="1"/>
        <v>流通&gt;ホームセンター</v>
      </c>
      <c r="E7" s="435" t="str">
        <f t="shared" si="0"/>
        <v>1006</v>
      </c>
      <c r="F7" s="436" t="str">
        <f t="shared" si="2"/>
        <v>流通&gt;ホームセンター</v>
      </c>
      <c r="G7" s="437" t="s">
        <v>605</v>
      </c>
      <c r="H7" s="438" t="s">
        <v>619</v>
      </c>
      <c r="I7" s="438" t="s">
        <v>619</v>
      </c>
      <c r="J7" s="438" t="s">
        <v>620</v>
      </c>
      <c r="K7" s="442" t="s">
        <v>621</v>
      </c>
    </row>
    <row r="8" spans="1:11">
      <c r="A8" s="432">
        <v>7</v>
      </c>
      <c r="B8" s="433">
        <v>10</v>
      </c>
      <c r="C8" s="434">
        <v>7</v>
      </c>
      <c r="D8" s="436" t="str">
        <f t="shared" si="1"/>
        <v>流通&gt;ディスカウントストア</v>
      </c>
      <c r="E8" s="435" t="str">
        <f t="shared" si="0"/>
        <v>1007</v>
      </c>
      <c r="F8" s="436" t="str">
        <f t="shared" si="2"/>
        <v>流通&gt;ディスカウントストア</v>
      </c>
      <c r="G8" s="437" t="s">
        <v>605</v>
      </c>
      <c r="H8" s="438" t="s">
        <v>622</v>
      </c>
      <c r="I8" s="438" t="s">
        <v>622</v>
      </c>
      <c r="J8" s="438" t="s">
        <v>623</v>
      </c>
      <c r="K8" s="442" t="s">
        <v>624</v>
      </c>
    </row>
    <row r="9" spans="1:11">
      <c r="A9" s="432">
        <v>8</v>
      </c>
      <c r="B9" s="433">
        <v>10</v>
      </c>
      <c r="C9" s="434">
        <v>8</v>
      </c>
      <c r="D9" s="436" t="str">
        <f t="shared" si="1"/>
        <v>流通&gt;その他総合小売業</v>
      </c>
      <c r="E9" s="435" t="str">
        <f t="shared" si="0"/>
        <v>1008</v>
      </c>
      <c r="F9" s="436" t="str">
        <f t="shared" si="2"/>
        <v>流通&gt;その他総合小売業</v>
      </c>
      <c r="G9" s="437" t="s">
        <v>605</v>
      </c>
      <c r="H9" s="438" t="s">
        <v>625</v>
      </c>
      <c r="I9" s="438" t="s">
        <v>625</v>
      </c>
      <c r="J9" s="438" t="s">
        <v>626</v>
      </c>
      <c r="K9" s="442" t="s">
        <v>627</v>
      </c>
    </row>
    <row r="10" spans="1:11">
      <c r="A10" s="432">
        <v>9</v>
      </c>
      <c r="B10" s="433">
        <v>10</v>
      </c>
      <c r="C10" s="434">
        <v>9</v>
      </c>
      <c r="D10" s="436" t="str">
        <f t="shared" si="1"/>
        <v>流通&gt;食料品全般</v>
      </c>
      <c r="E10" s="435" t="str">
        <f t="shared" si="0"/>
        <v>1009</v>
      </c>
      <c r="F10" s="436" t="str">
        <f t="shared" si="2"/>
        <v>流通&gt;食料品全般</v>
      </c>
      <c r="G10" s="437" t="s">
        <v>605</v>
      </c>
      <c r="H10" s="438" t="s">
        <v>628</v>
      </c>
      <c r="I10" s="438" t="s">
        <v>628</v>
      </c>
      <c r="J10" s="438" t="s">
        <v>629</v>
      </c>
      <c r="K10" s="442" t="s">
        <v>630</v>
      </c>
    </row>
    <row r="11" spans="1:11">
      <c r="A11" s="432">
        <v>10</v>
      </c>
      <c r="B11" s="433">
        <v>10</v>
      </c>
      <c r="C11" s="434">
        <v>10</v>
      </c>
      <c r="D11" s="436" t="str">
        <f t="shared" si="1"/>
        <v>流通&gt;酒販売・嗜好品</v>
      </c>
      <c r="E11" s="435" t="str">
        <f t="shared" si="0"/>
        <v>1010</v>
      </c>
      <c r="F11" s="436" t="str">
        <f t="shared" si="2"/>
        <v>流通&gt;酒販売・嗜好品</v>
      </c>
      <c r="G11" s="437" t="s">
        <v>605</v>
      </c>
      <c r="H11" s="438" t="s">
        <v>631</v>
      </c>
      <c r="I11" s="438" t="s">
        <v>631</v>
      </c>
      <c r="J11" s="438" t="s">
        <v>632</v>
      </c>
    </row>
    <row r="12" spans="1:11">
      <c r="A12" s="432">
        <v>11</v>
      </c>
      <c r="B12" s="433">
        <v>10</v>
      </c>
      <c r="C12" s="434">
        <v>11</v>
      </c>
      <c r="D12" s="436" t="str">
        <f t="shared" si="1"/>
        <v>流通&gt;カジュアル・衣料洋品</v>
      </c>
      <c r="E12" s="435" t="str">
        <f t="shared" si="0"/>
        <v>1011</v>
      </c>
      <c r="F12" s="436" t="str">
        <f t="shared" si="2"/>
        <v>流通&gt;カジュアル・衣料洋品</v>
      </c>
      <c r="G12" s="437" t="s">
        <v>605</v>
      </c>
      <c r="H12" s="438" t="s">
        <v>633</v>
      </c>
      <c r="I12" s="438" t="s">
        <v>633</v>
      </c>
      <c r="J12" s="438" t="s">
        <v>634</v>
      </c>
      <c r="K12" s="439" t="s">
        <v>635</v>
      </c>
    </row>
    <row r="13" spans="1:11">
      <c r="A13" s="432">
        <v>12</v>
      </c>
      <c r="B13" s="433">
        <v>10</v>
      </c>
      <c r="C13" s="434">
        <v>12</v>
      </c>
      <c r="D13" s="436" t="str">
        <f t="shared" si="1"/>
        <v>流通&gt;紳士服専門店</v>
      </c>
      <c r="E13" s="435" t="str">
        <f t="shared" si="0"/>
        <v>1012</v>
      </c>
      <c r="F13" s="436" t="str">
        <f t="shared" si="2"/>
        <v>流通&gt;紳士服専門店</v>
      </c>
      <c r="G13" s="437" t="s">
        <v>605</v>
      </c>
      <c r="H13" s="438" t="s">
        <v>636</v>
      </c>
      <c r="I13" s="438" t="s">
        <v>636</v>
      </c>
      <c r="J13" s="438" t="s">
        <v>637</v>
      </c>
      <c r="K13" s="442" t="s">
        <v>638</v>
      </c>
    </row>
    <row r="14" spans="1:11">
      <c r="A14" s="432">
        <v>13</v>
      </c>
      <c r="B14" s="433">
        <v>10</v>
      </c>
      <c r="C14" s="434">
        <v>13</v>
      </c>
      <c r="D14" s="436" t="str">
        <f t="shared" si="1"/>
        <v>流通&gt;ベビー・子供用品</v>
      </c>
      <c r="E14" s="435" t="str">
        <f t="shared" si="0"/>
        <v>1013</v>
      </c>
      <c r="F14" s="436" t="str">
        <f t="shared" si="2"/>
        <v>流通&gt;ベビー・子供用品</v>
      </c>
      <c r="G14" s="437" t="s">
        <v>605</v>
      </c>
      <c r="H14" s="842" t="s">
        <v>639</v>
      </c>
      <c r="I14" s="438" t="s">
        <v>640</v>
      </c>
      <c r="J14" s="438" t="s">
        <v>641</v>
      </c>
      <c r="K14" s="442" t="s">
        <v>642</v>
      </c>
    </row>
    <row r="15" spans="1:11">
      <c r="A15" s="432">
        <v>14</v>
      </c>
      <c r="B15" s="433">
        <v>10</v>
      </c>
      <c r="C15" s="434">
        <v>14</v>
      </c>
      <c r="D15" s="436" t="str">
        <f t="shared" si="1"/>
        <v>流通&gt;婦人服</v>
      </c>
      <c r="E15" s="435" t="str">
        <f t="shared" si="0"/>
        <v>1014</v>
      </c>
      <c r="F15" s="436" t="str">
        <f t="shared" si="2"/>
        <v>流通&gt;婦人服</v>
      </c>
      <c r="G15" s="437" t="s">
        <v>605</v>
      </c>
      <c r="H15" s="843"/>
      <c r="I15" s="438" t="s">
        <v>643</v>
      </c>
      <c r="J15" s="438" t="s">
        <v>644</v>
      </c>
      <c r="K15" s="431" t="s">
        <v>645</v>
      </c>
    </row>
    <row r="16" spans="1:11">
      <c r="A16" s="432">
        <v>15</v>
      </c>
      <c r="B16" s="433">
        <v>10</v>
      </c>
      <c r="C16" s="434">
        <v>15</v>
      </c>
      <c r="D16" s="436" t="str">
        <f t="shared" si="1"/>
        <v>流通&gt;呉服・レザー</v>
      </c>
      <c r="E16" s="435" t="str">
        <f t="shared" si="0"/>
        <v>1015</v>
      </c>
      <c r="F16" s="436" t="str">
        <f t="shared" si="2"/>
        <v>流通&gt;呉服・レザー</v>
      </c>
      <c r="G16" s="437" t="s">
        <v>605</v>
      </c>
      <c r="H16" s="842" t="s">
        <v>646</v>
      </c>
      <c r="I16" s="438" t="s">
        <v>647</v>
      </c>
      <c r="J16" s="438" t="s">
        <v>648</v>
      </c>
      <c r="K16" s="431" t="s">
        <v>649</v>
      </c>
    </row>
    <row r="17" spans="1:11">
      <c r="A17" s="432">
        <v>16</v>
      </c>
      <c r="B17" s="433">
        <v>10</v>
      </c>
      <c r="C17" s="434">
        <v>16</v>
      </c>
      <c r="D17" s="436" t="str">
        <f t="shared" si="1"/>
        <v>流通&gt;手芸用品</v>
      </c>
      <c r="E17" s="435" t="str">
        <f t="shared" si="0"/>
        <v>1016</v>
      </c>
      <c r="F17" s="436" t="str">
        <f t="shared" si="2"/>
        <v>流通&gt;手芸用品</v>
      </c>
      <c r="G17" s="437" t="s">
        <v>605</v>
      </c>
      <c r="H17" s="843"/>
      <c r="I17" s="438" t="s">
        <v>650</v>
      </c>
      <c r="J17" s="438" t="s">
        <v>651</v>
      </c>
    </row>
    <row r="18" spans="1:11">
      <c r="A18" s="432">
        <v>17</v>
      </c>
      <c r="B18" s="433">
        <v>10</v>
      </c>
      <c r="C18" s="434">
        <v>17</v>
      </c>
      <c r="D18" s="436" t="str">
        <f t="shared" si="1"/>
        <v>流通&gt;宝石・装飾雑貨</v>
      </c>
      <c r="E18" s="435" t="str">
        <f t="shared" si="0"/>
        <v>1017</v>
      </c>
      <c r="F18" s="436" t="str">
        <f t="shared" si="2"/>
        <v>流通&gt;宝石・装飾雑貨</v>
      </c>
      <c r="G18" s="437" t="s">
        <v>605</v>
      </c>
      <c r="H18" s="438" t="s">
        <v>652</v>
      </c>
      <c r="I18" s="438" t="s">
        <v>652</v>
      </c>
      <c r="J18" s="438" t="s">
        <v>653</v>
      </c>
      <c r="K18" s="439" t="s">
        <v>654</v>
      </c>
    </row>
    <row r="19" spans="1:11">
      <c r="A19" s="432">
        <v>18</v>
      </c>
      <c r="B19" s="433">
        <v>10</v>
      </c>
      <c r="C19" s="434">
        <v>18</v>
      </c>
      <c r="D19" s="436" t="str">
        <f t="shared" si="1"/>
        <v>流通&gt;靴</v>
      </c>
      <c r="E19" s="435" t="str">
        <f t="shared" si="0"/>
        <v>1018</v>
      </c>
      <c r="F19" s="436" t="str">
        <f t="shared" si="2"/>
        <v>流通&gt;靴</v>
      </c>
      <c r="G19" s="437" t="s">
        <v>605</v>
      </c>
      <c r="H19" s="438" t="s">
        <v>655</v>
      </c>
      <c r="I19" s="438" t="s">
        <v>655</v>
      </c>
      <c r="J19" s="438" t="s">
        <v>656</v>
      </c>
      <c r="K19" s="442" t="s">
        <v>657</v>
      </c>
    </row>
    <row r="20" spans="1:11">
      <c r="A20" s="432">
        <v>19</v>
      </c>
      <c r="B20" s="433">
        <v>10</v>
      </c>
      <c r="C20" s="434">
        <v>19</v>
      </c>
      <c r="D20" s="436" t="str">
        <f t="shared" si="1"/>
        <v>流通&gt;メガネ・コンタクト</v>
      </c>
      <c r="E20" s="435" t="str">
        <f t="shared" si="0"/>
        <v>1019</v>
      </c>
      <c r="F20" s="436" t="str">
        <f t="shared" si="2"/>
        <v>流通&gt;メガネ・コンタクト</v>
      </c>
      <c r="G20" s="437" t="s">
        <v>605</v>
      </c>
      <c r="H20" s="438" t="s">
        <v>658</v>
      </c>
      <c r="I20" s="438" t="s">
        <v>658</v>
      </c>
      <c r="J20" s="438" t="s">
        <v>659</v>
      </c>
      <c r="K20" s="442" t="s">
        <v>660</v>
      </c>
    </row>
    <row r="21" spans="1:11">
      <c r="A21" s="432">
        <v>20</v>
      </c>
      <c r="B21" s="433">
        <v>10</v>
      </c>
      <c r="C21" s="434">
        <v>20</v>
      </c>
      <c r="D21" s="436" t="str">
        <f t="shared" si="1"/>
        <v>流通&gt;その他宝飾・身回</v>
      </c>
      <c r="E21" s="435" t="str">
        <f t="shared" si="0"/>
        <v>1020</v>
      </c>
      <c r="F21" s="436" t="str">
        <f t="shared" si="2"/>
        <v>流通&gt;その他宝飾・身回</v>
      </c>
      <c r="G21" s="437" t="s">
        <v>605</v>
      </c>
      <c r="H21" s="438" t="s">
        <v>661</v>
      </c>
      <c r="I21" s="438" t="s">
        <v>661</v>
      </c>
      <c r="J21" s="438" t="s">
        <v>662</v>
      </c>
      <c r="K21" s="442" t="s">
        <v>663</v>
      </c>
    </row>
    <row r="22" spans="1:11">
      <c r="A22" s="432">
        <v>21</v>
      </c>
      <c r="B22" s="433">
        <v>10</v>
      </c>
      <c r="C22" s="434">
        <v>21</v>
      </c>
      <c r="D22" s="436" t="str">
        <f t="shared" si="1"/>
        <v>流通&gt;家電</v>
      </c>
      <c r="E22" s="435" t="str">
        <f t="shared" si="0"/>
        <v>1021</v>
      </c>
      <c r="F22" s="436" t="str">
        <f t="shared" si="2"/>
        <v>流通&gt;家電</v>
      </c>
      <c r="G22" s="437" t="s">
        <v>605</v>
      </c>
      <c r="H22" s="842" t="s">
        <v>664</v>
      </c>
      <c r="I22" s="438" t="s">
        <v>665</v>
      </c>
      <c r="J22" s="438" t="s">
        <v>666</v>
      </c>
      <c r="K22" s="442" t="s">
        <v>667</v>
      </c>
    </row>
    <row r="23" spans="1:11">
      <c r="A23" s="432">
        <v>22</v>
      </c>
      <c r="B23" s="433">
        <v>10</v>
      </c>
      <c r="C23" s="434">
        <v>22</v>
      </c>
      <c r="D23" s="436" t="str">
        <f t="shared" si="1"/>
        <v>流通&gt;カメラ・時計</v>
      </c>
      <c r="E23" s="435" t="str">
        <f t="shared" si="0"/>
        <v>1022</v>
      </c>
      <c r="F23" s="436" t="str">
        <f t="shared" si="2"/>
        <v>流通&gt;カメラ・時計</v>
      </c>
      <c r="G23" s="437" t="s">
        <v>605</v>
      </c>
      <c r="H23" s="843"/>
      <c r="I23" s="438" t="s">
        <v>668</v>
      </c>
      <c r="J23" s="438" t="s">
        <v>669</v>
      </c>
    </row>
    <row r="24" spans="1:11">
      <c r="A24" s="432">
        <v>23</v>
      </c>
      <c r="B24" s="433">
        <v>10</v>
      </c>
      <c r="C24" s="434">
        <v>23</v>
      </c>
      <c r="D24" s="436" t="str">
        <f t="shared" si="1"/>
        <v>流通&gt;携帯ショップ</v>
      </c>
      <c r="E24" s="435" t="str">
        <f t="shared" si="0"/>
        <v>1023</v>
      </c>
      <c r="F24" s="436" t="str">
        <f t="shared" si="2"/>
        <v>流通&gt;携帯ショップ</v>
      </c>
      <c r="G24" s="437" t="s">
        <v>605</v>
      </c>
      <c r="H24" s="438" t="s">
        <v>670</v>
      </c>
      <c r="I24" s="438" t="s">
        <v>670</v>
      </c>
      <c r="J24" s="438" t="s">
        <v>671</v>
      </c>
      <c r="K24" s="439" t="s">
        <v>672</v>
      </c>
    </row>
    <row r="25" spans="1:11">
      <c r="A25" s="432">
        <v>24</v>
      </c>
      <c r="B25" s="433">
        <v>10</v>
      </c>
      <c r="C25" s="434">
        <v>24</v>
      </c>
      <c r="D25" s="436" t="str">
        <f t="shared" si="1"/>
        <v>流通&gt;ミシン</v>
      </c>
      <c r="E25" s="435" t="str">
        <f t="shared" si="0"/>
        <v>1024</v>
      </c>
      <c r="F25" s="436" t="str">
        <f t="shared" si="2"/>
        <v>流通&gt;ミシン</v>
      </c>
      <c r="G25" s="437" t="s">
        <v>605</v>
      </c>
      <c r="H25" s="842" t="s">
        <v>673</v>
      </c>
      <c r="I25" s="438" t="s">
        <v>674</v>
      </c>
      <c r="J25" s="438" t="s">
        <v>675</v>
      </c>
      <c r="K25" s="442" t="s">
        <v>676</v>
      </c>
    </row>
    <row r="26" spans="1:11">
      <c r="A26" s="432">
        <v>25</v>
      </c>
      <c r="B26" s="433">
        <v>10</v>
      </c>
      <c r="C26" s="434">
        <v>25</v>
      </c>
      <c r="D26" s="436" t="str">
        <f t="shared" si="1"/>
        <v>流通&gt;ガス器具・補聴器販売</v>
      </c>
      <c r="E26" s="435" t="str">
        <f t="shared" si="0"/>
        <v>1025</v>
      </c>
      <c r="F26" s="436" t="str">
        <f t="shared" si="2"/>
        <v>流通&gt;ガス器具・補聴器販売</v>
      </c>
      <c r="G26" s="437" t="s">
        <v>605</v>
      </c>
      <c r="H26" s="843"/>
      <c r="I26" s="438" t="s">
        <v>677</v>
      </c>
      <c r="J26" s="438" t="s">
        <v>678</v>
      </c>
      <c r="K26" s="442" t="s">
        <v>679</v>
      </c>
    </row>
    <row r="27" spans="1:11">
      <c r="A27" s="432">
        <v>26</v>
      </c>
      <c r="B27" s="433">
        <v>10</v>
      </c>
      <c r="C27" s="434">
        <v>26</v>
      </c>
      <c r="D27" s="436" t="str">
        <f t="shared" si="1"/>
        <v>流通&gt;ドラッグストア</v>
      </c>
      <c r="E27" s="435" t="str">
        <f t="shared" si="0"/>
        <v>1026</v>
      </c>
      <c r="F27" s="436" t="str">
        <f t="shared" si="2"/>
        <v>流通&gt;ドラッグストア</v>
      </c>
      <c r="G27" s="437" t="s">
        <v>605</v>
      </c>
      <c r="H27" s="438" t="s">
        <v>680</v>
      </c>
      <c r="I27" s="438" t="s">
        <v>680</v>
      </c>
      <c r="J27" s="438" t="s">
        <v>681</v>
      </c>
      <c r="K27" s="442" t="s">
        <v>682</v>
      </c>
    </row>
    <row r="28" spans="1:11">
      <c r="A28" s="432">
        <v>27</v>
      </c>
      <c r="B28" s="433">
        <v>10</v>
      </c>
      <c r="C28" s="434">
        <v>27</v>
      </c>
      <c r="D28" s="436" t="str">
        <f t="shared" si="1"/>
        <v>流通&gt;化粧品販売</v>
      </c>
      <c r="E28" s="435" t="str">
        <f t="shared" si="0"/>
        <v>1027</v>
      </c>
      <c r="F28" s="436" t="str">
        <f t="shared" si="2"/>
        <v>流通&gt;化粧品販売</v>
      </c>
      <c r="G28" s="437" t="s">
        <v>605</v>
      </c>
      <c r="H28" s="438" t="s">
        <v>683</v>
      </c>
      <c r="I28" s="438" t="s">
        <v>683</v>
      </c>
      <c r="J28" s="438" t="s">
        <v>684</v>
      </c>
      <c r="K28" s="442" t="s">
        <v>685</v>
      </c>
    </row>
    <row r="29" spans="1:11">
      <c r="A29" s="432">
        <v>28</v>
      </c>
      <c r="B29" s="433">
        <v>10</v>
      </c>
      <c r="C29" s="434">
        <v>28</v>
      </c>
      <c r="D29" s="436" t="str">
        <f t="shared" si="1"/>
        <v>流通&gt;家具・インテリア・仏壇</v>
      </c>
      <c r="E29" s="435" t="str">
        <f t="shared" si="0"/>
        <v>1028</v>
      </c>
      <c r="F29" s="436" t="str">
        <f t="shared" si="2"/>
        <v>流通&gt;家具・インテリア・仏壇</v>
      </c>
      <c r="G29" s="437" t="s">
        <v>605</v>
      </c>
      <c r="H29" s="438" t="s">
        <v>686</v>
      </c>
      <c r="I29" s="438" t="s">
        <v>686</v>
      </c>
      <c r="J29" s="438" t="s">
        <v>687</v>
      </c>
      <c r="K29" s="442" t="s">
        <v>688</v>
      </c>
    </row>
    <row r="30" spans="1:11">
      <c r="A30" s="432">
        <v>29</v>
      </c>
      <c r="B30" s="433">
        <v>10</v>
      </c>
      <c r="C30" s="434">
        <v>29</v>
      </c>
      <c r="D30" s="436" t="str">
        <f t="shared" si="1"/>
        <v>流通&gt;自動車販売店</v>
      </c>
      <c r="E30" s="435" t="str">
        <f t="shared" si="0"/>
        <v>1029</v>
      </c>
      <c r="F30" s="436" t="str">
        <f t="shared" si="2"/>
        <v>流通&gt;自動車販売店</v>
      </c>
      <c r="G30" s="437" t="s">
        <v>605</v>
      </c>
      <c r="H30" s="438" t="s">
        <v>689</v>
      </c>
      <c r="I30" s="438" t="s">
        <v>689</v>
      </c>
      <c r="J30" s="438" t="s">
        <v>690</v>
      </c>
      <c r="K30" s="442" t="s">
        <v>691</v>
      </c>
    </row>
    <row r="31" spans="1:11">
      <c r="A31" s="432">
        <v>30</v>
      </c>
      <c r="B31" s="433">
        <v>10</v>
      </c>
      <c r="C31" s="434">
        <v>30</v>
      </c>
      <c r="D31" s="436" t="str">
        <f t="shared" si="1"/>
        <v>流通&gt;カー用品</v>
      </c>
      <c r="E31" s="435" t="str">
        <f t="shared" si="0"/>
        <v>1030</v>
      </c>
      <c r="F31" s="436" t="str">
        <f t="shared" si="2"/>
        <v>流通&gt;カー用品</v>
      </c>
      <c r="G31" s="437" t="s">
        <v>605</v>
      </c>
      <c r="H31" s="438" t="s">
        <v>692</v>
      </c>
      <c r="I31" s="438" t="s">
        <v>692</v>
      </c>
      <c r="J31" s="438" t="s">
        <v>693</v>
      </c>
      <c r="K31" s="442" t="s">
        <v>694</v>
      </c>
    </row>
    <row r="32" spans="1:11">
      <c r="A32" s="432">
        <v>31</v>
      </c>
      <c r="B32" s="433">
        <v>10</v>
      </c>
      <c r="C32" s="434">
        <v>31</v>
      </c>
      <c r="D32" s="436" t="str">
        <f t="shared" si="1"/>
        <v>流通&gt;自動車買取店</v>
      </c>
      <c r="E32" s="435" t="str">
        <f t="shared" si="0"/>
        <v>1031</v>
      </c>
      <c r="F32" s="436" t="str">
        <f t="shared" si="2"/>
        <v>流通&gt;自動車買取店</v>
      </c>
      <c r="G32" s="437" t="s">
        <v>605</v>
      </c>
      <c r="H32" s="438" t="s">
        <v>695</v>
      </c>
      <c r="I32" s="438" t="s">
        <v>695</v>
      </c>
      <c r="J32" s="438" t="s">
        <v>696</v>
      </c>
    </row>
    <row r="33" spans="1:11">
      <c r="A33" s="432">
        <v>32</v>
      </c>
      <c r="B33" s="433">
        <v>10</v>
      </c>
      <c r="C33" s="434">
        <v>32</v>
      </c>
      <c r="D33" s="436" t="str">
        <f t="shared" si="1"/>
        <v>流通&gt;その他の輸送機器</v>
      </c>
      <c r="E33" s="435" t="str">
        <f t="shared" si="0"/>
        <v>1032</v>
      </c>
      <c r="F33" s="436" t="str">
        <f t="shared" si="2"/>
        <v>流通&gt;その他の輸送機器</v>
      </c>
      <c r="G33" s="437" t="s">
        <v>605</v>
      </c>
      <c r="H33" s="438" t="s">
        <v>697</v>
      </c>
      <c r="I33" s="438" t="s">
        <v>697</v>
      </c>
      <c r="J33" s="438" t="s">
        <v>698</v>
      </c>
      <c r="K33" s="439" t="s">
        <v>699</v>
      </c>
    </row>
    <row r="34" spans="1:11">
      <c r="A34" s="432">
        <v>33</v>
      </c>
      <c r="B34" s="433">
        <v>10</v>
      </c>
      <c r="C34" s="434">
        <v>33</v>
      </c>
      <c r="D34" s="436" t="str">
        <f t="shared" si="1"/>
        <v>流通&gt;玩具・ゲーム</v>
      </c>
      <c r="E34" s="435" t="str">
        <f t="shared" ref="E34:E65" si="3">CONCATENATE(TEXT(B34,"00"),TEXT(C34,"00"))</f>
        <v>1033</v>
      </c>
      <c r="F34" s="436" t="str">
        <f t="shared" si="2"/>
        <v>流通&gt;玩具・ゲーム</v>
      </c>
      <c r="G34" s="437" t="s">
        <v>605</v>
      </c>
      <c r="H34" s="842" t="s">
        <v>700</v>
      </c>
      <c r="I34" s="438" t="s">
        <v>701</v>
      </c>
      <c r="J34" s="438" t="s">
        <v>702</v>
      </c>
      <c r="K34" s="442" t="s">
        <v>703</v>
      </c>
    </row>
    <row r="35" spans="1:11">
      <c r="A35" s="432">
        <v>34</v>
      </c>
      <c r="B35" s="433">
        <v>10</v>
      </c>
      <c r="C35" s="434">
        <v>34</v>
      </c>
      <c r="D35" s="436" t="str">
        <f t="shared" si="1"/>
        <v>流通&gt;楽器・CD</v>
      </c>
      <c r="E35" s="435" t="str">
        <f t="shared" si="3"/>
        <v>1034</v>
      </c>
      <c r="F35" s="436" t="str">
        <f t="shared" si="2"/>
        <v>流通&gt;楽器・CD</v>
      </c>
      <c r="G35" s="437" t="s">
        <v>605</v>
      </c>
      <c r="H35" s="843"/>
      <c r="I35" s="438" t="s">
        <v>704</v>
      </c>
      <c r="J35" s="438" t="s">
        <v>705</v>
      </c>
      <c r="K35" s="442" t="s">
        <v>706</v>
      </c>
    </row>
    <row r="36" spans="1:11">
      <c r="A36" s="432">
        <v>35</v>
      </c>
      <c r="B36" s="433">
        <v>10</v>
      </c>
      <c r="C36" s="434">
        <v>35</v>
      </c>
      <c r="D36" s="436" t="str">
        <f t="shared" si="1"/>
        <v>流通&gt;スポーツ・レジャー用品</v>
      </c>
      <c r="E36" s="435" t="str">
        <f t="shared" si="3"/>
        <v>1035</v>
      </c>
      <c r="F36" s="436" t="str">
        <f t="shared" si="2"/>
        <v>流通&gt;スポーツ・レジャー用品</v>
      </c>
      <c r="G36" s="437" t="s">
        <v>605</v>
      </c>
      <c r="H36" s="438" t="s">
        <v>707</v>
      </c>
      <c r="I36" s="438" t="s">
        <v>707</v>
      </c>
      <c r="J36" s="438" t="s">
        <v>708</v>
      </c>
      <c r="K36" s="442" t="s">
        <v>709</v>
      </c>
    </row>
    <row r="37" spans="1:11">
      <c r="A37" s="432">
        <v>36</v>
      </c>
      <c r="B37" s="433">
        <v>10</v>
      </c>
      <c r="C37" s="434">
        <v>36</v>
      </c>
      <c r="D37" s="436" t="str">
        <f t="shared" si="1"/>
        <v>流通&gt;文房具店</v>
      </c>
      <c r="E37" s="435" t="str">
        <f t="shared" si="3"/>
        <v>1036</v>
      </c>
      <c r="F37" s="436" t="str">
        <f t="shared" si="2"/>
        <v>流通&gt;文房具店</v>
      </c>
      <c r="G37" s="437" t="s">
        <v>605</v>
      </c>
      <c r="H37" s="842" t="s">
        <v>710</v>
      </c>
      <c r="I37" s="438" t="s">
        <v>711</v>
      </c>
      <c r="J37" s="438" t="s">
        <v>712</v>
      </c>
      <c r="K37" s="442" t="s">
        <v>713</v>
      </c>
    </row>
    <row r="38" spans="1:11">
      <c r="A38" s="432">
        <v>37</v>
      </c>
      <c r="B38" s="433">
        <v>10</v>
      </c>
      <c r="C38" s="434">
        <v>37</v>
      </c>
      <c r="D38" s="436" t="str">
        <f t="shared" si="1"/>
        <v>流通&gt;書店</v>
      </c>
      <c r="E38" s="435" t="str">
        <f t="shared" si="3"/>
        <v>1037</v>
      </c>
      <c r="F38" s="436" t="str">
        <f t="shared" si="2"/>
        <v>流通&gt;書店</v>
      </c>
      <c r="G38" s="437" t="s">
        <v>605</v>
      </c>
      <c r="H38" s="843"/>
      <c r="I38" s="438" t="s">
        <v>714</v>
      </c>
      <c r="J38" s="438" t="s">
        <v>714</v>
      </c>
    </row>
    <row r="39" spans="1:11">
      <c r="A39" s="432">
        <v>38</v>
      </c>
      <c r="B39" s="433">
        <v>10</v>
      </c>
      <c r="C39" s="434">
        <v>38</v>
      </c>
      <c r="D39" s="436" t="str">
        <f t="shared" si="1"/>
        <v>流通&gt;総合通信販売</v>
      </c>
      <c r="E39" s="435" t="str">
        <f t="shared" si="3"/>
        <v>1038</v>
      </c>
      <c r="F39" s="436" t="str">
        <f t="shared" si="2"/>
        <v>流通&gt;総合通信販売</v>
      </c>
      <c r="G39" s="437" t="s">
        <v>605</v>
      </c>
      <c r="H39" s="438" t="s">
        <v>715</v>
      </c>
      <c r="I39" s="438" t="s">
        <v>715</v>
      </c>
      <c r="J39" s="438" t="s">
        <v>716</v>
      </c>
      <c r="K39" s="439" t="s">
        <v>717</v>
      </c>
    </row>
    <row r="40" spans="1:11">
      <c r="A40" s="432">
        <v>39</v>
      </c>
      <c r="B40" s="433">
        <v>10</v>
      </c>
      <c r="C40" s="434">
        <v>39</v>
      </c>
      <c r="D40" s="436" t="str">
        <f t="shared" si="1"/>
        <v>流通&gt;ペット・ペット用品</v>
      </c>
      <c r="E40" s="435" t="str">
        <f t="shared" si="3"/>
        <v>1039</v>
      </c>
      <c r="F40" s="436" t="str">
        <f t="shared" si="2"/>
        <v>流通&gt;ペット・ペット用品</v>
      </c>
      <c r="G40" s="437" t="s">
        <v>605</v>
      </c>
      <c r="H40" s="438" t="s">
        <v>718</v>
      </c>
      <c r="I40" s="438" t="s">
        <v>718</v>
      </c>
      <c r="J40" s="438" t="s">
        <v>719</v>
      </c>
      <c r="K40" s="442" t="s">
        <v>720</v>
      </c>
    </row>
    <row r="41" spans="1:11">
      <c r="A41" s="432">
        <v>40</v>
      </c>
      <c r="B41" s="433">
        <v>10</v>
      </c>
      <c r="C41" s="434">
        <v>40</v>
      </c>
      <c r="D41" s="436" t="str">
        <f t="shared" si="1"/>
        <v>流通&gt;その他の小売店</v>
      </c>
      <c r="E41" s="435" t="str">
        <f t="shared" si="3"/>
        <v>1040</v>
      </c>
      <c r="F41" s="436" t="str">
        <f t="shared" si="2"/>
        <v>流通&gt;その他の小売店</v>
      </c>
      <c r="G41" s="437" t="s">
        <v>605</v>
      </c>
      <c r="H41" s="438" t="s">
        <v>721</v>
      </c>
      <c r="I41" s="438" t="s">
        <v>721</v>
      </c>
      <c r="J41" s="438" t="s">
        <v>722</v>
      </c>
      <c r="K41" s="442" t="s">
        <v>723</v>
      </c>
    </row>
    <row r="42" spans="1:11">
      <c r="A42" s="432">
        <v>41</v>
      </c>
      <c r="B42" s="433">
        <v>20</v>
      </c>
      <c r="C42" s="434">
        <v>1</v>
      </c>
      <c r="D42" s="436" t="str">
        <f t="shared" si="1"/>
        <v>サービス業&gt;エステティック</v>
      </c>
      <c r="E42" s="435" t="str">
        <f t="shared" si="3"/>
        <v>2001</v>
      </c>
      <c r="F42" s="436" t="str">
        <f t="shared" si="2"/>
        <v>サービス業&gt;エステティック</v>
      </c>
      <c r="G42" s="437" t="s">
        <v>724</v>
      </c>
      <c r="H42" s="438" t="s">
        <v>725</v>
      </c>
      <c r="I42" s="438" t="s">
        <v>725</v>
      </c>
      <c r="J42" s="438" t="s">
        <v>726</v>
      </c>
    </row>
    <row r="43" spans="1:11">
      <c r="A43" s="432">
        <v>42</v>
      </c>
      <c r="B43" s="433">
        <v>20</v>
      </c>
      <c r="C43" s="434">
        <v>2</v>
      </c>
      <c r="D43" s="436" t="str">
        <f t="shared" si="1"/>
        <v>サービス業&gt;理美容</v>
      </c>
      <c r="E43" s="435" t="str">
        <f t="shared" si="3"/>
        <v>2002</v>
      </c>
      <c r="F43" s="436" t="str">
        <f t="shared" si="2"/>
        <v>サービス業&gt;理美容</v>
      </c>
      <c r="G43" s="437" t="s">
        <v>724</v>
      </c>
      <c r="H43" s="438" t="s">
        <v>727</v>
      </c>
      <c r="I43" s="438" t="s">
        <v>727</v>
      </c>
      <c r="J43" s="438" t="s">
        <v>728</v>
      </c>
      <c r="K43" s="439" t="s">
        <v>729</v>
      </c>
    </row>
    <row r="44" spans="1:11">
      <c r="A44" s="432">
        <v>43</v>
      </c>
      <c r="B44" s="433">
        <v>20</v>
      </c>
      <c r="C44" s="434">
        <v>3</v>
      </c>
      <c r="D44" s="436" t="str">
        <f t="shared" si="1"/>
        <v>サービス業&gt;ファミリーレストラン</v>
      </c>
      <c r="E44" s="435" t="str">
        <f t="shared" si="3"/>
        <v>2003</v>
      </c>
      <c r="F44" s="436" t="str">
        <f t="shared" si="2"/>
        <v>サービス業&gt;ファミリーレストラン</v>
      </c>
      <c r="G44" s="437" t="s">
        <v>724</v>
      </c>
      <c r="H44" s="438" t="s">
        <v>730</v>
      </c>
      <c r="I44" s="438" t="s">
        <v>730</v>
      </c>
      <c r="J44" s="438" t="s">
        <v>731</v>
      </c>
      <c r="K44" s="442" t="s">
        <v>732</v>
      </c>
    </row>
    <row r="45" spans="1:11">
      <c r="A45" s="432">
        <v>44</v>
      </c>
      <c r="B45" s="433">
        <v>20</v>
      </c>
      <c r="C45" s="434">
        <v>4</v>
      </c>
      <c r="D45" s="436" t="str">
        <f t="shared" si="1"/>
        <v>サービス業&gt;ファーストフード</v>
      </c>
      <c r="E45" s="435" t="str">
        <f t="shared" si="3"/>
        <v>2004</v>
      </c>
      <c r="F45" s="436" t="str">
        <f t="shared" si="2"/>
        <v>サービス業&gt;ファーストフード</v>
      </c>
      <c r="G45" s="437" t="s">
        <v>724</v>
      </c>
      <c r="H45" s="438" t="s">
        <v>733</v>
      </c>
      <c r="I45" s="438" t="s">
        <v>733</v>
      </c>
      <c r="J45" s="438" t="s">
        <v>734</v>
      </c>
      <c r="K45" s="442" t="s">
        <v>735</v>
      </c>
    </row>
    <row r="46" spans="1:11">
      <c r="A46" s="432">
        <v>45</v>
      </c>
      <c r="B46" s="433">
        <v>20</v>
      </c>
      <c r="C46" s="434">
        <v>5</v>
      </c>
      <c r="D46" s="436" t="str">
        <f t="shared" si="1"/>
        <v>サービス業&gt;居酒屋・すし・焼肉</v>
      </c>
      <c r="E46" s="435" t="str">
        <f t="shared" si="3"/>
        <v>2005</v>
      </c>
      <c r="F46" s="436" t="str">
        <f t="shared" si="2"/>
        <v>サービス業&gt;居酒屋・すし・焼肉</v>
      </c>
      <c r="G46" s="437" t="s">
        <v>724</v>
      </c>
      <c r="H46" s="438" t="s">
        <v>736</v>
      </c>
      <c r="I46" s="438" t="s">
        <v>736</v>
      </c>
      <c r="J46" s="438" t="s">
        <v>737</v>
      </c>
      <c r="K46" s="442" t="s">
        <v>738</v>
      </c>
    </row>
    <row r="47" spans="1:11">
      <c r="A47" s="432">
        <v>46</v>
      </c>
      <c r="B47" s="433">
        <v>20</v>
      </c>
      <c r="C47" s="434">
        <v>6</v>
      </c>
      <c r="D47" s="436" t="str">
        <f t="shared" si="1"/>
        <v>サービス業&gt;ケータリング</v>
      </c>
      <c r="E47" s="435" t="str">
        <f t="shared" si="3"/>
        <v>2006</v>
      </c>
      <c r="F47" s="436" t="str">
        <f t="shared" si="2"/>
        <v>サービス業&gt;ケータリング</v>
      </c>
      <c r="G47" s="437" t="s">
        <v>724</v>
      </c>
      <c r="H47" s="842" t="s">
        <v>739</v>
      </c>
      <c r="I47" s="438" t="s">
        <v>740</v>
      </c>
      <c r="J47" s="438" t="s">
        <v>741</v>
      </c>
      <c r="K47" s="442" t="s">
        <v>742</v>
      </c>
    </row>
    <row r="48" spans="1:11">
      <c r="A48" s="432">
        <v>47</v>
      </c>
      <c r="B48" s="433">
        <v>20</v>
      </c>
      <c r="C48" s="434">
        <v>7</v>
      </c>
      <c r="D48" s="436" t="str">
        <f t="shared" si="1"/>
        <v>サービス業&gt;会員制個別宅配</v>
      </c>
      <c r="E48" s="435" t="str">
        <f t="shared" si="3"/>
        <v>2007</v>
      </c>
      <c r="F48" s="436" t="str">
        <f t="shared" si="2"/>
        <v>サービス業&gt;会員制個別宅配</v>
      </c>
      <c r="G48" s="437" t="s">
        <v>724</v>
      </c>
      <c r="H48" s="843"/>
      <c r="I48" s="438" t="s">
        <v>743</v>
      </c>
      <c r="J48" s="438" t="s">
        <v>744</v>
      </c>
      <c r="K48" s="442" t="s">
        <v>745</v>
      </c>
    </row>
    <row r="49" spans="1:11">
      <c r="A49" s="432">
        <v>48</v>
      </c>
      <c r="B49" s="433">
        <v>20</v>
      </c>
      <c r="C49" s="434">
        <v>8</v>
      </c>
      <c r="D49" s="436" t="str">
        <f t="shared" si="1"/>
        <v>サービス業&gt;旅行</v>
      </c>
      <c r="E49" s="435" t="str">
        <f t="shared" si="3"/>
        <v>2008</v>
      </c>
      <c r="F49" s="436" t="str">
        <f t="shared" si="2"/>
        <v>サービス業&gt;旅行</v>
      </c>
      <c r="G49" s="437" t="s">
        <v>724</v>
      </c>
      <c r="H49" s="438" t="s">
        <v>746</v>
      </c>
      <c r="I49" s="438" t="s">
        <v>746</v>
      </c>
      <c r="J49" s="438" t="s">
        <v>747</v>
      </c>
      <c r="K49" s="442" t="s">
        <v>748</v>
      </c>
    </row>
    <row r="50" spans="1:11">
      <c r="A50" s="432">
        <v>49</v>
      </c>
      <c r="B50" s="433">
        <v>20</v>
      </c>
      <c r="C50" s="434">
        <v>9</v>
      </c>
      <c r="D50" s="436" t="str">
        <f t="shared" si="1"/>
        <v>サービス業&gt;ホテル・式場</v>
      </c>
      <c r="E50" s="435" t="str">
        <f t="shared" si="3"/>
        <v>2009</v>
      </c>
      <c r="F50" s="436" t="str">
        <f t="shared" si="2"/>
        <v>サービス業&gt;ホテル・式場</v>
      </c>
      <c r="G50" s="437" t="s">
        <v>724</v>
      </c>
      <c r="H50" s="438" t="s">
        <v>749</v>
      </c>
      <c r="I50" s="438" t="s">
        <v>749</v>
      </c>
      <c r="J50" s="438" t="s">
        <v>750</v>
      </c>
      <c r="K50" s="442" t="s">
        <v>751</v>
      </c>
    </row>
    <row r="51" spans="1:11">
      <c r="A51" s="432">
        <v>50</v>
      </c>
      <c r="B51" s="433">
        <v>20</v>
      </c>
      <c r="C51" s="434">
        <v>10</v>
      </c>
      <c r="D51" s="436" t="str">
        <f t="shared" si="1"/>
        <v>サービス業&gt;引越</v>
      </c>
      <c r="E51" s="435" t="str">
        <f t="shared" si="3"/>
        <v>2010</v>
      </c>
      <c r="F51" s="436" t="str">
        <f t="shared" si="2"/>
        <v>サービス業&gt;引越</v>
      </c>
      <c r="G51" s="437" t="s">
        <v>724</v>
      </c>
      <c r="H51" s="842" t="s">
        <v>752</v>
      </c>
      <c r="I51" s="438" t="s">
        <v>753</v>
      </c>
      <c r="J51" s="438" t="s">
        <v>753</v>
      </c>
    </row>
    <row r="52" spans="1:11">
      <c r="A52" s="432">
        <v>51</v>
      </c>
      <c r="B52" s="433">
        <v>20</v>
      </c>
      <c r="C52" s="434">
        <v>11</v>
      </c>
      <c r="D52" s="436" t="str">
        <f t="shared" si="1"/>
        <v>サービス業&gt;リフォーム</v>
      </c>
      <c r="E52" s="435" t="str">
        <f t="shared" si="3"/>
        <v>2011</v>
      </c>
      <c r="F52" s="436" t="str">
        <f t="shared" si="2"/>
        <v>サービス業&gt;リフォーム</v>
      </c>
      <c r="G52" s="437" t="s">
        <v>724</v>
      </c>
      <c r="H52" s="844"/>
      <c r="I52" s="438" t="s">
        <v>754</v>
      </c>
      <c r="J52" s="438" t="s">
        <v>755</v>
      </c>
      <c r="K52" s="431" t="s">
        <v>756</v>
      </c>
    </row>
    <row r="53" spans="1:11">
      <c r="A53" s="432">
        <v>52</v>
      </c>
      <c r="B53" s="433">
        <v>20</v>
      </c>
      <c r="C53" s="434">
        <v>12</v>
      </c>
      <c r="D53" s="436" t="str">
        <f t="shared" si="1"/>
        <v>サービス業&gt;クリーニング</v>
      </c>
      <c r="E53" s="435" t="str">
        <f t="shared" si="3"/>
        <v>2012</v>
      </c>
      <c r="F53" s="436" t="str">
        <f t="shared" si="2"/>
        <v>サービス業&gt;クリーニング</v>
      </c>
      <c r="G53" s="437" t="s">
        <v>724</v>
      </c>
      <c r="H53" s="843"/>
      <c r="I53" s="438" t="s">
        <v>757</v>
      </c>
      <c r="J53" s="438" t="s">
        <v>757</v>
      </c>
      <c r="K53" s="431" t="s">
        <v>758</v>
      </c>
    </row>
    <row r="54" spans="1:11">
      <c r="A54" s="432">
        <v>53</v>
      </c>
      <c r="B54" s="433">
        <v>20</v>
      </c>
      <c r="C54" s="434">
        <v>13</v>
      </c>
      <c r="D54" s="436" t="str">
        <f t="shared" si="1"/>
        <v>サービス業&gt;パチンコホール</v>
      </c>
      <c r="E54" s="435" t="str">
        <f t="shared" si="3"/>
        <v>2013</v>
      </c>
      <c r="F54" s="436" t="str">
        <f t="shared" si="2"/>
        <v>サービス業&gt;パチンコホール</v>
      </c>
      <c r="G54" s="437" t="s">
        <v>724</v>
      </c>
      <c r="H54" s="438" t="s">
        <v>759</v>
      </c>
      <c r="I54" s="438" t="s">
        <v>759</v>
      </c>
      <c r="J54" s="438" t="s">
        <v>760</v>
      </c>
      <c r="K54" s="439" t="s">
        <v>761</v>
      </c>
    </row>
    <row r="55" spans="1:11">
      <c r="A55" s="432">
        <v>54</v>
      </c>
      <c r="B55" s="433">
        <v>20</v>
      </c>
      <c r="C55" s="434">
        <v>14</v>
      </c>
      <c r="D55" s="436" t="str">
        <f t="shared" si="1"/>
        <v>サービス業&gt;遊技場</v>
      </c>
      <c r="E55" s="435" t="str">
        <f t="shared" si="3"/>
        <v>2014</v>
      </c>
      <c r="F55" s="436" t="str">
        <f t="shared" si="2"/>
        <v>サービス業&gt;遊技場</v>
      </c>
      <c r="G55" s="437" t="s">
        <v>724</v>
      </c>
      <c r="H55" s="438" t="s">
        <v>762</v>
      </c>
      <c r="I55" s="438" t="s">
        <v>762</v>
      </c>
      <c r="J55" s="438" t="s">
        <v>763</v>
      </c>
    </row>
    <row r="56" spans="1:11">
      <c r="A56" s="432">
        <v>55</v>
      </c>
      <c r="B56" s="433">
        <v>20</v>
      </c>
      <c r="C56" s="434">
        <v>15</v>
      </c>
      <c r="D56" s="436" t="str">
        <f t="shared" si="1"/>
        <v>サービス業&gt;スポーツ</v>
      </c>
      <c r="E56" s="435" t="str">
        <f t="shared" si="3"/>
        <v>2015</v>
      </c>
      <c r="F56" s="436" t="str">
        <f t="shared" si="2"/>
        <v>サービス業&gt;スポーツ</v>
      </c>
      <c r="G56" s="437" t="s">
        <v>724</v>
      </c>
      <c r="H56" s="438" t="s">
        <v>764</v>
      </c>
      <c r="I56" s="438" t="s">
        <v>764</v>
      </c>
      <c r="J56" s="438" t="s">
        <v>765</v>
      </c>
      <c r="K56" s="439" t="s">
        <v>766</v>
      </c>
    </row>
    <row r="57" spans="1:11">
      <c r="A57" s="432">
        <v>56</v>
      </c>
      <c r="B57" s="433">
        <v>20</v>
      </c>
      <c r="C57" s="434">
        <v>16</v>
      </c>
      <c r="D57" s="436" t="str">
        <f t="shared" si="1"/>
        <v>サービス業&gt;マスコミ関係</v>
      </c>
      <c r="E57" s="435" t="str">
        <f t="shared" si="3"/>
        <v>2016</v>
      </c>
      <c r="F57" s="436" t="str">
        <f t="shared" si="2"/>
        <v>サービス業&gt;マスコミ関係</v>
      </c>
      <c r="G57" s="437" t="s">
        <v>724</v>
      </c>
      <c r="H57" s="438" t="s">
        <v>767</v>
      </c>
      <c r="I57" s="438" t="s">
        <v>767</v>
      </c>
      <c r="J57" s="438" t="s">
        <v>768</v>
      </c>
      <c r="K57" s="442" t="s">
        <v>769</v>
      </c>
    </row>
    <row r="58" spans="1:11">
      <c r="A58" s="432">
        <v>57</v>
      </c>
      <c r="B58" s="433">
        <v>20</v>
      </c>
      <c r="C58" s="434">
        <v>17</v>
      </c>
      <c r="D58" s="436" t="str">
        <f t="shared" si="1"/>
        <v>サービス業&gt;医療・介護</v>
      </c>
      <c r="E58" s="435" t="str">
        <f t="shared" si="3"/>
        <v>2017</v>
      </c>
      <c r="F58" s="436" t="str">
        <f t="shared" si="2"/>
        <v>サービス業&gt;医療・介護</v>
      </c>
      <c r="G58" s="437" t="s">
        <v>724</v>
      </c>
      <c r="H58" s="438" t="s">
        <v>770</v>
      </c>
      <c r="I58" s="438" t="s">
        <v>770</v>
      </c>
      <c r="J58" s="438" t="s">
        <v>771</v>
      </c>
      <c r="K58" s="442" t="s">
        <v>772</v>
      </c>
    </row>
    <row r="59" spans="1:11">
      <c r="A59" s="432">
        <v>58</v>
      </c>
      <c r="B59" s="433">
        <v>20</v>
      </c>
      <c r="C59" s="434">
        <v>18</v>
      </c>
      <c r="D59" s="436" t="str">
        <f t="shared" si="1"/>
        <v>サービス業&gt;車検</v>
      </c>
      <c r="E59" s="435" t="str">
        <f t="shared" si="3"/>
        <v>2018</v>
      </c>
      <c r="F59" s="436" t="str">
        <f t="shared" si="2"/>
        <v>サービス業&gt;車検</v>
      </c>
      <c r="G59" s="437" t="s">
        <v>724</v>
      </c>
      <c r="H59" s="842" t="s">
        <v>773</v>
      </c>
      <c r="I59" s="438" t="s">
        <v>774</v>
      </c>
      <c r="J59" s="438" t="s">
        <v>775</v>
      </c>
      <c r="K59" s="442" t="s">
        <v>776</v>
      </c>
    </row>
    <row r="60" spans="1:11">
      <c r="A60" s="432">
        <v>59</v>
      </c>
      <c r="B60" s="433">
        <v>20</v>
      </c>
      <c r="C60" s="434">
        <v>19</v>
      </c>
      <c r="D60" s="436" t="str">
        <f t="shared" si="1"/>
        <v>サービス業&gt;その他のサービス</v>
      </c>
      <c r="E60" s="435" t="str">
        <f t="shared" si="3"/>
        <v>2019</v>
      </c>
      <c r="F60" s="436" t="str">
        <f t="shared" si="2"/>
        <v>サービス業&gt;その他のサービス</v>
      </c>
      <c r="G60" s="437" t="s">
        <v>724</v>
      </c>
      <c r="H60" s="843"/>
      <c r="I60" s="438" t="s">
        <v>773</v>
      </c>
      <c r="J60" s="438" t="s">
        <v>777</v>
      </c>
      <c r="K60" s="442" t="s">
        <v>778</v>
      </c>
    </row>
    <row r="61" spans="1:11">
      <c r="A61" s="432">
        <v>60</v>
      </c>
      <c r="B61" s="434">
        <v>30</v>
      </c>
      <c r="C61" s="434">
        <v>1</v>
      </c>
      <c r="D61" s="436" t="str">
        <f t="shared" si="1"/>
        <v>教育・教養&gt;塾・予備校</v>
      </c>
      <c r="E61" s="435" t="str">
        <f t="shared" si="3"/>
        <v>3001</v>
      </c>
      <c r="F61" s="436" t="str">
        <f t="shared" si="2"/>
        <v>教育・教養&gt;塾・予備校</v>
      </c>
      <c r="G61" s="438" t="s">
        <v>779</v>
      </c>
      <c r="H61" s="842" t="s">
        <v>780</v>
      </c>
      <c r="I61" s="438" t="s">
        <v>780</v>
      </c>
      <c r="J61" s="438" t="s">
        <v>781</v>
      </c>
      <c r="K61" s="442" t="s">
        <v>782</v>
      </c>
    </row>
    <row r="62" spans="1:11">
      <c r="A62" s="432">
        <v>61</v>
      </c>
      <c r="B62" s="434">
        <v>30</v>
      </c>
      <c r="C62" s="434">
        <v>2</v>
      </c>
      <c r="D62" s="436" t="str">
        <f t="shared" si="1"/>
        <v>教育・教養&gt;通信教育</v>
      </c>
      <c r="E62" s="435" t="str">
        <f t="shared" si="3"/>
        <v>3002</v>
      </c>
      <c r="F62" s="436" t="str">
        <f t="shared" si="2"/>
        <v>教育・教養&gt;通信教育</v>
      </c>
      <c r="G62" s="438" t="s">
        <v>779</v>
      </c>
      <c r="H62" s="843"/>
      <c r="I62" s="438" t="s">
        <v>783</v>
      </c>
      <c r="J62" s="438" t="s">
        <v>783</v>
      </c>
      <c r="K62" s="442" t="s">
        <v>784</v>
      </c>
    </row>
    <row r="63" spans="1:11">
      <c r="A63" s="432">
        <v>62</v>
      </c>
      <c r="B63" s="434">
        <v>30</v>
      </c>
      <c r="C63" s="434">
        <v>3</v>
      </c>
      <c r="D63" s="436" t="str">
        <f t="shared" si="1"/>
        <v>教育・教養&gt;各種学校</v>
      </c>
      <c r="E63" s="435" t="str">
        <f t="shared" si="3"/>
        <v>3003</v>
      </c>
      <c r="F63" s="436" t="str">
        <f t="shared" si="2"/>
        <v>教育・教養&gt;各種学校</v>
      </c>
      <c r="G63" s="438" t="s">
        <v>779</v>
      </c>
      <c r="H63" s="438" t="s">
        <v>785</v>
      </c>
      <c r="I63" s="438" t="s">
        <v>785</v>
      </c>
      <c r="J63" s="438" t="s">
        <v>786</v>
      </c>
      <c r="K63" s="442" t="s">
        <v>787</v>
      </c>
    </row>
    <row r="64" spans="1:11">
      <c r="A64" s="432">
        <v>63</v>
      </c>
      <c r="B64" s="434">
        <v>40</v>
      </c>
      <c r="C64" s="434">
        <v>1</v>
      </c>
      <c r="D64" s="436" t="str">
        <f t="shared" si="1"/>
        <v>金融・保険&gt;銀行・証券</v>
      </c>
      <c r="E64" s="435" t="str">
        <f t="shared" si="3"/>
        <v>4001</v>
      </c>
      <c r="F64" s="436" t="str">
        <f t="shared" si="2"/>
        <v>金融・保険&gt;銀行・証券</v>
      </c>
      <c r="G64" s="438" t="s">
        <v>788</v>
      </c>
      <c r="H64" s="842" t="s">
        <v>789</v>
      </c>
      <c r="I64" s="438" t="s">
        <v>790</v>
      </c>
      <c r="J64" s="438" t="s">
        <v>791</v>
      </c>
      <c r="K64" s="442" t="s">
        <v>792</v>
      </c>
    </row>
    <row r="65" spans="1:11">
      <c r="A65" s="432">
        <v>64</v>
      </c>
      <c r="B65" s="434">
        <v>40</v>
      </c>
      <c r="C65" s="434">
        <v>2</v>
      </c>
      <c r="D65" s="436" t="str">
        <f t="shared" si="1"/>
        <v>金融・保険&gt;消費者金融</v>
      </c>
      <c r="E65" s="435" t="str">
        <f t="shared" si="3"/>
        <v>4002</v>
      </c>
      <c r="F65" s="436" t="str">
        <f t="shared" si="2"/>
        <v>金融・保険&gt;消費者金融</v>
      </c>
      <c r="G65" s="438" t="s">
        <v>788</v>
      </c>
      <c r="H65" s="843"/>
      <c r="I65" s="438" t="s">
        <v>793</v>
      </c>
      <c r="J65" s="438" t="s">
        <v>793</v>
      </c>
    </row>
    <row r="66" spans="1:11">
      <c r="A66" s="432">
        <v>65</v>
      </c>
      <c r="B66" s="434">
        <v>40</v>
      </c>
      <c r="C66" s="434">
        <v>3</v>
      </c>
      <c r="D66" s="436" t="str">
        <f t="shared" si="1"/>
        <v>金融・保険&gt;保険</v>
      </c>
      <c r="E66" s="435" t="str">
        <f t="shared" ref="E66:E86" si="4">CONCATENATE(TEXT(B66,"00"),TEXT(C66,"00"))</f>
        <v>4003</v>
      </c>
      <c r="F66" s="436" t="str">
        <f t="shared" si="2"/>
        <v>金融・保険&gt;保険</v>
      </c>
      <c r="G66" s="438" t="s">
        <v>788</v>
      </c>
      <c r="H66" s="438" t="s">
        <v>794</v>
      </c>
      <c r="I66" s="438" t="s">
        <v>794</v>
      </c>
      <c r="J66" s="438" t="s">
        <v>795</v>
      </c>
      <c r="K66" s="439" t="s">
        <v>796</v>
      </c>
    </row>
    <row r="67" spans="1:11">
      <c r="A67" s="432">
        <v>66</v>
      </c>
      <c r="B67" s="434">
        <v>50</v>
      </c>
      <c r="C67" s="434">
        <v>1</v>
      </c>
      <c r="D67" s="436" t="str">
        <f t="shared" ref="D67:D85" si="5">F67</f>
        <v>不動産&gt;マンション</v>
      </c>
      <c r="E67" s="435" t="str">
        <f t="shared" si="4"/>
        <v>5001</v>
      </c>
      <c r="F67" s="436" t="str">
        <f t="shared" ref="F67:F85" si="6">CONCATENATE(G67,"&gt;",I67)</f>
        <v>不動産&gt;マンション</v>
      </c>
      <c r="G67" s="438" t="s">
        <v>797</v>
      </c>
      <c r="H67" s="438" t="s">
        <v>798</v>
      </c>
      <c r="I67" s="438" t="s">
        <v>798</v>
      </c>
      <c r="J67" s="438" t="s">
        <v>799</v>
      </c>
      <c r="K67" s="442" t="s">
        <v>800</v>
      </c>
    </row>
    <row r="68" spans="1:11">
      <c r="A68" s="432">
        <v>67</v>
      </c>
      <c r="B68" s="434">
        <v>50</v>
      </c>
      <c r="C68" s="434">
        <v>2</v>
      </c>
      <c r="D68" s="436" t="str">
        <f t="shared" si="5"/>
        <v>不動産&gt;建売</v>
      </c>
      <c r="E68" s="435" t="str">
        <f t="shared" si="4"/>
        <v>5002</v>
      </c>
      <c r="F68" s="436" t="str">
        <f t="shared" si="6"/>
        <v>不動産&gt;建売</v>
      </c>
      <c r="G68" s="438" t="s">
        <v>797</v>
      </c>
      <c r="H68" s="438" t="s">
        <v>801</v>
      </c>
      <c r="I68" s="438" t="s">
        <v>801</v>
      </c>
      <c r="J68" s="438" t="s">
        <v>802</v>
      </c>
    </row>
    <row r="69" spans="1:11">
      <c r="A69" s="432">
        <v>68</v>
      </c>
      <c r="B69" s="434">
        <v>50</v>
      </c>
      <c r="C69" s="434">
        <v>3</v>
      </c>
      <c r="D69" s="436" t="str">
        <f t="shared" si="5"/>
        <v>不動産&gt;不動産仲介</v>
      </c>
      <c r="E69" s="435" t="str">
        <f t="shared" si="4"/>
        <v>5003</v>
      </c>
      <c r="F69" s="436" t="str">
        <f t="shared" si="6"/>
        <v>不動産&gt;不動産仲介</v>
      </c>
      <c r="G69" s="438" t="s">
        <v>797</v>
      </c>
      <c r="H69" s="438" t="s">
        <v>803</v>
      </c>
      <c r="I69" s="438" t="s">
        <v>803</v>
      </c>
      <c r="J69" s="438" t="s">
        <v>804</v>
      </c>
      <c r="K69" s="439" t="s">
        <v>805</v>
      </c>
    </row>
    <row r="70" spans="1:11">
      <c r="A70" s="432">
        <v>69</v>
      </c>
      <c r="B70" s="434">
        <v>50</v>
      </c>
      <c r="C70" s="434">
        <v>4</v>
      </c>
      <c r="D70" s="436" t="str">
        <f t="shared" si="5"/>
        <v>不動産&gt;霊園・別荘</v>
      </c>
      <c r="E70" s="435" t="str">
        <f t="shared" si="4"/>
        <v>5004</v>
      </c>
      <c r="F70" s="436" t="str">
        <f t="shared" si="6"/>
        <v>不動産&gt;霊園・別荘</v>
      </c>
      <c r="G70" s="438" t="s">
        <v>797</v>
      </c>
      <c r="H70" s="842" t="s">
        <v>806</v>
      </c>
      <c r="I70" s="438" t="s">
        <v>807</v>
      </c>
      <c r="J70" s="438" t="s">
        <v>808</v>
      </c>
    </row>
    <row r="71" spans="1:11">
      <c r="A71" s="432">
        <v>70</v>
      </c>
      <c r="B71" s="434">
        <v>50</v>
      </c>
      <c r="C71" s="434">
        <v>5</v>
      </c>
      <c r="D71" s="436" t="str">
        <f t="shared" si="5"/>
        <v>不動産&gt;住宅展示場</v>
      </c>
      <c r="E71" s="435" t="str">
        <f t="shared" si="4"/>
        <v>5005</v>
      </c>
      <c r="F71" s="436" t="str">
        <f t="shared" si="6"/>
        <v>不動産&gt;住宅展示場</v>
      </c>
      <c r="G71" s="438" t="s">
        <v>797</v>
      </c>
      <c r="H71" s="844"/>
      <c r="I71" s="438" t="s">
        <v>809</v>
      </c>
      <c r="J71" s="438" t="s">
        <v>810</v>
      </c>
      <c r="K71" s="431" t="s">
        <v>811</v>
      </c>
    </row>
    <row r="72" spans="1:11">
      <c r="A72" s="432">
        <v>71</v>
      </c>
      <c r="B72" s="434">
        <v>50</v>
      </c>
      <c r="C72" s="434">
        <v>6</v>
      </c>
      <c r="D72" s="436" t="str">
        <f t="shared" si="5"/>
        <v>不動産&gt;土地</v>
      </c>
      <c r="E72" s="435" t="str">
        <f t="shared" si="4"/>
        <v>5006</v>
      </c>
      <c r="F72" s="436" t="str">
        <f t="shared" si="6"/>
        <v>不動産&gt;土地</v>
      </c>
      <c r="G72" s="438" t="s">
        <v>797</v>
      </c>
      <c r="H72" s="843"/>
      <c r="I72" s="438" t="s">
        <v>812</v>
      </c>
      <c r="J72" s="438" t="s">
        <v>812</v>
      </c>
    </row>
    <row r="73" spans="1:11">
      <c r="A73" s="432">
        <v>72</v>
      </c>
      <c r="B73" s="434">
        <v>60</v>
      </c>
      <c r="C73" s="434">
        <v>1</v>
      </c>
      <c r="D73" s="436" t="str">
        <f t="shared" si="5"/>
        <v>メーカー&gt;食料・飲料・嗜好品</v>
      </c>
      <c r="E73" s="435" t="str">
        <f t="shared" si="4"/>
        <v>6001</v>
      </c>
      <c r="F73" s="436" t="str">
        <f t="shared" si="6"/>
        <v>メーカー&gt;食料・飲料・嗜好品</v>
      </c>
      <c r="G73" s="438" t="s">
        <v>813</v>
      </c>
      <c r="H73" s="438" t="s">
        <v>814</v>
      </c>
      <c r="I73" s="438" t="s">
        <v>814</v>
      </c>
      <c r="J73" s="438" t="s">
        <v>815</v>
      </c>
      <c r="K73" s="439" t="s">
        <v>816</v>
      </c>
    </row>
    <row r="74" spans="1:11">
      <c r="A74" s="432">
        <v>73</v>
      </c>
      <c r="B74" s="434">
        <v>60</v>
      </c>
      <c r="C74" s="434">
        <v>2</v>
      </c>
      <c r="D74" s="436" t="str">
        <f t="shared" si="5"/>
        <v>メーカー&gt;健康食品</v>
      </c>
      <c r="E74" s="435" t="str">
        <f t="shared" si="4"/>
        <v>6002</v>
      </c>
      <c r="F74" s="436" t="str">
        <f t="shared" si="6"/>
        <v>メーカー&gt;健康食品</v>
      </c>
      <c r="G74" s="438" t="s">
        <v>813</v>
      </c>
      <c r="H74" s="438" t="s">
        <v>817</v>
      </c>
      <c r="I74" s="438" t="s">
        <v>817</v>
      </c>
      <c r="J74" s="438" t="s">
        <v>818</v>
      </c>
      <c r="K74" s="442" t="s">
        <v>819</v>
      </c>
    </row>
    <row r="75" spans="1:11">
      <c r="A75" s="432">
        <v>74</v>
      </c>
      <c r="B75" s="434">
        <v>60</v>
      </c>
      <c r="C75" s="434">
        <v>3</v>
      </c>
      <c r="D75" s="436" t="str">
        <f t="shared" si="5"/>
        <v>メーカー&gt;製薬・医療用品</v>
      </c>
      <c r="E75" s="435" t="str">
        <f t="shared" si="4"/>
        <v>6003</v>
      </c>
      <c r="F75" s="436" t="str">
        <f t="shared" si="6"/>
        <v>メーカー&gt;製薬・医療用品</v>
      </c>
      <c r="G75" s="438" t="s">
        <v>813</v>
      </c>
      <c r="H75" s="438" t="s">
        <v>820</v>
      </c>
      <c r="I75" s="438" t="s">
        <v>820</v>
      </c>
      <c r="J75" s="438" t="s">
        <v>821</v>
      </c>
    </row>
    <row r="76" spans="1:11">
      <c r="A76" s="432">
        <v>75</v>
      </c>
      <c r="B76" s="434">
        <v>60</v>
      </c>
      <c r="C76" s="434">
        <v>4</v>
      </c>
      <c r="D76" s="436" t="str">
        <f t="shared" si="5"/>
        <v>メーカー&gt;化粧品</v>
      </c>
      <c r="E76" s="435" t="str">
        <f t="shared" si="4"/>
        <v>6004</v>
      </c>
      <c r="F76" s="436" t="str">
        <f t="shared" si="6"/>
        <v>メーカー&gt;化粧品</v>
      </c>
      <c r="G76" s="438" t="s">
        <v>813</v>
      </c>
      <c r="H76" s="438" t="s">
        <v>822</v>
      </c>
      <c r="I76" s="438" t="s">
        <v>822</v>
      </c>
      <c r="J76" s="438" t="s">
        <v>823</v>
      </c>
      <c r="K76" s="439" t="s">
        <v>824</v>
      </c>
    </row>
    <row r="77" spans="1:11">
      <c r="A77" s="432">
        <v>76</v>
      </c>
      <c r="B77" s="434">
        <v>60</v>
      </c>
      <c r="C77" s="434">
        <v>5</v>
      </c>
      <c r="D77" s="436" t="str">
        <f t="shared" si="5"/>
        <v>メーカー&gt;日用雑貨・家庭用品</v>
      </c>
      <c r="E77" s="435" t="str">
        <f t="shared" si="4"/>
        <v>6005</v>
      </c>
      <c r="F77" s="436" t="str">
        <f t="shared" si="6"/>
        <v>メーカー&gt;日用雑貨・家庭用品</v>
      </c>
      <c r="G77" s="438" t="s">
        <v>813</v>
      </c>
      <c r="H77" s="438" t="s">
        <v>825</v>
      </c>
      <c r="I77" s="438" t="s">
        <v>825</v>
      </c>
      <c r="J77" s="438" t="s">
        <v>826</v>
      </c>
      <c r="K77" s="442" t="s">
        <v>827</v>
      </c>
    </row>
    <row r="78" spans="1:11">
      <c r="A78" s="432">
        <v>77</v>
      </c>
      <c r="B78" s="434">
        <v>60</v>
      </c>
      <c r="C78" s="434">
        <v>6</v>
      </c>
      <c r="D78" s="436" t="str">
        <f t="shared" si="5"/>
        <v>メーカー&gt;家電・AV機器</v>
      </c>
      <c r="E78" s="435" t="str">
        <f t="shared" si="4"/>
        <v>6006</v>
      </c>
      <c r="F78" s="436" t="str">
        <f t="shared" si="6"/>
        <v>メーカー&gt;家電・AV機器</v>
      </c>
      <c r="G78" s="438" t="s">
        <v>813</v>
      </c>
      <c r="H78" s="438" t="s">
        <v>828</v>
      </c>
      <c r="I78" s="438" t="s">
        <v>828</v>
      </c>
      <c r="J78" s="438" t="s">
        <v>829</v>
      </c>
      <c r="K78" s="442" t="s">
        <v>830</v>
      </c>
    </row>
    <row r="79" spans="1:11">
      <c r="A79" s="432">
        <v>78</v>
      </c>
      <c r="B79" s="434">
        <v>60</v>
      </c>
      <c r="C79" s="434">
        <v>7</v>
      </c>
      <c r="D79" s="436" t="str">
        <f t="shared" si="5"/>
        <v>メーカー&gt;輸送・自動車関係</v>
      </c>
      <c r="E79" s="435" t="str">
        <f t="shared" si="4"/>
        <v>6007</v>
      </c>
      <c r="F79" s="436" t="str">
        <f t="shared" si="6"/>
        <v>メーカー&gt;輸送・自動車関係</v>
      </c>
      <c r="G79" s="438" t="s">
        <v>813</v>
      </c>
      <c r="H79" s="438" t="s">
        <v>831</v>
      </c>
      <c r="I79" s="438" t="s">
        <v>831</v>
      </c>
      <c r="J79" s="438" t="s">
        <v>832</v>
      </c>
    </row>
    <row r="80" spans="1:11">
      <c r="A80" s="432">
        <v>79</v>
      </c>
      <c r="B80" s="434">
        <v>60</v>
      </c>
      <c r="C80" s="434">
        <v>8</v>
      </c>
      <c r="D80" s="436" t="str">
        <f t="shared" si="5"/>
        <v>メーカー&gt;その他のメーカー</v>
      </c>
      <c r="E80" s="435" t="str">
        <f t="shared" si="4"/>
        <v>6008</v>
      </c>
      <c r="F80" s="436" t="str">
        <f t="shared" si="6"/>
        <v>メーカー&gt;その他のメーカー</v>
      </c>
      <c r="G80" s="438" t="s">
        <v>813</v>
      </c>
      <c r="H80" s="438" t="s">
        <v>833</v>
      </c>
      <c r="I80" s="542" t="s">
        <v>1330</v>
      </c>
      <c r="J80" s="438" t="s">
        <v>834</v>
      </c>
    </row>
    <row r="81" spans="1:11">
      <c r="A81" s="432">
        <v>80</v>
      </c>
      <c r="B81" s="434">
        <v>70</v>
      </c>
      <c r="C81" s="434">
        <v>1</v>
      </c>
      <c r="D81" s="436" t="str">
        <f t="shared" si="5"/>
        <v>その他&gt;官公庁</v>
      </c>
      <c r="E81" s="435" t="str">
        <f t="shared" si="4"/>
        <v>7001</v>
      </c>
      <c r="F81" s="436" t="str">
        <f t="shared" si="6"/>
        <v>その他&gt;官公庁</v>
      </c>
      <c r="G81" s="438" t="s">
        <v>833</v>
      </c>
      <c r="H81" s="438" t="s">
        <v>835</v>
      </c>
      <c r="I81" s="438" t="s">
        <v>835</v>
      </c>
      <c r="J81" s="438" t="s">
        <v>836</v>
      </c>
    </row>
    <row r="82" spans="1:11">
      <c r="A82" s="432">
        <v>81</v>
      </c>
      <c r="B82" s="434">
        <v>70</v>
      </c>
      <c r="C82" s="434">
        <v>2</v>
      </c>
      <c r="D82" s="436" t="str">
        <f t="shared" si="5"/>
        <v>その他&gt;組合・団体</v>
      </c>
      <c r="E82" s="435" t="str">
        <f t="shared" si="4"/>
        <v>7002</v>
      </c>
      <c r="F82" s="436" t="str">
        <f t="shared" si="6"/>
        <v>その他&gt;組合・団体</v>
      </c>
      <c r="G82" s="438" t="s">
        <v>833</v>
      </c>
      <c r="H82" s="438" t="s">
        <v>837</v>
      </c>
      <c r="I82" s="438" t="s">
        <v>837</v>
      </c>
      <c r="J82" s="438" t="s">
        <v>838</v>
      </c>
      <c r="K82" s="439" t="s">
        <v>839</v>
      </c>
    </row>
    <row r="83" spans="1:11">
      <c r="A83" s="432">
        <v>82</v>
      </c>
      <c r="B83" s="434">
        <v>70</v>
      </c>
      <c r="C83" s="434">
        <v>3</v>
      </c>
      <c r="D83" s="436" t="str">
        <f t="shared" si="5"/>
        <v>その他&gt;通信関係</v>
      </c>
      <c r="E83" s="435" t="str">
        <f t="shared" si="4"/>
        <v>7003</v>
      </c>
      <c r="F83" s="436" t="str">
        <f t="shared" si="6"/>
        <v>その他&gt;通信関係</v>
      </c>
      <c r="G83" s="438" t="s">
        <v>833</v>
      </c>
      <c r="H83" s="438" t="s">
        <v>840</v>
      </c>
      <c r="I83" s="438" t="s">
        <v>840</v>
      </c>
      <c r="J83" s="438" t="s">
        <v>841</v>
      </c>
      <c r="K83" s="439" t="s">
        <v>842</v>
      </c>
    </row>
    <row r="84" spans="1:11">
      <c r="A84" s="432">
        <v>83</v>
      </c>
      <c r="B84" s="434">
        <v>70</v>
      </c>
      <c r="C84" s="434">
        <v>4</v>
      </c>
      <c r="D84" s="436" t="str">
        <f t="shared" si="5"/>
        <v>その他&gt;運輸・輸送</v>
      </c>
      <c r="E84" s="435" t="str">
        <f t="shared" si="4"/>
        <v>7004</v>
      </c>
      <c r="F84" s="436" t="str">
        <f t="shared" si="6"/>
        <v>その他&gt;運輸・輸送</v>
      </c>
      <c r="G84" s="438" t="s">
        <v>833</v>
      </c>
      <c r="H84" s="438" t="s">
        <v>843</v>
      </c>
      <c r="I84" s="438" t="s">
        <v>843</v>
      </c>
      <c r="J84" s="438" t="s">
        <v>844</v>
      </c>
      <c r="K84" s="439" t="s">
        <v>845</v>
      </c>
    </row>
    <row r="85" spans="1:11">
      <c r="A85" s="432">
        <v>84</v>
      </c>
      <c r="B85" s="434">
        <v>70</v>
      </c>
      <c r="C85" s="434">
        <v>5</v>
      </c>
      <c r="D85" s="436" t="str">
        <f t="shared" si="5"/>
        <v>その他&gt;求人連合</v>
      </c>
      <c r="E85" s="435" t="str">
        <f t="shared" si="4"/>
        <v>7005</v>
      </c>
      <c r="F85" s="436" t="str">
        <f t="shared" si="6"/>
        <v>その他&gt;求人連合</v>
      </c>
      <c r="G85" s="438" t="s">
        <v>833</v>
      </c>
      <c r="H85" s="438" t="s">
        <v>846</v>
      </c>
      <c r="I85" s="438" t="s">
        <v>846</v>
      </c>
      <c r="J85" s="438" t="s">
        <v>847</v>
      </c>
      <c r="K85" s="442" t="s">
        <v>848</v>
      </c>
    </row>
    <row r="86" spans="1:11">
      <c r="A86" s="426">
        <v>85</v>
      </c>
      <c r="B86" s="434">
        <v>70</v>
      </c>
      <c r="C86" s="434">
        <v>6</v>
      </c>
      <c r="D86" s="436" t="str">
        <f t="shared" ref="D86" si="7">F86</f>
        <v>その他&gt;その他</v>
      </c>
      <c r="E86" s="435" t="str">
        <f t="shared" si="4"/>
        <v>7006</v>
      </c>
      <c r="F86" s="436" t="str">
        <f t="shared" ref="F86" si="8">CONCATENATE(G86,"&gt;",I86)</f>
        <v>その他&gt;その他</v>
      </c>
      <c r="G86" s="438" t="s">
        <v>833</v>
      </c>
      <c r="H86" s="438" t="s">
        <v>833</v>
      </c>
      <c r="I86" s="438" t="s">
        <v>833</v>
      </c>
      <c r="J86" s="438" t="s">
        <v>849</v>
      </c>
      <c r="K86" s="442" t="s">
        <v>850</v>
      </c>
    </row>
    <row r="87" spans="1:11">
      <c r="A87" s="477" t="s">
        <v>1117</v>
      </c>
      <c r="B87" s="434"/>
      <c r="C87" s="434"/>
      <c r="D87" s="436"/>
      <c r="E87" s="435"/>
      <c r="F87" s="436"/>
      <c r="G87" s="438"/>
      <c r="H87" s="438"/>
      <c r="I87" s="438"/>
      <c r="J87" s="438"/>
      <c r="K87" s="442"/>
    </row>
  </sheetData>
  <sheetProtection algorithmName="SHA-512" hashValue="SmXKG42wyXqR+WSlsdaa0CrvJYDFT0G4D3MhreI+zGgHZKSPRPmHNa32RsiLZuBHUO/54dg78ofd9AteQf/L5g==" saltValue="o63JrCFoMkBbNee5fLisbw==" spinCount="100000" sheet="1" objects="1" scenarios="1"/>
  <autoFilter ref="A1:L87" xr:uid="{FD145474-693D-4DE3-A068-5E350C62CA80}"/>
  <mergeCells count="13">
    <mergeCell ref="H70:H72"/>
    <mergeCell ref="H37:H38"/>
    <mergeCell ref="H47:H48"/>
    <mergeCell ref="H51:H53"/>
    <mergeCell ref="H59:H60"/>
    <mergeCell ref="H61:H62"/>
    <mergeCell ref="H64:H65"/>
    <mergeCell ref="H34:H35"/>
    <mergeCell ref="H4:H5"/>
    <mergeCell ref="H14:H15"/>
    <mergeCell ref="H16:H17"/>
    <mergeCell ref="H22:H23"/>
    <mergeCell ref="H25:H26"/>
  </mergeCells>
  <phoneticPr fontId="1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44CB-0632-4528-A833-7ECC7396961E}">
  <sheetPr codeName="Sheet26">
    <tabColor rgb="FF0070C0"/>
  </sheetPr>
  <dimension ref="A1:C11"/>
  <sheetViews>
    <sheetView zoomScale="80" zoomScaleNormal="80" workbookViewId="0">
      <pane ySplit="1" topLeftCell="A2" activePane="bottomLeft" state="frozen"/>
      <selection pane="bottomLeft" activeCell="D19" sqref="D19"/>
    </sheetView>
  </sheetViews>
  <sheetFormatPr defaultColWidth="8.875" defaultRowHeight="18.75"/>
  <cols>
    <col min="1" max="1" width="30.625" style="518" bestFit="1" customWidth="1"/>
    <col min="2" max="2" width="4.875" style="205" bestFit="1" customWidth="1"/>
    <col min="3" max="16384" width="8.875" style="203"/>
  </cols>
  <sheetData>
    <row r="1" spans="1:3" s="407" customFormat="1" ht="57.75">
      <c r="A1" s="404" t="s">
        <v>361</v>
      </c>
      <c r="B1" s="404" t="s">
        <v>557</v>
      </c>
    </row>
    <row r="2" spans="1:3">
      <c r="A2" s="478" t="s">
        <v>1101</v>
      </c>
      <c r="B2" s="405"/>
    </row>
    <row r="3" spans="1:3">
      <c r="A3" s="478" t="s">
        <v>1016</v>
      </c>
      <c r="B3" s="405"/>
    </row>
    <row r="4" spans="1:3">
      <c r="A4" s="478" t="s">
        <v>1017</v>
      </c>
      <c r="B4" s="405"/>
    </row>
    <row r="5" spans="1:3">
      <c r="A5" s="478" t="s">
        <v>1151</v>
      </c>
      <c r="B5" s="405"/>
    </row>
    <row r="6" spans="1:3">
      <c r="A6" s="517" t="s">
        <v>1018</v>
      </c>
      <c r="B6" s="405"/>
    </row>
    <row r="7" spans="1:3">
      <c r="A7" s="517" t="s">
        <v>1019</v>
      </c>
      <c r="B7" s="405"/>
    </row>
    <row r="8" spans="1:3">
      <c r="A8" s="517" t="s">
        <v>1020</v>
      </c>
      <c r="B8" s="405"/>
    </row>
    <row r="9" spans="1:3">
      <c r="A9" s="517" t="s">
        <v>1021</v>
      </c>
      <c r="B9" s="405"/>
    </row>
    <row r="10" spans="1:3">
      <c r="A10" s="517" t="s">
        <v>1244</v>
      </c>
      <c r="B10" s="405"/>
    </row>
    <row r="11" spans="1:3">
      <c r="A11" s="517"/>
      <c r="B11" s="405"/>
      <c r="C11" s="203" t="s">
        <v>1118</v>
      </c>
    </row>
  </sheetData>
  <sheetProtection algorithmName="SHA-512" hashValue="l/z1fxg7qbhjeRYtw3mq67zQ/7weNGBbfnNzdw2Rvf6CgxQiJdcPs6G4uDRnRhl/3UZJi7XH5Tx/qvIUFJiMhg==" saltValue="zgdf+X0+Hm+mkNvkT3GdJw==" spinCount="100000" sheet="1" objects="1" scenarios="1"/>
  <phoneticPr fontId="1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8A64-EE98-4447-88A9-5CB54F93394C}">
  <sheetPr codeName="Sheet22">
    <tabColor rgb="FF0070C0"/>
  </sheetPr>
  <dimension ref="A1:E11"/>
  <sheetViews>
    <sheetView zoomScale="80" zoomScaleNormal="80" workbookViewId="0">
      <pane ySplit="1" topLeftCell="A2" activePane="bottomLeft" state="frozen"/>
      <selection pane="bottomLeft" activeCell="D15" sqref="D15"/>
    </sheetView>
  </sheetViews>
  <sheetFormatPr defaultColWidth="8.875" defaultRowHeight="18.75"/>
  <cols>
    <col min="1" max="1" width="12.25" style="203" bestFit="1" customWidth="1"/>
    <col min="2" max="2" width="6.125" style="205" bestFit="1" customWidth="1"/>
    <col min="3" max="3" width="12.25" style="203" bestFit="1" customWidth="1"/>
    <col min="4" max="4" width="6.125" style="203" bestFit="1" customWidth="1"/>
    <col min="5" max="16384" width="8.875" style="203"/>
  </cols>
  <sheetData>
    <row r="1" spans="1:5" s="204" customFormat="1" ht="95.25">
      <c r="A1" s="404" t="s">
        <v>162</v>
      </c>
      <c r="B1" s="404" t="s">
        <v>557</v>
      </c>
      <c r="C1" s="404" t="s">
        <v>162</v>
      </c>
      <c r="D1" s="404" t="s">
        <v>1606</v>
      </c>
    </row>
    <row r="2" spans="1:5">
      <c r="A2" s="406" t="s">
        <v>282</v>
      </c>
      <c r="B2" s="405" t="s">
        <v>560</v>
      </c>
      <c r="C2" s="406" t="s">
        <v>282</v>
      </c>
      <c r="D2" s="553">
        <v>1</v>
      </c>
    </row>
    <row r="3" spans="1:5">
      <c r="A3" s="406" t="s">
        <v>1602</v>
      </c>
      <c r="B3" s="405" t="s">
        <v>1605</v>
      </c>
      <c r="C3" s="406" t="s">
        <v>1602</v>
      </c>
      <c r="D3" s="553">
        <v>2</v>
      </c>
    </row>
    <row r="4" spans="1:5">
      <c r="A4" s="406" t="s">
        <v>1603</v>
      </c>
      <c r="B4" s="405" t="s">
        <v>1604</v>
      </c>
      <c r="C4" s="406" t="s">
        <v>1603</v>
      </c>
      <c r="D4" s="553">
        <v>3</v>
      </c>
    </row>
    <row r="5" spans="1:5">
      <c r="A5" s="406" t="s">
        <v>158</v>
      </c>
      <c r="B5" s="405" t="s">
        <v>562</v>
      </c>
      <c r="C5" s="406" t="s">
        <v>158</v>
      </c>
      <c r="D5" s="553">
        <v>4</v>
      </c>
    </row>
    <row r="6" spans="1:5">
      <c r="A6" s="406" t="s">
        <v>857</v>
      </c>
      <c r="B6" s="405" t="s">
        <v>987</v>
      </c>
      <c r="C6" s="406" t="s">
        <v>857</v>
      </c>
      <c r="D6" s="553">
        <v>5</v>
      </c>
    </row>
    <row r="7" spans="1:5">
      <c r="A7" s="406" t="s">
        <v>38</v>
      </c>
      <c r="B7" s="405" t="s">
        <v>563</v>
      </c>
      <c r="C7" s="406" t="s">
        <v>38</v>
      </c>
      <c r="D7" s="553">
        <v>6</v>
      </c>
    </row>
    <row r="8" spans="1:5">
      <c r="A8" s="406" t="s">
        <v>42</v>
      </c>
      <c r="B8" s="405" t="s">
        <v>954</v>
      </c>
      <c r="C8" s="406" t="s">
        <v>42</v>
      </c>
      <c r="D8" s="553">
        <v>7</v>
      </c>
    </row>
    <row r="9" spans="1:5">
      <c r="A9" s="406" t="s">
        <v>41</v>
      </c>
      <c r="B9" s="405" t="s">
        <v>561</v>
      </c>
      <c r="C9" s="406" t="s">
        <v>41</v>
      </c>
      <c r="D9" s="553">
        <v>8</v>
      </c>
    </row>
    <row r="10" spans="1:5">
      <c r="A10" s="406" t="s">
        <v>1242</v>
      </c>
      <c r="B10" s="405" t="s">
        <v>1245</v>
      </c>
      <c r="C10" s="406" t="s">
        <v>1242</v>
      </c>
      <c r="D10" s="553">
        <v>9</v>
      </c>
    </row>
    <row r="11" spans="1:5">
      <c r="A11" s="478"/>
      <c r="B11" s="405"/>
      <c r="C11" s="478"/>
      <c r="D11" s="554"/>
      <c r="E11" s="203" t="s">
        <v>1118</v>
      </c>
    </row>
  </sheetData>
  <sheetProtection algorithmName="SHA-512" hashValue="cSIaw5og/h2dc3344HITwre+G0fDz/ymJY1j/DPy3t+Wn3vHQZkIjeszHEAdh2uFkjKCNmY4vQxDOl4I69Ki0A==" saltValue="mlZ+SRPgZlAitBxpvSodiA==" spinCount="100000" sheet="1" objects="1" scenarios="1"/>
  <phoneticPr fontId="1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F150-2994-44C3-B84D-7939F215E39E}">
  <sheetPr codeName="Sheet20">
    <tabColor rgb="FF0070C0"/>
  </sheetPr>
  <dimension ref="A1:X55"/>
  <sheetViews>
    <sheetView zoomScale="80" zoomScaleNormal="80" workbookViewId="0">
      <pane xSplit="1" ySplit="3" topLeftCell="B36" activePane="bottomRight" state="frozen"/>
      <selection pane="topRight" activeCell="B1" sqref="B1"/>
      <selection pane="bottomLeft" activeCell="A4" sqref="A4"/>
      <selection pane="bottomRight" activeCell="D1" sqref="D1:V55"/>
    </sheetView>
  </sheetViews>
  <sheetFormatPr defaultColWidth="8.875" defaultRowHeight="18.75"/>
  <cols>
    <col min="1" max="3" width="5.5" style="443" bestFit="1" customWidth="1"/>
    <col min="4" max="4" width="33.25" style="431" bestFit="1" customWidth="1"/>
    <col min="5" max="5" width="7.5" style="428" bestFit="1" customWidth="1"/>
    <col min="6" max="6" width="33.25" style="431" bestFit="1" customWidth="1"/>
    <col min="7" max="7" width="33.25" style="431" customWidth="1"/>
    <col min="8" max="8" width="14.5" style="431" bestFit="1" customWidth="1"/>
    <col min="9" max="11" width="10.625" style="431" customWidth="1"/>
    <col min="12" max="12" width="11.625" style="431" customWidth="1"/>
    <col min="13" max="18" width="10.625" style="431" customWidth="1"/>
    <col min="19" max="19" width="17.125" style="431" customWidth="1"/>
    <col min="20" max="20" width="15.625" style="431" customWidth="1"/>
    <col min="21" max="22" width="17.5" style="431" customWidth="1"/>
    <col min="23" max="16384" width="8.875" style="203"/>
  </cols>
  <sheetData>
    <row r="1" spans="1:24" s="407" customFormat="1" ht="13.15" customHeight="1">
      <c r="A1" s="849" t="s">
        <v>597</v>
      </c>
      <c r="B1" s="849" t="s">
        <v>851</v>
      </c>
      <c r="C1" s="849" t="s">
        <v>852</v>
      </c>
      <c r="D1" s="848" t="s">
        <v>853</v>
      </c>
      <c r="E1" s="848" t="s">
        <v>601</v>
      </c>
      <c r="F1" s="851" t="s">
        <v>853</v>
      </c>
      <c r="G1" s="852"/>
      <c r="H1" s="850" t="s">
        <v>1321</v>
      </c>
      <c r="I1" s="845" t="s">
        <v>854</v>
      </c>
      <c r="J1" s="846"/>
      <c r="K1" s="846"/>
      <c r="L1" s="846"/>
      <c r="M1" s="846"/>
      <c r="N1" s="846"/>
      <c r="O1" s="846"/>
      <c r="P1" s="846"/>
      <c r="Q1" s="846"/>
      <c r="R1" s="847"/>
      <c r="S1" s="848" t="s">
        <v>855</v>
      </c>
      <c r="T1" s="848"/>
      <c r="U1" s="848"/>
      <c r="V1" s="848"/>
    </row>
    <row r="2" spans="1:24" s="205" customFormat="1">
      <c r="A2" s="849"/>
      <c r="B2" s="849"/>
      <c r="C2" s="849"/>
      <c r="D2" s="848"/>
      <c r="E2" s="848"/>
      <c r="F2" s="853"/>
      <c r="G2" s="854"/>
      <c r="H2" s="848"/>
      <c r="I2" s="467" t="s">
        <v>1023</v>
      </c>
      <c r="J2" s="551" t="s">
        <v>1602</v>
      </c>
      <c r="K2" s="551" t="s">
        <v>1603</v>
      </c>
      <c r="L2" s="449" t="s">
        <v>856</v>
      </c>
      <c r="M2" s="440" t="s">
        <v>857</v>
      </c>
      <c r="N2" s="440" t="s">
        <v>858</v>
      </c>
      <c r="O2" s="440" t="s">
        <v>859</v>
      </c>
      <c r="P2" s="440" t="s">
        <v>860</v>
      </c>
      <c r="Q2" s="521" t="s">
        <v>1242</v>
      </c>
      <c r="R2" s="440"/>
      <c r="S2" s="842" t="s">
        <v>861</v>
      </c>
      <c r="T2" s="842" t="s">
        <v>862</v>
      </c>
      <c r="U2" s="842" t="s">
        <v>863</v>
      </c>
      <c r="V2" s="855" t="s">
        <v>1308</v>
      </c>
    </row>
    <row r="3" spans="1:24" s="205" customFormat="1">
      <c r="A3" s="849"/>
      <c r="B3" s="849"/>
      <c r="C3" s="849"/>
      <c r="D3" s="848"/>
      <c r="E3" s="848"/>
      <c r="F3" s="541" t="s">
        <v>1329</v>
      </c>
      <c r="G3" s="541" t="s">
        <v>1328</v>
      </c>
      <c r="H3" s="848"/>
      <c r="I3" s="441" t="s">
        <v>982</v>
      </c>
      <c r="J3" s="552" t="s">
        <v>1605</v>
      </c>
      <c r="K3" s="552" t="s">
        <v>1604</v>
      </c>
      <c r="L3" s="448" t="s">
        <v>983</v>
      </c>
      <c r="M3" s="441" t="s">
        <v>986</v>
      </c>
      <c r="N3" s="441" t="s">
        <v>984</v>
      </c>
      <c r="O3" s="441" t="s">
        <v>953</v>
      </c>
      <c r="P3" s="441" t="s">
        <v>985</v>
      </c>
      <c r="Q3" s="522" t="s">
        <v>1245</v>
      </c>
      <c r="R3" s="441"/>
      <c r="S3" s="843"/>
      <c r="T3" s="843"/>
      <c r="U3" s="843"/>
      <c r="V3" s="843"/>
    </row>
    <row r="4" spans="1:24">
      <c r="A4" s="432">
        <v>1</v>
      </c>
      <c r="B4" s="433">
        <v>10</v>
      </c>
      <c r="C4" s="434">
        <v>1</v>
      </c>
      <c r="D4" s="438" t="str">
        <f>F4</f>
        <v>B4（折り無し）</v>
      </c>
      <c r="E4" s="435" t="str">
        <f t="shared" ref="E4:E37" si="0">CONCATENATE(TEXT(B4,"00"),TEXT(C4,"00"))</f>
        <v>1001</v>
      </c>
      <c r="F4" s="438" t="s">
        <v>864</v>
      </c>
      <c r="G4" s="438"/>
      <c r="H4" s="438" t="s">
        <v>1322</v>
      </c>
      <c r="I4" s="438">
        <v>2.8</v>
      </c>
      <c r="J4" s="438">
        <v>2.8</v>
      </c>
      <c r="K4" s="438">
        <v>2.8</v>
      </c>
      <c r="L4" s="438">
        <v>3</v>
      </c>
      <c r="M4" s="438">
        <v>3</v>
      </c>
      <c r="N4" s="438">
        <v>3</v>
      </c>
      <c r="O4" s="438">
        <v>3</v>
      </c>
      <c r="P4" s="438">
        <v>3</v>
      </c>
      <c r="Q4" s="525">
        <v>2.8</v>
      </c>
      <c r="R4" s="438"/>
      <c r="S4" s="438" t="s">
        <v>865</v>
      </c>
      <c r="T4" s="438" t="s">
        <v>865</v>
      </c>
      <c r="U4" s="438" t="s">
        <v>865</v>
      </c>
      <c r="V4" s="526" t="s">
        <v>1311</v>
      </c>
    </row>
    <row r="5" spans="1:24">
      <c r="A5" s="432">
        <f>A4+1</f>
        <v>2</v>
      </c>
      <c r="B5" s="433">
        <v>10</v>
      </c>
      <c r="C5" s="434">
        <v>2</v>
      </c>
      <c r="D5" s="438" t="str">
        <f t="shared" ref="D5:D53" si="1">F5</f>
        <v>B3（2つ折り）</v>
      </c>
      <c r="E5" s="435" t="str">
        <f t="shared" si="0"/>
        <v>1002</v>
      </c>
      <c r="F5" s="438" t="s">
        <v>866</v>
      </c>
      <c r="G5" s="438"/>
      <c r="H5" s="438" t="s">
        <v>1322</v>
      </c>
      <c r="I5" s="438">
        <v>3.9</v>
      </c>
      <c r="J5" s="438">
        <v>3.9</v>
      </c>
      <c r="K5" s="438">
        <v>3.9</v>
      </c>
      <c r="L5" s="438">
        <v>4</v>
      </c>
      <c r="M5" s="438">
        <v>5</v>
      </c>
      <c r="N5" s="438">
        <v>6</v>
      </c>
      <c r="O5" s="438">
        <v>4.5</v>
      </c>
      <c r="P5" s="438">
        <v>4</v>
      </c>
      <c r="Q5" s="525">
        <v>4.2</v>
      </c>
      <c r="R5" s="438"/>
      <c r="S5" s="438" t="s">
        <v>867</v>
      </c>
      <c r="T5" s="438" t="s">
        <v>867</v>
      </c>
      <c r="U5" s="438" t="s">
        <v>867</v>
      </c>
      <c r="V5" s="526" t="s">
        <v>1310</v>
      </c>
    </row>
    <row r="6" spans="1:24">
      <c r="A6" s="432">
        <f t="shared" ref="A6:A54" si="2">A5+1</f>
        <v>3</v>
      </c>
      <c r="B6" s="433">
        <v>10</v>
      </c>
      <c r="C6" s="434">
        <v>3</v>
      </c>
      <c r="D6" s="438" t="str">
        <f t="shared" si="1"/>
        <v>3つ折り</v>
      </c>
      <c r="E6" s="435" t="str">
        <f t="shared" si="0"/>
        <v>1003</v>
      </c>
      <c r="F6" s="438" t="s">
        <v>868</v>
      </c>
      <c r="G6" s="438"/>
      <c r="H6" s="438" t="s">
        <v>1322</v>
      </c>
      <c r="I6" s="438">
        <v>7</v>
      </c>
      <c r="J6" s="438">
        <v>7</v>
      </c>
      <c r="K6" s="438">
        <v>7</v>
      </c>
      <c r="L6" s="438"/>
      <c r="M6" s="438"/>
      <c r="N6" s="438"/>
      <c r="O6" s="438"/>
      <c r="P6" s="438"/>
      <c r="Q6" s="438"/>
      <c r="R6" s="438"/>
      <c r="S6" s="438" t="s">
        <v>869</v>
      </c>
      <c r="T6" s="856" t="s">
        <v>870</v>
      </c>
      <c r="U6" s="856" t="s">
        <v>870</v>
      </c>
      <c r="V6" s="856"/>
    </row>
    <row r="7" spans="1:24">
      <c r="A7" s="432">
        <f t="shared" si="2"/>
        <v>4</v>
      </c>
      <c r="B7" s="433">
        <v>10</v>
      </c>
      <c r="C7" s="434">
        <v>4</v>
      </c>
      <c r="D7" s="438" t="str">
        <f t="shared" si="1"/>
        <v>観音折</v>
      </c>
      <c r="E7" s="435" t="str">
        <f t="shared" si="0"/>
        <v>1004</v>
      </c>
      <c r="F7" s="438" t="s">
        <v>871</v>
      </c>
      <c r="G7" s="438"/>
      <c r="H7" s="438" t="s">
        <v>1322</v>
      </c>
      <c r="I7" s="438">
        <v>7</v>
      </c>
      <c r="J7" s="438">
        <v>7</v>
      </c>
      <c r="K7" s="438">
        <v>7</v>
      </c>
      <c r="L7" s="438"/>
      <c r="M7" s="438"/>
      <c r="N7" s="438"/>
      <c r="O7" s="438"/>
      <c r="P7" s="438"/>
      <c r="Q7" s="438"/>
      <c r="R7" s="438"/>
      <c r="S7" s="438" t="s">
        <v>871</v>
      </c>
      <c r="T7" s="856"/>
      <c r="U7" s="856"/>
      <c r="V7" s="856"/>
      <c r="X7" s="450"/>
    </row>
    <row r="8" spans="1:24">
      <c r="A8" s="432">
        <f t="shared" si="2"/>
        <v>5</v>
      </c>
      <c r="B8" s="433">
        <v>10</v>
      </c>
      <c r="C8" s="434">
        <v>5</v>
      </c>
      <c r="D8" s="438" t="str">
        <f t="shared" si="1"/>
        <v>B2（4つ折り）</v>
      </c>
      <c r="E8" s="435" t="str">
        <f t="shared" si="0"/>
        <v>1005</v>
      </c>
      <c r="F8" s="438" t="s">
        <v>872</v>
      </c>
      <c r="G8" s="438"/>
      <c r="H8" s="438" t="s">
        <v>1322</v>
      </c>
      <c r="I8" s="438">
        <v>7</v>
      </c>
      <c r="J8" s="438">
        <v>7</v>
      </c>
      <c r="K8" s="438">
        <v>7</v>
      </c>
      <c r="L8" s="438">
        <v>6</v>
      </c>
      <c r="M8" s="438">
        <v>8</v>
      </c>
      <c r="N8" s="438">
        <v>10</v>
      </c>
      <c r="O8" s="438">
        <v>7.7</v>
      </c>
      <c r="P8" s="438">
        <v>7</v>
      </c>
      <c r="Q8" s="525">
        <v>7</v>
      </c>
      <c r="R8" s="438"/>
      <c r="S8" s="438" t="s">
        <v>873</v>
      </c>
      <c r="T8" s="438" t="s">
        <v>873</v>
      </c>
      <c r="U8" s="438" t="s">
        <v>873</v>
      </c>
      <c r="V8" s="526" t="s">
        <v>1309</v>
      </c>
    </row>
    <row r="9" spans="1:24">
      <c r="A9" s="432">
        <f t="shared" si="2"/>
        <v>6</v>
      </c>
      <c r="B9" s="433">
        <v>10</v>
      </c>
      <c r="C9" s="434">
        <v>6</v>
      </c>
      <c r="D9" s="438" t="str">
        <f t="shared" si="1"/>
        <v>B1（8折り）</v>
      </c>
      <c r="E9" s="435" t="str">
        <f t="shared" si="0"/>
        <v>1006</v>
      </c>
      <c r="F9" s="438" t="s">
        <v>874</v>
      </c>
      <c r="G9" s="438"/>
      <c r="H9" s="438" t="s">
        <v>1322</v>
      </c>
      <c r="I9" s="438">
        <v>15</v>
      </c>
      <c r="J9" s="438">
        <v>15</v>
      </c>
      <c r="K9" s="438">
        <v>15</v>
      </c>
      <c r="L9" s="438">
        <v>12</v>
      </c>
      <c r="M9" s="438">
        <v>16</v>
      </c>
      <c r="N9" s="438">
        <v>15</v>
      </c>
      <c r="O9" s="438">
        <v>13.6</v>
      </c>
      <c r="P9" s="438">
        <v>20</v>
      </c>
      <c r="Q9" s="438"/>
      <c r="R9" s="438"/>
      <c r="S9" s="438" t="s">
        <v>875</v>
      </c>
      <c r="T9" s="438" t="s">
        <v>875</v>
      </c>
      <c r="U9" s="438" t="s">
        <v>875</v>
      </c>
      <c r="V9" s="438"/>
    </row>
    <row r="10" spans="1:24">
      <c r="A10" s="432">
        <f t="shared" si="2"/>
        <v>7</v>
      </c>
      <c r="B10" s="433">
        <v>10</v>
      </c>
      <c r="C10" s="434">
        <v>7</v>
      </c>
      <c r="D10" s="438" t="str">
        <f t="shared" si="1"/>
        <v>B4厚紙</v>
      </c>
      <c r="E10" s="435" t="str">
        <f t="shared" si="0"/>
        <v>1007</v>
      </c>
      <c r="F10" s="438" t="s">
        <v>876</v>
      </c>
      <c r="G10" s="438"/>
      <c r="H10" s="438" t="s">
        <v>1322</v>
      </c>
      <c r="I10" s="438">
        <v>3.3</v>
      </c>
      <c r="J10" s="438">
        <v>3.3</v>
      </c>
      <c r="K10" s="438">
        <v>3.3</v>
      </c>
      <c r="L10" s="438"/>
      <c r="M10" s="438"/>
      <c r="N10" s="438"/>
      <c r="O10" s="438"/>
      <c r="P10" s="438"/>
      <c r="Q10" s="438"/>
      <c r="R10" s="438"/>
      <c r="S10" s="438" t="s">
        <v>877</v>
      </c>
      <c r="T10" s="438" t="s">
        <v>878</v>
      </c>
      <c r="U10" s="438" t="s">
        <v>879</v>
      </c>
      <c r="V10" s="438"/>
    </row>
    <row r="11" spans="1:24">
      <c r="A11" s="432">
        <f t="shared" si="2"/>
        <v>8</v>
      </c>
      <c r="B11" s="433">
        <v>10</v>
      </c>
      <c r="C11" s="434">
        <v>8</v>
      </c>
      <c r="D11" s="438" t="str">
        <f t="shared" si="1"/>
        <v>B3厚紙</v>
      </c>
      <c r="E11" s="435" t="str">
        <f t="shared" si="0"/>
        <v>1008</v>
      </c>
      <c r="F11" s="438" t="s">
        <v>880</v>
      </c>
      <c r="G11" s="438"/>
      <c r="H11" s="438" t="s">
        <v>1322</v>
      </c>
      <c r="I11" s="438">
        <v>4.4000000000000004</v>
      </c>
      <c r="J11" s="438">
        <v>4.4000000000000004</v>
      </c>
      <c r="K11" s="438">
        <v>4.4000000000000004</v>
      </c>
      <c r="L11" s="438"/>
      <c r="M11" s="438"/>
      <c r="N11" s="438"/>
      <c r="O11" s="438"/>
      <c r="P11" s="438"/>
      <c r="Q11" s="438"/>
      <c r="R11" s="438"/>
      <c r="S11" s="438" t="s">
        <v>881</v>
      </c>
      <c r="T11" s="438" t="s">
        <v>882</v>
      </c>
      <c r="U11" s="438" t="s">
        <v>883</v>
      </c>
      <c r="V11" s="438"/>
    </row>
    <row r="12" spans="1:24">
      <c r="A12" s="432">
        <f t="shared" si="2"/>
        <v>9</v>
      </c>
      <c r="B12" s="433">
        <v>10</v>
      </c>
      <c r="C12" s="434">
        <v>9</v>
      </c>
      <c r="D12" s="438" t="str">
        <f t="shared" si="1"/>
        <v>B2厚紙</v>
      </c>
      <c r="E12" s="435" t="str">
        <f t="shared" si="0"/>
        <v>1009</v>
      </c>
      <c r="F12" s="438" t="s">
        <v>884</v>
      </c>
      <c r="G12" s="438"/>
      <c r="H12" s="438" t="s">
        <v>1322</v>
      </c>
      <c r="I12" s="438">
        <v>7.5</v>
      </c>
      <c r="J12" s="438">
        <v>7.5</v>
      </c>
      <c r="K12" s="438">
        <v>7.5</v>
      </c>
      <c r="L12" s="438"/>
      <c r="M12" s="438"/>
      <c r="N12" s="438"/>
      <c r="O12" s="438"/>
      <c r="P12" s="438"/>
      <c r="Q12" s="438"/>
      <c r="R12" s="438"/>
      <c r="S12" s="438" t="s">
        <v>885</v>
      </c>
      <c r="T12" s="438"/>
      <c r="U12" s="438"/>
      <c r="V12" s="438"/>
    </row>
    <row r="13" spans="1:24">
      <c r="A13" s="432">
        <f t="shared" si="2"/>
        <v>10</v>
      </c>
      <c r="B13" s="433">
        <v>10</v>
      </c>
      <c r="C13" s="434">
        <v>10</v>
      </c>
      <c r="D13" s="438" t="str">
        <f t="shared" si="1"/>
        <v>B4以下変形</v>
      </c>
      <c r="E13" s="435" t="str">
        <f t="shared" si="0"/>
        <v>1010</v>
      </c>
      <c r="F13" s="438" t="s">
        <v>886</v>
      </c>
      <c r="G13" s="438"/>
      <c r="H13" s="438" t="s">
        <v>1322</v>
      </c>
      <c r="I13" s="438">
        <v>4.2</v>
      </c>
      <c r="J13" s="438">
        <v>4.2</v>
      </c>
      <c r="K13" s="438">
        <v>4.2</v>
      </c>
      <c r="L13" s="438"/>
      <c r="M13" s="438"/>
      <c r="N13" s="438"/>
      <c r="O13" s="438"/>
      <c r="P13" s="438"/>
      <c r="Q13" s="438"/>
      <c r="R13" s="438"/>
      <c r="S13" s="438" t="s">
        <v>887</v>
      </c>
      <c r="T13" s="438"/>
      <c r="U13" s="438"/>
      <c r="V13" s="438"/>
    </row>
    <row r="14" spans="1:24">
      <c r="A14" s="432">
        <f t="shared" si="2"/>
        <v>11</v>
      </c>
      <c r="B14" s="433">
        <v>10</v>
      </c>
      <c r="C14" s="434">
        <v>11</v>
      </c>
      <c r="D14" s="438" t="str">
        <f t="shared" si="1"/>
        <v>B4シール付き</v>
      </c>
      <c r="E14" s="435" t="str">
        <f t="shared" si="0"/>
        <v>1011</v>
      </c>
      <c r="F14" s="438" t="s">
        <v>888</v>
      </c>
      <c r="G14" s="438"/>
      <c r="H14" s="438" t="s">
        <v>1322</v>
      </c>
      <c r="I14" s="438">
        <v>3.8</v>
      </c>
      <c r="J14" s="438">
        <v>3.8</v>
      </c>
      <c r="K14" s="438">
        <v>3.8</v>
      </c>
      <c r="L14" s="438"/>
      <c r="M14" s="438"/>
      <c r="N14" s="438"/>
      <c r="O14" s="438"/>
      <c r="P14" s="438"/>
      <c r="Q14" s="438"/>
      <c r="R14" s="438"/>
      <c r="S14" s="438" t="s">
        <v>889</v>
      </c>
      <c r="T14" s="438" t="s">
        <v>889</v>
      </c>
      <c r="U14" s="438" t="s">
        <v>889</v>
      </c>
      <c r="V14" s="438"/>
    </row>
    <row r="15" spans="1:24">
      <c r="A15" s="432">
        <f t="shared" si="2"/>
        <v>12</v>
      </c>
      <c r="B15" s="433">
        <v>10</v>
      </c>
      <c r="C15" s="434">
        <v>12</v>
      </c>
      <c r="D15" s="438" t="str">
        <f t="shared" si="1"/>
        <v>B3シール付き</v>
      </c>
      <c r="E15" s="435" t="str">
        <f t="shared" si="0"/>
        <v>1012</v>
      </c>
      <c r="F15" s="438" t="s">
        <v>890</v>
      </c>
      <c r="G15" s="438"/>
      <c r="H15" s="438" t="s">
        <v>1322</v>
      </c>
      <c r="I15" s="438">
        <v>4.9000000000000004</v>
      </c>
      <c r="J15" s="438">
        <v>4.9000000000000004</v>
      </c>
      <c r="K15" s="438">
        <v>4.9000000000000004</v>
      </c>
      <c r="L15" s="438"/>
      <c r="M15" s="438"/>
      <c r="N15" s="438"/>
      <c r="O15" s="438"/>
      <c r="P15" s="438"/>
      <c r="Q15" s="438"/>
      <c r="R15" s="438"/>
      <c r="S15" s="438"/>
      <c r="T15" s="438"/>
      <c r="U15" s="438" t="s">
        <v>891</v>
      </c>
      <c r="V15" s="438"/>
    </row>
    <row r="16" spans="1:24">
      <c r="A16" s="432">
        <f t="shared" si="2"/>
        <v>13</v>
      </c>
      <c r="B16" s="433">
        <v>10</v>
      </c>
      <c r="C16" s="434">
        <v>13</v>
      </c>
      <c r="D16" s="438" t="str">
        <f t="shared" si="1"/>
        <v>B4スクラッチ付き</v>
      </c>
      <c r="E16" s="435" t="str">
        <f t="shared" si="0"/>
        <v>1013</v>
      </c>
      <c r="F16" s="438" t="s">
        <v>892</v>
      </c>
      <c r="G16" s="438"/>
      <c r="H16" s="438" t="s">
        <v>1322</v>
      </c>
      <c r="I16" s="438">
        <v>3.8</v>
      </c>
      <c r="J16" s="438">
        <v>3.8</v>
      </c>
      <c r="K16" s="438">
        <v>3.8</v>
      </c>
      <c r="L16" s="438"/>
      <c r="M16" s="438"/>
      <c r="N16" s="438"/>
      <c r="O16" s="438"/>
      <c r="P16" s="438"/>
      <c r="Q16" s="438"/>
      <c r="R16" s="438"/>
      <c r="S16" s="438" t="s">
        <v>893</v>
      </c>
      <c r="T16" s="438"/>
      <c r="U16" s="438" t="s">
        <v>893</v>
      </c>
      <c r="V16" s="438"/>
    </row>
    <row r="17" spans="1:22">
      <c r="A17" s="432">
        <f t="shared" si="2"/>
        <v>14</v>
      </c>
      <c r="B17" s="433">
        <v>10</v>
      </c>
      <c r="C17" s="434">
        <v>14</v>
      </c>
      <c r="D17" s="438" t="str">
        <f t="shared" si="1"/>
        <v>B5（折り無し）</v>
      </c>
      <c r="E17" s="435" t="str">
        <f t="shared" si="0"/>
        <v>1014</v>
      </c>
      <c r="F17" s="524" t="s">
        <v>1331</v>
      </c>
      <c r="G17" s="524"/>
      <c r="H17" s="438" t="s">
        <v>1322</v>
      </c>
      <c r="I17" s="438"/>
      <c r="J17" s="438"/>
      <c r="K17" s="438"/>
      <c r="L17" s="438"/>
      <c r="M17" s="438"/>
      <c r="N17" s="438"/>
      <c r="O17" s="438"/>
      <c r="P17" s="438"/>
      <c r="Q17" s="525">
        <v>2.5</v>
      </c>
      <c r="R17" s="438"/>
      <c r="S17" s="438"/>
      <c r="T17" s="438"/>
      <c r="U17" s="438"/>
      <c r="V17" s="526" t="s">
        <v>1306</v>
      </c>
    </row>
    <row r="18" spans="1:22">
      <c r="A18" s="432">
        <f t="shared" si="2"/>
        <v>15</v>
      </c>
      <c r="B18" s="433">
        <v>10</v>
      </c>
      <c r="C18" s="434">
        <v>15</v>
      </c>
      <c r="D18" s="438" t="str">
        <f t="shared" si="1"/>
        <v>B2＋B3（8つ折り）</v>
      </c>
      <c r="E18" s="435" t="str">
        <f t="shared" si="0"/>
        <v>1015</v>
      </c>
      <c r="F18" s="524" t="s">
        <v>1347</v>
      </c>
      <c r="G18" s="524"/>
      <c r="H18" s="438" t="s">
        <v>1322</v>
      </c>
      <c r="I18" s="438"/>
      <c r="J18" s="438"/>
      <c r="K18" s="438"/>
      <c r="L18" s="438"/>
      <c r="M18" s="438"/>
      <c r="N18" s="438"/>
      <c r="O18" s="438"/>
      <c r="P18" s="438"/>
      <c r="Q18" s="525">
        <v>11.2</v>
      </c>
      <c r="R18" s="438"/>
      <c r="S18" s="438"/>
      <c r="T18" s="438"/>
      <c r="U18" s="438"/>
      <c r="V18" s="526" t="s">
        <v>1307</v>
      </c>
    </row>
    <row r="19" spans="1:22">
      <c r="A19" s="432">
        <f t="shared" si="2"/>
        <v>16</v>
      </c>
      <c r="B19" s="433">
        <v>20</v>
      </c>
      <c r="C19" s="434">
        <v>1</v>
      </c>
      <c r="D19" s="438" t="str">
        <f t="shared" si="1"/>
        <v>連合B4</v>
      </c>
      <c r="E19" s="435" t="str">
        <f t="shared" si="0"/>
        <v>2001</v>
      </c>
      <c r="F19" s="438" t="s">
        <v>894</v>
      </c>
      <c r="G19" s="438"/>
      <c r="H19" s="438" t="s">
        <v>1624</v>
      </c>
      <c r="I19" s="438">
        <v>4.2</v>
      </c>
      <c r="J19" s="438">
        <v>4.2</v>
      </c>
      <c r="K19" s="438">
        <v>4.2</v>
      </c>
      <c r="L19" s="438">
        <v>4.5</v>
      </c>
      <c r="M19" s="438">
        <v>4.5</v>
      </c>
      <c r="N19" s="438">
        <v>4.5</v>
      </c>
      <c r="O19" s="438"/>
      <c r="P19" s="438"/>
      <c r="Q19" s="438"/>
      <c r="R19" s="438"/>
      <c r="S19" s="438" t="s">
        <v>895</v>
      </c>
      <c r="T19" s="438" t="s">
        <v>896</v>
      </c>
      <c r="U19" s="438" t="s">
        <v>896</v>
      </c>
      <c r="V19" s="438"/>
    </row>
    <row r="20" spans="1:22">
      <c r="A20" s="432">
        <f t="shared" si="2"/>
        <v>17</v>
      </c>
      <c r="B20" s="433">
        <v>20</v>
      </c>
      <c r="C20" s="434">
        <v>2</v>
      </c>
      <c r="D20" s="438" t="str">
        <f t="shared" si="1"/>
        <v>連合B3</v>
      </c>
      <c r="E20" s="435" t="str">
        <f t="shared" si="0"/>
        <v>2002</v>
      </c>
      <c r="F20" s="438" t="s">
        <v>897</v>
      </c>
      <c r="G20" s="438"/>
      <c r="H20" s="438" t="s">
        <v>1624</v>
      </c>
      <c r="I20" s="438">
        <v>5.85</v>
      </c>
      <c r="J20" s="438">
        <v>5.85</v>
      </c>
      <c r="K20" s="438">
        <v>5.85</v>
      </c>
      <c r="L20" s="438">
        <v>6</v>
      </c>
      <c r="M20" s="438">
        <v>7.5</v>
      </c>
      <c r="N20" s="438">
        <v>9</v>
      </c>
      <c r="O20" s="438"/>
      <c r="P20" s="438"/>
      <c r="Q20" s="438"/>
      <c r="R20" s="438"/>
      <c r="S20" s="438" t="s">
        <v>898</v>
      </c>
      <c r="T20" s="438" t="s">
        <v>899</v>
      </c>
      <c r="U20" s="438" t="s">
        <v>899</v>
      </c>
      <c r="V20" s="438"/>
    </row>
    <row r="21" spans="1:22">
      <c r="A21" s="432">
        <f t="shared" si="2"/>
        <v>18</v>
      </c>
      <c r="B21" s="433">
        <v>20</v>
      </c>
      <c r="C21" s="434">
        <v>3</v>
      </c>
      <c r="D21" s="438" t="str">
        <f t="shared" si="1"/>
        <v>連合B2</v>
      </c>
      <c r="E21" s="435" t="str">
        <f t="shared" si="0"/>
        <v>2003</v>
      </c>
      <c r="F21" s="438" t="s">
        <v>900</v>
      </c>
      <c r="G21" s="438"/>
      <c r="H21" s="438" t="s">
        <v>1624</v>
      </c>
      <c r="I21" s="438">
        <v>10.5</v>
      </c>
      <c r="J21" s="438">
        <v>10.5</v>
      </c>
      <c r="K21" s="438">
        <v>10.5</v>
      </c>
      <c r="L21" s="438">
        <v>9</v>
      </c>
      <c r="M21" s="438">
        <v>12</v>
      </c>
      <c r="N21" s="438">
        <v>15</v>
      </c>
      <c r="O21" s="438"/>
      <c r="P21" s="438"/>
      <c r="Q21" s="438"/>
      <c r="R21" s="438"/>
      <c r="S21" s="438" t="s">
        <v>901</v>
      </c>
      <c r="T21" s="438" t="s">
        <v>902</v>
      </c>
      <c r="U21" s="438" t="s">
        <v>902</v>
      </c>
      <c r="V21" s="438"/>
    </row>
    <row r="22" spans="1:22">
      <c r="A22" s="432">
        <f t="shared" si="2"/>
        <v>19</v>
      </c>
      <c r="B22" s="433">
        <v>20</v>
      </c>
      <c r="C22" s="434">
        <v>4</v>
      </c>
      <c r="D22" s="438" t="str">
        <f t="shared" si="1"/>
        <v>連合3つ折り</v>
      </c>
      <c r="E22" s="435" t="str">
        <f t="shared" si="0"/>
        <v>2004</v>
      </c>
      <c r="F22" s="438" t="s">
        <v>903</v>
      </c>
      <c r="G22" s="438"/>
      <c r="H22" s="438" t="s">
        <v>1624</v>
      </c>
      <c r="I22" s="438">
        <v>10.5</v>
      </c>
      <c r="J22" s="438">
        <v>10.5</v>
      </c>
      <c r="K22" s="438">
        <v>10.5</v>
      </c>
      <c r="L22" s="438"/>
      <c r="M22" s="438"/>
      <c r="N22" s="438"/>
      <c r="O22" s="438"/>
      <c r="P22" s="438"/>
      <c r="Q22" s="438"/>
      <c r="R22" s="438"/>
      <c r="S22" s="438" t="s">
        <v>904</v>
      </c>
      <c r="T22" s="438"/>
      <c r="U22" s="438"/>
      <c r="V22" s="438"/>
    </row>
    <row r="23" spans="1:22">
      <c r="A23" s="432">
        <f t="shared" si="2"/>
        <v>20</v>
      </c>
      <c r="B23" s="433">
        <v>20</v>
      </c>
      <c r="C23" s="434">
        <v>5</v>
      </c>
      <c r="D23" s="438" t="str">
        <f t="shared" si="1"/>
        <v>連合B4厚紙</v>
      </c>
      <c r="E23" s="435" t="str">
        <f t="shared" si="0"/>
        <v>2005</v>
      </c>
      <c r="F23" s="438" t="s">
        <v>905</v>
      </c>
      <c r="G23" s="438"/>
      <c r="H23" s="438" t="s">
        <v>1624</v>
      </c>
      <c r="I23" s="438">
        <v>4.7</v>
      </c>
      <c r="J23" s="438">
        <v>4.7</v>
      </c>
      <c r="K23" s="438">
        <v>4.7</v>
      </c>
      <c r="L23" s="438"/>
      <c r="M23" s="438"/>
      <c r="N23" s="438"/>
      <c r="O23" s="438"/>
      <c r="P23" s="438"/>
      <c r="Q23" s="438"/>
      <c r="R23" s="438"/>
      <c r="S23" s="438" t="s">
        <v>906</v>
      </c>
      <c r="T23" s="438"/>
      <c r="U23" s="438"/>
      <c r="V23" s="438"/>
    </row>
    <row r="24" spans="1:22">
      <c r="A24" s="432">
        <f t="shared" si="2"/>
        <v>21</v>
      </c>
      <c r="B24" s="433">
        <v>20</v>
      </c>
      <c r="C24" s="434">
        <v>6</v>
      </c>
      <c r="D24" s="438" t="str">
        <f t="shared" si="1"/>
        <v>連合2つ折り極小</v>
      </c>
      <c r="E24" s="435" t="str">
        <f t="shared" si="0"/>
        <v>2006</v>
      </c>
      <c r="F24" s="438" t="s">
        <v>907</v>
      </c>
      <c r="G24" s="438"/>
      <c r="H24" s="438" t="s">
        <v>1624</v>
      </c>
      <c r="I24" s="438">
        <v>7.35</v>
      </c>
      <c r="J24" s="438">
        <v>7.35</v>
      </c>
      <c r="K24" s="438">
        <v>7.35</v>
      </c>
      <c r="L24" s="438"/>
      <c r="M24" s="438"/>
      <c r="N24" s="438"/>
      <c r="O24" s="438"/>
      <c r="P24" s="438"/>
      <c r="Q24" s="438"/>
      <c r="R24" s="438"/>
      <c r="S24" s="445"/>
      <c r="T24" s="438"/>
      <c r="U24" s="438"/>
      <c r="V24" s="438"/>
    </row>
    <row r="25" spans="1:22">
      <c r="A25" s="432">
        <f t="shared" si="2"/>
        <v>22</v>
      </c>
      <c r="B25" s="433">
        <v>20</v>
      </c>
      <c r="C25" s="434">
        <v>7</v>
      </c>
      <c r="D25" s="438" t="str">
        <f t="shared" si="1"/>
        <v>連合タブ6P</v>
      </c>
      <c r="E25" s="435" t="str">
        <f t="shared" si="0"/>
        <v>2007</v>
      </c>
      <c r="F25" s="542" t="s">
        <v>1332</v>
      </c>
      <c r="G25" s="438"/>
      <c r="H25" s="438" t="s">
        <v>1322</v>
      </c>
      <c r="I25" s="438">
        <v>10.050000000000001</v>
      </c>
      <c r="J25" s="438">
        <v>10.050000000000001</v>
      </c>
      <c r="K25" s="438">
        <v>10.050000000000001</v>
      </c>
      <c r="L25" s="438"/>
      <c r="M25" s="438"/>
      <c r="N25" s="438"/>
      <c r="O25" s="438"/>
      <c r="P25" s="438"/>
      <c r="Q25" s="438"/>
      <c r="R25" s="438"/>
      <c r="S25" s="438" t="s">
        <v>908</v>
      </c>
      <c r="T25" s="438"/>
      <c r="U25" s="438"/>
      <c r="V25" s="438"/>
    </row>
    <row r="26" spans="1:22">
      <c r="A26" s="432">
        <f t="shared" si="2"/>
        <v>23</v>
      </c>
      <c r="B26" s="433">
        <v>20</v>
      </c>
      <c r="C26" s="434">
        <v>8</v>
      </c>
      <c r="D26" s="438" t="str">
        <f t="shared" si="1"/>
        <v>連合タブ8P</v>
      </c>
      <c r="E26" s="435" t="str">
        <f t="shared" si="0"/>
        <v>2008</v>
      </c>
      <c r="F26" s="542" t="s">
        <v>1333</v>
      </c>
      <c r="G26" s="438"/>
      <c r="H26" s="438" t="s">
        <v>1322</v>
      </c>
      <c r="I26" s="438">
        <v>10.5</v>
      </c>
      <c r="J26" s="438">
        <v>10.5</v>
      </c>
      <c r="K26" s="438">
        <v>10.5</v>
      </c>
      <c r="L26" s="438"/>
      <c r="M26" s="438"/>
      <c r="N26" s="438"/>
      <c r="O26" s="438"/>
      <c r="P26" s="438"/>
      <c r="Q26" s="438"/>
      <c r="R26" s="438"/>
      <c r="S26" s="438"/>
      <c r="T26" s="438"/>
      <c r="U26" s="438"/>
      <c r="V26" s="438"/>
    </row>
    <row r="27" spans="1:22">
      <c r="A27" s="432">
        <f t="shared" si="2"/>
        <v>24</v>
      </c>
      <c r="B27" s="433">
        <v>20</v>
      </c>
      <c r="C27" s="434">
        <v>9</v>
      </c>
      <c r="D27" s="438" t="str">
        <f t="shared" si="1"/>
        <v>連合タブ12P</v>
      </c>
      <c r="E27" s="435" t="str">
        <f t="shared" si="0"/>
        <v>2009</v>
      </c>
      <c r="F27" s="542" t="s">
        <v>1334</v>
      </c>
      <c r="G27" s="438"/>
      <c r="H27" s="438" t="s">
        <v>1322</v>
      </c>
      <c r="I27" s="438">
        <v>16.350000000000001</v>
      </c>
      <c r="J27" s="438">
        <v>16.350000000000001</v>
      </c>
      <c r="K27" s="438">
        <v>16.350000000000001</v>
      </c>
      <c r="L27" s="438"/>
      <c r="M27" s="438"/>
      <c r="N27" s="438"/>
      <c r="O27" s="438"/>
      <c r="P27" s="438"/>
      <c r="Q27" s="438"/>
      <c r="R27" s="438"/>
      <c r="S27" s="438" t="s">
        <v>909</v>
      </c>
      <c r="T27" s="438"/>
      <c r="U27" s="438"/>
      <c r="V27" s="438"/>
    </row>
    <row r="28" spans="1:22">
      <c r="A28" s="432">
        <f t="shared" si="2"/>
        <v>25</v>
      </c>
      <c r="B28" s="433">
        <v>30</v>
      </c>
      <c r="C28" s="434">
        <v>1</v>
      </c>
      <c r="D28" s="438" t="str">
        <f t="shared" si="1"/>
        <v>政治B4</v>
      </c>
      <c r="E28" s="435" t="str">
        <f t="shared" si="0"/>
        <v>3001</v>
      </c>
      <c r="F28" s="438" t="s">
        <v>910</v>
      </c>
      <c r="G28" s="438"/>
      <c r="H28" s="438" t="s">
        <v>1624</v>
      </c>
      <c r="I28" s="438">
        <v>4.2</v>
      </c>
      <c r="J28" s="438">
        <v>4.2</v>
      </c>
      <c r="K28" s="438">
        <v>4.2</v>
      </c>
      <c r="L28" s="438">
        <v>4.5</v>
      </c>
      <c r="M28" s="438">
        <v>4.5</v>
      </c>
      <c r="N28" s="438">
        <v>4.5</v>
      </c>
      <c r="O28" s="438"/>
      <c r="P28" s="438"/>
      <c r="Q28" s="438"/>
      <c r="R28" s="438"/>
      <c r="S28" s="438"/>
      <c r="T28" s="438" t="s">
        <v>911</v>
      </c>
      <c r="U28" s="438" t="s">
        <v>911</v>
      </c>
      <c r="V28" s="438"/>
    </row>
    <row r="29" spans="1:22">
      <c r="A29" s="432">
        <f t="shared" si="2"/>
        <v>26</v>
      </c>
      <c r="B29" s="433">
        <v>30</v>
      </c>
      <c r="C29" s="434">
        <v>2</v>
      </c>
      <c r="D29" s="438" t="str">
        <f t="shared" si="1"/>
        <v>政治B3</v>
      </c>
      <c r="E29" s="435" t="str">
        <f t="shared" si="0"/>
        <v>3002</v>
      </c>
      <c r="F29" s="438" t="s">
        <v>912</v>
      </c>
      <c r="G29" s="438"/>
      <c r="H29" s="438" t="s">
        <v>1624</v>
      </c>
      <c r="I29" s="438">
        <v>5.85</v>
      </c>
      <c r="J29" s="438">
        <v>5.85</v>
      </c>
      <c r="K29" s="438">
        <v>5.85</v>
      </c>
      <c r="L29" s="438">
        <v>6</v>
      </c>
      <c r="M29" s="438">
        <v>7.5</v>
      </c>
      <c r="N29" s="438">
        <v>9</v>
      </c>
      <c r="O29" s="438"/>
      <c r="P29" s="438"/>
      <c r="Q29" s="438"/>
      <c r="R29" s="438"/>
      <c r="S29" s="438"/>
      <c r="T29" s="438" t="s">
        <v>913</v>
      </c>
      <c r="U29" s="438" t="s">
        <v>913</v>
      </c>
      <c r="V29" s="438"/>
    </row>
    <row r="30" spans="1:22">
      <c r="A30" s="432">
        <f t="shared" si="2"/>
        <v>27</v>
      </c>
      <c r="B30" s="433">
        <v>30</v>
      </c>
      <c r="C30" s="434">
        <v>3</v>
      </c>
      <c r="D30" s="438" t="str">
        <f t="shared" si="1"/>
        <v>政治B2</v>
      </c>
      <c r="E30" s="435" t="str">
        <f t="shared" si="0"/>
        <v>3003</v>
      </c>
      <c r="F30" s="438" t="s">
        <v>914</v>
      </c>
      <c r="G30" s="438"/>
      <c r="H30" s="438" t="s">
        <v>1624</v>
      </c>
      <c r="I30" s="438">
        <v>10.5</v>
      </c>
      <c r="J30" s="438">
        <v>10.5</v>
      </c>
      <c r="K30" s="438">
        <v>10.5</v>
      </c>
      <c r="L30" s="438">
        <v>9</v>
      </c>
      <c r="M30" s="438">
        <v>12</v>
      </c>
      <c r="N30" s="438">
        <v>15</v>
      </c>
      <c r="O30" s="438"/>
      <c r="P30" s="438"/>
      <c r="Q30" s="438"/>
      <c r="R30" s="438"/>
      <c r="S30" s="438"/>
      <c r="T30" s="438"/>
      <c r="U30" s="438"/>
      <c r="V30" s="438"/>
    </row>
    <row r="31" spans="1:22">
      <c r="A31" s="432">
        <f t="shared" si="2"/>
        <v>28</v>
      </c>
      <c r="B31" s="433">
        <v>30</v>
      </c>
      <c r="C31" s="434">
        <v>4</v>
      </c>
      <c r="D31" s="438" t="str">
        <f t="shared" si="1"/>
        <v>政治3つ折り</v>
      </c>
      <c r="E31" s="435" t="str">
        <f t="shared" si="0"/>
        <v>3004</v>
      </c>
      <c r="F31" s="438" t="s">
        <v>915</v>
      </c>
      <c r="G31" s="438"/>
      <c r="H31" s="438" t="s">
        <v>1624</v>
      </c>
      <c r="I31" s="438">
        <v>10.5</v>
      </c>
      <c r="J31" s="438">
        <v>10.5</v>
      </c>
      <c r="K31" s="438">
        <v>10.5</v>
      </c>
      <c r="L31" s="438"/>
      <c r="M31" s="438"/>
      <c r="N31" s="438"/>
      <c r="O31" s="438"/>
      <c r="P31" s="438"/>
      <c r="Q31" s="438"/>
      <c r="R31" s="438"/>
      <c r="S31" s="438"/>
      <c r="T31" s="438"/>
      <c r="U31" s="438"/>
      <c r="V31" s="438"/>
    </row>
    <row r="32" spans="1:22">
      <c r="A32" s="432">
        <f t="shared" si="2"/>
        <v>29</v>
      </c>
      <c r="B32" s="433">
        <v>30</v>
      </c>
      <c r="C32" s="434">
        <v>5</v>
      </c>
      <c r="D32" s="438" t="str">
        <f t="shared" si="1"/>
        <v>政治2つ折り極小</v>
      </c>
      <c r="E32" s="435" t="str">
        <f t="shared" si="0"/>
        <v>3005</v>
      </c>
      <c r="F32" s="438" t="s">
        <v>916</v>
      </c>
      <c r="G32" s="438"/>
      <c r="H32" s="438" t="s">
        <v>1624</v>
      </c>
      <c r="I32" s="438">
        <v>7.35</v>
      </c>
      <c r="J32" s="438">
        <v>7.35</v>
      </c>
      <c r="K32" s="438">
        <v>7.35</v>
      </c>
      <c r="L32" s="438"/>
      <c r="M32" s="438"/>
      <c r="N32" s="438"/>
      <c r="O32" s="438"/>
      <c r="P32" s="438"/>
      <c r="Q32" s="438"/>
      <c r="R32" s="438"/>
      <c r="S32" s="445" t="s">
        <v>917</v>
      </c>
      <c r="T32" s="438"/>
      <c r="U32" s="438"/>
      <c r="V32" s="438"/>
    </row>
    <row r="33" spans="1:22">
      <c r="A33" s="432">
        <f t="shared" si="2"/>
        <v>30</v>
      </c>
      <c r="B33" s="433">
        <v>30</v>
      </c>
      <c r="C33" s="434">
        <v>6</v>
      </c>
      <c r="D33" s="438" t="str">
        <f t="shared" si="1"/>
        <v>政治B4厚紙</v>
      </c>
      <c r="E33" s="435" t="str">
        <f t="shared" si="0"/>
        <v>3006</v>
      </c>
      <c r="F33" s="438" t="s">
        <v>918</v>
      </c>
      <c r="G33" s="438"/>
      <c r="H33" s="438" t="s">
        <v>1624</v>
      </c>
      <c r="I33" s="438">
        <v>4.7</v>
      </c>
      <c r="J33" s="438">
        <v>4.7</v>
      </c>
      <c r="K33" s="438">
        <v>4.7</v>
      </c>
      <c r="L33" s="438"/>
      <c r="M33" s="438"/>
      <c r="N33" s="438"/>
      <c r="O33" s="438"/>
      <c r="P33" s="438"/>
      <c r="Q33" s="438"/>
      <c r="R33" s="438"/>
      <c r="S33" s="438"/>
      <c r="T33" s="438"/>
      <c r="U33" s="438"/>
      <c r="V33" s="438"/>
    </row>
    <row r="34" spans="1:22">
      <c r="A34" s="432">
        <f t="shared" si="2"/>
        <v>31</v>
      </c>
      <c r="B34" s="433">
        <v>30</v>
      </c>
      <c r="C34" s="434">
        <v>7</v>
      </c>
      <c r="D34" s="438" t="str">
        <f t="shared" si="1"/>
        <v>政治タブ6P</v>
      </c>
      <c r="E34" s="435" t="str">
        <f t="shared" si="0"/>
        <v>3007</v>
      </c>
      <c r="F34" s="542" t="s">
        <v>1335</v>
      </c>
      <c r="G34" s="438"/>
      <c r="H34" s="438" t="s">
        <v>1624</v>
      </c>
      <c r="I34" s="438">
        <v>10.050000000000001</v>
      </c>
      <c r="J34" s="438">
        <v>10.050000000000001</v>
      </c>
      <c r="K34" s="438">
        <v>10.050000000000001</v>
      </c>
      <c r="L34" s="438"/>
      <c r="M34" s="438"/>
      <c r="N34" s="438"/>
      <c r="O34" s="438"/>
      <c r="P34" s="438"/>
      <c r="Q34" s="438"/>
      <c r="R34" s="438"/>
      <c r="S34" s="438"/>
      <c r="T34" s="438"/>
      <c r="U34" s="438"/>
      <c r="V34" s="438"/>
    </row>
    <row r="35" spans="1:22">
      <c r="A35" s="432">
        <f t="shared" si="2"/>
        <v>32</v>
      </c>
      <c r="B35" s="433">
        <v>30</v>
      </c>
      <c r="C35" s="434">
        <v>8</v>
      </c>
      <c r="D35" s="438" t="str">
        <f t="shared" si="1"/>
        <v>政治タブ8P</v>
      </c>
      <c r="E35" s="435" t="str">
        <f t="shared" si="0"/>
        <v>3008</v>
      </c>
      <c r="F35" s="542" t="s">
        <v>1336</v>
      </c>
      <c r="G35" s="438"/>
      <c r="H35" s="438" t="s">
        <v>1624</v>
      </c>
      <c r="I35" s="438">
        <v>10.5</v>
      </c>
      <c r="J35" s="438">
        <v>10.5</v>
      </c>
      <c r="K35" s="438">
        <v>10.5</v>
      </c>
      <c r="L35" s="438"/>
      <c r="M35" s="438"/>
      <c r="N35" s="438"/>
      <c r="O35" s="438"/>
      <c r="P35" s="438"/>
      <c r="Q35" s="438"/>
      <c r="R35" s="438"/>
      <c r="S35" s="438"/>
      <c r="T35" s="438"/>
      <c r="U35" s="438"/>
      <c r="V35" s="438"/>
    </row>
    <row r="36" spans="1:22">
      <c r="A36" s="432">
        <f t="shared" si="2"/>
        <v>33</v>
      </c>
      <c r="B36" s="433">
        <v>30</v>
      </c>
      <c r="C36" s="434">
        <v>9</v>
      </c>
      <c r="D36" s="438" t="str">
        <f t="shared" si="1"/>
        <v>政治タブ12P</v>
      </c>
      <c r="E36" s="435" t="str">
        <f t="shared" si="0"/>
        <v>3009</v>
      </c>
      <c r="F36" s="542" t="s">
        <v>1337</v>
      </c>
      <c r="G36" s="438"/>
      <c r="H36" s="438" t="s">
        <v>1624</v>
      </c>
      <c r="I36" s="438">
        <v>16.350000000000001</v>
      </c>
      <c r="J36" s="438">
        <v>16.350000000000001</v>
      </c>
      <c r="K36" s="438">
        <v>16.350000000000001</v>
      </c>
      <c r="L36" s="438"/>
      <c r="M36" s="438"/>
      <c r="N36" s="438"/>
      <c r="O36" s="438"/>
      <c r="P36" s="438"/>
      <c r="Q36" s="438"/>
      <c r="R36" s="438"/>
      <c r="S36" s="438"/>
      <c r="T36" s="438"/>
      <c r="U36" s="438"/>
      <c r="V36" s="438"/>
    </row>
    <row r="37" spans="1:22">
      <c r="A37" s="432">
        <f t="shared" si="2"/>
        <v>34</v>
      </c>
      <c r="B37" s="433">
        <v>40</v>
      </c>
      <c r="C37" s="434">
        <v>1</v>
      </c>
      <c r="D37" s="438" t="str">
        <f t="shared" si="1"/>
        <v>タブ6P</v>
      </c>
      <c r="E37" s="435" t="str">
        <f t="shared" si="0"/>
        <v>4001</v>
      </c>
      <c r="F37" s="542" t="s">
        <v>1338</v>
      </c>
      <c r="G37" s="438"/>
      <c r="H37" s="438" t="s">
        <v>1322</v>
      </c>
      <c r="I37" s="438">
        <v>6.7</v>
      </c>
      <c r="J37" s="438">
        <v>6.7</v>
      </c>
      <c r="K37" s="438">
        <v>6.7</v>
      </c>
      <c r="L37" s="438"/>
      <c r="M37" s="438"/>
      <c r="N37" s="438"/>
      <c r="O37" s="438"/>
      <c r="P37" s="438"/>
      <c r="Q37" s="438"/>
      <c r="R37" s="438"/>
      <c r="S37" s="438" t="s">
        <v>919</v>
      </c>
      <c r="T37" s="438" t="s">
        <v>920</v>
      </c>
      <c r="U37" s="438" t="s">
        <v>921</v>
      </c>
      <c r="V37" s="438"/>
    </row>
    <row r="38" spans="1:22">
      <c r="A38" s="432">
        <f t="shared" si="2"/>
        <v>35</v>
      </c>
      <c r="B38" s="433">
        <v>40</v>
      </c>
      <c r="C38" s="434">
        <v>2</v>
      </c>
      <c r="D38" s="438" t="str">
        <f t="shared" si="1"/>
        <v>タブ8P</v>
      </c>
      <c r="E38" s="435" t="str">
        <f t="shared" ref="E38:E54" si="3">CONCATENATE(TEXT(B38,"00"),TEXT(C38,"00"))</f>
        <v>4002</v>
      </c>
      <c r="F38" s="542" t="s">
        <v>1339</v>
      </c>
      <c r="G38" s="438"/>
      <c r="H38" s="438" t="s">
        <v>1322</v>
      </c>
      <c r="I38" s="438">
        <v>7</v>
      </c>
      <c r="J38" s="438">
        <v>7</v>
      </c>
      <c r="K38" s="438">
        <v>7</v>
      </c>
      <c r="L38" s="438"/>
      <c r="M38" s="438"/>
      <c r="N38" s="438"/>
      <c r="O38" s="438"/>
      <c r="P38" s="438"/>
      <c r="Q38" s="438"/>
      <c r="R38" s="438"/>
      <c r="S38" s="438" t="s">
        <v>922</v>
      </c>
      <c r="T38" s="438" t="s">
        <v>923</v>
      </c>
      <c r="U38" s="438" t="s">
        <v>924</v>
      </c>
      <c r="V38" s="438"/>
    </row>
    <row r="39" spans="1:22">
      <c r="A39" s="432">
        <f t="shared" si="2"/>
        <v>36</v>
      </c>
      <c r="B39" s="433">
        <v>40</v>
      </c>
      <c r="C39" s="434">
        <v>3</v>
      </c>
      <c r="D39" s="438" t="str">
        <f t="shared" si="1"/>
        <v>タブ8Pホチキス止め</v>
      </c>
      <c r="E39" s="435" t="str">
        <f t="shared" si="3"/>
        <v>4003</v>
      </c>
      <c r="F39" s="542" t="s">
        <v>1348</v>
      </c>
      <c r="G39" s="438"/>
      <c r="H39" s="438" t="s">
        <v>1322</v>
      </c>
      <c r="I39" s="438">
        <v>8</v>
      </c>
      <c r="J39" s="438">
        <v>8</v>
      </c>
      <c r="K39" s="438">
        <v>8</v>
      </c>
      <c r="L39" s="438"/>
      <c r="M39" s="438"/>
      <c r="N39" s="438"/>
      <c r="O39" s="438"/>
      <c r="P39" s="438"/>
      <c r="Q39" s="438"/>
      <c r="R39" s="438"/>
      <c r="S39" s="445" t="s">
        <v>925</v>
      </c>
      <c r="T39" s="438"/>
      <c r="U39" s="438"/>
      <c r="V39" s="438"/>
    </row>
    <row r="40" spans="1:22">
      <c r="A40" s="432">
        <f t="shared" si="2"/>
        <v>37</v>
      </c>
      <c r="B40" s="433">
        <v>40</v>
      </c>
      <c r="C40" s="434">
        <v>4</v>
      </c>
      <c r="D40" s="438" t="str">
        <f t="shared" si="1"/>
        <v>タブ10P</v>
      </c>
      <c r="E40" s="435" t="str">
        <f t="shared" si="3"/>
        <v>4004</v>
      </c>
      <c r="F40" s="542" t="s">
        <v>1340</v>
      </c>
      <c r="G40" s="438"/>
      <c r="H40" s="438" t="s">
        <v>1322</v>
      </c>
      <c r="I40" s="438">
        <v>9.8000000000000007</v>
      </c>
      <c r="J40" s="438">
        <v>9.8000000000000007</v>
      </c>
      <c r="K40" s="438">
        <v>9.8000000000000007</v>
      </c>
      <c r="L40" s="438"/>
      <c r="M40" s="438"/>
      <c r="N40" s="438"/>
      <c r="O40" s="438"/>
      <c r="P40" s="438"/>
      <c r="Q40" s="438"/>
      <c r="R40" s="438"/>
      <c r="S40" s="445" t="s">
        <v>926</v>
      </c>
      <c r="T40" s="438"/>
      <c r="U40" s="438"/>
      <c r="V40" s="438"/>
    </row>
    <row r="41" spans="1:22">
      <c r="A41" s="432">
        <f t="shared" si="2"/>
        <v>38</v>
      </c>
      <c r="B41" s="433">
        <v>40</v>
      </c>
      <c r="C41" s="434">
        <v>5</v>
      </c>
      <c r="D41" s="438" t="str">
        <f t="shared" si="1"/>
        <v>タブ12P</v>
      </c>
      <c r="E41" s="435" t="str">
        <f t="shared" si="3"/>
        <v>4005</v>
      </c>
      <c r="F41" s="542" t="s">
        <v>1341</v>
      </c>
      <c r="G41" s="438"/>
      <c r="H41" s="438" t="s">
        <v>1322</v>
      </c>
      <c r="I41" s="438">
        <v>10.9</v>
      </c>
      <c r="J41" s="438">
        <v>10.9</v>
      </c>
      <c r="K41" s="438">
        <v>10.9</v>
      </c>
      <c r="L41" s="438"/>
      <c r="M41" s="438"/>
      <c r="N41" s="438"/>
      <c r="O41" s="438"/>
      <c r="P41" s="438"/>
      <c r="Q41" s="438"/>
      <c r="R41" s="438"/>
      <c r="S41" s="445" t="s">
        <v>927</v>
      </c>
      <c r="T41" s="438"/>
      <c r="U41" s="438"/>
      <c r="V41" s="438"/>
    </row>
    <row r="42" spans="1:22">
      <c r="A42" s="432">
        <f t="shared" si="2"/>
        <v>39</v>
      </c>
      <c r="B42" s="433">
        <v>40</v>
      </c>
      <c r="C42" s="434">
        <v>6</v>
      </c>
      <c r="D42" s="438" t="str">
        <f t="shared" si="1"/>
        <v>タブ14P</v>
      </c>
      <c r="E42" s="435" t="str">
        <f t="shared" si="3"/>
        <v>4006</v>
      </c>
      <c r="F42" s="542" t="s">
        <v>1342</v>
      </c>
      <c r="G42" s="438"/>
      <c r="H42" s="438" t="s">
        <v>1322</v>
      </c>
      <c r="I42" s="438">
        <v>13.7</v>
      </c>
      <c r="J42" s="438">
        <v>13.7</v>
      </c>
      <c r="K42" s="438">
        <v>13.7</v>
      </c>
      <c r="L42" s="438"/>
      <c r="M42" s="438"/>
      <c r="N42" s="438"/>
      <c r="O42" s="438"/>
      <c r="P42" s="438"/>
      <c r="Q42" s="438"/>
      <c r="R42" s="438"/>
      <c r="S42" s="445" t="s">
        <v>928</v>
      </c>
      <c r="T42" s="438"/>
      <c r="U42" s="438"/>
      <c r="V42" s="438"/>
    </row>
    <row r="43" spans="1:22">
      <c r="A43" s="432">
        <f t="shared" si="2"/>
        <v>40</v>
      </c>
      <c r="B43" s="433">
        <v>40</v>
      </c>
      <c r="C43" s="434">
        <v>7</v>
      </c>
      <c r="D43" s="438" t="str">
        <f t="shared" si="1"/>
        <v>タブ16P</v>
      </c>
      <c r="E43" s="435" t="str">
        <f t="shared" si="3"/>
        <v>4007</v>
      </c>
      <c r="F43" s="542" t="s">
        <v>1343</v>
      </c>
      <c r="G43" s="438"/>
      <c r="H43" s="438" t="s">
        <v>1322</v>
      </c>
      <c r="I43" s="438">
        <v>15</v>
      </c>
      <c r="J43" s="438">
        <v>15</v>
      </c>
      <c r="K43" s="438">
        <v>15</v>
      </c>
      <c r="L43" s="438"/>
      <c r="M43" s="438"/>
      <c r="N43" s="438"/>
      <c r="O43" s="438"/>
      <c r="P43" s="438"/>
      <c r="Q43" s="438"/>
      <c r="R43" s="438"/>
      <c r="S43" s="445" t="s">
        <v>875</v>
      </c>
      <c r="T43" s="438"/>
      <c r="U43" s="438"/>
      <c r="V43" s="438"/>
    </row>
    <row r="44" spans="1:22">
      <c r="A44" s="432">
        <f t="shared" si="2"/>
        <v>41</v>
      </c>
      <c r="B44" s="433">
        <v>40</v>
      </c>
      <c r="C44" s="434">
        <v>8</v>
      </c>
      <c r="D44" s="438" t="str">
        <f t="shared" si="1"/>
        <v>タブ18P</v>
      </c>
      <c r="E44" s="435" t="str">
        <f t="shared" si="3"/>
        <v>4008</v>
      </c>
      <c r="F44" s="542" t="s">
        <v>1344</v>
      </c>
      <c r="G44" s="438"/>
      <c r="H44" s="438" t="s">
        <v>1322</v>
      </c>
      <c r="I44" s="438">
        <v>17.8</v>
      </c>
      <c r="J44" s="438">
        <v>17.8</v>
      </c>
      <c r="K44" s="438">
        <v>17.8</v>
      </c>
      <c r="L44" s="438"/>
      <c r="M44" s="438"/>
      <c r="N44" s="438"/>
      <c r="O44" s="438"/>
      <c r="P44" s="438"/>
      <c r="Q44" s="438"/>
      <c r="R44" s="438"/>
      <c r="S44" s="445" t="s">
        <v>929</v>
      </c>
      <c r="T44" s="438"/>
      <c r="U44" s="438"/>
      <c r="V44" s="438"/>
    </row>
    <row r="45" spans="1:22">
      <c r="A45" s="432">
        <f t="shared" si="2"/>
        <v>42</v>
      </c>
      <c r="B45" s="433">
        <v>40</v>
      </c>
      <c r="C45" s="434">
        <v>9</v>
      </c>
      <c r="D45" s="438" t="str">
        <f t="shared" si="1"/>
        <v>タブ20P</v>
      </c>
      <c r="E45" s="435" t="str">
        <f t="shared" si="3"/>
        <v>4009</v>
      </c>
      <c r="F45" s="542" t="s">
        <v>1345</v>
      </c>
      <c r="G45" s="438"/>
      <c r="H45" s="438" t="s">
        <v>1322</v>
      </c>
      <c r="I45" s="438">
        <v>18.899999999999999</v>
      </c>
      <c r="J45" s="438">
        <v>18.899999999999999</v>
      </c>
      <c r="K45" s="438">
        <v>18.899999999999999</v>
      </c>
      <c r="L45" s="438"/>
      <c r="M45" s="438"/>
      <c r="N45" s="438"/>
      <c r="O45" s="438"/>
      <c r="P45" s="438"/>
      <c r="Q45" s="438"/>
      <c r="R45" s="438"/>
      <c r="S45" s="445" t="s">
        <v>930</v>
      </c>
      <c r="T45" s="438"/>
      <c r="U45" s="438"/>
      <c r="V45" s="438"/>
    </row>
    <row r="46" spans="1:22">
      <c r="A46" s="432">
        <f t="shared" si="2"/>
        <v>43</v>
      </c>
      <c r="B46" s="433">
        <v>40</v>
      </c>
      <c r="C46" s="434">
        <v>10</v>
      </c>
      <c r="D46" s="438" t="str">
        <f t="shared" si="1"/>
        <v>タブ16Pホチキス止め</v>
      </c>
      <c r="E46" s="435" t="str">
        <f t="shared" si="3"/>
        <v>4010</v>
      </c>
      <c r="F46" s="542" t="s">
        <v>1349</v>
      </c>
      <c r="G46" s="438"/>
      <c r="H46" s="438" t="s">
        <v>1322</v>
      </c>
      <c r="I46" s="438">
        <v>16</v>
      </c>
      <c r="J46" s="438">
        <v>16</v>
      </c>
      <c r="K46" s="438">
        <v>16</v>
      </c>
      <c r="L46" s="438"/>
      <c r="M46" s="438"/>
      <c r="N46" s="438"/>
      <c r="O46" s="438"/>
      <c r="P46" s="438"/>
      <c r="Q46" s="438"/>
      <c r="R46" s="438"/>
      <c r="S46" s="445" t="s">
        <v>931</v>
      </c>
      <c r="T46" s="438"/>
      <c r="U46" s="438"/>
      <c r="V46" s="438"/>
    </row>
    <row r="47" spans="1:22">
      <c r="A47" s="432">
        <f t="shared" si="2"/>
        <v>44</v>
      </c>
      <c r="B47" s="433">
        <v>40</v>
      </c>
      <c r="C47" s="434">
        <v>11</v>
      </c>
      <c r="D47" s="438" t="str">
        <f t="shared" si="1"/>
        <v>タブ40P</v>
      </c>
      <c r="E47" s="435" t="str">
        <f t="shared" si="3"/>
        <v>4011</v>
      </c>
      <c r="F47" s="542" t="s">
        <v>1346</v>
      </c>
      <c r="G47" s="438"/>
      <c r="H47" s="438" t="s">
        <v>1322</v>
      </c>
      <c r="I47" s="438"/>
      <c r="J47" s="438"/>
      <c r="K47" s="438"/>
      <c r="L47" s="438"/>
      <c r="M47" s="438"/>
      <c r="N47" s="438"/>
      <c r="O47" s="438"/>
      <c r="P47" s="438"/>
      <c r="Q47" s="438"/>
      <c r="R47" s="438"/>
      <c r="S47" s="445" t="s">
        <v>932</v>
      </c>
      <c r="T47" s="438"/>
      <c r="U47" s="438"/>
      <c r="V47" s="438"/>
    </row>
    <row r="48" spans="1:22">
      <c r="A48" s="432">
        <f t="shared" si="2"/>
        <v>45</v>
      </c>
      <c r="B48" s="433">
        <v>90</v>
      </c>
      <c r="C48" s="434">
        <v>1</v>
      </c>
      <c r="D48" s="438" t="str">
        <f t="shared" si="1"/>
        <v>うさぎの耳</v>
      </c>
      <c r="E48" s="435" t="str">
        <f t="shared" si="3"/>
        <v>9001</v>
      </c>
      <c r="F48" s="438" t="s">
        <v>933</v>
      </c>
      <c r="G48" s="438"/>
      <c r="H48" s="438" t="s">
        <v>1322</v>
      </c>
      <c r="I48" s="438">
        <v>7</v>
      </c>
      <c r="J48" s="438">
        <v>7</v>
      </c>
      <c r="K48" s="438">
        <v>7</v>
      </c>
      <c r="L48" s="438">
        <v>7</v>
      </c>
      <c r="M48" s="438">
        <v>7</v>
      </c>
      <c r="N48" s="438">
        <v>7</v>
      </c>
      <c r="O48" s="438"/>
      <c r="P48" s="438"/>
      <c r="Q48" s="438"/>
      <c r="R48" s="438"/>
      <c r="S48" s="445" t="s">
        <v>934</v>
      </c>
      <c r="T48" s="438" t="s">
        <v>934</v>
      </c>
      <c r="U48" s="438" t="s">
        <v>934</v>
      </c>
      <c r="V48" s="438"/>
    </row>
    <row r="49" spans="1:23">
      <c r="A49" s="432">
        <f t="shared" si="2"/>
        <v>46</v>
      </c>
      <c r="B49" s="433">
        <v>90</v>
      </c>
      <c r="C49" s="434">
        <v>2</v>
      </c>
      <c r="D49" s="438" t="str">
        <f t="shared" si="1"/>
        <v>ユーキャン（題字）</v>
      </c>
      <c r="E49" s="435" t="str">
        <f t="shared" si="3"/>
        <v>9002</v>
      </c>
      <c r="F49" s="438" t="s">
        <v>935</v>
      </c>
      <c r="G49" s="438"/>
      <c r="H49" s="438" t="s">
        <v>1322</v>
      </c>
      <c r="I49" s="438">
        <v>5</v>
      </c>
      <c r="J49" s="438">
        <v>5</v>
      </c>
      <c r="K49" s="438">
        <v>5</v>
      </c>
      <c r="L49" s="438">
        <v>5</v>
      </c>
      <c r="M49" s="438">
        <v>5</v>
      </c>
      <c r="N49" s="438">
        <v>5</v>
      </c>
      <c r="O49" s="438"/>
      <c r="P49" s="438"/>
      <c r="Q49" s="438"/>
      <c r="R49" s="438"/>
      <c r="S49" s="445" t="s">
        <v>936</v>
      </c>
      <c r="T49" s="438" t="s">
        <v>937</v>
      </c>
      <c r="U49" s="445" t="s">
        <v>936</v>
      </c>
      <c r="V49" s="445"/>
    </row>
    <row r="50" spans="1:23">
      <c r="A50" s="432">
        <f t="shared" si="2"/>
        <v>47</v>
      </c>
      <c r="B50" s="433">
        <v>90</v>
      </c>
      <c r="C50" s="434">
        <v>3</v>
      </c>
      <c r="D50" s="438" t="str">
        <f t="shared" si="1"/>
        <v>横長B3</v>
      </c>
      <c r="E50" s="435" t="str">
        <f t="shared" si="3"/>
        <v>9003</v>
      </c>
      <c r="F50" s="438" t="s">
        <v>938</v>
      </c>
      <c r="G50" s="438"/>
      <c r="H50" s="438" t="s">
        <v>1322</v>
      </c>
      <c r="I50" s="438">
        <v>4.9000000000000004</v>
      </c>
      <c r="J50" s="438">
        <v>4.9000000000000004</v>
      </c>
      <c r="K50" s="438">
        <v>4.9000000000000004</v>
      </c>
      <c r="L50" s="438"/>
      <c r="M50" s="438"/>
      <c r="N50" s="438"/>
      <c r="O50" s="438"/>
      <c r="P50" s="438"/>
      <c r="Q50" s="438"/>
      <c r="R50" s="438"/>
      <c r="S50" s="445" t="s">
        <v>939</v>
      </c>
      <c r="T50" s="445" t="s">
        <v>939</v>
      </c>
      <c r="U50" s="445" t="s">
        <v>940</v>
      </c>
      <c r="V50" s="445"/>
    </row>
    <row r="51" spans="1:23">
      <c r="A51" s="432">
        <f t="shared" si="2"/>
        <v>48</v>
      </c>
      <c r="B51" s="433">
        <v>90</v>
      </c>
      <c r="C51" s="434">
        <v>4</v>
      </c>
      <c r="D51" s="438" t="str">
        <f t="shared" si="1"/>
        <v>AD-BAG</v>
      </c>
      <c r="E51" s="435" t="str">
        <f t="shared" si="3"/>
        <v>9004</v>
      </c>
      <c r="F51" s="438" t="s">
        <v>978</v>
      </c>
      <c r="G51" s="438"/>
      <c r="H51" s="438" t="s">
        <v>1322</v>
      </c>
      <c r="I51" s="438">
        <v>5</v>
      </c>
      <c r="J51" s="438">
        <v>5</v>
      </c>
      <c r="K51" s="438">
        <v>5</v>
      </c>
      <c r="L51" s="438"/>
      <c r="M51" s="438"/>
      <c r="N51" s="438"/>
      <c r="O51" s="438"/>
      <c r="P51" s="438"/>
      <c r="Q51" s="438"/>
      <c r="R51" s="438"/>
      <c r="S51" s="445" t="s">
        <v>941</v>
      </c>
      <c r="T51" s="438" t="s">
        <v>942</v>
      </c>
      <c r="U51" s="438"/>
      <c r="V51" s="438"/>
    </row>
    <row r="52" spans="1:23">
      <c r="A52" s="432">
        <f t="shared" si="2"/>
        <v>49</v>
      </c>
      <c r="B52" s="433">
        <v>90</v>
      </c>
      <c r="C52" s="434">
        <v>5</v>
      </c>
      <c r="D52" s="438" t="str">
        <f t="shared" si="1"/>
        <v>封筒</v>
      </c>
      <c r="E52" s="435" t="str">
        <f t="shared" si="3"/>
        <v>9005</v>
      </c>
      <c r="F52" s="438" t="s">
        <v>943</v>
      </c>
      <c r="G52" s="438"/>
      <c r="H52" s="438" t="s">
        <v>1322</v>
      </c>
      <c r="I52" s="438">
        <v>5</v>
      </c>
      <c r="J52" s="438">
        <v>5</v>
      </c>
      <c r="K52" s="438">
        <v>5</v>
      </c>
      <c r="L52" s="438"/>
      <c r="M52" s="438"/>
      <c r="N52" s="438"/>
      <c r="O52" s="438"/>
      <c r="P52" s="438"/>
      <c r="Q52" s="438"/>
      <c r="R52" s="438"/>
      <c r="S52" s="445" t="s">
        <v>943</v>
      </c>
      <c r="T52" s="445" t="s">
        <v>943</v>
      </c>
      <c r="U52" s="438"/>
      <c r="V52" s="438"/>
    </row>
    <row r="53" spans="1:23">
      <c r="A53" s="432">
        <f t="shared" si="2"/>
        <v>50</v>
      </c>
      <c r="B53" s="433">
        <v>90</v>
      </c>
      <c r="C53" s="434">
        <v>6</v>
      </c>
      <c r="D53" s="438" t="str">
        <f t="shared" si="1"/>
        <v>圧着</v>
      </c>
      <c r="E53" s="435" t="str">
        <f t="shared" si="3"/>
        <v>9006</v>
      </c>
      <c r="F53" s="438" t="s">
        <v>944</v>
      </c>
      <c r="G53" s="438"/>
      <c r="H53" s="438" t="s">
        <v>1322</v>
      </c>
      <c r="I53" s="438">
        <v>3.9</v>
      </c>
      <c r="J53" s="438">
        <v>3.9</v>
      </c>
      <c r="K53" s="438">
        <v>3.9</v>
      </c>
      <c r="L53" s="438"/>
      <c r="M53" s="438"/>
      <c r="N53" s="438"/>
      <c r="O53" s="438"/>
      <c r="P53" s="438"/>
      <c r="Q53" s="438"/>
      <c r="R53" s="438"/>
      <c r="S53" s="445" t="s">
        <v>944</v>
      </c>
      <c r="T53" s="445" t="s">
        <v>944</v>
      </c>
      <c r="U53" s="438"/>
      <c r="V53" s="438"/>
    </row>
    <row r="54" spans="1:23">
      <c r="A54" s="432">
        <f t="shared" si="2"/>
        <v>51</v>
      </c>
      <c r="B54" s="434">
        <v>90</v>
      </c>
      <c r="C54" s="434">
        <v>7</v>
      </c>
      <c r="D54" s="438" t="str">
        <f t="shared" ref="D54" si="4">F54</f>
        <v>圧着厚紙</v>
      </c>
      <c r="E54" s="435" t="str">
        <f t="shared" si="3"/>
        <v>9007</v>
      </c>
      <c r="F54" s="438" t="s">
        <v>945</v>
      </c>
      <c r="G54" s="438"/>
      <c r="H54" s="558" t="s">
        <v>1623</v>
      </c>
      <c r="I54" s="438">
        <v>4.4000000000000004</v>
      </c>
      <c r="J54" s="438">
        <v>4.4000000000000004</v>
      </c>
      <c r="K54" s="438">
        <v>4.4000000000000004</v>
      </c>
      <c r="L54" s="438"/>
      <c r="M54" s="438"/>
      <c r="N54" s="438"/>
      <c r="O54" s="438"/>
      <c r="P54" s="438"/>
      <c r="Q54" s="438"/>
      <c r="R54" s="438"/>
      <c r="S54" s="445" t="s">
        <v>946</v>
      </c>
      <c r="T54" s="438"/>
      <c r="U54" s="438"/>
      <c r="V54" s="438"/>
    </row>
    <row r="55" spans="1:23">
      <c r="A55" s="479"/>
      <c r="B55" s="434"/>
      <c r="C55" s="434"/>
      <c r="D55" s="438"/>
      <c r="E55" s="435"/>
      <c r="F55" s="438"/>
      <c r="G55" s="438"/>
      <c r="H55" s="438"/>
      <c r="I55" s="438"/>
      <c r="J55" s="438"/>
      <c r="K55" s="438"/>
      <c r="L55" s="438"/>
      <c r="M55" s="438"/>
      <c r="N55" s="438"/>
      <c r="O55" s="438"/>
      <c r="P55" s="438"/>
      <c r="Q55" s="438"/>
      <c r="R55" s="438"/>
      <c r="S55" s="445"/>
      <c r="T55" s="438"/>
      <c r="U55" s="438"/>
      <c r="V55" s="438"/>
      <c r="W55" s="203" t="s">
        <v>1118</v>
      </c>
    </row>
  </sheetData>
  <sheetProtection algorithmName="SHA-512" hashValue="Xo3ruZA2YSP+UX3w+zjJQuXyF9dhptV0tZIXeL1d0jkZOS4CKnRAwDes5nwv/NmP/8P34MrJvQyVku6bANg89A==" saltValue="AgK6rCnjsH99PdIbdmrjvA==" spinCount="100000" sheet="1" objects="1" scenarios="1"/>
  <mergeCells count="16">
    <mergeCell ref="S2:S3"/>
    <mergeCell ref="T2:T3"/>
    <mergeCell ref="V2:V3"/>
    <mergeCell ref="S1:V1"/>
    <mergeCell ref="T6:T7"/>
    <mergeCell ref="V6:V7"/>
    <mergeCell ref="U2:U3"/>
    <mergeCell ref="U6:U7"/>
    <mergeCell ref="I1:R1"/>
    <mergeCell ref="D1:D3"/>
    <mergeCell ref="A1:A3"/>
    <mergeCell ref="B1:B3"/>
    <mergeCell ref="C1:C3"/>
    <mergeCell ref="E1:E3"/>
    <mergeCell ref="H1:H3"/>
    <mergeCell ref="F1:G2"/>
  </mergeCells>
  <phoneticPr fontId="15"/>
  <dataValidations count="1">
    <dataValidation type="list" allowBlank="1" showInputMessage="1" showErrorMessage="1" sqref="H4:H54" xr:uid="{656379F5-816A-4F16-9326-4AADB5A642AB}">
      <formula1>"切り捨て,切り上げ,四捨五入"</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6CDB-88EF-4B80-9A04-F299909A6E22}">
  <sheetPr codeName="Sheet19">
    <tabColor rgb="FF0070C0"/>
  </sheetPr>
  <dimension ref="A1:J12"/>
  <sheetViews>
    <sheetView zoomScale="80" zoomScaleNormal="80" workbookViewId="0">
      <pane ySplit="3" topLeftCell="A4" activePane="bottomLeft" state="frozen"/>
      <selection pane="bottomLeft" activeCell="E11" sqref="E11"/>
    </sheetView>
  </sheetViews>
  <sheetFormatPr defaultColWidth="8.875" defaultRowHeight="18.75"/>
  <cols>
    <col min="1" max="1" width="10.5" style="205" bestFit="1" customWidth="1"/>
    <col min="2" max="2" width="10.5" style="205" customWidth="1"/>
    <col min="3" max="4" width="10.5" style="205" bestFit="1" customWidth="1"/>
    <col min="5" max="9" width="8.875" style="205"/>
    <col min="10" max="16384" width="8.875" style="203"/>
  </cols>
  <sheetData>
    <row r="1" spans="1:10" s="204" customFormat="1" ht="127.15" customHeight="1">
      <c r="A1" s="857" t="s">
        <v>545</v>
      </c>
      <c r="B1" s="857" t="s">
        <v>1612</v>
      </c>
      <c r="C1" s="857" t="s">
        <v>535</v>
      </c>
      <c r="D1" s="857" t="s">
        <v>545</v>
      </c>
      <c r="E1" s="860" t="s">
        <v>991</v>
      </c>
      <c r="F1" s="860"/>
      <c r="G1" s="860"/>
      <c r="H1" s="860"/>
      <c r="I1" s="860"/>
    </row>
    <row r="2" spans="1:10" s="204" customFormat="1" ht="37.5">
      <c r="A2" s="858"/>
      <c r="B2" s="858"/>
      <c r="C2" s="858"/>
      <c r="D2" s="858"/>
      <c r="E2" s="461" t="s">
        <v>1013</v>
      </c>
      <c r="F2" s="461" t="s">
        <v>1014</v>
      </c>
      <c r="G2" s="461" t="s">
        <v>1015</v>
      </c>
      <c r="H2" s="523" t="s">
        <v>1242</v>
      </c>
      <c r="I2" s="440"/>
    </row>
    <row r="3" spans="1:10" s="204" customFormat="1" ht="20.25">
      <c r="A3" s="859"/>
      <c r="B3" s="859"/>
      <c r="C3" s="859"/>
      <c r="D3" s="859"/>
      <c r="E3" s="404" t="str">
        <f>★営業所!$B$2</f>
        <v>T</v>
      </c>
      <c r="F3" s="404" t="str">
        <f>★営業所!$B$4</f>
        <v>C</v>
      </c>
      <c r="G3" s="404" t="str">
        <f>★営業所!$B$3</f>
        <v>S</v>
      </c>
      <c r="H3" s="404" t="s">
        <v>1243</v>
      </c>
      <c r="I3" s="404"/>
    </row>
    <row r="4" spans="1:10">
      <c r="A4" s="405" t="s">
        <v>538</v>
      </c>
      <c r="B4" s="405">
        <v>1</v>
      </c>
      <c r="C4" s="405" t="s">
        <v>6</v>
      </c>
      <c r="D4" s="405" t="s">
        <v>538</v>
      </c>
      <c r="E4" s="405" t="s">
        <v>992</v>
      </c>
      <c r="F4" s="405" t="s">
        <v>993</v>
      </c>
      <c r="G4" s="405" t="s">
        <v>994</v>
      </c>
      <c r="H4" s="405" t="s">
        <v>1305</v>
      </c>
      <c r="I4" s="405"/>
    </row>
    <row r="5" spans="1:10">
      <c r="A5" s="405" t="s">
        <v>539</v>
      </c>
      <c r="B5" s="405">
        <v>2</v>
      </c>
      <c r="C5" s="405" t="s">
        <v>277</v>
      </c>
      <c r="D5" s="405" t="s">
        <v>539</v>
      </c>
      <c r="E5" s="405" t="s">
        <v>995</v>
      </c>
      <c r="F5" s="405" t="s">
        <v>996</v>
      </c>
      <c r="G5" s="405" t="s">
        <v>997</v>
      </c>
      <c r="H5" s="405"/>
      <c r="I5" s="405"/>
    </row>
    <row r="6" spans="1:10">
      <c r="A6" s="405" t="s">
        <v>540</v>
      </c>
      <c r="B6" s="405">
        <v>3</v>
      </c>
      <c r="C6" s="405" t="s">
        <v>278</v>
      </c>
      <c r="D6" s="405" t="s">
        <v>540</v>
      </c>
      <c r="E6" s="405" t="s">
        <v>998</v>
      </c>
      <c r="F6" s="405" t="s">
        <v>999</v>
      </c>
      <c r="G6" s="405" t="s">
        <v>1000</v>
      </c>
      <c r="H6" s="405"/>
      <c r="I6" s="405"/>
    </row>
    <row r="7" spans="1:10">
      <c r="A7" s="405" t="s">
        <v>541</v>
      </c>
      <c r="B7" s="405">
        <v>4</v>
      </c>
      <c r="C7" s="405" t="s">
        <v>279</v>
      </c>
      <c r="D7" s="405" t="s">
        <v>541</v>
      </c>
      <c r="E7" s="405" t="s">
        <v>1001</v>
      </c>
      <c r="F7" s="405" t="s">
        <v>1002</v>
      </c>
      <c r="G7" s="405" t="s">
        <v>1003</v>
      </c>
      <c r="H7" s="405"/>
      <c r="I7" s="405"/>
    </row>
    <row r="8" spans="1:10">
      <c r="A8" s="405" t="s">
        <v>542</v>
      </c>
      <c r="B8" s="405">
        <v>5</v>
      </c>
      <c r="C8" s="405" t="s">
        <v>228</v>
      </c>
      <c r="D8" s="405" t="s">
        <v>542</v>
      </c>
      <c r="E8" s="405" t="s">
        <v>1004</v>
      </c>
      <c r="F8" s="405" t="s">
        <v>1005</v>
      </c>
      <c r="G8" s="405" t="s">
        <v>1006</v>
      </c>
      <c r="H8" s="405"/>
      <c r="I8" s="405"/>
    </row>
    <row r="9" spans="1:10">
      <c r="A9" s="405" t="s">
        <v>543</v>
      </c>
      <c r="B9" s="405">
        <v>6</v>
      </c>
      <c r="C9" s="405" t="s">
        <v>10</v>
      </c>
      <c r="D9" s="405" t="s">
        <v>543</v>
      </c>
      <c r="E9" s="405" t="s">
        <v>1007</v>
      </c>
      <c r="F9" s="405" t="s">
        <v>1008</v>
      </c>
      <c r="G9" s="405" t="s">
        <v>1009</v>
      </c>
      <c r="H9" s="405"/>
      <c r="I9" s="405"/>
    </row>
    <row r="10" spans="1:10">
      <c r="A10" s="405" t="s">
        <v>544</v>
      </c>
      <c r="B10" s="405">
        <v>7</v>
      </c>
      <c r="C10" s="405" t="s">
        <v>280</v>
      </c>
      <c r="D10" s="405" t="s">
        <v>544</v>
      </c>
      <c r="E10" s="405" t="s">
        <v>1010</v>
      </c>
      <c r="F10" s="405" t="s">
        <v>1011</v>
      </c>
      <c r="G10" s="405" t="s">
        <v>1012</v>
      </c>
      <c r="H10" s="405"/>
      <c r="I10" s="405"/>
    </row>
    <row r="11" spans="1:10">
      <c r="A11" s="405" t="s">
        <v>1611</v>
      </c>
      <c r="B11" s="405">
        <v>8</v>
      </c>
      <c r="C11" s="405" t="s">
        <v>43</v>
      </c>
      <c r="D11" s="405" t="s">
        <v>1611</v>
      </c>
      <c r="E11" s="405" t="s">
        <v>1007</v>
      </c>
      <c r="F11" s="405" t="s">
        <v>1008</v>
      </c>
      <c r="G11" s="405" t="s">
        <v>1009</v>
      </c>
      <c r="H11" s="405"/>
      <c r="I11" s="405"/>
      <c r="J11" s="203" t="s">
        <v>1613</v>
      </c>
    </row>
    <row r="12" spans="1:10">
      <c r="A12" s="478"/>
      <c r="B12" s="478"/>
      <c r="C12" s="405"/>
      <c r="D12" s="478"/>
      <c r="E12" s="405"/>
      <c r="F12" s="405"/>
      <c r="G12" s="405"/>
      <c r="H12" s="405"/>
      <c r="I12" s="405"/>
      <c r="J12" s="203" t="s">
        <v>1118</v>
      </c>
    </row>
  </sheetData>
  <sheetProtection algorithmName="SHA-512" hashValue="X0B0Nj1YOt3A4mBYNwhJvzFkhxXPmrAJGTEHJ3sP2oLU9V5l8qiJDu9bu1XKtzBeZ3G/0/o8fj7zsQ+NmhDqKg==" saltValue="P7XIePTUvcqQl5HjmSI7WA==" spinCount="100000" sheet="1" objects="1" scenarios="1"/>
  <mergeCells count="5">
    <mergeCell ref="A1:A3"/>
    <mergeCell ref="C1:C3"/>
    <mergeCell ref="D1:D3"/>
    <mergeCell ref="E1:I1"/>
    <mergeCell ref="B1:B3"/>
  </mergeCells>
  <phoneticPr fontId="15"/>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90F6-2471-41D9-BFC8-DF9973A501A8}">
  <sheetPr codeName="Sheet23">
    <tabColor rgb="FF0070C0"/>
  </sheetPr>
  <dimension ref="A1:BB1231"/>
  <sheetViews>
    <sheetView zoomScale="60" zoomScaleNormal="60" workbookViewId="0">
      <pane xSplit="9" ySplit="5" topLeftCell="J55" activePane="bottomRight" state="frozen"/>
      <selection pane="topRight" activeCell="J1" sqref="J1"/>
      <selection pane="bottomLeft" activeCell="A6" sqref="A6"/>
      <selection pane="bottomRight" activeCell="J56" sqref="J56"/>
    </sheetView>
  </sheetViews>
  <sheetFormatPr defaultColWidth="8.875" defaultRowHeight="18.75"/>
  <cols>
    <col min="1" max="1" width="12.5" style="455" bestFit="1" customWidth="1"/>
    <col min="2" max="2" width="5.75" style="458" customWidth="1"/>
    <col min="3" max="3" width="3" style="454" bestFit="1" customWidth="1"/>
    <col min="4" max="4" width="37.75" style="466" bestFit="1" customWidth="1"/>
    <col min="5" max="5" width="6.125" style="454" bestFit="1" customWidth="1"/>
    <col min="6" max="6" width="12.25" style="458" bestFit="1" customWidth="1"/>
    <col min="7" max="7" width="6.5" style="454" bestFit="1" customWidth="1"/>
    <col min="8" max="8" width="10.5" style="456" bestFit="1" customWidth="1"/>
    <col min="9" max="9" width="44.625" style="483" bestFit="1" customWidth="1"/>
    <col min="10" max="10" width="38.125" style="471" customWidth="1"/>
    <col min="11" max="11" width="12.625" style="471" bestFit="1" customWidth="1"/>
    <col min="12" max="12" width="18.125" style="471" bestFit="1" customWidth="1"/>
    <col min="13" max="13" width="8.5" style="471" bestFit="1" customWidth="1"/>
    <col min="14" max="14" width="10.25" style="471" bestFit="1" customWidth="1"/>
    <col min="15" max="15" width="5.5" style="538" bestFit="1" customWidth="1"/>
    <col min="16" max="16" width="16.375" style="471" customWidth="1"/>
    <col min="17" max="17" width="17.375" style="471" bestFit="1" customWidth="1"/>
    <col min="18" max="19" width="17.375" style="471" customWidth="1"/>
    <col min="20" max="21" width="12.75" style="538" bestFit="1" customWidth="1"/>
    <col min="22" max="22" width="5.5" style="471" bestFit="1" customWidth="1"/>
    <col min="23" max="24" width="9.5" style="538" bestFit="1" customWidth="1"/>
    <col min="25" max="25" width="9.5" style="471" bestFit="1" customWidth="1"/>
    <col min="26" max="26" width="13.875" style="538" bestFit="1" customWidth="1"/>
    <col min="27" max="27" width="9.5" style="471" bestFit="1" customWidth="1"/>
    <col min="28" max="28" width="13.875" style="538" bestFit="1" customWidth="1"/>
    <col min="29" max="29" width="17.5" style="538" bestFit="1" customWidth="1"/>
    <col min="30" max="30" width="19.75" style="538" bestFit="1" customWidth="1"/>
    <col min="31" max="31" width="26.5" style="538" bestFit="1" customWidth="1"/>
    <col min="32" max="32" width="11.625" style="538" bestFit="1" customWidth="1"/>
    <col min="33" max="33" width="10.875" style="538" bestFit="1" customWidth="1"/>
    <col min="34" max="35" width="33.625" style="538" bestFit="1" customWidth="1"/>
    <col min="36" max="36" width="38.625" style="538" bestFit="1" customWidth="1"/>
    <col min="37" max="37" width="33.625" style="538" customWidth="1"/>
    <col min="38" max="38" width="11.625" style="538" bestFit="1" customWidth="1"/>
    <col min="39" max="39" width="13.875" style="538" bestFit="1" customWidth="1"/>
    <col min="40" max="40" width="19.25" style="538" bestFit="1" customWidth="1"/>
    <col min="41" max="43" width="11.625" style="538" bestFit="1" customWidth="1"/>
    <col min="44" max="44" width="16.125" style="538" bestFit="1" customWidth="1"/>
    <col min="45" max="45" width="66.875" style="538" bestFit="1" customWidth="1"/>
    <col min="46" max="46" width="13.875" style="538" bestFit="1" customWidth="1"/>
    <col min="47" max="47" width="11.625" style="538" bestFit="1" customWidth="1"/>
    <col min="48" max="49" width="7.5" style="538" bestFit="1" customWidth="1"/>
    <col min="50" max="54" width="17.625" style="538" bestFit="1" customWidth="1"/>
    <col min="55" max="16384" width="8.875" style="454"/>
  </cols>
  <sheetData>
    <row r="1" spans="1:54">
      <c r="A1" s="864" t="s">
        <v>558</v>
      </c>
      <c r="B1" s="867" t="s">
        <v>559</v>
      </c>
      <c r="C1" s="868"/>
      <c r="D1" s="867" t="s">
        <v>949</v>
      </c>
      <c r="E1" s="868"/>
      <c r="F1" s="867" t="s">
        <v>556</v>
      </c>
      <c r="G1" s="868"/>
      <c r="H1" s="861" t="s">
        <v>301</v>
      </c>
      <c r="I1" s="481"/>
      <c r="J1" s="468" t="s">
        <v>1024</v>
      </c>
      <c r="K1" s="529" t="s">
        <v>372</v>
      </c>
      <c r="L1" s="530" t="s">
        <v>1025</v>
      </c>
      <c r="M1" s="531" t="s">
        <v>1026</v>
      </c>
      <c r="N1" s="530" t="s">
        <v>1027</v>
      </c>
      <c r="O1" s="536" t="s">
        <v>1028</v>
      </c>
      <c r="P1" s="532" t="s">
        <v>1323</v>
      </c>
      <c r="Q1" s="468" t="s">
        <v>1029</v>
      </c>
      <c r="R1" s="535" t="s">
        <v>1326</v>
      </c>
      <c r="S1" s="535" t="s">
        <v>1327</v>
      </c>
      <c r="T1" s="536" t="s">
        <v>1030</v>
      </c>
      <c r="U1" s="536" t="s">
        <v>1031</v>
      </c>
      <c r="V1" s="468" t="s">
        <v>1032</v>
      </c>
      <c r="W1" s="536" t="s">
        <v>1033</v>
      </c>
      <c r="X1" s="536" t="s">
        <v>1034</v>
      </c>
      <c r="Y1" s="468" t="s">
        <v>1035</v>
      </c>
      <c r="Z1" s="536" t="s">
        <v>1036</v>
      </c>
      <c r="AA1" s="468" t="s">
        <v>1037</v>
      </c>
      <c r="AB1" s="536" t="s">
        <v>1038</v>
      </c>
      <c r="AC1" s="539" t="s">
        <v>1039</v>
      </c>
      <c r="AD1" s="539" t="s">
        <v>1040</v>
      </c>
      <c r="AE1" s="537" t="s">
        <v>1041</v>
      </c>
      <c r="AF1" s="537" t="s">
        <v>1042</v>
      </c>
      <c r="AG1" s="537" t="s">
        <v>1043</v>
      </c>
      <c r="AH1" s="537" t="s">
        <v>1044</v>
      </c>
      <c r="AI1" s="537" t="s">
        <v>1045</v>
      </c>
      <c r="AJ1" s="537" t="s">
        <v>1046</v>
      </c>
      <c r="AK1" s="537" t="s">
        <v>1047</v>
      </c>
      <c r="AL1" s="537" t="s">
        <v>1048</v>
      </c>
      <c r="AM1" s="537" t="s">
        <v>1049</v>
      </c>
      <c r="AN1" s="537" t="s">
        <v>1050</v>
      </c>
      <c r="AO1" s="536" t="s">
        <v>1051</v>
      </c>
      <c r="AP1" s="536" t="s">
        <v>1052</v>
      </c>
      <c r="AQ1" s="536" t="s">
        <v>1053</v>
      </c>
      <c r="AR1" s="536" t="s">
        <v>1054</v>
      </c>
      <c r="AS1" s="536" t="s">
        <v>1055</v>
      </c>
      <c r="AT1" s="536" t="s">
        <v>1056</v>
      </c>
      <c r="AU1" s="536" t="s">
        <v>1057</v>
      </c>
      <c r="AV1" s="536" t="s">
        <v>1058</v>
      </c>
      <c r="AW1" s="536" t="s">
        <v>1059</v>
      </c>
      <c r="AX1" s="538" t="s">
        <v>1060</v>
      </c>
      <c r="AY1" s="538" t="s">
        <v>1061</v>
      </c>
      <c r="AZ1" s="538" t="s">
        <v>1062</v>
      </c>
      <c r="BA1" s="538" t="s">
        <v>1063</v>
      </c>
      <c r="BB1" s="538" t="s">
        <v>1064</v>
      </c>
    </row>
    <row r="2" spans="1:54">
      <c r="A2" s="865"/>
      <c r="B2" s="869"/>
      <c r="C2" s="870"/>
      <c r="D2" s="869"/>
      <c r="E2" s="870"/>
      <c r="F2" s="869"/>
      <c r="G2" s="870"/>
      <c r="H2" s="862"/>
      <c r="I2" s="481"/>
      <c r="J2" s="468" t="s">
        <v>1065</v>
      </c>
      <c r="K2" s="469" t="s">
        <v>1066</v>
      </c>
      <c r="L2" s="470" t="s">
        <v>1067</v>
      </c>
      <c r="M2" s="468" t="s">
        <v>1066</v>
      </c>
      <c r="N2" s="470" t="s">
        <v>1066</v>
      </c>
      <c r="O2" s="536" t="s">
        <v>1068</v>
      </c>
      <c r="P2" s="468"/>
      <c r="Q2" s="468" t="s">
        <v>1066</v>
      </c>
      <c r="R2" s="468"/>
      <c r="S2" s="468"/>
      <c r="T2" s="536" t="s">
        <v>1068</v>
      </c>
      <c r="U2" s="536" t="s">
        <v>1068</v>
      </c>
      <c r="V2" s="468" t="s">
        <v>1066</v>
      </c>
      <c r="W2" s="536" t="s">
        <v>1068</v>
      </c>
      <c r="X2" s="536" t="s">
        <v>1068</v>
      </c>
      <c r="Y2" s="468" t="s">
        <v>1068</v>
      </c>
      <c r="Z2" s="536" t="s">
        <v>1068</v>
      </c>
      <c r="AA2" s="468" t="s">
        <v>1068</v>
      </c>
      <c r="AB2" s="536" t="s">
        <v>1068</v>
      </c>
      <c r="AC2" s="539" t="s">
        <v>1066</v>
      </c>
      <c r="AD2" s="539" t="s">
        <v>1066</v>
      </c>
      <c r="AE2" s="537" t="s">
        <v>1066</v>
      </c>
      <c r="AF2" s="536" t="s">
        <v>1066</v>
      </c>
      <c r="AG2" s="536" t="s">
        <v>1066</v>
      </c>
      <c r="AH2" s="536" t="s">
        <v>1066</v>
      </c>
      <c r="AI2" s="536" t="s">
        <v>1066</v>
      </c>
      <c r="AJ2" s="536" t="s">
        <v>1066</v>
      </c>
      <c r="AK2" s="536" t="s">
        <v>1066</v>
      </c>
      <c r="AL2" s="536" t="s">
        <v>1066</v>
      </c>
      <c r="AM2" s="536" t="s">
        <v>1066</v>
      </c>
      <c r="AN2" s="536" t="s">
        <v>1068</v>
      </c>
      <c r="AO2" s="536" t="s">
        <v>1068</v>
      </c>
      <c r="AP2" s="536" t="s">
        <v>1068</v>
      </c>
      <c r="AQ2" s="536" t="s">
        <v>1068</v>
      </c>
      <c r="AR2" s="536" t="s">
        <v>1068</v>
      </c>
      <c r="AS2" s="536" t="s">
        <v>1066</v>
      </c>
      <c r="AT2" s="536" t="s">
        <v>1068</v>
      </c>
      <c r="AU2" s="536" t="s">
        <v>1068</v>
      </c>
      <c r="AV2" s="536" t="s">
        <v>1066</v>
      </c>
      <c r="AW2" s="536" t="s">
        <v>1066</v>
      </c>
      <c r="AX2" s="536" t="s">
        <v>1068</v>
      </c>
      <c r="AY2" s="536" t="s">
        <v>1068</v>
      </c>
      <c r="AZ2" s="536" t="s">
        <v>1068</v>
      </c>
      <c r="BA2" s="536" t="s">
        <v>1068</v>
      </c>
      <c r="BB2" s="536" t="s">
        <v>1068</v>
      </c>
    </row>
    <row r="3" spans="1:54">
      <c r="A3" s="865"/>
      <c r="B3" s="869"/>
      <c r="C3" s="870"/>
      <c r="D3" s="869"/>
      <c r="E3" s="870"/>
      <c r="F3" s="869"/>
      <c r="G3" s="870"/>
      <c r="H3" s="862"/>
      <c r="I3" s="481"/>
      <c r="J3" s="468" t="s">
        <v>1069</v>
      </c>
      <c r="K3" s="469">
        <v>15</v>
      </c>
      <c r="L3" s="470">
        <v>50</v>
      </c>
      <c r="M3" s="468">
        <v>50</v>
      </c>
      <c r="N3" s="470">
        <v>10</v>
      </c>
      <c r="O3" s="536">
        <v>8</v>
      </c>
      <c r="P3" s="468"/>
      <c r="Q3" s="468">
        <v>6</v>
      </c>
      <c r="R3" s="468"/>
      <c r="S3" s="468"/>
      <c r="T3" s="536">
        <v>4</v>
      </c>
      <c r="U3" s="536">
        <v>4</v>
      </c>
      <c r="V3" s="468">
        <v>6</v>
      </c>
      <c r="W3" s="536" t="s">
        <v>1070</v>
      </c>
      <c r="X3" s="536">
        <v>9</v>
      </c>
      <c r="Y3" s="468" t="s">
        <v>1070</v>
      </c>
      <c r="Z3" s="536">
        <v>9</v>
      </c>
      <c r="AA3" s="468" t="s">
        <v>1070</v>
      </c>
      <c r="AB3" s="536">
        <v>9</v>
      </c>
      <c r="AC3" s="539">
        <v>4</v>
      </c>
      <c r="AD3" s="539">
        <v>4</v>
      </c>
      <c r="AE3" s="537">
        <v>10</v>
      </c>
      <c r="AF3" s="536">
        <v>4</v>
      </c>
      <c r="AG3" s="536">
        <v>6</v>
      </c>
      <c r="AH3" s="536">
        <v>16</v>
      </c>
      <c r="AI3" s="536">
        <v>16</v>
      </c>
      <c r="AJ3" s="536">
        <v>18</v>
      </c>
      <c r="AK3" s="536">
        <v>14</v>
      </c>
      <c r="AL3" s="536">
        <v>6</v>
      </c>
      <c r="AM3" s="536">
        <v>6</v>
      </c>
      <c r="AN3" s="536">
        <v>9</v>
      </c>
      <c r="AO3" s="536">
        <v>9</v>
      </c>
      <c r="AP3" s="536">
        <v>9</v>
      </c>
      <c r="AQ3" s="536">
        <v>2</v>
      </c>
      <c r="AR3" s="536">
        <v>3</v>
      </c>
      <c r="AS3" s="536">
        <v>16</v>
      </c>
      <c r="AT3" s="536">
        <v>9</v>
      </c>
      <c r="AU3" s="536">
        <v>3</v>
      </c>
      <c r="AV3" s="536">
        <v>40</v>
      </c>
      <c r="AW3" s="536">
        <v>40</v>
      </c>
      <c r="AX3" s="536">
        <v>4</v>
      </c>
      <c r="AY3" s="536">
        <v>4</v>
      </c>
      <c r="AZ3" s="536">
        <v>4</v>
      </c>
      <c r="BA3" s="536">
        <v>4</v>
      </c>
      <c r="BB3" s="536">
        <v>4</v>
      </c>
    </row>
    <row r="4" spans="1:54">
      <c r="A4" s="865"/>
      <c r="B4" s="869"/>
      <c r="C4" s="870"/>
      <c r="D4" s="869"/>
      <c r="E4" s="870"/>
      <c r="F4" s="869"/>
      <c r="G4" s="870"/>
      <c r="H4" s="862"/>
      <c r="I4" s="482"/>
      <c r="J4" s="454" t="s">
        <v>1071</v>
      </c>
      <c r="K4" s="470"/>
      <c r="L4" s="470"/>
      <c r="M4" s="454"/>
      <c r="N4" s="470"/>
      <c r="O4" s="537"/>
      <c r="P4" s="454"/>
      <c r="Q4" s="454" t="s">
        <v>1072</v>
      </c>
      <c r="R4" s="454"/>
      <c r="S4" s="454"/>
      <c r="T4" s="537"/>
      <c r="U4" s="537"/>
      <c r="V4" s="454"/>
      <c r="W4" s="537"/>
      <c r="X4" s="537"/>
      <c r="Y4" s="454"/>
      <c r="Z4" s="537"/>
      <c r="AA4" s="454"/>
      <c r="AB4" s="537"/>
      <c r="AC4" s="539" t="s">
        <v>1073</v>
      </c>
      <c r="AD4" s="539" t="s">
        <v>1073</v>
      </c>
      <c r="AE4" s="537" t="s">
        <v>1074</v>
      </c>
      <c r="AF4" s="537" t="s">
        <v>1075</v>
      </c>
      <c r="AG4" s="537" t="s">
        <v>1076</v>
      </c>
      <c r="AH4" s="537" t="s">
        <v>1077</v>
      </c>
      <c r="AI4" s="537" t="s">
        <v>1077</v>
      </c>
      <c r="AJ4" s="537" t="s">
        <v>1078</v>
      </c>
      <c r="AK4" s="537" t="s">
        <v>1079</v>
      </c>
      <c r="AL4" s="537" t="s">
        <v>1076</v>
      </c>
      <c r="AM4" s="537" t="s">
        <v>1076</v>
      </c>
      <c r="AN4" s="537" t="s">
        <v>1080</v>
      </c>
      <c r="AO4" s="537"/>
      <c r="AP4" s="537"/>
      <c r="AQ4" s="537"/>
      <c r="AR4" s="537"/>
      <c r="AS4" s="537" t="s">
        <v>1081</v>
      </c>
      <c r="AT4" s="537"/>
      <c r="AU4" s="537"/>
      <c r="AV4" s="537"/>
      <c r="AW4" s="537"/>
      <c r="AX4" s="537"/>
      <c r="AY4" s="537"/>
      <c r="AZ4" s="537"/>
      <c r="BA4" s="537"/>
      <c r="BB4" s="537"/>
    </row>
    <row r="5" spans="1:54">
      <c r="A5" s="866"/>
      <c r="B5" s="871"/>
      <c r="C5" s="872"/>
      <c r="D5" s="871"/>
      <c r="E5" s="872"/>
      <c r="F5" s="871"/>
      <c r="G5" s="872"/>
      <c r="H5" s="863"/>
      <c r="I5" s="482"/>
      <c r="J5" s="454" t="s">
        <v>1082</v>
      </c>
      <c r="K5" s="454" t="s">
        <v>1083</v>
      </c>
      <c r="L5" s="454" t="s">
        <v>1084</v>
      </c>
      <c r="M5" s="454"/>
      <c r="N5" s="454" t="s">
        <v>1085</v>
      </c>
      <c r="O5" s="537"/>
      <c r="P5" s="454"/>
      <c r="Q5" s="454" t="s">
        <v>1086</v>
      </c>
      <c r="R5" s="454"/>
      <c r="S5" s="454"/>
      <c r="T5" s="537"/>
      <c r="U5" s="537"/>
      <c r="V5" s="454" t="s">
        <v>1087</v>
      </c>
      <c r="W5" s="537">
        <v>10000</v>
      </c>
      <c r="X5" s="537">
        <v>800</v>
      </c>
      <c r="Y5" s="454">
        <v>8000</v>
      </c>
      <c r="Z5" s="537">
        <v>640</v>
      </c>
      <c r="AA5" s="454">
        <v>6000</v>
      </c>
      <c r="AB5" s="537">
        <v>480</v>
      </c>
      <c r="AC5" s="537" t="s">
        <v>1088</v>
      </c>
      <c r="AD5" s="537" t="s">
        <v>1089</v>
      </c>
      <c r="AE5" s="537" t="s">
        <v>1090</v>
      </c>
      <c r="AF5" s="537" t="s">
        <v>308</v>
      </c>
      <c r="AG5" s="537" t="s">
        <v>1091</v>
      </c>
      <c r="AH5" s="537" t="s">
        <v>1092</v>
      </c>
      <c r="AI5" s="537" t="s">
        <v>1092</v>
      </c>
      <c r="AJ5" s="537" t="s">
        <v>1093</v>
      </c>
      <c r="AK5" s="537" t="s">
        <v>1094</v>
      </c>
      <c r="AL5" s="537" t="s">
        <v>1095</v>
      </c>
      <c r="AM5" s="537" t="s">
        <v>1095</v>
      </c>
      <c r="AN5" s="537"/>
      <c r="AO5" s="537"/>
      <c r="AP5" s="537"/>
      <c r="AQ5" s="537"/>
      <c r="AR5" s="537"/>
      <c r="AS5" s="537" t="s">
        <v>1096</v>
      </c>
      <c r="AT5" s="537"/>
      <c r="AU5" s="537"/>
      <c r="AV5" s="537"/>
      <c r="AW5" s="537"/>
      <c r="AX5" s="537"/>
      <c r="AY5" s="537"/>
      <c r="AZ5" s="537"/>
      <c r="BA5" s="537"/>
      <c r="BB5" s="537"/>
    </row>
    <row r="6" spans="1:54">
      <c r="A6" s="451" t="str">
        <f>CONCATENATE(VLOOKUP(B6,★営業所!$A$1:$B$5,2,FALSE),VLOOKUP(D6,★サイズ表記!$D$4:$E$55,2,FALSE),VLOOKUP(F6,★折込地区!$A$1:$B$11,2,FALSE))</f>
        <v>T1001Tot</v>
      </c>
      <c r="B6" s="457" t="s">
        <v>275</v>
      </c>
      <c r="C6" s="452" t="str">
        <f>VLOOKUP(B6,★営業所!$A$1:$B$5,2,FALSE)</f>
        <v>T</v>
      </c>
      <c r="D6" s="465" t="s">
        <v>948</v>
      </c>
      <c r="E6" s="452" t="str">
        <f>VLOOKUP(D6,★サイズ表記!$D$4:$E$55,2,FALSE)</f>
        <v>1001</v>
      </c>
      <c r="F6" s="457" t="s">
        <v>282</v>
      </c>
      <c r="G6" s="452" t="str">
        <f>VLOOKUP(F6,★折込地区!$A$1:$B$11,2,FALSE)</f>
        <v>Tot</v>
      </c>
      <c r="H6" s="453">
        <f>INDEX(★サイズ表記!$I$4:$Q$55, MATCH(E6,★サイズ表記!$E$4:$E$55,0), MATCH(G6,★サイズ表記!$I$3:$R$3,0))</f>
        <v>2.8</v>
      </c>
      <c r="K6" s="471" t="str">
        <f t="shared" ref="K6:K167" si="0">A6</f>
        <v>T1001Tot</v>
      </c>
      <c r="L6" s="471" t="str">
        <f t="shared" ref="L6:L167" si="1">D6</f>
        <v>B4（折り無し）</v>
      </c>
      <c r="P6" s="533" t="s">
        <v>1324</v>
      </c>
      <c r="Q6" s="533" t="s">
        <v>1325</v>
      </c>
      <c r="R6" s="534" t="str">
        <f>E6</f>
        <v>1001</v>
      </c>
      <c r="S6" s="534" t="str">
        <f>L6</f>
        <v>B4（折り無し）</v>
      </c>
      <c r="T6" s="538" t="str">
        <f>LEFT($E6,2)</f>
        <v>10</v>
      </c>
      <c r="U6" s="538" t="str">
        <f>RIGHT($E6,2)</f>
        <v>01</v>
      </c>
      <c r="V6" s="471" t="s">
        <v>1136</v>
      </c>
      <c r="Y6" s="472">
        <f>$H6</f>
        <v>2.8</v>
      </c>
      <c r="Z6" s="540">
        <f>ROUNDDOWN($H6*8/100,2)</f>
        <v>0.22</v>
      </c>
      <c r="AA6" s="471">
        <v>0</v>
      </c>
    </row>
    <row r="7" spans="1:54">
      <c r="A7" s="451" t="str">
        <f>CONCATENATE(VLOOKUP(B7,★営業所!$A$1:$B$5,2,FALSE),VLOOKUP(D7,★サイズ表記!$D$4:$E$55,2,FALSE),VLOOKUP(F7,★折込地区!$A$1:$B$11,2,FALSE))</f>
        <v>T1002Tot</v>
      </c>
      <c r="B7" s="457" t="s">
        <v>275</v>
      </c>
      <c r="C7" s="452" t="str">
        <f>VLOOKUP(B7,★営業所!$A$1:$B$5,2,FALSE)</f>
        <v>T</v>
      </c>
      <c r="D7" s="465" t="s">
        <v>950</v>
      </c>
      <c r="E7" s="452" t="str">
        <f>VLOOKUP(D7,★サイズ表記!$D$4:$E$55,2,FALSE)</f>
        <v>1002</v>
      </c>
      <c r="F7" s="457" t="s">
        <v>282</v>
      </c>
      <c r="G7" s="452" t="str">
        <f>VLOOKUP(F7,★折込地区!$A$1:$B$11,2,FALSE)</f>
        <v>Tot</v>
      </c>
      <c r="H7" s="453">
        <f>INDEX(★サイズ表記!$I$4:$Q$55, MATCH(E7,★サイズ表記!$E$4:$E$55,0), MATCH(G7,★サイズ表記!$I$3:$R$3,0))</f>
        <v>3.9</v>
      </c>
      <c r="K7" s="471" t="str">
        <f t="shared" si="0"/>
        <v>T1002Tot</v>
      </c>
      <c r="L7" s="471" t="str">
        <f t="shared" si="1"/>
        <v>B3（2つ折り）</v>
      </c>
      <c r="P7" s="533" t="s">
        <v>1324</v>
      </c>
      <c r="Q7" s="533" t="s">
        <v>1325</v>
      </c>
      <c r="R7" s="534" t="str">
        <f t="shared" ref="R7:R168" si="2">E7</f>
        <v>1002</v>
      </c>
      <c r="S7" s="534" t="str">
        <f t="shared" ref="S7:S168" si="3">L7</f>
        <v>B3（2つ折り）</v>
      </c>
      <c r="T7" s="538" t="str">
        <f t="shared" ref="T7:T168" si="4">LEFT($E7,2)</f>
        <v>10</v>
      </c>
      <c r="U7" s="538" t="str">
        <f t="shared" ref="U7:U168" si="5">RIGHT($E7,2)</f>
        <v>02</v>
      </c>
      <c r="V7" s="471" t="s">
        <v>1136</v>
      </c>
      <c r="Y7" s="472">
        <f t="shared" ref="Y7:Y168" si="6">$H7</f>
        <v>3.9</v>
      </c>
      <c r="Z7" s="540">
        <f t="shared" ref="Z7:Z168" si="7">ROUNDDOWN($H7*8/100,2)</f>
        <v>0.31</v>
      </c>
      <c r="AA7" s="471">
        <v>0</v>
      </c>
    </row>
    <row r="8" spans="1:54">
      <c r="A8" s="451" t="str">
        <f>CONCATENATE(VLOOKUP(B8,★営業所!$A$1:$B$5,2,FALSE),VLOOKUP(D8,★サイズ表記!$D$4:$E$55,2,FALSE),VLOOKUP(F8,★折込地区!$A$1:$B$11,2,FALSE))</f>
        <v>T1003Tot</v>
      </c>
      <c r="B8" s="457" t="s">
        <v>275</v>
      </c>
      <c r="C8" s="452" t="str">
        <f>VLOOKUP(B8,★営業所!$A$1:$B$5,2,FALSE)</f>
        <v>T</v>
      </c>
      <c r="D8" s="465" t="s">
        <v>951</v>
      </c>
      <c r="E8" s="452" t="str">
        <f>VLOOKUP(D8,★サイズ表記!$D$4:$E$55,2,FALSE)</f>
        <v>1003</v>
      </c>
      <c r="F8" s="457" t="s">
        <v>282</v>
      </c>
      <c r="G8" s="452" t="str">
        <f>VLOOKUP(F8,★折込地区!$A$1:$B$11,2,FALSE)</f>
        <v>Tot</v>
      </c>
      <c r="H8" s="453">
        <f>INDEX(★サイズ表記!$I$4:$Q$55, MATCH(E8,★サイズ表記!$E$4:$E$55,0), MATCH(G8,★サイズ表記!$I$3:$R$3,0))</f>
        <v>7</v>
      </c>
      <c r="K8" s="471" t="str">
        <f t="shared" si="0"/>
        <v>T1003Tot</v>
      </c>
      <c r="L8" s="471" t="str">
        <f t="shared" si="1"/>
        <v>3つ折り</v>
      </c>
      <c r="P8" s="533" t="s">
        <v>1324</v>
      </c>
      <c r="Q8" s="533" t="s">
        <v>1325</v>
      </c>
      <c r="R8" s="534" t="str">
        <f t="shared" si="2"/>
        <v>1003</v>
      </c>
      <c r="S8" s="534" t="str">
        <f t="shared" si="3"/>
        <v>3つ折り</v>
      </c>
      <c r="T8" s="538" t="str">
        <f t="shared" si="4"/>
        <v>10</v>
      </c>
      <c r="U8" s="538" t="str">
        <f t="shared" si="5"/>
        <v>03</v>
      </c>
      <c r="V8" s="471" t="s">
        <v>1136</v>
      </c>
      <c r="Y8" s="472">
        <f t="shared" si="6"/>
        <v>7</v>
      </c>
      <c r="Z8" s="540">
        <f t="shared" si="7"/>
        <v>0.56000000000000005</v>
      </c>
      <c r="AA8" s="471">
        <v>0</v>
      </c>
    </row>
    <row r="9" spans="1:54">
      <c r="A9" s="451" t="str">
        <f>CONCATENATE(VLOOKUP(B9,★営業所!$A$1:$B$5,2,FALSE),VLOOKUP(D9,★サイズ表記!$D$4:$E$55,2,FALSE),VLOOKUP(F9,★折込地区!$A$1:$B$11,2,FALSE))</f>
        <v>T1004Tot</v>
      </c>
      <c r="B9" s="457" t="s">
        <v>275</v>
      </c>
      <c r="C9" s="452" t="str">
        <f>VLOOKUP(B9,★営業所!$A$1:$B$5,2,FALSE)</f>
        <v>T</v>
      </c>
      <c r="D9" s="465" t="s">
        <v>947</v>
      </c>
      <c r="E9" s="452" t="str">
        <f>VLOOKUP(D9,★サイズ表記!$D$4:$E$55,2,FALSE)</f>
        <v>1004</v>
      </c>
      <c r="F9" s="457" t="s">
        <v>282</v>
      </c>
      <c r="G9" s="452" t="str">
        <f>VLOOKUP(F9,★折込地区!$A$1:$B$11,2,FALSE)</f>
        <v>Tot</v>
      </c>
      <c r="H9" s="453">
        <f>INDEX(★サイズ表記!$I$4:$Q$55, MATCH(E9,★サイズ表記!$E$4:$E$55,0), MATCH(G9,★サイズ表記!$I$3:$R$3,0))</f>
        <v>7</v>
      </c>
      <c r="K9" s="471" t="str">
        <f t="shared" si="0"/>
        <v>T1004Tot</v>
      </c>
      <c r="L9" s="471" t="str">
        <f t="shared" si="1"/>
        <v>観音折</v>
      </c>
      <c r="P9" s="533" t="s">
        <v>1324</v>
      </c>
      <c r="Q9" s="533" t="s">
        <v>1325</v>
      </c>
      <c r="R9" s="534" t="str">
        <f t="shared" si="2"/>
        <v>1004</v>
      </c>
      <c r="S9" s="534" t="str">
        <f t="shared" si="3"/>
        <v>観音折</v>
      </c>
      <c r="T9" s="538" t="str">
        <f t="shared" si="4"/>
        <v>10</v>
      </c>
      <c r="U9" s="538" t="str">
        <f t="shared" si="5"/>
        <v>04</v>
      </c>
      <c r="V9" s="471" t="s">
        <v>1136</v>
      </c>
      <c r="Y9" s="472">
        <f t="shared" si="6"/>
        <v>7</v>
      </c>
      <c r="Z9" s="540">
        <f t="shared" si="7"/>
        <v>0.56000000000000005</v>
      </c>
      <c r="AA9" s="471">
        <v>0</v>
      </c>
    </row>
    <row r="10" spans="1:54">
      <c r="A10" s="451" t="str">
        <f>CONCATENATE(VLOOKUP(B10,★営業所!$A$1:$B$5,2,FALSE),VLOOKUP(D10,★サイズ表記!$D$4:$E$55,2,FALSE),VLOOKUP(F10,★折込地区!$A$1:$B$11,2,FALSE))</f>
        <v>T1005Tot</v>
      </c>
      <c r="B10" s="457" t="s">
        <v>275</v>
      </c>
      <c r="C10" s="452" t="str">
        <f>VLOOKUP(B10,★営業所!$A$1:$B$5,2,FALSE)</f>
        <v>T</v>
      </c>
      <c r="D10" s="465" t="s">
        <v>952</v>
      </c>
      <c r="E10" s="452" t="str">
        <f>VLOOKUP(D10,★サイズ表記!$D$4:$E$55,2,FALSE)</f>
        <v>1005</v>
      </c>
      <c r="F10" s="457" t="s">
        <v>282</v>
      </c>
      <c r="G10" s="452" t="str">
        <f>VLOOKUP(F10,★折込地区!$A$1:$B$11,2,FALSE)</f>
        <v>Tot</v>
      </c>
      <c r="H10" s="453">
        <f>INDEX(★サイズ表記!$I$4:$Q$55, MATCH(E10,★サイズ表記!$E$4:$E$55,0), MATCH(G10,★サイズ表記!$I$3:$R$3,0))</f>
        <v>7</v>
      </c>
      <c r="K10" s="471" t="str">
        <f t="shared" si="0"/>
        <v>T1005Tot</v>
      </c>
      <c r="L10" s="471" t="str">
        <f t="shared" si="1"/>
        <v>B2（4つ折り）</v>
      </c>
      <c r="P10" s="533" t="s">
        <v>1324</v>
      </c>
      <c r="Q10" s="533" t="s">
        <v>1325</v>
      </c>
      <c r="R10" s="534" t="str">
        <f t="shared" si="2"/>
        <v>1005</v>
      </c>
      <c r="S10" s="534" t="str">
        <f t="shared" si="3"/>
        <v>B2（4つ折り）</v>
      </c>
      <c r="T10" s="538" t="str">
        <f t="shared" si="4"/>
        <v>10</v>
      </c>
      <c r="U10" s="538" t="str">
        <f t="shared" si="5"/>
        <v>05</v>
      </c>
      <c r="V10" s="471" t="s">
        <v>1136</v>
      </c>
      <c r="Y10" s="472">
        <f t="shared" si="6"/>
        <v>7</v>
      </c>
      <c r="Z10" s="540">
        <f t="shared" si="7"/>
        <v>0.56000000000000005</v>
      </c>
      <c r="AA10" s="471">
        <v>0</v>
      </c>
    </row>
    <row r="11" spans="1:54">
      <c r="A11" s="451" t="str">
        <f>CONCATENATE(VLOOKUP(B11,★営業所!$A$1:$B$5,2,FALSE),VLOOKUP(D11,★サイズ表記!$D$4:$E$55,2,FALSE),VLOOKUP(F11,★折込地区!$A$1:$B$11,2,FALSE))</f>
        <v>T1006Tot</v>
      </c>
      <c r="B11" s="457" t="s">
        <v>275</v>
      </c>
      <c r="C11" s="452" t="str">
        <f>VLOOKUP(B11,★営業所!$A$1:$B$5,2,FALSE)</f>
        <v>T</v>
      </c>
      <c r="D11" s="465" t="s">
        <v>955</v>
      </c>
      <c r="E11" s="452" t="str">
        <f>VLOOKUP(D11,★サイズ表記!$D$4:$E$55,2,FALSE)</f>
        <v>1006</v>
      </c>
      <c r="F11" s="457" t="s">
        <v>282</v>
      </c>
      <c r="G11" s="452" t="str">
        <f>VLOOKUP(F11,★折込地区!$A$1:$B$11,2,FALSE)</f>
        <v>Tot</v>
      </c>
      <c r="H11" s="453">
        <f>INDEX(★サイズ表記!$I$4:$Q$55, MATCH(E11,★サイズ表記!$E$4:$E$55,0), MATCH(G11,★サイズ表記!$I$3:$R$3,0))</f>
        <v>15</v>
      </c>
      <c r="K11" s="471" t="str">
        <f t="shared" si="0"/>
        <v>T1006Tot</v>
      </c>
      <c r="L11" s="471" t="str">
        <f t="shared" si="1"/>
        <v>B1（8折り）</v>
      </c>
      <c r="P11" s="533" t="s">
        <v>1324</v>
      </c>
      <c r="Q11" s="533" t="s">
        <v>1325</v>
      </c>
      <c r="R11" s="534" t="str">
        <f t="shared" si="2"/>
        <v>1006</v>
      </c>
      <c r="S11" s="534" t="str">
        <f t="shared" si="3"/>
        <v>B1（8折り）</v>
      </c>
      <c r="T11" s="538" t="str">
        <f t="shared" si="4"/>
        <v>10</v>
      </c>
      <c r="U11" s="538" t="str">
        <f t="shared" si="5"/>
        <v>06</v>
      </c>
      <c r="V11" s="471" t="s">
        <v>1136</v>
      </c>
      <c r="Y11" s="472">
        <f t="shared" si="6"/>
        <v>15</v>
      </c>
      <c r="Z11" s="540">
        <f t="shared" si="7"/>
        <v>1.2</v>
      </c>
      <c r="AA11" s="471">
        <v>0</v>
      </c>
    </row>
    <row r="12" spans="1:54">
      <c r="A12" s="451" t="str">
        <f>CONCATENATE(VLOOKUP(B12,★営業所!$A$1:$B$5,2,FALSE),VLOOKUP(D12,★サイズ表記!$D$4:$E$55,2,FALSE),VLOOKUP(F12,★折込地区!$A$1:$B$11,2,FALSE))</f>
        <v>T1007Tot</v>
      </c>
      <c r="B12" s="457" t="s">
        <v>275</v>
      </c>
      <c r="C12" s="452" t="str">
        <f>VLOOKUP(B12,★営業所!$A$1:$B$5,2,FALSE)</f>
        <v>T</v>
      </c>
      <c r="D12" s="465" t="s">
        <v>956</v>
      </c>
      <c r="E12" s="452" t="str">
        <f>VLOOKUP(D12,★サイズ表記!$D$4:$E$55,2,FALSE)</f>
        <v>1007</v>
      </c>
      <c r="F12" s="457" t="s">
        <v>282</v>
      </c>
      <c r="G12" s="452" t="str">
        <f>VLOOKUP(F12,★折込地区!$A$1:$B$11,2,FALSE)</f>
        <v>Tot</v>
      </c>
      <c r="H12" s="453">
        <f>INDEX(★サイズ表記!$I$4:$Q$55, MATCH(E12,★サイズ表記!$E$4:$E$55,0), MATCH(G12,★サイズ表記!$I$3:$R$3,0))</f>
        <v>3.3</v>
      </c>
      <c r="K12" s="471" t="str">
        <f t="shared" si="0"/>
        <v>T1007Tot</v>
      </c>
      <c r="L12" s="471" t="str">
        <f t="shared" si="1"/>
        <v>B4厚紙</v>
      </c>
      <c r="P12" s="533" t="s">
        <v>1324</v>
      </c>
      <c r="Q12" s="533" t="s">
        <v>1325</v>
      </c>
      <c r="R12" s="534" t="str">
        <f t="shared" si="2"/>
        <v>1007</v>
      </c>
      <c r="S12" s="534" t="str">
        <f t="shared" si="3"/>
        <v>B4厚紙</v>
      </c>
      <c r="T12" s="538" t="str">
        <f t="shared" si="4"/>
        <v>10</v>
      </c>
      <c r="U12" s="538" t="str">
        <f t="shared" si="5"/>
        <v>07</v>
      </c>
      <c r="V12" s="471" t="s">
        <v>1136</v>
      </c>
      <c r="Y12" s="472">
        <f t="shared" si="6"/>
        <v>3.3</v>
      </c>
      <c r="Z12" s="540">
        <f t="shared" si="7"/>
        <v>0.26</v>
      </c>
      <c r="AA12" s="471">
        <v>0</v>
      </c>
    </row>
    <row r="13" spans="1:54">
      <c r="A13" s="451" t="str">
        <f>CONCATENATE(VLOOKUP(B13,★営業所!$A$1:$B$5,2,FALSE),VLOOKUP(D13,★サイズ表記!$D$4:$E$55,2,FALSE),VLOOKUP(F13,★折込地区!$A$1:$B$11,2,FALSE))</f>
        <v>T1008Tot</v>
      </c>
      <c r="B13" s="457" t="s">
        <v>275</v>
      </c>
      <c r="C13" s="452" t="str">
        <f>VLOOKUP(B13,★営業所!$A$1:$B$5,2,FALSE)</f>
        <v>T</v>
      </c>
      <c r="D13" s="465" t="s">
        <v>957</v>
      </c>
      <c r="E13" s="452" t="str">
        <f>VLOOKUP(D13,★サイズ表記!$D$4:$E$55,2,FALSE)</f>
        <v>1008</v>
      </c>
      <c r="F13" s="457" t="s">
        <v>282</v>
      </c>
      <c r="G13" s="452" t="str">
        <f>VLOOKUP(F13,★折込地区!$A$1:$B$11,2,FALSE)</f>
        <v>Tot</v>
      </c>
      <c r="H13" s="453">
        <f>INDEX(★サイズ表記!$I$4:$Q$55, MATCH(E13,★サイズ表記!$E$4:$E$55,0), MATCH(G13,★サイズ表記!$I$3:$R$3,0))</f>
        <v>4.4000000000000004</v>
      </c>
      <c r="K13" s="471" t="str">
        <f t="shared" si="0"/>
        <v>T1008Tot</v>
      </c>
      <c r="L13" s="471" t="str">
        <f t="shared" si="1"/>
        <v>B3厚紙</v>
      </c>
      <c r="P13" s="533" t="s">
        <v>1324</v>
      </c>
      <c r="Q13" s="533" t="s">
        <v>1325</v>
      </c>
      <c r="R13" s="534" t="str">
        <f t="shared" si="2"/>
        <v>1008</v>
      </c>
      <c r="S13" s="534" t="str">
        <f t="shared" si="3"/>
        <v>B3厚紙</v>
      </c>
      <c r="T13" s="538" t="str">
        <f t="shared" si="4"/>
        <v>10</v>
      </c>
      <c r="U13" s="538" t="str">
        <f t="shared" si="5"/>
        <v>08</v>
      </c>
      <c r="V13" s="471" t="s">
        <v>1136</v>
      </c>
      <c r="Y13" s="472">
        <f t="shared" si="6"/>
        <v>4.4000000000000004</v>
      </c>
      <c r="Z13" s="540">
        <f t="shared" si="7"/>
        <v>0.35</v>
      </c>
      <c r="AA13" s="471">
        <v>0</v>
      </c>
    </row>
    <row r="14" spans="1:54">
      <c r="A14" s="451" t="str">
        <f>CONCATENATE(VLOOKUP(B14,★営業所!$A$1:$B$5,2,FALSE),VLOOKUP(D14,★サイズ表記!$D$4:$E$55,2,FALSE),VLOOKUP(F14,★折込地区!$A$1:$B$11,2,FALSE))</f>
        <v>T1009Tot</v>
      </c>
      <c r="B14" s="457" t="s">
        <v>275</v>
      </c>
      <c r="C14" s="452" t="str">
        <f>VLOOKUP(B14,★営業所!$A$1:$B$5,2,FALSE)</f>
        <v>T</v>
      </c>
      <c r="D14" s="465" t="s">
        <v>958</v>
      </c>
      <c r="E14" s="452" t="str">
        <f>VLOOKUP(D14,★サイズ表記!$D$4:$E$55,2,FALSE)</f>
        <v>1009</v>
      </c>
      <c r="F14" s="457" t="s">
        <v>282</v>
      </c>
      <c r="G14" s="452" t="str">
        <f>VLOOKUP(F14,★折込地区!$A$1:$B$11,2,FALSE)</f>
        <v>Tot</v>
      </c>
      <c r="H14" s="453">
        <f>INDEX(★サイズ表記!$I$4:$Q$55, MATCH(E14,★サイズ表記!$E$4:$E$55,0), MATCH(G14,★サイズ表記!$I$3:$R$3,0))</f>
        <v>7.5</v>
      </c>
      <c r="K14" s="471" t="str">
        <f t="shared" si="0"/>
        <v>T1009Tot</v>
      </c>
      <c r="L14" s="471" t="str">
        <f t="shared" si="1"/>
        <v>B2厚紙</v>
      </c>
      <c r="P14" s="533" t="s">
        <v>1324</v>
      </c>
      <c r="Q14" s="533" t="s">
        <v>1325</v>
      </c>
      <c r="R14" s="534" t="str">
        <f t="shared" si="2"/>
        <v>1009</v>
      </c>
      <c r="S14" s="534" t="str">
        <f t="shared" si="3"/>
        <v>B2厚紙</v>
      </c>
      <c r="T14" s="538" t="str">
        <f t="shared" si="4"/>
        <v>10</v>
      </c>
      <c r="U14" s="538" t="str">
        <f t="shared" si="5"/>
        <v>09</v>
      </c>
      <c r="V14" s="471" t="s">
        <v>1136</v>
      </c>
      <c r="Y14" s="472">
        <f t="shared" si="6"/>
        <v>7.5</v>
      </c>
      <c r="Z14" s="540">
        <f t="shared" si="7"/>
        <v>0.6</v>
      </c>
      <c r="AA14" s="471">
        <v>0</v>
      </c>
    </row>
    <row r="15" spans="1:54">
      <c r="A15" s="451" t="str">
        <f>CONCATENATE(VLOOKUP(B15,★営業所!$A$1:$B$5,2,FALSE),VLOOKUP(D15,★サイズ表記!$D$4:$E$55,2,FALSE),VLOOKUP(F15,★折込地区!$A$1:$B$11,2,FALSE))</f>
        <v>T1010Tot</v>
      </c>
      <c r="B15" s="457" t="s">
        <v>275</v>
      </c>
      <c r="C15" s="452" t="str">
        <f>VLOOKUP(B15,★営業所!$A$1:$B$5,2,FALSE)</f>
        <v>T</v>
      </c>
      <c r="D15" s="465" t="s">
        <v>959</v>
      </c>
      <c r="E15" s="452" t="str">
        <f>VLOOKUP(D15,★サイズ表記!$D$4:$E$55,2,FALSE)</f>
        <v>1010</v>
      </c>
      <c r="F15" s="457" t="s">
        <v>282</v>
      </c>
      <c r="G15" s="452" t="str">
        <f>VLOOKUP(F15,★折込地区!$A$1:$B$11,2,FALSE)</f>
        <v>Tot</v>
      </c>
      <c r="H15" s="453">
        <f>INDEX(★サイズ表記!$I$4:$Q$55, MATCH(E15,★サイズ表記!$E$4:$E$55,0), MATCH(G15,★サイズ表記!$I$3:$R$3,0))</f>
        <v>4.2</v>
      </c>
      <c r="K15" s="471" t="str">
        <f t="shared" si="0"/>
        <v>T1010Tot</v>
      </c>
      <c r="L15" s="471" t="str">
        <f t="shared" si="1"/>
        <v>B4以下変形</v>
      </c>
      <c r="P15" s="533" t="s">
        <v>1324</v>
      </c>
      <c r="Q15" s="533" t="s">
        <v>1325</v>
      </c>
      <c r="R15" s="534" t="str">
        <f t="shared" si="2"/>
        <v>1010</v>
      </c>
      <c r="S15" s="534" t="str">
        <f t="shared" si="3"/>
        <v>B4以下変形</v>
      </c>
      <c r="T15" s="538" t="str">
        <f t="shared" si="4"/>
        <v>10</v>
      </c>
      <c r="U15" s="538" t="str">
        <f t="shared" si="5"/>
        <v>10</v>
      </c>
      <c r="V15" s="471" t="s">
        <v>1136</v>
      </c>
      <c r="Y15" s="472">
        <f t="shared" si="6"/>
        <v>4.2</v>
      </c>
      <c r="Z15" s="540">
        <f t="shared" si="7"/>
        <v>0.33</v>
      </c>
      <c r="AA15" s="471">
        <v>0</v>
      </c>
    </row>
    <row r="16" spans="1:54">
      <c r="A16" s="451" t="str">
        <f>CONCATENATE(VLOOKUP(B16,★営業所!$A$1:$B$5,2,FALSE),VLOOKUP(D16,★サイズ表記!$D$4:$E$55,2,FALSE),VLOOKUP(F16,★折込地区!$A$1:$B$11,2,FALSE))</f>
        <v>T1011Tot</v>
      </c>
      <c r="B16" s="457" t="s">
        <v>275</v>
      </c>
      <c r="C16" s="452" t="str">
        <f>VLOOKUP(B16,★営業所!$A$1:$B$5,2,FALSE)</f>
        <v>T</v>
      </c>
      <c r="D16" s="465" t="s">
        <v>960</v>
      </c>
      <c r="E16" s="452" t="str">
        <f>VLOOKUP(D16,★サイズ表記!$D$4:$E$55,2,FALSE)</f>
        <v>1011</v>
      </c>
      <c r="F16" s="457" t="s">
        <v>282</v>
      </c>
      <c r="G16" s="452" t="str">
        <f>VLOOKUP(F16,★折込地区!$A$1:$B$11,2,FALSE)</f>
        <v>Tot</v>
      </c>
      <c r="H16" s="453">
        <f>INDEX(★サイズ表記!$I$4:$Q$55, MATCH(E16,★サイズ表記!$E$4:$E$55,0), MATCH(G16,★サイズ表記!$I$3:$R$3,0))</f>
        <v>3.8</v>
      </c>
      <c r="K16" s="471" t="str">
        <f t="shared" si="0"/>
        <v>T1011Tot</v>
      </c>
      <c r="L16" s="471" t="str">
        <f t="shared" si="1"/>
        <v>B4シール付き</v>
      </c>
      <c r="P16" s="533" t="s">
        <v>1324</v>
      </c>
      <c r="Q16" s="533" t="s">
        <v>1325</v>
      </c>
      <c r="R16" s="534" t="str">
        <f t="shared" si="2"/>
        <v>1011</v>
      </c>
      <c r="S16" s="534" t="str">
        <f t="shared" si="3"/>
        <v>B4シール付き</v>
      </c>
      <c r="T16" s="538" t="str">
        <f t="shared" si="4"/>
        <v>10</v>
      </c>
      <c r="U16" s="538" t="str">
        <f t="shared" si="5"/>
        <v>11</v>
      </c>
      <c r="V16" s="471" t="s">
        <v>1136</v>
      </c>
      <c r="Y16" s="472">
        <f t="shared" si="6"/>
        <v>3.8</v>
      </c>
      <c r="Z16" s="540">
        <f t="shared" si="7"/>
        <v>0.3</v>
      </c>
      <c r="AA16" s="471">
        <v>0</v>
      </c>
    </row>
    <row r="17" spans="1:27">
      <c r="A17" s="451" t="str">
        <f>CONCATENATE(VLOOKUP(B17,★営業所!$A$1:$B$5,2,FALSE),VLOOKUP(D17,★サイズ表記!$D$4:$E$55,2,FALSE),VLOOKUP(F17,★折込地区!$A$1:$B$11,2,FALSE))</f>
        <v>T1012Tot</v>
      </c>
      <c r="B17" s="457" t="s">
        <v>275</v>
      </c>
      <c r="C17" s="452" t="str">
        <f>VLOOKUP(B17,★営業所!$A$1:$B$5,2,FALSE)</f>
        <v>T</v>
      </c>
      <c r="D17" s="465" t="s">
        <v>961</v>
      </c>
      <c r="E17" s="452" t="str">
        <f>VLOOKUP(D17,★サイズ表記!$D$4:$E$55,2,FALSE)</f>
        <v>1012</v>
      </c>
      <c r="F17" s="457" t="s">
        <v>282</v>
      </c>
      <c r="G17" s="452" t="str">
        <f>VLOOKUP(F17,★折込地区!$A$1:$B$11,2,FALSE)</f>
        <v>Tot</v>
      </c>
      <c r="H17" s="453">
        <f>INDEX(★サイズ表記!$I$4:$Q$55, MATCH(E17,★サイズ表記!$E$4:$E$55,0), MATCH(G17,★サイズ表記!$I$3:$R$3,0))</f>
        <v>4.9000000000000004</v>
      </c>
      <c r="K17" s="471" t="str">
        <f t="shared" si="0"/>
        <v>T1012Tot</v>
      </c>
      <c r="L17" s="471" t="str">
        <f t="shared" si="1"/>
        <v>B3シール付き</v>
      </c>
      <c r="P17" s="533" t="s">
        <v>1324</v>
      </c>
      <c r="Q17" s="533" t="s">
        <v>1325</v>
      </c>
      <c r="R17" s="534" t="str">
        <f t="shared" si="2"/>
        <v>1012</v>
      </c>
      <c r="S17" s="534" t="str">
        <f t="shared" si="3"/>
        <v>B3シール付き</v>
      </c>
      <c r="T17" s="538" t="str">
        <f t="shared" si="4"/>
        <v>10</v>
      </c>
      <c r="U17" s="538" t="str">
        <f t="shared" si="5"/>
        <v>12</v>
      </c>
      <c r="V17" s="471" t="s">
        <v>1136</v>
      </c>
      <c r="Y17" s="472">
        <f t="shared" si="6"/>
        <v>4.9000000000000004</v>
      </c>
      <c r="Z17" s="540">
        <f t="shared" si="7"/>
        <v>0.39</v>
      </c>
      <c r="AA17" s="471">
        <v>0</v>
      </c>
    </row>
    <row r="18" spans="1:27">
      <c r="A18" s="451" t="str">
        <f>CONCATENATE(VLOOKUP(B18,★営業所!$A$1:$B$5,2,FALSE),VLOOKUP(D18,★サイズ表記!$D$4:$E$55,2,FALSE),VLOOKUP(F18,★折込地区!$A$1:$B$11,2,FALSE))</f>
        <v>T1013Tot</v>
      </c>
      <c r="B18" s="457" t="s">
        <v>275</v>
      </c>
      <c r="C18" s="452" t="str">
        <f>VLOOKUP(B18,★営業所!$A$1:$B$5,2,FALSE)</f>
        <v>T</v>
      </c>
      <c r="D18" s="465" t="s">
        <v>962</v>
      </c>
      <c r="E18" s="452" t="str">
        <f>VLOOKUP(D18,★サイズ表記!$D$4:$E$55,2,FALSE)</f>
        <v>1013</v>
      </c>
      <c r="F18" s="457" t="s">
        <v>282</v>
      </c>
      <c r="G18" s="452" t="str">
        <f>VLOOKUP(F18,★折込地区!$A$1:$B$11,2,FALSE)</f>
        <v>Tot</v>
      </c>
      <c r="H18" s="453">
        <f>INDEX(★サイズ表記!$I$4:$Q$55, MATCH(E18,★サイズ表記!$E$4:$E$55,0), MATCH(G18,★サイズ表記!$I$3:$R$3,0))</f>
        <v>3.8</v>
      </c>
      <c r="K18" s="471" t="str">
        <f t="shared" si="0"/>
        <v>T1013Tot</v>
      </c>
      <c r="L18" s="471" t="str">
        <f t="shared" si="1"/>
        <v>B4スクラッチ付き</v>
      </c>
      <c r="P18" s="533" t="s">
        <v>1324</v>
      </c>
      <c r="Q18" s="533" t="s">
        <v>1325</v>
      </c>
      <c r="R18" s="534" t="str">
        <f t="shared" si="2"/>
        <v>1013</v>
      </c>
      <c r="S18" s="534" t="str">
        <f t="shared" si="3"/>
        <v>B4スクラッチ付き</v>
      </c>
      <c r="T18" s="538" t="str">
        <f t="shared" si="4"/>
        <v>10</v>
      </c>
      <c r="U18" s="538" t="str">
        <f t="shared" si="5"/>
        <v>13</v>
      </c>
      <c r="V18" s="471" t="s">
        <v>1136</v>
      </c>
      <c r="Y18" s="472">
        <f t="shared" si="6"/>
        <v>3.8</v>
      </c>
      <c r="Z18" s="540">
        <f t="shared" si="7"/>
        <v>0.3</v>
      </c>
      <c r="AA18" s="471">
        <v>0</v>
      </c>
    </row>
    <row r="19" spans="1:27">
      <c r="A19" s="451" t="str">
        <f>CONCATENATE(VLOOKUP(B19,★営業所!$A$1:$B$5,2,FALSE),VLOOKUP(D19,★サイズ表記!$D$4:$E$55,2,FALSE),VLOOKUP(F19,★折込地区!$A$1:$B$11,2,FALSE))</f>
        <v>T2001Tot</v>
      </c>
      <c r="B19" s="457" t="s">
        <v>275</v>
      </c>
      <c r="C19" s="452" t="str">
        <f>VLOOKUP(B19,★営業所!$A$1:$B$5,2,FALSE)</f>
        <v>T</v>
      </c>
      <c r="D19" s="465" t="s">
        <v>963</v>
      </c>
      <c r="E19" s="452" t="str">
        <f>VLOOKUP(D19,★サイズ表記!$D$4:$E$55,2,FALSE)</f>
        <v>2001</v>
      </c>
      <c r="F19" s="457" t="s">
        <v>282</v>
      </c>
      <c r="G19" s="452" t="str">
        <f>VLOOKUP(F19,★折込地区!$A$1:$B$11,2,FALSE)</f>
        <v>Tot</v>
      </c>
      <c r="H19" s="453">
        <f>INDEX(★サイズ表記!$I$4:$Q$55, MATCH(E19,★サイズ表記!$E$4:$E$55,0), MATCH(G19,★サイズ表記!$I$3:$R$3,0))</f>
        <v>4.2</v>
      </c>
      <c r="K19" s="471" t="str">
        <f t="shared" si="0"/>
        <v>T2001Tot</v>
      </c>
      <c r="L19" s="471" t="str">
        <f t="shared" si="1"/>
        <v>連合B4</v>
      </c>
      <c r="P19" s="533" t="s">
        <v>1324</v>
      </c>
      <c r="Q19" s="533" t="s">
        <v>1325</v>
      </c>
      <c r="R19" s="534" t="str">
        <f t="shared" si="2"/>
        <v>2001</v>
      </c>
      <c r="S19" s="534" t="str">
        <f t="shared" si="3"/>
        <v>連合B4</v>
      </c>
      <c r="T19" s="538" t="str">
        <f t="shared" si="4"/>
        <v>20</v>
      </c>
      <c r="U19" s="538" t="str">
        <f t="shared" si="5"/>
        <v>01</v>
      </c>
      <c r="V19" s="471" t="s">
        <v>1136</v>
      </c>
      <c r="Y19" s="472">
        <f t="shared" si="6"/>
        <v>4.2</v>
      </c>
      <c r="Z19" s="540">
        <f t="shared" si="7"/>
        <v>0.33</v>
      </c>
      <c r="AA19" s="471">
        <v>0</v>
      </c>
    </row>
    <row r="20" spans="1:27">
      <c r="A20" s="451" t="str">
        <f>CONCATENATE(VLOOKUP(B20,★営業所!$A$1:$B$5,2,FALSE),VLOOKUP(D20,★サイズ表記!$D$4:$E$55,2,FALSE),VLOOKUP(F20,★折込地区!$A$1:$B$11,2,FALSE))</f>
        <v>T2002Tot</v>
      </c>
      <c r="B20" s="457" t="s">
        <v>275</v>
      </c>
      <c r="C20" s="452" t="str">
        <f>VLOOKUP(B20,★営業所!$A$1:$B$5,2,FALSE)</f>
        <v>T</v>
      </c>
      <c r="D20" s="465" t="s">
        <v>964</v>
      </c>
      <c r="E20" s="452" t="str">
        <f>VLOOKUP(D20,★サイズ表記!$D$4:$E$55,2,FALSE)</f>
        <v>2002</v>
      </c>
      <c r="F20" s="457" t="s">
        <v>282</v>
      </c>
      <c r="G20" s="452" t="str">
        <f>VLOOKUP(F20,★折込地区!$A$1:$B$11,2,FALSE)</f>
        <v>Tot</v>
      </c>
      <c r="H20" s="453">
        <f>INDEX(★サイズ表記!$I$4:$Q$55, MATCH(E20,★サイズ表記!$E$4:$E$55,0), MATCH(G20,★サイズ表記!$I$3:$R$3,0))</f>
        <v>5.85</v>
      </c>
      <c r="K20" s="471" t="str">
        <f t="shared" si="0"/>
        <v>T2002Tot</v>
      </c>
      <c r="L20" s="471" t="str">
        <f t="shared" si="1"/>
        <v>連合B3</v>
      </c>
      <c r="P20" s="533" t="s">
        <v>1324</v>
      </c>
      <c r="Q20" s="533" t="s">
        <v>1325</v>
      </c>
      <c r="R20" s="534" t="str">
        <f t="shared" si="2"/>
        <v>2002</v>
      </c>
      <c r="S20" s="534" t="str">
        <f t="shared" si="3"/>
        <v>連合B3</v>
      </c>
      <c r="T20" s="538" t="str">
        <f t="shared" si="4"/>
        <v>20</v>
      </c>
      <c r="U20" s="538" t="str">
        <f t="shared" si="5"/>
        <v>02</v>
      </c>
      <c r="V20" s="471" t="s">
        <v>1136</v>
      </c>
      <c r="Y20" s="472">
        <f t="shared" si="6"/>
        <v>5.85</v>
      </c>
      <c r="Z20" s="540">
        <f t="shared" si="7"/>
        <v>0.46</v>
      </c>
      <c r="AA20" s="471">
        <v>0</v>
      </c>
    </row>
    <row r="21" spans="1:27">
      <c r="A21" s="451" t="str">
        <f>CONCATENATE(VLOOKUP(B21,★営業所!$A$1:$B$5,2,FALSE),VLOOKUP(D21,★サイズ表記!$D$4:$E$55,2,FALSE),VLOOKUP(F21,★折込地区!$A$1:$B$11,2,FALSE))</f>
        <v>T2003Tot</v>
      </c>
      <c r="B21" s="457" t="s">
        <v>275</v>
      </c>
      <c r="C21" s="452" t="str">
        <f>VLOOKUP(B21,★営業所!$A$1:$B$5,2,FALSE)</f>
        <v>T</v>
      </c>
      <c r="D21" s="465" t="s">
        <v>965</v>
      </c>
      <c r="E21" s="452" t="str">
        <f>VLOOKUP(D21,★サイズ表記!$D$4:$E$55,2,FALSE)</f>
        <v>2003</v>
      </c>
      <c r="F21" s="457" t="s">
        <v>282</v>
      </c>
      <c r="G21" s="452" t="str">
        <f>VLOOKUP(F21,★折込地区!$A$1:$B$11,2,FALSE)</f>
        <v>Tot</v>
      </c>
      <c r="H21" s="453">
        <f>INDEX(★サイズ表記!$I$4:$Q$55, MATCH(E21,★サイズ表記!$E$4:$E$55,0), MATCH(G21,★サイズ表記!$I$3:$R$3,0))</f>
        <v>10.5</v>
      </c>
      <c r="K21" s="471" t="str">
        <f t="shared" si="0"/>
        <v>T2003Tot</v>
      </c>
      <c r="L21" s="471" t="str">
        <f t="shared" si="1"/>
        <v>連合B2</v>
      </c>
      <c r="P21" s="533" t="s">
        <v>1324</v>
      </c>
      <c r="Q21" s="533" t="s">
        <v>1325</v>
      </c>
      <c r="R21" s="534" t="str">
        <f t="shared" si="2"/>
        <v>2003</v>
      </c>
      <c r="S21" s="534" t="str">
        <f t="shared" si="3"/>
        <v>連合B2</v>
      </c>
      <c r="T21" s="538" t="str">
        <f t="shared" si="4"/>
        <v>20</v>
      </c>
      <c r="U21" s="538" t="str">
        <f t="shared" si="5"/>
        <v>03</v>
      </c>
      <c r="V21" s="471" t="s">
        <v>1136</v>
      </c>
      <c r="Y21" s="472">
        <f t="shared" si="6"/>
        <v>10.5</v>
      </c>
      <c r="Z21" s="540">
        <f t="shared" si="7"/>
        <v>0.84</v>
      </c>
      <c r="AA21" s="471">
        <v>0</v>
      </c>
    </row>
    <row r="22" spans="1:27">
      <c r="A22" s="451" t="str">
        <f>CONCATENATE(VLOOKUP(B22,★営業所!$A$1:$B$5,2,FALSE),VLOOKUP(D22,★サイズ表記!$D$4:$E$55,2,FALSE),VLOOKUP(F22,★折込地区!$A$1:$B$11,2,FALSE))</f>
        <v>T2004Tot</v>
      </c>
      <c r="B22" s="457" t="s">
        <v>275</v>
      </c>
      <c r="C22" s="452" t="str">
        <f>VLOOKUP(B22,★営業所!$A$1:$B$5,2,FALSE)</f>
        <v>T</v>
      </c>
      <c r="D22" s="465" t="s">
        <v>966</v>
      </c>
      <c r="E22" s="452" t="str">
        <f>VLOOKUP(D22,★サイズ表記!$D$4:$E$55,2,FALSE)</f>
        <v>2004</v>
      </c>
      <c r="F22" s="457" t="s">
        <v>282</v>
      </c>
      <c r="G22" s="452" t="str">
        <f>VLOOKUP(F22,★折込地区!$A$1:$B$11,2,FALSE)</f>
        <v>Tot</v>
      </c>
      <c r="H22" s="453">
        <f>INDEX(★サイズ表記!$I$4:$Q$55, MATCH(E22,★サイズ表記!$E$4:$E$55,0), MATCH(G22,★サイズ表記!$I$3:$R$3,0))</f>
        <v>10.5</v>
      </c>
      <c r="K22" s="471" t="str">
        <f t="shared" si="0"/>
        <v>T2004Tot</v>
      </c>
      <c r="L22" s="471" t="str">
        <f t="shared" si="1"/>
        <v>連合3つ折り</v>
      </c>
      <c r="P22" s="533" t="s">
        <v>1324</v>
      </c>
      <c r="Q22" s="533" t="s">
        <v>1325</v>
      </c>
      <c r="R22" s="534" t="str">
        <f t="shared" si="2"/>
        <v>2004</v>
      </c>
      <c r="S22" s="534" t="str">
        <f t="shared" si="3"/>
        <v>連合3つ折り</v>
      </c>
      <c r="T22" s="538" t="str">
        <f t="shared" si="4"/>
        <v>20</v>
      </c>
      <c r="U22" s="538" t="str">
        <f t="shared" si="5"/>
        <v>04</v>
      </c>
      <c r="V22" s="471" t="s">
        <v>1136</v>
      </c>
      <c r="Y22" s="472">
        <f t="shared" si="6"/>
        <v>10.5</v>
      </c>
      <c r="Z22" s="540">
        <f t="shared" si="7"/>
        <v>0.84</v>
      </c>
      <c r="AA22" s="471">
        <v>0</v>
      </c>
    </row>
    <row r="23" spans="1:27">
      <c r="A23" s="451" t="str">
        <f>CONCATENATE(VLOOKUP(B23,★営業所!$A$1:$B$5,2,FALSE),VLOOKUP(D23,★サイズ表記!$D$4:$E$55,2,FALSE),VLOOKUP(F23,★折込地区!$A$1:$B$11,2,FALSE))</f>
        <v>T2005Tot</v>
      </c>
      <c r="B23" s="457" t="s">
        <v>275</v>
      </c>
      <c r="C23" s="452" t="str">
        <f>VLOOKUP(B23,★営業所!$A$1:$B$5,2,FALSE)</f>
        <v>T</v>
      </c>
      <c r="D23" s="465" t="s">
        <v>967</v>
      </c>
      <c r="E23" s="452" t="str">
        <f>VLOOKUP(D23,★サイズ表記!$D$4:$E$55,2,FALSE)</f>
        <v>2005</v>
      </c>
      <c r="F23" s="457" t="s">
        <v>282</v>
      </c>
      <c r="G23" s="452" t="str">
        <f>VLOOKUP(F23,★折込地区!$A$1:$B$11,2,FALSE)</f>
        <v>Tot</v>
      </c>
      <c r="H23" s="453">
        <f>INDEX(★サイズ表記!$I$4:$Q$55, MATCH(E23,★サイズ表記!$E$4:$E$55,0), MATCH(G23,★サイズ表記!$I$3:$R$3,0))</f>
        <v>4.7</v>
      </c>
      <c r="K23" s="471" t="str">
        <f t="shared" si="0"/>
        <v>T2005Tot</v>
      </c>
      <c r="L23" s="471" t="str">
        <f t="shared" si="1"/>
        <v>連合B4厚紙</v>
      </c>
      <c r="P23" s="533" t="s">
        <v>1324</v>
      </c>
      <c r="Q23" s="533" t="s">
        <v>1325</v>
      </c>
      <c r="R23" s="534" t="str">
        <f t="shared" si="2"/>
        <v>2005</v>
      </c>
      <c r="S23" s="534" t="str">
        <f t="shared" si="3"/>
        <v>連合B4厚紙</v>
      </c>
      <c r="T23" s="538" t="str">
        <f t="shared" si="4"/>
        <v>20</v>
      </c>
      <c r="U23" s="538" t="str">
        <f t="shared" si="5"/>
        <v>05</v>
      </c>
      <c r="V23" s="471" t="s">
        <v>1136</v>
      </c>
      <c r="Y23" s="472">
        <f t="shared" si="6"/>
        <v>4.7</v>
      </c>
      <c r="Z23" s="540">
        <f t="shared" si="7"/>
        <v>0.37</v>
      </c>
      <c r="AA23" s="471">
        <v>0</v>
      </c>
    </row>
    <row r="24" spans="1:27">
      <c r="A24" s="451" t="str">
        <f>CONCATENATE(VLOOKUP(B24,★営業所!$A$1:$B$5,2,FALSE),VLOOKUP(D24,★サイズ表記!$D$4:$E$55,2,FALSE),VLOOKUP(F24,★折込地区!$A$1:$B$11,2,FALSE))</f>
        <v>T2006Tot</v>
      </c>
      <c r="B24" s="457" t="s">
        <v>275</v>
      </c>
      <c r="C24" s="452" t="str">
        <f>VLOOKUP(B24,★営業所!$A$1:$B$5,2,FALSE)</f>
        <v>T</v>
      </c>
      <c r="D24" s="465" t="s">
        <v>968</v>
      </c>
      <c r="E24" s="452" t="str">
        <f>VLOOKUP(D24,★サイズ表記!$D$4:$E$55,2,FALSE)</f>
        <v>2006</v>
      </c>
      <c r="F24" s="457" t="s">
        <v>282</v>
      </c>
      <c r="G24" s="452" t="str">
        <f>VLOOKUP(F24,★折込地区!$A$1:$B$11,2,FALSE)</f>
        <v>Tot</v>
      </c>
      <c r="H24" s="453">
        <f>INDEX(★サイズ表記!$I$4:$Q$55, MATCH(E24,★サイズ表記!$E$4:$E$55,0), MATCH(G24,★サイズ表記!$I$3:$R$3,0))</f>
        <v>7.35</v>
      </c>
      <c r="K24" s="471" t="str">
        <f t="shared" si="0"/>
        <v>T2006Tot</v>
      </c>
      <c r="L24" s="471" t="str">
        <f t="shared" si="1"/>
        <v>連合2つ折り極小</v>
      </c>
      <c r="P24" s="533" t="s">
        <v>1324</v>
      </c>
      <c r="Q24" s="533" t="s">
        <v>1325</v>
      </c>
      <c r="R24" s="534" t="str">
        <f t="shared" si="2"/>
        <v>2006</v>
      </c>
      <c r="S24" s="534" t="str">
        <f t="shared" si="3"/>
        <v>連合2つ折り極小</v>
      </c>
      <c r="T24" s="538" t="str">
        <f t="shared" si="4"/>
        <v>20</v>
      </c>
      <c r="U24" s="538" t="str">
        <f t="shared" si="5"/>
        <v>06</v>
      </c>
      <c r="V24" s="471" t="s">
        <v>1136</v>
      </c>
      <c r="Y24" s="472">
        <f t="shared" si="6"/>
        <v>7.35</v>
      </c>
      <c r="Z24" s="540">
        <f t="shared" si="7"/>
        <v>0.57999999999999996</v>
      </c>
      <c r="AA24" s="471">
        <v>0</v>
      </c>
    </row>
    <row r="25" spans="1:27">
      <c r="A25" s="451" t="str">
        <f>CONCATENATE(VLOOKUP(B25,★営業所!$A$1:$B$5,2,FALSE),VLOOKUP(D25,★サイズ表記!$D$4:$E$55,2,FALSE),VLOOKUP(F25,★折込地区!$A$1:$B$11,2,FALSE))</f>
        <v>T2007Tot</v>
      </c>
      <c r="B25" s="457" t="s">
        <v>275</v>
      </c>
      <c r="C25" s="452" t="str">
        <f>VLOOKUP(B25,★営業所!$A$1:$B$5,2,FALSE)</f>
        <v>T</v>
      </c>
      <c r="D25" s="465" t="s">
        <v>1365</v>
      </c>
      <c r="E25" s="452" t="str">
        <f>VLOOKUP(D25,★サイズ表記!$D$4:$E$55,2,FALSE)</f>
        <v>2007</v>
      </c>
      <c r="F25" s="457" t="s">
        <v>282</v>
      </c>
      <c r="G25" s="452" t="str">
        <f>VLOOKUP(F25,★折込地区!$A$1:$B$11,2,FALSE)</f>
        <v>Tot</v>
      </c>
      <c r="H25" s="453">
        <f>INDEX(★サイズ表記!$I$4:$Q$55, MATCH(E25,★サイズ表記!$E$4:$E$55,0), MATCH(G25,★サイズ表記!$I$3:$R$3,0))</f>
        <v>10.050000000000001</v>
      </c>
      <c r="K25" s="471" t="str">
        <f t="shared" si="0"/>
        <v>T2007Tot</v>
      </c>
      <c r="L25" s="471" t="str">
        <f t="shared" si="1"/>
        <v>連合タブ6P</v>
      </c>
      <c r="P25" s="533" t="s">
        <v>1324</v>
      </c>
      <c r="Q25" s="533" t="s">
        <v>1325</v>
      </c>
      <c r="R25" s="534" t="str">
        <f t="shared" si="2"/>
        <v>2007</v>
      </c>
      <c r="S25" s="534" t="str">
        <f t="shared" si="3"/>
        <v>連合タブ6P</v>
      </c>
      <c r="T25" s="538" t="str">
        <f t="shared" si="4"/>
        <v>20</v>
      </c>
      <c r="U25" s="538" t="str">
        <f t="shared" si="5"/>
        <v>07</v>
      </c>
      <c r="V25" s="471" t="s">
        <v>1136</v>
      </c>
      <c r="Y25" s="472">
        <f t="shared" si="6"/>
        <v>10.050000000000001</v>
      </c>
      <c r="Z25" s="540">
        <f t="shared" si="7"/>
        <v>0.8</v>
      </c>
      <c r="AA25" s="471">
        <v>0</v>
      </c>
    </row>
    <row r="26" spans="1:27">
      <c r="A26" s="451" t="str">
        <f>CONCATENATE(VLOOKUP(B26,★営業所!$A$1:$B$5,2,FALSE),VLOOKUP(D26,★サイズ表記!$D$4:$E$55,2,FALSE),VLOOKUP(F26,★折込地区!$A$1:$B$11,2,FALSE))</f>
        <v>T2008Tot</v>
      </c>
      <c r="B26" s="457" t="s">
        <v>275</v>
      </c>
      <c r="C26" s="452" t="str">
        <f>VLOOKUP(B26,★営業所!$A$1:$B$5,2,FALSE)</f>
        <v>T</v>
      </c>
      <c r="D26" s="465" t="s">
        <v>1366</v>
      </c>
      <c r="E26" s="452" t="str">
        <f>VLOOKUP(D26,★サイズ表記!$D$4:$E$55,2,FALSE)</f>
        <v>2008</v>
      </c>
      <c r="F26" s="457" t="s">
        <v>282</v>
      </c>
      <c r="G26" s="452" t="str">
        <f>VLOOKUP(F26,★折込地区!$A$1:$B$11,2,FALSE)</f>
        <v>Tot</v>
      </c>
      <c r="H26" s="453">
        <f>INDEX(★サイズ表記!$I$4:$Q$55, MATCH(E26,★サイズ表記!$E$4:$E$55,0), MATCH(G26,★サイズ表記!$I$3:$R$3,0))</f>
        <v>10.5</v>
      </c>
      <c r="K26" s="471" t="str">
        <f t="shared" si="0"/>
        <v>T2008Tot</v>
      </c>
      <c r="L26" s="471" t="str">
        <f t="shared" si="1"/>
        <v>連合タブ8P</v>
      </c>
      <c r="P26" s="533" t="s">
        <v>1324</v>
      </c>
      <c r="Q26" s="533" t="s">
        <v>1325</v>
      </c>
      <c r="R26" s="534" t="str">
        <f t="shared" si="2"/>
        <v>2008</v>
      </c>
      <c r="S26" s="534" t="str">
        <f t="shared" si="3"/>
        <v>連合タブ8P</v>
      </c>
      <c r="T26" s="538" t="str">
        <f t="shared" si="4"/>
        <v>20</v>
      </c>
      <c r="U26" s="538" t="str">
        <f t="shared" si="5"/>
        <v>08</v>
      </c>
      <c r="V26" s="471" t="s">
        <v>1136</v>
      </c>
      <c r="Y26" s="472">
        <f t="shared" si="6"/>
        <v>10.5</v>
      </c>
      <c r="Z26" s="540">
        <f t="shared" si="7"/>
        <v>0.84</v>
      </c>
      <c r="AA26" s="471">
        <v>0</v>
      </c>
    </row>
    <row r="27" spans="1:27">
      <c r="A27" s="451" t="str">
        <f>CONCATENATE(VLOOKUP(B27,★営業所!$A$1:$B$5,2,FALSE),VLOOKUP(D27,★サイズ表記!$D$4:$E$55,2,FALSE),VLOOKUP(F27,★折込地区!$A$1:$B$11,2,FALSE))</f>
        <v>T2009Tot</v>
      </c>
      <c r="B27" s="457" t="s">
        <v>275</v>
      </c>
      <c r="C27" s="452" t="str">
        <f>VLOOKUP(B27,★営業所!$A$1:$B$5,2,FALSE)</f>
        <v>T</v>
      </c>
      <c r="D27" s="465" t="s">
        <v>1364</v>
      </c>
      <c r="E27" s="452" t="str">
        <f>VLOOKUP(D27,★サイズ表記!$D$4:$E$55,2,FALSE)</f>
        <v>2009</v>
      </c>
      <c r="F27" s="457" t="s">
        <v>282</v>
      </c>
      <c r="G27" s="452" t="str">
        <f>VLOOKUP(F27,★折込地区!$A$1:$B$11,2,FALSE)</f>
        <v>Tot</v>
      </c>
      <c r="H27" s="453">
        <f>INDEX(★サイズ表記!$I$4:$Q$55, MATCH(E27,★サイズ表記!$E$4:$E$55,0), MATCH(G27,★サイズ表記!$I$3:$R$3,0))</f>
        <v>16.350000000000001</v>
      </c>
      <c r="K27" s="471" t="str">
        <f t="shared" si="0"/>
        <v>T2009Tot</v>
      </c>
      <c r="L27" s="471" t="str">
        <f t="shared" si="1"/>
        <v>連合タブ12P</v>
      </c>
      <c r="P27" s="533" t="s">
        <v>1324</v>
      </c>
      <c r="Q27" s="533" t="s">
        <v>1325</v>
      </c>
      <c r="R27" s="534" t="str">
        <f t="shared" si="2"/>
        <v>2009</v>
      </c>
      <c r="S27" s="534" t="str">
        <f t="shared" si="3"/>
        <v>連合タブ12P</v>
      </c>
      <c r="T27" s="538" t="str">
        <f t="shared" si="4"/>
        <v>20</v>
      </c>
      <c r="U27" s="538" t="str">
        <f t="shared" si="5"/>
        <v>09</v>
      </c>
      <c r="V27" s="471" t="s">
        <v>1136</v>
      </c>
      <c r="Y27" s="472">
        <f t="shared" si="6"/>
        <v>16.350000000000001</v>
      </c>
      <c r="Z27" s="540">
        <f t="shared" si="7"/>
        <v>1.3</v>
      </c>
      <c r="AA27" s="471">
        <v>0</v>
      </c>
    </row>
    <row r="28" spans="1:27">
      <c r="A28" s="451" t="str">
        <f>CONCATENATE(VLOOKUP(B28,★営業所!$A$1:$B$5,2,FALSE),VLOOKUP(D28,★サイズ表記!$D$4:$E$55,2,FALSE),VLOOKUP(F28,★折込地区!$A$1:$B$11,2,FALSE))</f>
        <v>T3001Tot</v>
      </c>
      <c r="B28" s="457" t="s">
        <v>275</v>
      </c>
      <c r="C28" s="452" t="str">
        <f>VLOOKUP(B28,★営業所!$A$1:$B$5,2,FALSE)</f>
        <v>T</v>
      </c>
      <c r="D28" s="465" t="s">
        <v>969</v>
      </c>
      <c r="E28" s="452" t="str">
        <f>VLOOKUP(D28,★サイズ表記!$D$4:$E$55,2,FALSE)</f>
        <v>3001</v>
      </c>
      <c r="F28" s="457" t="s">
        <v>282</v>
      </c>
      <c r="G28" s="452" t="str">
        <f>VLOOKUP(F28,★折込地区!$A$1:$B$11,2,FALSE)</f>
        <v>Tot</v>
      </c>
      <c r="H28" s="453">
        <f>INDEX(★サイズ表記!$I$4:$Q$55, MATCH(E28,★サイズ表記!$E$4:$E$55,0), MATCH(G28,★サイズ表記!$I$3:$R$3,0))</f>
        <v>4.2</v>
      </c>
      <c r="K28" s="471" t="str">
        <f t="shared" si="0"/>
        <v>T3001Tot</v>
      </c>
      <c r="L28" s="471" t="str">
        <f t="shared" si="1"/>
        <v>政治B4</v>
      </c>
      <c r="P28" s="533" t="s">
        <v>1324</v>
      </c>
      <c r="Q28" s="533" t="s">
        <v>1325</v>
      </c>
      <c r="R28" s="534" t="str">
        <f t="shared" si="2"/>
        <v>3001</v>
      </c>
      <c r="S28" s="534" t="str">
        <f t="shared" si="3"/>
        <v>政治B4</v>
      </c>
      <c r="T28" s="538" t="str">
        <f t="shared" si="4"/>
        <v>30</v>
      </c>
      <c r="U28" s="538" t="str">
        <f t="shared" si="5"/>
        <v>01</v>
      </c>
      <c r="V28" s="471" t="s">
        <v>1136</v>
      </c>
      <c r="Y28" s="472">
        <f t="shared" si="6"/>
        <v>4.2</v>
      </c>
      <c r="Z28" s="540">
        <f t="shared" si="7"/>
        <v>0.33</v>
      </c>
      <c r="AA28" s="471">
        <v>0</v>
      </c>
    </row>
    <row r="29" spans="1:27">
      <c r="A29" s="451" t="str">
        <f>CONCATENATE(VLOOKUP(B29,★営業所!$A$1:$B$5,2,FALSE),VLOOKUP(D29,★サイズ表記!$D$4:$E$55,2,FALSE),VLOOKUP(F29,★折込地区!$A$1:$B$11,2,FALSE))</f>
        <v>T3002Tot</v>
      </c>
      <c r="B29" s="457" t="s">
        <v>275</v>
      </c>
      <c r="C29" s="452" t="str">
        <f>VLOOKUP(B29,★営業所!$A$1:$B$5,2,FALSE)</f>
        <v>T</v>
      </c>
      <c r="D29" s="465" t="s">
        <v>970</v>
      </c>
      <c r="E29" s="452" t="str">
        <f>VLOOKUP(D29,★サイズ表記!$D$4:$E$55,2,FALSE)</f>
        <v>3002</v>
      </c>
      <c r="F29" s="457" t="s">
        <v>282</v>
      </c>
      <c r="G29" s="452" t="str">
        <f>VLOOKUP(F29,★折込地区!$A$1:$B$11,2,FALSE)</f>
        <v>Tot</v>
      </c>
      <c r="H29" s="453">
        <f>INDEX(★サイズ表記!$I$4:$Q$55, MATCH(E29,★サイズ表記!$E$4:$E$55,0), MATCH(G29,★サイズ表記!$I$3:$R$3,0))</f>
        <v>5.85</v>
      </c>
      <c r="K29" s="471" t="str">
        <f t="shared" si="0"/>
        <v>T3002Tot</v>
      </c>
      <c r="L29" s="471" t="str">
        <f t="shared" si="1"/>
        <v>政治B3</v>
      </c>
      <c r="P29" s="533" t="s">
        <v>1324</v>
      </c>
      <c r="Q29" s="533" t="s">
        <v>1325</v>
      </c>
      <c r="R29" s="534" t="str">
        <f t="shared" si="2"/>
        <v>3002</v>
      </c>
      <c r="S29" s="534" t="str">
        <f t="shared" si="3"/>
        <v>政治B3</v>
      </c>
      <c r="T29" s="538" t="str">
        <f t="shared" si="4"/>
        <v>30</v>
      </c>
      <c r="U29" s="538" t="str">
        <f t="shared" si="5"/>
        <v>02</v>
      </c>
      <c r="V29" s="471" t="s">
        <v>1136</v>
      </c>
      <c r="Y29" s="472">
        <f t="shared" si="6"/>
        <v>5.85</v>
      </c>
      <c r="Z29" s="540">
        <f t="shared" si="7"/>
        <v>0.46</v>
      </c>
      <c r="AA29" s="471">
        <v>0</v>
      </c>
    </row>
    <row r="30" spans="1:27">
      <c r="A30" s="451" t="str">
        <f>CONCATENATE(VLOOKUP(B30,★営業所!$A$1:$B$5,2,FALSE),VLOOKUP(D30,★サイズ表記!$D$4:$E$55,2,FALSE),VLOOKUP(F30,★折込地区!$A$1:$B$11,2,FALSE))</f>
        <v>T3003Tot</v>
      </c>
      <c r="B30" s="457" t="s">
        <v>275</v>
      </c>
      <c r="C30" s="452" t="str">
        <f>VLOOKUP(B30,★営業所!$A$1:$B$5,2,FALSE)</f>
        <v>T</v>
      </c>
      <c r="D30" s="465" t="s">
        <v>971</v>
      </c>
      <c r="E30" s="452" t="str">
        <f>VLOOKUP(D30,★サイズ表記!$D$4:$E$55,2,FALSE)</f>
        <v>3003</v>
      </c>
      <c r="F30" s="457" t="s">
        <v>282</v>
      </c>
      <c r="G30" s="452" t="str">
        <f>VLOOKUP(F30,★折込地区!$A$1:$B$11,2,FALSE)</f>
        <v>Tot</v>
      </c>
      <c r="H30" s="453">
        <f>INDEX(★サイズ表記!$I$4:$Q$55, MATCH(E30,★サイズ表記!$E$4:$E$55,0), MATCH(G30,★サイズ表記!$I$3:$R$3,0))</f>
        <v>10.5</v>
      </c>
      <c r="K30" s="471" t="str">
        <f t="shared" si="0"/>
        <v>T3003Tot</v>
      </c>
      <c r="L30" s="471" t="str">
        <f t="shared" si="1"/>
        <v>政治B2</v>
      </c>
      <c r="P30" s="533" t="s">
        <v>1324</v>
      </c>
      <c r="Q30" s="533" t="s">
        <v>1325</v>
      </c>
      <c r="R30" s="534" t="str">
        <f t="shared" si="2"/>
        <v>3003</v>
      </c>
      <c r="S30" s="534" t="str">
        <f t="shared" si="3"/>
        <v>政治B2</v>
      </c>
      <c r="T30" s="538" t="str">
        <f t="shared" si="4"/>
        <v>30</v>
      </c>
      <c r="U30" s="538" t="str">
        <f t="shared" si="5"/>
        <v>03</v>
      </c>
      <c r="V30" s="471" t="s">
        <v>1136</v>
      </c>
      <c r="Y30" s="472">
        <f t="shared" si="6"/>
        <v>10.5</v>
      </c>
      <c r="Z30" s="540">
        <f t="shared" si="7"/>
        <v>0.84</v>
      </c>
      <c r="AA30" s="471">
        <v>0</v>
      </c>
    </row>
    <row r="31" spans="1:27">
      <c r="A31" s="451" t="str">
        <f>CONCATENATE(VLOOKUP(B31,★営業所!$A$1:$B$5,2,FALSE),VLOOKUP(D31,★サイズ表記!$D$4:$E$55,2,FALSE),VLOOKUP(F31,★折込地区!$A$1:$B$11,2,FALSE))</f>
        <v>T3004Tot</v>
      </c>
      <c r="B31" s="457" t="s">
        <v>275</v>
      </c>
      <c r="C31" s="452" t="str">
        <f>VLOOKUP(B31,★営業所!$A$1:$B$5,2,FALSE)</f>
        <v>T</v>
      </c>
      <c r="D31" s="465" t="s">
        <v>972</v>
      </c>
      <c r="E31" s="452" t="str">
        <f>VLOOKUP(D31,★サイズ表記!$D$4:$E$55,2,FALSE)</f>
        <v>3004</v>
      </c>
      <c r="F31" s="457" t="s">
        <v>282</v>
      </c>
      <c r="G31" s="452" t="str">
        <f>VLOOKUP(F31,★折込地区!$A$1:$B$11,2,FALSE)</f>
        <v>Tot</v>
      </c>
      <c r="H31" s="453">
        <f>INDEX(★サイズ表記!$I$4:$Q$55, MATCH(E31,★サイズ表記!$E$4:$E$55,0), MATCH(G31,★サイズ表記!$I$3:$R$3,0))</f>
        <v>10.5</v>
      </c>
      <c r="K31" s="471" t="str">
        <f t="shared" si="0"/>
        <v>T3004Tot</v>
      </c>
      <c r="L31" s="471" t="str">
        <f t="shared" si="1"/>
        <v>政治3つ折り</v>
      </c>
      <c r="P31" s="533" t="s">
        <v>1324</v>
      </c>
      <c r="Q31" s="533" t="s">
        <v>1325</v>
      </c>
      <c r="R31" s="534" t="str">
        <f t="shared" si="2"/>
        <v>3004</v>
      </c>
      <c r="S31" s="534" t="str">
        <f t="shared" si="3"/>
        <v>政治3つ折り</v>
      </c>
      <c r="T31" s="538" t="str">
        <f t="shared" si="4"/>
        <v>30</v>
      </c>
      <c r="U31" s="538" t="str">
        <f t="shared" si="5"/>
        <v>04</v>
      </c>
      <c r="V31" s="471" t="s">
        <v>1136</v>
      </c>
      <c r="Y31" s="472">
        <f t="shared" si="6"/>
        <v>10.5</v>
      </c>
      <c r="Z31" s="540">
        <f t="shared" si="7"/>
        <v>0.84</v>
      </c>
      <c r="AA31" s="471">
        <v>0</v>
      </c>
    </row>
    <row r="32" spans="1:27">
      <c r="A32" s="451" t="str">
        <f>CONCATENATE(VLOOKUP(B32,★営業所!$A$1:$B$5,2,FALSE),VLOOKUP(D32,★サイズ表記!$D$4:$E$55,2,FALSE),VLOOKUP(F32,★折込地区!$A$1:$B$11,2,FALSE))</f>
        <v>T3005Tot</v>
      </c>
      <c r="B32" s="457" t="s">
        <v>275</v>
      </c>
      <c r="C32" s="452" t="str">
        <f>VLOOKUP(B32,★営業所!$A$1:$B$5,2,FALSE)</f>
        <v>T</v>
      </c>
      <c r="D32" s="465" t="s">
        <v>973</v>
      </c>
      <c r="E32" s="452" t="str">
        <f>VLOOKUP(D32,★サイズ表記!$D$4:$E$55,2,FALSE)</f>
        <v>3005</v>
      </c>
      <c r="F32" s="457" t="s">
        <v>282</v>
      </c>
      <c r="G32" s="452" t="str">
        <f>VLOOKUP(F32,★折込地区!$A$1:$B$11,2,FALSE)</f>
        <v>Tot</v>
      </c>
      <c r="H32" s="453">
        <f>INDEX(★サイズ表記!$I$4:$Q$55, MATCH(E32,★サイズ表記!$E$4:$E$55,0), MATCH(G32,★サイズ表記!$I$3:$R$3,0))</f>
        <v>7.35</v>
      </c>
      <c r="K32" s="471" t="str">
        <f t="shared" si="0"/>
        <v>T3005Tot</v>
      </c>
      <c r="L32" s="471" t="str">
        <f t="shared" si="1"/>
        <v>政治2つ折り極小</v>
      </c>
      <c r="P32" s="533" t="s">
        <v>1324</v>
      </c>
      <c r="Q32" s="533" t="s">
        <v>1325</v>
      </c>
      <c r="R32" s="534" t="str">
        <f t="shared" si="2"/>
        <v>3005</v>
      </c>
      <c r="S32" s="534" t="str">
        <f t="shared" si="3"/>
        <v>政治2つ折り極小</v>
      </c>
      <c r="T32" s="538" t="str">
        <f t="shared" si="4"/>
        <v>30</v>
      </c>
      <c r="U32" s="538" t="str">
        <f t="shared" si="5"/>
        <v>05</v>
      </c>
      <c r="V32" s="471" t="s">
        <v>1136</v>
      </c>
      <c r="Y32" s="472">
        <f t="shared" si="6"/>
        <v>7.35</v>
      </c>
      <c r="Z32" s="540">
        <f t="shared" si="7"/>
        <v>0.57999999999999996</v>
      </c>
      <c r="AA32" s="471">
        <v>0</v>
      </c>
    </row>
    <row r="33" spans="1:27">
      <c r="A33" s="451" t="str">
        <f>CONCATENATE(VLOOKUP(B33,★営業所!$A$1:$B$5,2,FALSE),VLOOKUP(D33,★サイズ表記!$D$4:$E$55,2,FALSE),VLOOKUP(F33,★折込地区!$A$1:$B$11,2,FALSE))</f>
        <v>T3006Tot</v>
      </c>
      <c r="B33" s="457" t="s">
        <v>275</v>
      </c>
      <c r="C33" s="452" t="str">
        <f>VLOOKUP(B33,★営業所!$A$1:$B$5,2,FALSE)</f>
        <v>T</v>
      </c>
      <c r="D33" s="465" t="s">
        <v>974</v>
      </c>
      <c r="E33" s="452" t="str">
        <f>VLOOKUP(D33,★サイズ表記!$D$4:$E$55,2,FALSE)</f>
        <v>3006</v>
      </c>
      <c r="F33" s="457" t="s">
        <v>282</v>
      </c>
      <c r="G33" s="452" t="str">
        <f>VLOOKUP(F33,★折込地区!$A$1:$B$11,2,FALSE)</f>
        <v>Tot</v>
      </c>
      <c r="H33" s="453">
        <f>INDEX(★サイズ表記!$I$4:$Q$55, MATCH(E33,★サイズ表記!$E$4:$E$55,0), MATCH(G33,★サイズ表記!$I$3:$R$3,0))</f>
        <v>4.7</v>
      </c>
      <c r="K33" s="471" t="str">
        <f t="shared" si="0"/>
        <v>T3006Tot</v>
      </c>
      <c r="L33" s="471" t="str">
        <f t="shared" si="1"/>
        <v>政治B4厚紙</v>
      </c>
      <c r="P33" s="533" t="s">
        <v>1324</v>
      </c>
      <c r="Q33" s="533" t="s">
        <v>1325</v>
      </c>
      <c r="R33" s="534" t="str">
        <f t="shared" si="2"/>
        <v>3006</v>
      </c>
      <c r="S33" s="534" t="str">
        <f t="shared" si="3"/>
        <v>政治B4厚紙</v>
      </c>
      <c r="T33" s="538" t="str">
        <f t="shared" si="4"/>
        <v>30</v>
      </c>
      <c r="U33" s="538" t="str">
        <f t="shared" si="5"/>
        <v>06</v>
      </c>
      <c r="V33" s="471" t="s">
        <v>1136</v>
      </c>
      <c r="Y33" s="472">
        <f t="shared" si="6"/>
        <v>4.7</v>
      </c>
      <c r="Z33" s="540">
        <f t="shared" si="7"/>
        <v>0.37</v>
      </c>
      <c r="AA33" s="471">
        <v>0</v>
      </c>
    </row>
    <row r="34" spans="1:27">
      <c r="A34" s="451" t="str">
        <f>CONCATENATE(VLOOKUP(B34,★営業所!$A$1:$B$5,2,FALSE),VLOOKUP(D34,★サイズ表記!$D$4:$E$55,2,FALSE),VLOOKUP(F34,★折込地区!$A$1:$B$11,2,FALSE))</f>
        <v>T3007Tot</v>
      </c>
      <c r="B34" s="457" t="s">
        <v>275</v>
      </c>
      <c r="C34" s="452" t="str">
        <f>VLOOKUP(B34,★営業所!$A$1:$B$5,2,FALSE)</f>
        <v>T</v>
      </c>
      <c r="D34" s="465" t="s">
        <v>1362</v>
      </c>
      <c r="E34" s="452" t="str">
        <f>VLOOKUP(D34,★サイズ表記!$D$4:$E$55,2,FALSE)</f>
        <v>3007</v>
      </c>
      <c r="F34" s="457" t="s">
        <v>282</v>
      </c>
      <c r="G34" s="452" t="str">
        <f>VLOOKUP(F34,★折込地区!$A$1:$B$11,2,FALSE)</f>
        <v>Tot</v>
      </c>
      <c r="H34" s="453">
        <f>INDEX(★サイズ表記!$I$4:$Q$55, MATCH(E34,★サイズ表記!$E$4:$E$55,0), MATCH(G34,★サイズ表記!$I$3:$R$3,0))</f>
        <v>10.050000000000001</v>
      </c>
      <c r="K34" s="471" t="str">
        <f t="shared" si="0"/>
        <v>T3007Tot</v>
      </c>
      <c r="L34" s="471" t="str">
        <f t="shared" si="1"/>
        <v>政治タブ6P</v>
      </c>
      <c r="P34" s="533" t="s">
        <v>1324</v>
      </c>
      <c r="Q34" s="533" t="s">
        <v>1325</v>
      </c>
      <c r="R34" s="534" t="str">
        <f t="shared" si="2"/>
        <v>3007</v>
      </c>
      <c r="S34" s="534" t="str">
        <f t="shared" si="3"/>
        <v>政治タブ6P</v>
      </c>
      <c r="T34" s="538" t="str">
        <f t="shared" si="4"/>
        <v>30</v>
      </c>
      <c r="U34" s="538" t="str">
        <f t="shared" si="5"/>
        <v>07</v>
      </c>
      <c r="V34" s="471" t="s">
        <v>1136</v>
      </c>
      <c r="Y34" s="472">
        <f t="shared" si="6"/>
        <v>10.050000000000001</v>
      </c>
      <c r="Z34" s="540">
        <f t="shared" si="7"/>
        <v>0.8</v>
      </c>
      <c r="AA34" s="471">
        <v>0</v>
      </c>
    </row>
    <row r="35" spans="1:27">
      <c r="A35" s="451" t="str">
        <f>CONCATENATE(VLOOKUP(B35,★営業所!$A$1:$B$5,2,FALSE),VLOOKUP(D35,★サイズ表記!$D$4:$E$55,2,FALSE),VLOOKUP(F35,★折込地区!$A$1:$B$11,2,FALSE))</f>
        <v>T3008Tot</v>
      </c>
      <c r="B35" s="457" t="s">
        <v>275</v>
      </c>
      <c r="C35" s="452" t="str">
        <f>VLOOKUP(B35,★営業所!$A$1:$B$5,2,FALSE)</f>
        <v>T</v>
      </c>
      <c r="D35" s="465" t="s">
        <v>1363</v>
      </c>
      <c r="E35" s="452" t="str">
        <f>VLOOKUP(D35,★サイズ表記!$D$4:$E$55,2,FALSE)</f>
        <v>3008</v>
      </c>
      <c r="F35" s="457" t="s">
        <v>282</v>
      </c>
      <c r="G35" s="452" t="str">
        <f>VLOOKUP(F35,★折込地区!$A$1:$B$11,2,FALSE)</f>
        <v>Tot</v>
      </c>
      <c r="H35" s="453">
        <f>INDEX(★サイズ表記!$I$4:$Q$55, MATCH(E35,★サイズ表記!$E$4:$E$55,0), MATCH(G35,★サイズ表記!$I$3:$R$3,0))</f>
        <v>10.5</v>
      </c>
      <c r="K35" s="471" t="str">
        <f t="shared" si="0"/>
        <v>T3008Tot</v>
      </c>
      <c r="L35" s="471" t="str">
        <f t="shared" si="1"/>
        <v>政治タブ8P</v>
      </c>
      <c r="P35" s="533" t="s">
        <v>1324</v>
      </c>
      <c r="Q35" s="533" t="s">
        <v>1325</v>
      </c>
      <c r="R35" s="534" t="str">
        <f t="shared" si="2"/>
        <v>3008</v>
      </c>
      <c r="S35" s="534" t="str">
        <f t="shared" si="3"/>
        <v>政治タブ8P</v>
      </c>
      <c r="T35" s="538" t="str">
        <f t="shared" si="4"/>
        <v>30</v>
      </c>
      <c r="U35" s="538" t="str">
        <f t="shared" si="5"/>
        <v>08</v>
      </c>
      <c r="V35" s="471" t="s">
        <v>1136</v>
      </c>
      <c r="Y35" s="472">
        <f t="shared" si="6"/>
        <v>10.5</v>
      </c>
      <c r="Z35" s="540">
        <f t="shared" si="7"/>
        <v>0.84</v>
      </c>
      <c r="AA35" s="471">
        <v>0</v>
      </c>
    </row>
    <row r="36" spans="1:27">
      <c r="A36" s="451" t="str">
        <f>CONCATENATE(VLOOKUP(B36,★営業所!$A$1:$B$5,2,FALSE),VLOOKUP(D36,★サイズ表記!$D$4:$E$55,2,FALSE),VLOOKUP(F36,★折込地区!$A$1:$B$11,2,FALSE))</f>
        <v>T3009Tot</v>
      </c>
      <c r="B36" s="457" t="s">
        <v>275</v>
      </c>
      <c r="C36" s="452" t="str">
        <f>VLOOKUP(B36,★営業所!$A$1:$B$5,2,FALSE)</f>
        <v>T</v>
      </c>
      <c r="D36" s="465" t="s">
        <v>1361</v>
      </c>
      <c r="E36" s="452" t="str">
        <f>VLOOKUP(D36,★サイズ表記!$D$4:$E$55,2,FALSE)</f>
        <v>3009</v>
      </c>
      <c r="F36" s="457" t="s">
        <v>282</v>
      </c>
      <c r="G36" s="452" t="str">
        <f>VLOOKUP(F36,★折込地区!$A$1:$B$11,2,FALSE)</f>
        <v>Tot</v>
      </c>
      <c r="H36" s="453">
        <f>INDEX(★サイズ表記!$I$4:$Q$55, MATCH(E36,★サイズ表記!$E$4:$E$55,0), MATCH(G36,★サイズ表記!$I$3:$R$3,0))</f>
        <v>16.350000000000001</v>
      </c>
      <c r="K36" s="471" t="str">
        <f t="shared" si="0"/>
        <v>T3009Tot</v>
      </c>
      <c r="L36" s="471" t="str">
        <f t="shared" si="1"/>
        <v>政治タブ12P</v>
      </c>
      <c r="P36" s="533" t="s">
        <v>1324</v>
      </c>
      <c r="Q36" s="533" t="s">
        <v>1325</v>
      </c>
      <c r="R36" s="534" t="str">
        <f t="shared" si="2"/>
        <v>3009</v>
      </c>
      <c r="S36" s="534" t="str">
        <f t="shared" si="3"/>
        <v>政治タブ12P</v>
      </c>
      <c r="T36" s="538" t="str">
        <f t="shared" si="4"/>
        <v>30</v>
      </c>
      <c r="U36" s="538" t="str">
        <f t="shared" si="5"/>
        <v>09</v>
      </c>
      <c r="V36" s="471" t="s">
        <v>1136</v>
      </c>
      <c r="Y36" s="472">
        <f t="shared" si="6"/>
        <v>16.350000000000001</v>
      </c>
      <c r="Z36" s="540">
        <f t="shared" si="7"/>
        <v>1.3</v>
      </c>
      <c r="AA36" s="471">
        <v>0</v>
      </c>
    </row>
    <row r="37" spans="1:27">
      <c r="A37" s="451" t="str">
        <f>CONCATENATE(VLOOKUP(B37,★営業所!$A$1:$B$5,2,FALSE),VLOOKUP(D37,★サイズ表記!$D$4:$E$55,2,FALSE),VLOOKUP(F37,★折込地区!$A$1:$B$11,2,FALSE))</f>
        <v>T4001Tot</v>
      </c>
      <c r="B37" s="457" t="s">
        <v>275</v>
      </c>
      <c r="C37" s="452" t="str">
        <f>VLOOKUP(B37,★営業所!$A$1:$B$5,2,FALSE)</f>
        <v>T</v>
      </c>
      <c r="D37" s="465" t="s">
        <v>1358</v>
      </c>
      <c r="E37" s="452" t="str">
        <f>VLOOKUP(D37,★サイズ表記!$D$4:$E$55,2,FALSE)</f>
        <v>4001</v>
      </c>
      <c r="F37" s="457" t="s">
        <v>282</v>
      </c>
      <c r="G37" s="452" t="str">
        <f>VLOOKUP(F37,★折込地区!$A$1:$B$11,2,FALSE)</f>
        <v>Tot</v>
      </c>
      <c r="H37" s="453">
        <f>INDEX(★サイズ表記!$I$4:$Q$55, MATCH(E37,★サイズ表記!$E$4:$E$55,0), MATCH(G37,★サイズ表記!$I$3:$R$3,0))</f>
        <v>6.7</v>
      </c>
      <c r="K37" s="471" t="str">
        <f t="shared" si="0"/>
        <v>T4001Tot</v>
      </c>
      <c r="L37" s="471" t="str">
        <f t="shared" si="1"/>
        <v>タブ6P</v>
      </c>
      <c r="P37" s="533" t="s">
        <v>1324</v>
      </c>
      <c r="Q37" s="533" t="s">
        <v>1325</v>
      </c>
      <c r="R37" s="534" t="str">
        <f t="shared" si="2"/>
        <v>4001</v>
      </c>
      <c r="S37" s="534" t="str">
        <f t="shared" si="3"/>
        <v>タブ6P</v>
      </c>
      <c r="T37" s="538" t="str">
        <f t="shared" si="4"/>
        <v>40</v>
      </c>
      <c r="U37" s="538" t="str">
        <f t="shared" si="5"/>
        <v>01</v>
      </c>
      <c r="V37" s="471" t="s">
        <v>1136</v>
      </c>
      <c r="Y37" s="472">
        <f t="shared" si="6"/>
        <v>6.7</v>
      </c>
      <c r="Z37" s="540">
        <f t="shared" si="7"/>
        <v>0.53</v>
      </c>
      <c r="AA37" s="471">
        <v>0</v>
      </c>
    </row>
    <row r="38" spans="1:27">
      <c r="A38" s="451" t="str">
        <f>CONCATENATE(VLOOKUP(B38,★営業所!$A$1:$B$5,2,FALSE),VLOOKUP(D38,★サイズ表記!$D$4:$E$55,2,FALSE),VLOOKUP(F38,★折込地区!$A$1:$B$11,2,FALSE))</f>
        <v>T4002Tot</v>
      </c>
      <c r="B38" s="457" t="s">
        <v>275</v>
      </c>
      <c r="C38" s="452" t="str">
        <f>VLOOKUP(B38,★営業所!$A$1:$B$5,2,FALSE)</f>
        <v>T</v>
      </c>
      <c r="D38" s="465" t="s">
        <v>1359</v>
      </c>
      <c r="E38" s="452" t="str">
        <f>VLOOKUP(D38,★サイズ表記!$D$4:$E$55,2,FALSE)</f>
        <v>4002</v>
      </c>
      <c r="F38" s="457" t="s">
        <v>282</v>
      </c>
      <c r="G38" s="452" t="str">
        <f>VLOOKUP(F38,★折込地区!$A$1:$B$11,2,FALSE)</f>
        <v>Tot</v>
      </c>
      <c r="H38" s="453">
        <f>INDEX(★サイズ表記!$I$4:$Q$55, MATCH(E38,★サイズ表記!$E$4:$E$55,0), MATCH(G38,★サイズ表記!$I$3:$R$3,0))</f>
        <v>7</v>
      </c>
      <c r="K38" s="471" t="str">
        <f t="shared" si="0"/>
        <v>T4002Tot</v>
      </c>
      <c r="L38" s="471" t="str">
        <f t="shared" si="1"/>
        <v>タブ8P</v>
      </c>
      <c r="P38" s="533" t="s">
        <v>1324</v>
      </c>
      <c r="Q38" s="533" t="s">
        <v>1325</v>
      </c>
      <c r="R38" s="534" t="str">
        <f t="shared" si="2"/>
        <v>4002</v>
      </c>
      <c r="S38" s="534" t="str">
        <f t="shared" si="3"/>
        <v>タブ8P</v>
      </c>
      <c r="T38" s="538" t="str">
        <f t="shared" si="4"/>
        <v>40</v>
      </c>
      <c r="U38" s="538" t="str">
        <f t="shared" si="5"/>
        <v>02</v>
      </c>
      <c r="V38" s="471" t="s">
        <v>1136</v>
      </c>
      <c r="Y38" s="472">
        <f t="shared" si="6"/>
        <v>7</v>
      </c>
      <c r="Z38" s="540">
        <f t="shared" si="7"/>
        <v>0.56000000000000005</v>
      </c>
      <c r="AA38" s="471">
        <v>0</v>
      </c>
    </row>
    <row r="39" spans="1:27">
      <c r="A39" s="451" t="str">
        <f>CONCATENATE(VLOOKUP(B39,★営業所!$A$1:$B$5,2,FALSE),VLOOKUP(D39,★サイズ表記!$D$4:$E$55,2,FALSE),VLOOKUP(F39,★折込地区!$A$1:$B$11,2,FALSE))</f>
        <v>T4003Tot</v>
      </c>
      <c r="B39" s="457" t="s">
        <v>275</v>
      </c>
      <c r="C39" s="452" t="str">
        <f>VLOOKUP(B39,★営業所!$A$1:$B$5,2,FALSE)</f>
        <v>T</v>
      </c>
      <c r="D39" s="465" t="s">
        <v>1360</v>
      </c>
      <c r="E39" s="452" t="str">
        <f>VLOOKUP(D39,★サイズ表記!$D$4:$E$55,2,FALSE)</f>
        <v>4003</v>
      </c>
      <c r="F39" s="457" t="s">
        <v>282</v>
      </c>
      <c r="G39" s="452" t="str">
        <f>VLOOKUP(F39,★折込地区!$A$1:$B$11,2,FALSE)</f>
        <v>Tot</v>
      </c>
      <c r="H39" s="453">
        <f>INDEX(★サイズ表記!$I$4:$Q$55, MATCH(E39,★サイズ表記!$E$4:$E$55,0), MATCH(G39,★サイズ表記!$I$3:$R$3,0))</f>
        <v>8</v>
      </c>
      <c r="K39" s="471" t="str">
        <f t="shared" si="0"/>
        <v>T4003Tot</v>
      </c>
      <c r="L39" s="471" t="str">
        <f t="shared" si="1"/>
        <v>タブ8Pホチキス止め</v>
      </c>
      <c r="P39" s="533" t="s">
        <v>1324</v>
      </c>
      <c r="Q39" s="533" t="s">
        <v>1325</v>
      </c>
      <c r="R39" s="534" t="str">
        <f t="shared" si="2"/>
        <v>4003</v>
      </c>
      <c r="S39" s="534" t="str">
        <f t="shared" si="3"/>
        <v>タブ8Pホチキス止め</v>
      </c>
      <c r="T39" s="538" t="str">
        <f t="shared" si="4"/>
        <v>40</v>
      </c>
      <c r="U39" s="538" t="str">
        <f t="shared" si="5"/>
        <v>03</v>
      </c>
      <c r="V39" s="471" t="s">
        <v>1136</v>
      </c>
      <c r="Y39" s="472">
        <f t="shared" si="6"/>
        <v>8</v>
      </c>
      <c r="Z39" s="540">
        <f t="shared" si="7"/>
        <v>0.64</v>
      </c>
      <c r="AA39" s="471">
        <v>0</v>
      </c>
    </row>
    <row r="40" spans="1:27">
      <c r="A40" s="451" t="str">
        <f>CONCATENATE(VLOOKUP(B40,★営業所!$A$1:$B$5,2,FALSE),VLOOKUP(D40,★サイズ表記!$D$4:$E$55,2,FALSE),VLOOKUP(F40,★折込地区!$A$1:$B$11,2,FALSE))</f>
        <v>T4004Tot</v>
      </c>
      <c r="B40" s="457" t="s">
        <v>275</v>
      </c>
      <c r="C40" s="452" t="str">
        <f>VLOOKUP(B40,★営業所!$A$1:$B$5,2,FALSE)</f>
        <v>T</v>
      </c>
      <c r="D40" s="465" t="s">
        <v>1350</v>
      </c>
      <c r="E40" s="452" t="str">
        <f>VLOOKUP(D40,★サイズ表記!$D$4:$E$55,2,FALSE)</f>
        <v>4004</v>
      </c>
      <c r="F40" s="457" t="s">
        <v>282</v>
      </c>
      <c r="G40" s="452" t="str">
        <f>VLOOKUP(F40,★折込地区!$A$1:$B$11,2,FALSE)</f>
        <v>Tot</v>
      </c>
      <c r="H40" s="453">
        <f>INDEX(★サイズ表記!$I$4:$Q$55, MATCH(E40,★サイズ表記!$E$4:$E$55,0), MATCH(G40,★サイズ表記!$I$3:$R$3,0))</f>
        <v>9.8000000000000007</v>
      </c>
      <c r="K40" s="471" t="str">
        <f t="shared" si="0"/>
        <v>T4004Tot</v>
      </c>
      <c r="L40" s="471" t="str">
        <f t="shared" si="1"/>
        <v>タブ10P</v>
      </c>
      <c r="P40" s="533" t="s">
        <v>1324</v>
      </c>
      <c r="Q40" s="533" t="s">
        <v>1325</v>
      </c>
      <c r="R40" s="534" t="str">
        <f t="shared" si="2"/>
        <v>4004</v>
      </c>
      <c r="S40" s="534" t="str">
        <f t="shared" si="3"/>
        <v>タブ10P</v>
      </c>
      <c r="T40" s="538" t="str">
        <f t="shared" si="4"/>
        <v>40</v>
      </c>
      <c r="U40" s="538" t="str">
        <f t="shared" si="5"/>
        <v>04</v>
      </c>
      <c r="V40" s="471" t="s">
        <v>1136</v>
      </c>
      <c r="Y40" s="472">
        <f t="shared" si="6"/>
        <v>9.8000000000000007</v>
      </c>
      <c r="Z40" s="540">
        <f t="shared" si="7"/>
        <v>0.78</v>
      </c>
      <c r="AA40" s="471">
        <v>0</v>
      </c>
    </row>
    <row r="41" spans="1:27">
      <c r="A41" s="451" t="str">
        <f>CONCATENATE(VLOOKUP(B41,★営業所!$A$1:$B$5,2,FALSE),VLOOKUP(D41,★サイズ表記!$D$4:$E$55,2,FALSE),VLOOKUP(F41,★折込地区!$A$1:$B$11,2,FALSE))</f>
        <v>T4005Tot</v>
      </c>
      <c r="B41" s="457" t="s">
        <v>275</v>
      </c>
      <c r="C41" s="452" t="str">
        <f>VLOOKUP(B41,★営業所!$A$1:$B$5,2,FALSE)</f>
        <v>T</v>
      </c>
      <c r="D41" s="465" t="s">
        <v>1351</v>
      </c>
      <c r="E41" s="452" t="str">
        <f>VLOOKUP(D41,★サイズ表記!$D$4:$E$55,2,FALSE)</f>
        <v>4005</v>
      </c>
      <c r="F41" s="457" t="s">
        <v>282</v>
      </c>
      <c r="G41" s="452" t="str">
        <f>VLOOKUP(F41,★折込地区!$A$1:$B$11,2,FALSE)</f>
        <v>Tot</v>
      </c>
      <c r="H41" s="453">
        <f>INDEX(★サイズ表記!$I$4:$Q$55, MATCH(E41,★サイズ表記!$E$4:$E$55,0), MATCH(G41,★サイズ表記!$I$3:$R$3,0))</f>
        <v>10.9</v>
      </c>
      <c r="K41" s="471" t="str">
        <f t="shared" si="0"/>
        <v>T4005Tot</v>
      </c>
      <c r="L41" s="471" t="str">
        <f t="shared" si="1"/>
        <v>タブ12P</v>
      </c>
      <c r="P41" s="533" t="s">
        <v>1324</v>
      </c>
      <c r="Q41" s="533" t="s">
        <v>1325</v>
      </c>
      <c r="R41" s="534" t="str">
        <f t="shared" si="2"/>
        <v>4005</v>
      </c>
      <c r="S41" s="534" t="str">
        <f t="shared" si="3"/>
        <v>タブ12P</v>
      </c>
      <c r="T41" s="538" t="str">
        <f t="shared" si="4"/>
        <v>40</v>
      </c>
      <c r="U41" s="538" t="str">
        <f t="shared" si="5"/>
        <v>05</v>
      </c>
      <c r="V41" s="471" t="s">
        <v>1136</v>
      </c>
      <c r="Y41" s="472">
        <f t="shared" si="6"/>
        <v>10.9</v>
      </c>
      <c r="Z41" s="540">
        <f t="shared" si="7"/>
        <v>0.87</v>
      </c>
      <c r="AA41" s="471">
        <v>0</v>
      </c>
    </row>
    <row r="42" spans="1:27">
      <c r="A42" s="451" t="str">
        <f>CONCATENATE(VLOOKUP(B42,★営業所!$A$1:$B$5,2,FALSE),VLOOKUP(D42,★サイズ表記!$D$4:$E$55,2,FALSE),VLOOKUP(F42,★折込地区!$A$1:$B$11,2,FALSE))</f>
        <v>T4006Tot</v>
      </c>
      <c r="B42" s="457" t="s">
        <v>275</v>
      </c>
      <c r="C42" s="452" t="str">
        <f>VLOOKUP(B42,★営業所!$A$1:$B$5,2,FALSE)</f>
        <v>T</v>
      </c>
      <c r="D42" s="465" t="s">
        <v>1352</v>
      </c>
      <c r="E42" s="452" t="str">
        <f>VLOOKUP(D42,★サイズ表記!$D$4:$E$55,2,FALSE)</f>
        <v>4006</v>
      </c>
      <c r="F42" s="457" t="s">
        <v>282</v>
      </c>
      <c r="G42" s="452" t="str">
        <f>VLOOKUP(F42,★折込地区!$A$1:$B$11,2,FALSE)</f>
        <v>Tot</v>
      </c>
      <c r="H42" s="453">
        <f>INDEX(★サイズ表記!$I$4:$Q$55, MATCH(E42,★サイズ表記!$E$4:$E$55,0), MATCH(G42,★サイズ表記!$I$3:$R$3,0))</f>
        <v>13.7</v>
      </c>
      <c r="K42" s="471" t="str">
        <f t="shared" si="0"/>
        <v>T4006Tot</v>
      </c>
      <c r="L42" s="471" t="str">
        <f t="shared" si="1"/>
        <v>タブ14P</v>
      </c>
      <c r="P42" s="533" t="s">
        <v>1324</v>
      </c>
      <c r="Q42" s="533" t="s">
        <v>1325</v>
      </c>
      <c r="R42" s="534" t="str">
        <f t="shared" si="2"/>
        <v>4006</v>
      </c>
      <c r="S42" s="534" t="str">
        <f t="shared" si="3"/>
        <v>タブ14P</v>
      </c>
      <c r="T42" s="538" t="str">
        <f t="shared" si="4"/>
        <v>40</v>
      </c>
      <c r="U42" s="538" t="str">
        <f t="shared" si="5"/>
        <v>06</v>
      </c>
      <c r="V42" s="471" t="s">
        <v>1136</v>
      </c>
      <c r="Y42" s="472">
        <f t="shared" si="6"/>
        <v>13.7</v>
      </c>
      <c r="Z42" s="540">
        <f t="shared" si="7"/>
        <v>1.0900000000000001</v>
      </c>
      <c r="AA42" s="471">
        <v>0</v>
      </c>
    </row>
    <row r="43" spans="1:27">
      <c r="A43" s="451" t="str">
        <f>CONCATENATE(VLOOKUP(B43,★営業所!$A$1:$B$5,2,FALSE),VLOOKUP(D43,★サイズ表記!$D$4:$E$55,2,FALSE),VLOOKUP(F43,★折込地区!$A$1:$B$11,2,FALSE))</f>
        <v>T4007Tot</v>
      </c>
      <c r="B43" s="457" t="s">
        <v>275</v>
      </c>
      <c r="C43" s="452" t="str">
        <f>VLOOKUP(B43,★営業所!$A$1:$B$5,2,FALSE)</f>
        <v>T</v>
      </c>
      <c r="D43" s="465" t="s">
        <v>1353</v>
      </c>
      <c r="E43" s="452" t="str">
        <f>VLOOKUP(D43,★サイズ表記!$D$4:$E$55,2,FALSE)</f>
        <v>4007</v>
      </c>
      <c r="F43" s="457" t="s">
        <v>282</v>
      </c>
      <c r="G43" s="452" t="str">
        <f>VLOOKUP(F43,★折込地区!$A$1:$B$11,2,FALSE)</f>
        <v>Tot</v>
      </c>
      <c r="H43" s="453">
        <f>INDEX(★サイズ表記!$I$4:$Q$55, MATCH(E43,★サイズ表記!$E$4:$E$55,0), MATCH(G43,★サイズ表記!$I$3:$R$3,0))</f>
        <v>15</v>
      </c>
      <c r="K43" s="471" t="str">
        <f t="shared" si="0"/>
        <v>T4007Tot</v>
      </c>
      <c r="L43" s="471" t="str">
        <f t="shared" si="1"/>
        <v>タブ16P</v>
      </c>
      <c r="P43" s="533" t="s">
        <v>1324</v>
      </c>
      <c r="Q43" s="533" t="s">
        <v>1325</v>
      </c>
      <c r="R43" s="534" t="str">
        <f t="shared" si="2"/>
        <v>4007</v>
      </c>
      <c r="S43" s="534" t="str">
        <f t="shared" si="3"/>
        <v>タブ16P</v>
      </c>
      <c r="T43" s="538" t="str">
        <f t="shared" si="4"/>
        <v>40</v>
      </c>
      <c r="U43" s="538" t="str">
        <f t="shared" si="5"/>
        <v>07</v>
      </c>
      <c r="V43" s="471" t="s">
        <v>1136</v>
      </c>
      <c r="Y43" s="472">
        <f t="shared" si="6"/>
        <v>15</v>
      </c>
      <c r="Z43" s="540">
        <f t="shared" si="7"/>
        <v>1.2</v>
      </c>
      <c r="AA43" s="471">
        <v>0</v>
      </c>
    </row>
    <row r="44" spans="1:27">
      <c r="A44" s="451" t="str">
        <f>CONCATENATE(VLOOKUP(B44,★営業所!$A$1:$B$5,2,FALSE),VLOOKUP(D44,★サイズ表記!$D$4:$E$55,2,FALSE),VLOOKUP(F44,★折込地区!$A$1:$B$11,2,FALSE))</f>
        <v>T4008Tot</v>
      </c>
      <c r="B44" s="457" t="s">
        <v>275</v>
      </c>
      <c r="C44" s="452" t="str">
        <f>VLOOKUP(B44,★営業所!$A$1:$B$5,2,FALSE)</f>
        <v>T</v>
      </c>
      <c r="D44" s="465" t="s">
        <v>1355</v>
      </c>
      <c r="E44" s="452" t="str">
        <f>VLOOKUP(D44,★サイズ表記!$D$4:$E$55,2,FALSE)</f>
        <v>4008</v>
      </c>
      <c r="F44" s="457" t="s">
        <v>282</v>
      </c>
      <c r="G44" s="452" t="str">
        <f>VLOOKUP(F44,★折込地区!$A$1:$B$11,2,FALSE)</f>
        <v>Tot</v>
      </c>
      <c r="H44" s="453">
        <f>INDEX(★サイズ表記!$I$4:$Q$55, MATCH(E44,★サイズ表記!$E$4:$E$55,0), MATCH(G44,★サイズ表記!$I$3:$R$3,0))</f>
        <v>17.8</v>
      </c>
      <c r="K44" s="471" t="str">
        <f t="shared" si="0"/>
        <v>T4008Tot</v>
      </c>
      <c r="L44" s="471" t="str">
        <f t="shared" si="1"/>
        <v>タブ18P</v>
      </c>
      <c r="P44" s="533" t="s">
        <v>1324</v>
      </c>
      <c r="Q44" s="533" t="s">
        <v>1325</v>
      </c>
      <c r="R44" s="534" t="str">
        <f t="shared" si="2"/>
        <v>4008</v>
      </c>
      <c r="S44" s="534" t="str">
        <f t="shared" si="3"/>
        <v>タブ18P</v>
      </c>
      <c r="T44" s="538" t="str">
        <f t="shared" si="4"/>
        <v>40</v>
      </c>
      <c r="U44" s="538" t="str">
        <f t="shared" si="5"/>
        <v>08</v>
      </c>
      <c r="V44" s="471" t="s">
        <v>1136</v>
      </c>
      <c r="Y44" s="472">
        <f t="shared" si="6"/>
        <v>17.8</v>
      </c>
      <c r="Z44" s="540">
        <f t="shared" si="7"/>
        <v>1.42</v>
      </c>
      <c r="AA44" s="471">
        <v>0</v>
      </c>
    </row>
    <row r="45" spans="1:27">
      <c r="A45" s="451" t="str">
        <f>CONCATENATE(VLOOKUP(B45,★営業所!$A$1:$B$5,2,FALSE),VLOOKUP(D45,★サイズ表記!$D$4:$E$55,2,FALSE),VLOOKUP(F45,★折込地区!$A$1:$B$11,2,FALSE))</f>
        <v>T4009Tot</v>
      </c>
      <c r="B45" s="457" t="s">
        <v>275</v>
      </c>
      <c r="C45" s="452" t="str">
        <f>VLOOKUP(B45,★営業所!$A$1:$B$5,2,FALSE)</f>
        <v>T</v>
      </c>
      <c r="D45" s="465" t="s">
        <v>1356</v>
      </c>
      <c r="E45" s="452" t="str">
        <f>VLOOKUP(D45,★サイズ表記!$D$4:$E$55,2,FALSE)</f>
        <v>4009</v>
      </c>
      <c r="F45" s="457" t="s">
        <v>282</v>
      </c>
      <c r="G45" s="452" t="str">
        <f>VLOOKUP(F45,★折込地区!$A$1:$B$11,2,FALSE)</f>
        <v>Tot</v>
      </c>
      <c r="H45" s="453">
        <f>INDEX(★サイズ表記!$I$4:$Q$55, MATCH(E45,★サイズ表記!$E$4:$E$55,0), MATCH(G45,★サイズ表記!$I$3:$R$3,0))</f>
        <v>18.899999999999999</v>
      </c>
      <c r="K45" s="471" t="str">
        <f t="shared" si="0"/>
        <v>T4009Tot</v>
      </c>
      <c r="L45" s="471" t="str">
        <f t="shared" si="1"/>
        <v>タブ20P</v>
      </c>
      <c r="P45" s="533" t="s">
        <v>1324</v>
      </c>
      <c r="Q45" s="533" t="s">
        <v>1325</v>
      </c>
      <c r="R45" s="534" t="str">
        <f t="shared" si="2"/>
        <v>4009</v>
      </c>
      <c r="S45" s="534" t="str">
        <f t="shared" si="3"/>
        <v>タブ20P</v>
      </c>
      <c r="T45" s="538" t="str">
        <f t="shared" si="4"/>
        <v>40</v>
      </c>
      <c r="U45" s="538" t="str">
        <f t="shared" si="5"/>
        <v>09</v>
      </c>
      <c r="V45" s="471" t="s">
        <v>1136</v>
      </c>
      <c r="Y45" s="472">
        <f t="shared" si="6"/>
        <v>18.899999999999999</v>
      </c>
      <c r="Z45" s="540">
        <f t="shared" si="7"/>
        <v>1.51</v>
      </c>
      <c r="AA45" s="471">
        <v>0</v>
      </c>
    </row>
    <row r="46" spans="1:27">
      <c r="A46" s="451" t="str">
        <f>CONCATENATE(VLOOKUP(B46,★営業所!$A$1:$B$5,2,FALSE),VLOOKUP(D46,★サイズ表記!$D$4:$E$55,2,FALSE),VLOOKUP(F46,★折込地区!$A$1:$B$11,2,FALSE))</f>
        <v>T4010Tot</v>
      </c>
      <c r="B46" s="457" t="s">
        <v>275</v>
      </c>
      <c r="C46" s="452" t="str">
        <f>VLOOKUP(B46,★営業所!$A$1:$B$5,2,FALSE)</f>
        <v>T</v>
      </c>
      <c r="D46" s="465" t="s">
        <v>1354</v>
      </c>
      <c r="E46" s="452" t="str">
        <f>VLOOKUP(D46,★サイズ表記!$D$4:$E$55,2,FALSE)</f>
        <v>4010</v>
      </c>
      <c r="F46" s="457" t="s">
        <v>282</v>
      </c>
      <c r="G46" s="452" t="str">
        <f>VLOOKUP(F46,★折込地区!$A$1:$B$11,2,FALSE)</f>
        <v>Tot</v>
      </c>
      <c r="H46" s="453">
        <f>INDEX(★サイズ表記!$I$4:$Q$55, MATCH(E46,★サイズ表記!$E$4:$E$55,0), MATCH(G46,★サイズ表記!$I$3:$R$3,0))</f>
        <v>16</v>
      </c>
      <c r="K46" s="471" t="str">
        <f t="shared" si="0"/>
        <v>T4010Tot</v>
      </c>
      <c r="L46" s="471" t="str">
        <f t="shared" si="1"/>
        <v>タブ16Pホチキス止め</v>
      </c>
      <c r="P46" s="533" t="s">
        <v>1324</v>
      </c>
      <c r="Q46" s="533" t="s">
        <v>1325</v>
      </c>
      <c r="R46" s="534" t="str">
        <f t="shared" si="2"/>
        <v>4010</v>
      </c>
      <c r="S46" s="534" t="str">
        <f t="shared" si="3"/>
        <v>タブ16Pホチキス止め</v>
      </c>
      <c r="T46" s="538" t="str">
        <f t="shared" si="4"/>
        <v>40</v>
      </c>
      <c r="U46" s="538" t="str">
        <f t="shared" si="5"/>
        <v>10</v>
      </c>
      <c r="V46" s="471" t="s">
        <v>1136</v>
      </c>
      <c r="Y46" s="472">
        <f t="shared" si="6"/>
        <v>16</v>
      </c>
      <c r="Z46" s="540">
        <f t="shared" si="7"/>
        <v>1.28</v>
      </c>
      <c r="AA46" s="471">
        <v>0</v>
      </c>
    </row>
    <row r="47" spans="1:27">
      <c r="A47" s="451" t="str">
        <f>CONCATENATE(VLOOKUP(B47,★営業所!$A$1:$B$5,2,FALSE),VLOOKUP(D47,★サイズ表記!$D$4:$E$55,2,FALSE),VLOOKUP(F47,★折込地区!$A$1:$B$11,2,FALSE))</f>
        <v>T4011Tot</v>
      </c>
      <c r="B47" s="457" t="s">
        <v>275</v>
      </c>
      <c r="C47" s="452" t="str">
        <f>VLOOKUP(B47,★営業所!$A$1:$B$5,2,FALSE)</f>
        <v>T</v>
      </c>
      <c r="D47" s="465" t="s">
        <v>1357</v>
      </c>
      <c r="E47" s="452" t="str">
        <f>VLOOKUP(D47,★サイズ表記!$D$4:$E$55,2,FALSE)</f>
        <v>4011</v>
      </c>
      <c r="F47" s="457" t="s">
        <v>282</v>
      </c>
      <c r="G47" s="452" t="str">
        <f>VLOOKUP(F47,★折込地区!$A$1:$B$11,2,FALSE)</f>
        <v>Tot</v>
      </c>
      <c r="H47" s="453">
        <f>INDEX(★サイズ表記!$I$4:$Q$55, MATCH(E47,★サイズ表記!$E$4:$E$55,0), MATCH(G47,★サイズ表記!$I$3:$R$3,0))</f>
        <v>0</v>
      </c>
      <c r="K47" s="471" t="str">
        <f t="shared" si="0"/>
        <v>T4011Tot</v>
      </c>
      <c r="L47" s="471" t="str">
        <f t="shared" si="1"/>
        <v>タブ40P</v>
      </c>
      <c r="P47" s="533" t="s">
        <v>1324</v>
      </c>
      <c r="Q47" s="533" t="s">
        <v>1325</v>
      </c>
      <c r="R47" s="534" t="str">
        <f t="shared" si="2"/>
        <v>4011</v>
      </c>
      <c r="S47" s="534" t="str">
        <f t="shared" si="3"/>
        <v>タブ40P</v>
      </c>
      <c r="T47" s="538" t="str">
        <f t="shared" si="4"/>
        <v>40</v>
      </c>
      <c r="U47" s="538" t="str">
        <f t="shared" si="5"/>
        <v>11</v>
      </c>
      <c r="V47" s="471" t="s">
        <v>1136</v>
      </c>
      <c r="Y47" s="472">
        <f t="shared" si="6"/>
        <v>0</v>
      </c>
      <c r="Z47" s="540">
        <f t="shared" si="7"/>
        <v>0</v>
      </c>
      <c r="AA47" s="471">
        <v>0</v>
      </c>
    </row>
    <row r="48" spans="1:27">
      <c r="A48" s="451" t="str">
        <f>CONCATENATE(VLOOKUP(B48,★営業所!$A$1:$B$5,2,FALSE),VLOOKUP(D48,★サイズ表記!$D$4:$E$55,2,FALSE),VLOOKUP(F48,★折込地区!$A$1:$B$11,2,FALSE))</f>
        <v>T9001Tot</v>
      </c>
      <c r="B48" s="457" t="s">
        <v>275</v>
      </c>
      <c r="C48" s="452" t="str">
        <f>VLOOKUP(B48,★営業所!$A$1:$B$5,2,FALSE)</f>
        <v>T</v>
      </c>
      <c r="D48" s="465" t="s">
        <v>975</v>
      </c>
      <c r="E48" s="452" t="str">
        <f>VLOOKUP(D48,★サイズ表記!$D$4:$E$55,2,FALSE)</f>
        <v>9001</v>
      </c>
      <c r="F48" s="457" t="s">
        <v>282</v>
      </c>
      <c r="G48" s="452" t="str">
        <f>VLOOKUP(F48,★折込地区!$A$1:$B$11,2,FALSE)</f>
        <v>Tot</v>
      </c>
      <c r="H48" s="453">
        <f>INDEX(★サイズ表記!$I$4:$Q$55, MATCH(E48,★サイズ表記!$E$4:$E$55,0), MATCH(G48,★サイズ表記!$I$3:$R$3,0))</f>
        <v>7</v>
      </c>
      <c r="K48" s="471" t="str">
        <f t="shared" si="0"/>
        <v>T9001Tot</v>
      </c>
      <c r="L48" s="471" t="str">
        <f t="shared" si="1"/>
        <v>うさぎの耳</v>
      </c>
      <c r="P48" s="533" t="s">
        <v>1324</v>
      </c>
      <c r="Q48" s="533" t="s">
        <v>1325</v>
      </c>
      <c r="R48" s="534" t="str">
        <f t="shared" si="2"/>
        <v>9001</v>
      </c>
      <c r="S48" s="534" t="str">
        <f t="shared" si="3"/>
        <v>うさぎの耳</v>
      </c>
      <c r="T48" s="538" t="str">
        <f t="shared" si="4"/>
        <v>90</v>
      </c>
      <c r="U48" s="538" t="str">
        <f t="shared" si="5"/>
        <v>01</v>
      </c>
      <c r="V48" s="471" t="s">
        <v>1136</v>
      </c>
      <c r="Y48" s="472">
        <f t="shared" si="6"/>
        <v>7</v>
      </c>
      <c r="Z48" s="540">
        <f t="shared" si="7"/>
        <v>0.56000000000000005</v>
      </c>
      <c r="AA48" s="471">
        <v>0</v>
      </c>
    </row>
    <row r="49" spans="1:27">
      <c r="A49" s="451" t="str">
        <f>CONCATENATE(VLOOKUP(B49,★営業所!$A$1:$B$5,2,FALSE),VLOOKUP(D49,★サイズ表記!$D$4:$E$55,2,FALSE),VLOOKUP(F49,★折込地区!$A$1:$B$11,2,FALSE))</f>
        <v>T9002Tot</v>
      </c>
      <c r="B49" s="457" t="s">
        <v>275</v>
      </c>
      <c r="C49" s="452" t="str">
        <f>VLOOKUP(B49,★営業所!$A$1:$B$5,2,FALSE)</f>
        <v>T</v>
      </c>
      <c r="D49" s="465" t="s">
        <v>976</v>
      </c>
      <c r="E49" s="452" t="str">
        <f>VLOOKUP(D49,★サイズ表記!$D$4:$E$55,2,FALSE)</f>
        <v>9002</v>
      </c>
      <c r="F49" s="457" t="s">
        <v>282</v>
      </c>
      <c r="G49" s="452" t="str">
        <f>VLOOKUP(F49,★折込地区!$A$1:$B$11,2,FALSE)</f>
        <v>Tot</v>
      </c>
      <c r="H49" s="453">
        <f>INDEX(★サイズ表記!$I$4:$Q$55, MATCH(E49,★サイズ表記!$E$4:$E$55,0), MATCH(G49,★サイズ表記!$I$3:$R$3,0))</f>
        <v>5</v>
      </c>
      <c r="K49" s="471" t="str">
        <f t="shared" si="0"/>
        <v>T9002Tot</v>
      </c>
      <c r="L49" s="471" t="str">
        <f t="shared" si="1"/>
        <v>ユーキャン（題字）</v>
      </c>
      <c r="P49" s="533" t="s">
        <v>1324</v>
      </c>
      <c r="Q49" s="533" t="s">
        <v>1325</v>
      </c>
      <c r="R49" s="534" t="str">
        <f t="shared" si="2"/>
        <v>9002</v>
      </c>
      <c r="S49" s="534" t="str">
        <f t="shared" si="3"/>
        <v>ユーキャン（題字）</v>
      </c>
      <c r="T49" s="538" t="str">
        <f t="shared" si="4"/>
        <v>90</v>
      </c>
      <c r="U49" s="538" t="str">
        <f t="shared" si="5"/>
        <v>02</v>
      </c>
      <c r="V49" s="471" t="s">
        <v>1136</v>
      </c>
      <c r="Y49" s="472">
        <f t="shared" si="6"/>
        <v>5</v>
      </c>
      <c r="Z49" s="540">
        <f t="shared" si="7"/>
        <v>0.4</v>
      </c>
      <c r="AA49" s="471">
        <v>0</v>
      </c>
    </row>
    <row r="50" spans="1:27">
      <c r="A50" s="451" t="str">
        <f>CONCATENATE(VLOOKUP(B50,★営業所!$A$1:$B$5,2,FALSE),VLOOKUP(D50,★サイズ表記!$D$4:$E$55,2,FALSE),VLOOKUP(F50,★折込地区!$A$1:$B$11,2,FALSE))</f>
        <v>T9003Tot</v>
      </c>
      <c r="B50" s="457" t="s">
        <v>275</v>
      </c>
      <c r="C50" s="452" t="str">
        <f>VLOOKUP(B50,★営業所!$A$1:$B$5,2,FALSE)</f>
        <v>T</v>
      </c>
      <c r="D50" s="465" t="s">
        <v>977</v>
      </c>
      <c r="E50" s="452" t="str">
        <f>VLOOKUP(D50,★サイズ表記!$D$4:$E$55,2,FALSE)</f>
        <v>9003</v>
      </c>
      <c r="F50" s="457" t="s">
        <v>282</v>
      </c>
      <c r="G50" s="452" t="str">
        <f>VLOOKUP(F50,★折込地区!$A$1:$B$11,2,FALSE)</f>
        <v>Tot</v>
      </c>
      <c r="H50" s="453">
        <f>INDEX(★サイズ表記!$I$4:$Q$55, MATCH(E50,★サイズ表記!$E$4:$E$55,0), MATCH(G50,★サイズ表記!$I$3:$R$3,0))</f>
        <v>4.9000000000000004</v>
      </c>
      <c r="K50" s="471" t="str">
        <f t="shared" si="0"/>
        <v>T9003Tot</v>
      </c>
      <c r="L50" s="471" t="str">
        <f t="shared" si="1"/>
        <v>横長B3</v>
      </c>
      <c r="P50" s="533" t="s">
        <v>1324</v>
      </c>
      <c r="Q50" s="533" t="s">
        <v>1325</v>
      </c>
      <c r="R50" s="534" t="str">
        <f t="shared" si="2"/>
        <v>9003</v>
      </c>
      <c r="S50" s="534" t="str">
        <f t="shared" si="3"/>
        <v>横長B3</v>
      </c>
      <c r="T50" s="538" t="str">
        <f t="shared" si="4"/>
        <v>90</v>
      </c>
      <c r="U50" s="538" t="str">
        <f t="shared" si="5"/>
        <v>03</v>
      </c>
      <c r="V50" s="471" t="s">
        <v>1136</v>
      </c>
      <c r="Y50" s="472">
        <f t="shared" si="6"/>
        <v>4.9000000000000004</v>
      </c>
      <c r="Z50" s="540">
        <f t="shared" si="7"/>
        <v>0.39</v>
      </c>
      <c r="AA50" s="471">
        <v>0</v>
      </c>
    </row>
    <row r="51" spans="1:27">
      <c r="A51" s="451" t="str">
        <f>CONCATENATE(VLOOKUP(B51,★営業所!$A$1:$B$5,2,FALSE),VLOOKUP(D51,★サイズ表記!$D$4:$E$55,2,FALSE),VLOOKUP(F51,★折込地区!$A$1:$B$11,2,FALSE))</f>
        <v>T9004Tot</v>
      </c>
      <c r="B51" s="457" t="s">
        <v>275</v>
      </c>
      <c r="C51" s="452" t="str">
        <f>VLOOKUP(B51,★営業所!$A$1:$B$5,2,FALSE)</f>
        <v>T</v>
      </c>
      <c r="D51" s="465" t="s">
        <v>978</v>
      </c>
      <c r="E51" s="452" t="str">
        <f>VLOOKUP(D51,★サイズ表記!$D$4:$E$55,2,FALSE)</f>
        <v>9004</v>
      </c>
      <c r="F51" s="457" t="s">
        <v>282</v>
      </c>
      <c r="G51" s="452" t="str">
        <f>VLOOKUP(F51,★折込地区!$A$1:$B$11,2,FALSE)</f>
        <v>Tot</v>
      </c>
      <c r="H51" s="453">
        <f>INDEX(★サイズ表記!$I$4:$Q$55, MATCH(E51,★サイズ表記!$E$4:$E$55,0), MATCH(G51,★サイズ表記!$I$3:$R$3,0))</f>
        <v>5</v>
      </c>
      <c r="K51" s="471" t="str">
        <f t="shared" si="0"/>
        <v>T9004Tot</v>
      </c>
      <c r="L51" s="471" t="str">
        <f t="shared" si="1"/>
        <v>AD-BAG</v>
      </c>
      <c r="P51" s="533" t="s">
        <v>1324</v>
      </c>
      <c r="Q51" s="533" t="s">
        <v>1325</v>
      </c>
      <c r="R51" s="534" t="str">
        <f t="shared" si="2"/>
        <v>9004</v>
      </c>
      <c r="S51" s="534" t="str">
        <f t="shared" si="3"/>
        <v>AD-BAG</v>
      </c>
      <c r="T51" s="538" t="str">
        <f t="shared" si="4"/>
        <v>90</v>
      </c>
      <c r="U51" s="538" t="str">
        <f t="shared" si="5"/>
        <v>04</v>
      </c>
      <c r="V51" s="471" t="s">
        <v>1136</v>
      </c>
      <c r="Y51" s="472">
        <f t="shared" si="6"/>
        <v>5</v>
      </c>
      <c r="Z51" s="540">
        <f t="shared" si="7"/>
        <v>0.4</v>
      </c>
      <c r="AA51" s="471">
        <v>0</v>
      </c>
    </row>
    <row r="52" spans="1:27">
      <c r="A52" s="451" t="str">
        <f>CONCATENATE(VLOOKUP(B52,★営業所!$A$1:$B$5,2,FALSE),VLOOKUP(D52,★サイズ表記!$D$4:$E$55,2,FALSE),VLOOKUP(F52,★折込地区!$A$1:$B$11,2,FALSE))</f>
        <v>T9005Tot</v>
      </c>
      <c r="B52" s="457" t="s">
        <v>275</v>
      </c>
      <c r="C52" s="452" t="str">
        <f>VLOOKUP(B52,★営業所!$A$1:$B$5,2,FALSE)</f>
        <v>T</v>
      </c>
      <c r="D52" s="465" t="s">
        <v>979</v>
      </c>
      <c r="E52" s="452" t="str">
        <f>VLOOKUP(D52,★サイズ表記!$D$4:$E$55,2,FALSE)</f>
        <v>9005</v>
      </c>
      <c r="F52" s="457" t="s">
        <v>282</v>
      </c>
      <c r="G52" s="452" t="str">
        <f>VLOOKUP(F52,★折込地区!$A$1:$B$11,2,FALSE)</f>
        <v>Tot</v>
      </c>
      <c r="H52" s="453">
        <f>INDEX(★サイズ表記!$I$4:$Q$55, MATCH(E52,★サイズ表記!$E$4:$E$55,0), MATCH(G52,★サイズ表記!$I$3:$R$3,0))</f>
        <v>5</v>
      </c>
      <c r="K52" s="471" t="str">
        <f t="shared" si="0"/>
        <v>T9005Tot</v>
      </c>
      <c r="L52" s="471" t="str">
        <f t="shared" si="1"/>
        <v>封筒</v>
      </c>
      <c r="P52" s="533" t="s">
        <v>1324</v>
      </c>
      <c r="Q52" s="533" t="s">
        <v>1325</v>
      </c>
      <c r="R52" s="534" t="str">
        <f t="shared" si="2"/>
        <v>9005</v>
      </c>
      <c r="S52" s="534" t="str">
        <f t="shared" si="3"/>
        <v>封筒</v>
      </c>
      <c r="T52" s="538" t="str">
        <f t="shared" si="4"/>
        <v>90</v>
      </c>
      <c r="U52" s="538" t="str">
        <f t="shared" si="5"/>
        <v>05</v>
      </c>
      <c r="V52" s="471" t="s">
        <v>1136</v>
      </c>
      <c r="Y52" s="472">
        <f t="shared" si="6"/>
        <v>5</v>
      </c>
      <c r="Z52" s="540">
        <f t="shared" si="7"/>
        <v>0.4</v>
      </c>
      <c r="AA52" s="471">
        <v>0</v>
      </c>
    </row>
    <row r="53" spans="1:27">
      <c r="A53" s="451" t="str">
        <f>CONCATENATE(VLOOKUP(B53,★営業所!$A$1:$B$5,2,FALSE),VLOOKUP(D53,★サイズ表記!$D$4:$E$55,2,FALSE),VLOOKUP(F53,★折込地区!$A$1:$B$11,2,FALSE))</f>
        <v>T9006Tot</v>
      </c>
      <c r="B53" s="457" t="s">
        <v>275</v>
      </c>
      <c r="C53" s="452" t="str">
        <f>VLOOKUP(B53,★営業所!$A$1:$B$5,2,FALSE)</f>
        <v>T</v>
      </c>
      <c r="D53" s="465" t="s">
        <v>980</v>
      </c>
      <c r="E53" s="452" t="str">
        <f>VLOOKUP(D53,★サイズ表記!$D$4:$E$55,2,FALSE)</f>
        <v>9006</v>
      </c>
      <c r="F53" s="457" t="s">
        <v>282</v>
      </c>
      <c r="G53" s="452" t="str">
        <f>VLOOKUP(F53,★折込地区!$A$1:$B$11,2,FALSE)</f>
        <v>Tot</v>
      </c>
      <c r="H53" s="453">
        <f>INDEX(★サイズ表記!$I$4:$Q$55, MATCH(E53,★サイズ表記!$E$4:$E$55,0), MATCH(G53,★サイズ表記!$I$3:$R$3,0))</f>
        <v>3.9</v>
      </c>
      <c r="K53" s="471" t="str">
        <f t="shared" si="0"/>
        <v>T9006Tot</v>
      </c>
      <c r="L53" s="471" t="str">
        <f t="shared" si="1"/>
        <v>圧着</v>
      </c>
      <c r="P53" s="533" t="s">
        <v>1324</v>
      </c>
      <c r="Q53" s="533" t="s">
        <v>1325</v>
      </c>
      <c r="R53" s="534" t="str">
        <f t="shared" si="2"/>
        <v>9006</v>
      </c>
      <c r="S53" s="534" t="str">
        <f t="shared" si="3"/>
        <v>圧着</v>
      </c>
      <c r="T53" s="538" t="str">
        <f t="shared" si="4"/>
        <v>90</v>
      </c>
      <c r="U53" s="538" t="str">
        <f t="shared" si="5"/>
        <v>06</v>
      </c>
      <c r="V53" s="471" t="s">
        <v>1136</v>
      </c>
      <c r="Y53" s="472">
        <f t="shared" si="6"/>
        <v>3.9</v>
      </c>
      <c r="Z53" s="540">
        <f t="shared" si="7"/>
        <v>0.31</v>
      </c>
      <c r="AA53" s="471">
        <v>0</v>
      </c>
    </row>
    <row r="54" spans="1:27">
      <c r="A54" s="451" t="str">
        <f>CONCATENATE(VLOOKUP(B54,★営業所!$A$1:$B$5,2,FALSE),VLOOKUP(D54,★サイズ表記!$D$4:$E$55,2,FALSE),VLOOKUP(F54,★折込地区!$A$1:$B$11,2,FALSE))</f>
        <v>T9007Tot</v>
      </c>
      <c r="B54" s="457" t="s">
        <v>275</v>
      </c>
      <c r="C54" s="452" t="str">
        <f>VLOOKUP(B54,★営業所!$A$1:$B$5,2,FALSE)</f>
        <v>T</v>
      </c>
      <c r="D54" s="465" t="s">
        <v>981</v>
      </c>
      <c r="E54" s="452" t="str">
        <f>VLOOKUP(D54,★サイズ表記!$D$4:$E$55,2,FALSE)</f>
        <v>9007</v>
      </c>
      <c r="F54" s="457" t="s">
        <v>282</v>
      </c>
      <c r="G54" s="452" t="str">
        <f>VLOOKUP(F54,★折込地区!$A$1:$B$11,2,FALSE)</f>
        <v>Tot</v>
      </c>
      <c r="H54" s="453">
        <f>INDEX(★サイズ表記!$I$4:$Q$55, MATCH(E54,★サイズ表記!$E$4:$E$55,0), MATCH(G54,★サイズ表記!$I$3:$R$3,0))</f>
        <v>4.4000000000000004</v>
      </c>
      <c r="K54" s="471" t="str">
        <f t="shared" si="0"/>
        <v>T9007Tot</v>
      </c>
      <c r="L54" s="471" t="str">
        <f t="shared" si="1"/>
        <v>圧着厚紙</v>
      </c>
      <c r="P54" s="533" t="s">
        <v>1324</v>
      </c>
      <c r="Q54" s="533" t="s">
        <v>1325</v>
      </c>
      <c r="R54" s="534" t="str">
        <f t="shared" si="2"/>
        <v>9007</v>
      </c>
      <c r="S54" s="534" t="str">
        <f t="shared" si="3"/>
        <v>圧着厚紙</v>
      </c>
      <c r="T54" s="538" t="str">
        <f t="shared" si="4"/>
        <v>90</v>
      </c>
      <c r="U54" s="538" t="str">
        <f t="shared" si="5"/>
        <v>07</v>
      </c>
      <c r="V54" s="471" t="s">
        <v>1136</v>
      </c>
      <c r="Y54" s="472">
        <f t="shared" si="6"/>
        <v>4.4000000000000004</v>
      </c>
      <c r="Z54" s="540">
        <f t="shared" si="7"/>
        <v>0.35</v>
      </c>
      <c r="AA54" s="471">
        <v>0</v>
      </c>
    </row>
    <row r="55" spans="1:27">
      <c r="A55" s="451" t="str">
        <f>CONCATENATE(VLOOKUP(B55,★営業所!$A$1:$B$5,2,FALSE),VLOOKUP(D55,★サイズ表記!$D$4:$E$55,2,FALSE),VLOOKUP(F55,★折込地区!$A$1:$B$11,2,FALSE))</f>
        <v>T1001Kry</v>
      </c>
      <c r="B55" s="457" t="s">
        <v>275</v>
      </c>
      <c r="C55" s="452" t="str">
        <f>VLOOKUP(B55,★営業所!$A$1:$B$5,2,FALSE)</f>
        <v>T</v>
      </c>
      <c r="D55" s="465" t="s">
        <v>948</v>
      </c>
      <c r="E55" s="452" t="str">
        <f>VLOOKUP(D55,★サイズ表記!$D$4:$E$55,2,FALSE)</f>
        <v>1001</v>
      </c>
      <c r="F55" s="457" t="s">
        <v>1602</v>
      </c>
      <c r="G55" s="452" t="str">
        <f>VLOOKUP(F55,★折込地区!$A$1:$B$11,2,FALSE)</f>
        <v>Kry</v>
      </c>
      <c r="H55" s="453">
        <f>INDEX(★サイズ表記!$I$4:$Q$55, MATCH(E55,★サイズ表記!$E$4:$E$55,0), MATCH(G55,★サイズ表記!$I$3:$R$3,0))</f>
        <v>2.8</v>
      </c>
      <c r="K55" s="471" t="str">
        <f t="shared" ref="K55:K118" si="8">A55</f>
        <v>T1001Kry</v>
      </c>
      <c r="L55" s="471" t="str">
        <f t="shared" ref="L55:L118" si="9">D55</f>
        <v>B4（折り無し）</v>
      </c>
      <c r="P55" s="533" t="s">
        <v>1324</v>
      </c>
      <c r="Q55" s="533" t="s">
        <v>1325</v>
      </c>
      <c r="R55" s="534" t="str">
        <f>E55</f>
        <v>1001</v>
      </c>
      <c r="S55" s="534" t="str">
        <f>L55</f>
        <v>B4（折り無し）</v>
      </c>
      <c r="T55" s="538" t="str">
        <f>LEFT($E55,2)</f>
        <v>10</v>
      </c>
      <c r="U55" s="538" t="str">
        <f>RIGHT($E55,2)</f>
        <v>01</v>
      </c>
      <c r="V55" s="471" t="s">
        <v>1136</v>
      </c>
      <c r="Y55" s="472">
        <f>$H55</f>
        <v>2.8</v>
      </c>
      <c r="Z55" s="540">
        <f>ROUNDDOWN($H55*8/100,2)</f>
        <v>0.22</v>
      </c>
      <c r="AA55" s="471">
        <v>0</v>
      </c>
    </row>
    <row r="56" spans="1:27">
      <c r="A56" s="451" t="str">
        <f>CONCATENATE(VLOOKUP(B56,★営業所!$A$1:$B$5,2,FALSE),VLOOKUP(D56,★サイズ表記!$D$4:$E$55,2,FALSE),VLOOKUP(F56,★折込地区!$A$1:$B$11,2,FALSE))</f>
        <v>T1002Kry</v>
      </c>
      <c r="B56" s="457" t="s">
        <v>275</v>
      </c>
      <c r="C56" s="452" t="str">
        <f>VLOOKUP(B56,★営業所!$A$1:$B$5,2,FALSE)</f>
        <v>T</v>
      </c>
      <c r="D56" s="465" t="s">
        <v>950</v>
      </c>
      <c r="E56" s="452" t="str">
        <f>VLOOKUP(D56,★サイズ表記!$D$4:$E$55,2,FALSE)</f>
        <v>1002</v>
      </c>
      <c r="F56" s="457" t="s">
        <v>1602</v>
      </c>
      <c r="G56" s="452" t="str">
        <f>VLOOKUP(F56,★折込地区!$A$1:$B$11,2,FALSE)</f>
        <v>Kry</v>
      </c>
      <c r="H56" s="453">
        <f>INDEX(★サイズ表記!$I$4:$Q$55, MATCH(E56,★サイズ表記!$E$4:$E$55,0), MATCH(G56,★サイズ表記!$I$3:$R$3,0))</f>
        <v>3.9</v>
      </c>
      <c r="K56" s="471" t="str">
        <f t="shared" si="8"/>
        <v>T1002Kry</v>
      </c>
      <c r="L56" s="471" t="str">
        <f t="shared" si="9"/>
        <v>B3（2つ折り）</v>
      </c>
      <c r="P56" s="533" t="s">
        <v>1324</v>
      </c>
      <c r="Q56" s="533" t="s">
        <v>1325</v>
      </c>
      <c r="R56" s="534" t="str">
        <f t="shared" ref="R56:R103" si="10">E56</f>
        <v>1002</v>
      </c>
      <c r="S56" s="534" t="str">
        <f t="shared" ref="S56:S103" si="11">L56</f>
        <v>B3（2つ折り）</v>
      </c>
      <c r="T56" s="538" t="str">
        <f t="shared" si="4"/>
        <v>10</v>
      </c>
      <c r="U56" s="538" t="str">
        <f t="shared" si="5"/>
        <v>02</v>
      </c>
      <c r="V56" s="471" t="s">
        <v>1136</v>
      </c>
      <c r="Y56" s="472">
        <f t="shared" si="6"/>
        <v>3.9</v>
      </c>
      <c r="Z56" s="540">
        <f t="shared" si="7"/>
        <v>0.31</v>
      </c>
      <c r="AA56" s="471">
        <v>0</v>
      </c>
    </row>
    <row r="57" spans="1:27">
      <c r="A57" s="451" t="str">
        <f>CONCATENATE(VLOOKUP(B57,★営業所!$A$1:$B$5,2,FALSE),VLOOKUP(D57,★サイズ表記!$D$4:$E$55,2,FALSE),VLOOKUP(F57,★折込地区!$A$1:$B$11,2,FALSE))</f>
        <v>T1003Kry</v>
      </c>
      <c r="B57" s="457" t="s">
        <v>275</v>
      </c>
      <c r="C57" s="452" t="str">
        <f>VLOOKUP(B57,★営業所!$A$1:$B$5,2,FALSE)</f>
        <v>T</v>
      </c>
      <c r="D57" s="465" t="s">
        <v>951</v>
      </c>
      <c r="E57" s="452" t="str">
        <f>VLOOKUP(D57,★サイズ表記!$D$4:$E$55,2,FALSE)</f>
        <v>1003</v>
      </c>
      <c r="F57" s="457" t="s">
        <v>1602</v>
      </c>
      <c r="G57" s="452" t="str">
        <f>VLOOKUP(F57,★折込地区!$A$1:$B$11,2,FALSE)</f>
        <v>Kry</v>
      </c>
      <c r="H57" s="453">
        <f>INDEX(★サイズ表記!$I$4:$Q$55, MATCH(E57,★サイズ表記!$E$4:$E$55,0), MATCH(G57,★サイズ表記!$I$3:$R$3,0))</f>
        <v>7</v>
      </c>
      <c r="K57" s="471" t="str">
        <f t="shared" si="8"/>
        <v>T1003Kry</v>
      </c>
      <c r="L57" s="471" t="str">
        <f t="shared" si="9"/>
        <v>3つ折り</v>
      </c>
      <c r="P57" s="533" t="s">
        <v>1324</v>
      </c>
      <c r="Q57" s="533" t="s">
        <v>1325</v>
      </c>
      <c r="R57" s="534" t="str">
        <f t="shared" si="10"/>
        <v>1003</v>
      </c>
      <c r="S57" s="534" t="str">
        <f t="shared" si="11"/>
        <v>3つ折り</v>
      </c>
      <c r="T57" s="538" t="str">
        <f t="shared" si="4"/>
        <v>10</v>
      </c>
      <c r="U57" s="538" t="str">
        <f t="shared" si="5"/>
        <v>03</v>
      </c>
      <c r="V57" s="471" t="s">
        <v>1136</v>
      </c>
      <c r="Y57" s="472">
        <f t="shared" si="6"/>
        <v>7</v>
      </c>
      <c r="Z57" s="540">
        <f t="shared" si="7"/>
        <v>0.56000000000000005</v>
      </c>
      <c r="AA57" s="471">
        <v>0</v>
      </c>
    </row>
    <row r="58" spans="1:27">
      <c r="A58" s="451" t="str">
        <f>CONCATENATE(VLOOKUP(B58,★営業所!$A$1:$B$5,2,FALSE),VLOOKUP(D58,★サイズ表記!$D$4:$E$55,2,FALSE),VLOOKUP(F58,★折込地区!$A$1:$B$11,2,FALSE))</f>
        <v>T1004Kry</v>
      </c>
      <c r="B58" s="457" t="s">
        <v>275</v>
      </c>
      <c r="C58" s="452" t="str">
        <f>VLOOKUP(B58,★営業所!$A$1:$B$5,2,FALSE)</f>
        <v>T</v>
      </c>
      <c r="D58" s="465" t="s">
        <v>947</v>
      </c>
      <c r="E58" s="452" t="str">
        <f>VLOOKUP(D58,★サイズ表記!$D$4:$E$55,2,FALSE)</f>
        <v>1004</v>
      </c>
      <c r="F58" s="457" t="s">
        <v>1602</v>
      </c>
      <c r="G58" s="452" t="str">
        <f>VLOOKUP(F58,★折込地区!$A$1:$B$11,2,FALSE)</f>
        <v>Kry</v>
      </c>
      <c r="H58" s="453">
        <f>INDEX(★サイズ表記!$I$4:$Q$55, MATCH(E58,★サイズ表記!$E$4:$E$55,0), MATCH(G58,★サイズ表記!$I$3:$R$3,0))</f>
        <v>7</v>
      </c>
      <c r="K58" s="471" t="str">
        <f t="shared" si="8"/>
        <v>T1004Kry</v>
      </c>
      <c r="L58" s="471" t="str">
        <f t="shared" si="9"/>
        <v>観音折</v>
      </c>
      <c r="P58" s="533" t="s">
        <v>1324</v>
      </c>
      <c r="Q58" s="533" t="s">
        <v>1325</v>
      </c>
      <c r="R58" s="534" t="str">
        <f t="shared" si="10"/>
        <v>1004</v>
      </c>
      <c r="S58" s="534" t="str">
        <f t="shared" si="11"/>
        <v>観音折</v>
      </c>
      <c r="T58" s="538" t="str">
        <f t="shared" si="4"/>
        <v>10</v>
      </c>
      <c r="U58" s="538" t="str">
        <f t="shared" si="5"/>
        <v>04</v>
      </c>
      <c r="V58" s="471" t="s">
        <v>1136</v>
      </c>
      <c r="Y58" s="472">
        <f t="shared" si="6"/>
        <v>7</v>
      </c>
      <c r="Z58" s="540">
        <f t="shared" si="7"/>
        <v>0.56000000000000005</v>
      </c>
      <c r="AA58" s="471">
        <v>0</v>
      </c>
    </row>
    <row r="59" spans="1:27">
      <c r="A59" s="451" t="str">
        <f>CONCATENATE(VLOOKUP(B59,★営業所!$A$1:$B$5,2,FALSE),VLOOKUP(D59,★サイズ表記!$D$4:$E$55,2,FALSE),VLOOKUP(F59,★折込地区!$A$1:$B$11,2,FALSE))</f>
        <v>T1005Kry</v>
      </c>
      <c r="B59" s="457" t="s">
        <v>275</v>
      </c>
      <c r="C59" s="452" t="str">
        <f>VLOOKUP(B59,★営業所!$A$1:$B$5,2,FALSE)</f>
        <v>T</v>
      </c>
      <c r="D59" s="465" t="s">
        <v>952</v>
      </c>
      <c r="E59" s="452" t="str">
        <f>VLOOKUP(D59,★サイズ表記!$D$4:$E$55,2,FALSE)</f>
        <v>1005</v>
      </c>
      <c r="F59" s="457" t="s">
        <v>1602</v>
      </c>
      <c r="G59" s="452" t="str">
        <f>VLOOKUP(F59,★折込地区!$A$1:$B$11,2,FALSE)</f>
        <v>Kry</v>
      </c>
      <c r="H59" s="453">
        <f>INDEX(★サイズ表記!$I$4:$Q$55, MATCH(E59,★サイズ表記!$E$4:$E$55,0), MATCH(G59,★サイズ表記!$I$3:$R$3,0))</f>
        <v>7</v>
      </c>
      <c r="K59" s="471" t="str">
        <f t="shared" si="8"/>
        <v>T1005Kry</v>
      </c>
      <c r="L59" s="471" t="str">
        <f t="shared" si="9"/>
        <v>B2（4つ折り）</v>
      </c>
      <c r="P59" s="533" t="s">
        <v>1324</v>
      </c>
      <c r="Q59" s="533" t="s">
        <v>1325</v>
      </c>
      <c r="R59" s="534" t="str">
        <f t="shared" si="10"/>
        <v>1005</v>
      </c>
      <c r="S59" s="534" t="str">
        <f t="shared" si="11"/>
        <v>B2（4つ折り）</v>
      </c>
      <c r="T59" s="538" t="str">
        <f t="shared" si="4"/>
        <v>10</v>
      </c>
      <c r="U59" s="538" t="str">
        <f t="shared" si="5"/>
        <v>05</v>
      </c>
      <c r="V59" s="471" t="s">
        <v>1136</v>
      </c>
      <c r="Y59" s="472">
        <f t="shared" si="6"/>
        <v>7</v>
      </c>
      <c r="Z59" s="540">
        <f t="shared" si="7"/>
        <v>0.56000000000000005</v>
      </c>
      <c r="AA59" s="471">
        <v>0</v>
      </c>
    </row>
    <row r="60" spans="1:27">
      <c r="A60" s="451" t="str">
        <f>CONCATENATE(VLOOKUP(B60,★営業所!$A$1:$B$5,2,FALSE),VLOOKUP(D60,★サイズ表記!$D$4:$E$55,2,FALSE),VLOOKUP(F60,★折込地区!$A$1:$B$11,2,FALSE))</f>
        <v>T1006Kry</v>
      </c>
      <c r="B60" s="457" t="s">
        <v>275</v>
      </c>
      <c r="C60" s="452" t="str">
        <f>VLOOKUP(B60,★営業所!$A$1:$B$5,2,FALSE)</f>
        <v>T</v>
      </c>
      <c r="D60" s="465" t="s">
        <v>955</v>
      </c>
      <c r="E60" s="452" t="str">
        <f>VLOOKUP(D60,★サイズ表記!$D$4:$E$55,2,FALSE)</f>
        <v>1006</v>
      </c>
      <c r="F60" s="457" t="s">
        <v>1602</v>
      </c>
      <c r="G60" s="452" t="str">
        <f>VLOOKUP(F60,★折込地区!$A$1:$B$11,2,FALSE)</f>
        <v>Kry</v>
      </c>
      <c r="H60" s="453">
        <f>INDEX(★サイズ表記!$I$4:$Q$55, MATCH(E60,★サイズ表記!$E$4:$E$55,0), MATCH(G60,★サイズ表記!$I$3:$R$3,0))</f>
        <v>15</v>
      </c>
      <c r="K60" s="471" t="str">
        <f t="shared" si="8"/>
        <v>T1006Kry</v>
      </c>
      <c r="L60" s="471" t="str">
        <f t="shared" si="9"/>
        <v>B1（8折り）</v>
      </c>
      <c r="P60" s="533" t="s">
        <v>1324</v>
      </c>
      <c r="Q60" s="533" t="s">
        <v>1325</v>
      </c>
      <c r="R60" s="534" t="str">
        <f t="shared" si="10"/>
        <v>1006</v>
      </c>
      <c r="S60" s="534" t="str">
        <f t="shared" si="11"/>
        <v>B1（8折り）</v>
      </c>
      <c r="T60" s="538" t="str">
        <f t="shared" si="4"/>
        <v>10</v>
      </c>
      <c r="U60" s="538" t="str">
        <f t="shared" si="5"/>
        <v>06</v>
      </c>
      <c r="V60" s="471" t="s">
        <v>1136</v>
      </c>
      <c r="Y60" s="472">
        <f t="shared" si="6"/>
        <v>15</v>
      </c>
      <c r="Z60" s="540">
        <f t="shared" si="7"/>
        <v>1.2</v>
      </c>
      <c r="AA60" s="471">
        <v>0</v>
      </c>
    </row>
    <row r="61" spans="1:27">
      <c r="A61" s="451" t="str">
        <f>CONCATENATE(VLOOKUP(B61,★営業所!$A$1:$B$5,2,FALSE),VLOOKUP(D61,★サイズ表記!$D$4:$E$55,2,FALSE),VLOOKUP(F61,★折込地区!$A$1:$B$11,2,FALSE))</f>
        <v>T1007Kry</v>
      </c>
      <c r="B61" s="457" t="s">
        <v>275</v>
      </c>
      <c r="C61" s="452" t="str">
        <f>VLOOKUP(B61,★営業所!$A$1:$B$5,2,FALSE)</f>
        <v>T</v>
      </c>
      <c r="D61" s="465" t="s">
        <v>956</v>
      </c>
      <c r="E61" s="452" t="str">
        <f>VLOOKUP(D61,★サイズ表記!$D$4:$E$55,2,FALSE)</f>
        <v>1007</v>
      </c>
      <c r="F61" s="457" t="s">
        <v>1602</v>
      </c>
      <c r="G61" s="452" t="str">
        <f>VLOOKUP(F61,★折込地区!$A$1:$B$11,2,FALSE)</f>
        <v>Kry</v>
      </c>
      <c r="H61" s="453">
        <f>INDEX(★サイズ表記!$I$4:$Q$55, MATCH(E61,★サイズ表記!$E$4:$E$55,0), MATCH(G61,★サイズ表記!$I$3:$R$3,0))</f>
        <v>3.3</v>
      </c>
      <c r="K61" s="471" t="str">
        <f t="shared" si="8"/>
        <v>T1007Kry</v>
      </c>
      <c r="L61" s="471" t="str">
        <f t="shared" si="9"/>
        <v>B4厚紙</v>
      </c>
      <c r="P61" s="533" t="s">
        <v>1324</v>
      </c>
      <c r="Q61" s="533" t="s">
        <v>1325</v>
      </c>
      <c r="R61" s="534" t="str">
        <f t="shared" si="10"/>
        <v>1007</v>
      </c>
      <c r="S61" s="534" t="str">
        <f t="shared" si="11"/>
        <v>B4厚紙</v>
      </c>
      <c r="T61" s="538" t="str">
        <f t="shared" si="4"/>
        <v>10</v>
      </c>
      <c r="U61" s="538" t="str">
        <f t="shared" si="5"/>
        <v>07</v>
      </c>
      <c r="V61" s="471" t="s">
        <v>1136</v>
      </c>
      <c r="Y61" s="472">
        <f t="shared" si="6"/>
        <v>3.3</v>
      </c>
      <c r="Z61" s="540">
        <f t="shared" si="7"/>
        <v>0.26</v>
      </c>
      <c r="AA61" s="471">
        <v>0</v>
      </c>
    </row>
    <row r="62" spans="1:27">
      <c r="A62" s="451" t="str">
        <f>CONCATENATE(VLOOKUP(B62,★営業所!$A$1:$B$5,2,FALSE),VLOOKUP(D62,★サイズ表記!$D$4:$E$55,2,FALSE),VLOOKUP(F62,★折込地区!$A$1:$B$11,2,FALSE))</f>
        <v>T1008Kry</v>
      </c>
      <c r="B62" s="457" t="s">
        <v>275</v>
      </c>
      <c r="C62" s="452" t="str">
        <f>VLOOKUP(B62,★営業所!$A$1:$B$5,2,FALSE)</f>
        <v>T</v>
      </c>
      <c r="D62" s="465" t="s">
        <v>957</v>
      </c>
      <c r="E62" s="452" t="str">
        <f>VLOOKUP(D62,★サイズ表記!$D$4:$E$55,2,FALSE)</f>
        <v>1008</v>
      </c>
      <c r="F62" s="457" t="s">
        <v>1602</v>
      </c>
      <c r="G62" s="452" t="str">
        <f>VLOOKUP(F62,★折込地区!$A$1:$B$11,2,FALSE)</f>
        <v>Kry</v>
      </c>
      <c r="H62" s="453">
        <f>INDEX(★サイズ表記!$I$4:$Q$55, MATCH(E62,★サイズ表記!$E$4:$E$55,0), MATCH(G62,★サイズ表記!$I$3:$R$3,0))</f>
        <v>4.4000000000000004</v>
      </c>
      <c r="K62" s="471" t="str">
        <f t="shared" si="8"/>
        <v>T1008Kry</v>
      </c>
      <c r="L62" s="471" t="str">
        <f t="shared" si="9"/>
        <v>B3厚紙</v>
      </c>
      <c r="P62" s="533" t="s">
        <v>1324</v>
      </c>
      <c r="Q62" s="533" t="s">
        <v>1325</v>
      </c>
      <c r="R62" s="534" t="str">
        <f t="shared" si="10"/>
        <v>1008</v>
      </c>
      <c r="S62" s="534" t="str">
        <f t="shared" si="11"/>
        <v>B3厚紙</v>
      </c>
      <c r="T62" s="538" t="str">
        <f t="shared" si="4"/>
        <v>10</v>
      </c>
      <c r="U62" s="538" t="str">
        <f t="shared" si="5"/>
        <v>08</v>
      </c>
      <c r="V62" s="471" t="s">
        <v>1136</v>
      </c>
      <c r="Y62" s="472">
        <f t="shared" si="6"/>
        <v>4.4000000000000004</v>
      </c>
      <c r="Z62" s="540">
        <f t="shared" si="7"/>
        <v>0.35</v>
      </c>
      <c r="AA62" s="471">
        <v>0</v>
      </c>
    </row>
    <row r="63" spans="1:27">
      <c r="A63" s="451" t="str">
        <f>CONCATENATE(VLOOKUP(B63,★営業所!$A$1:$B$5,2,FALSE),VLOOKUP(D63,★サイズ表記!$D$4:$E$55,2,FALSE),VLOOKUP(F63,★折込地区!$A$1:$B$11,2,FALSE))</f>
        <v>T1009Kry</v>
      </c>
      <c r="B63" s="457" t="s">
        <v>275</v>
      </c>
      <c r="C63" s="452" t="str">
        <f>VLOOKUP(B63,★営業所!$A$1:$B$5,2,FALSE)</f>
        <v>T</v>
      </c>
      <c r="D63" s="465" t="s">
        <v>958</v>
      </c>
      <c r="E63" s="452" t="str">
        <f>VLOOKUP(D63,★サイズ表記!$D$4:$E$55,2,FALSE)</f>
        <v>1009</v>
      </c>
      <c r="F63" s="457" t="s">
        <v>1602</v>
      </c>
      <c r="G63" s="452" t="str">
        <f>VLOOKUP(F63,★折込地区!$A$1:$B$11,2,FALSE)</f>
        <v>Kry</v>
      </c>
      <c r="H63" s="453">
        <f>INDEX(★サイズ表記!$I$4:$Q$55, MATCH(E63,★サイズ表記!$E$4:$E$55,0), MATCH(G63,★サイズ表記!$I$3:$R$3,0))</f>
        <v>7.5</v>
      </c>
      <c r="K63" s="471" t="str">
        <f t="shared" si="8"/>
        <v>T1009Kry</v>
      </c>
      <c r="L63" s="471" t="str">
        <f t="shared" si="9"/>
        <v>B2厚紙</v>
      </c>
      <c r="P63" s="533" t="s">
        <v>1324</v>
      </c>
      <c r="Q63" s="533" t="s">
        <v>1325</v>
      </c>
      <c r="R63" s="534" t="str">
        <f t="shared" si="10"/>
        <v>1009</v>
      </c>
      <c r="S63" s="534" t="str">
        <f t="shared" si="11"/>
        <v>B2厚紙</v>
      </c>
      <c r="T63" s="538" t="str">
        <f t="shared" si="4"/>
        <v>10</v>
      </c>
      <c r="U63" s="538" t="str">
        <f t="shared" si="5"/>
        <v>09</v>
      </c>
      <c r="V63" s="471" t="s">
        <v>1136</v>
      </c>
      <c r="Y63" s="472">
        <f t="shared" si="6"/>
        <v>7.5</v>
      </c>
      <c r="Z63" s="540">
        <f t="shared" si="7"/>
        <v>0.6</v>
      </c>
      <c r="AA63" s="471">
        <v>0</v>
      </c>
    </row>
    <row r="64" spans="1:27">
      <c r="A64" s="451" t="str">
        <f>CONCATENATE(VLOOKUP(B64,★営業所!$A$1:$B$5,2,FALSE),VLOOKUP(D64,★サイズ表記!$D$4:$E$55,2,FALSE),VLOOKUP(F64,★折込地区!$A$1:$B$11,2,FALSE))</f>
        <v>T1010Kry</v>
      </c>
      <c r="B64" s="457" t="s">
        <v>275</v>
      </c>
      <c r="C64" s="452" t="str">
        <f>VLOOKUP(B64,★営業所!$A$1:$B$5,2,FALSE)</f>
        <v>T</v>
      </c>
      <c r="D64" s="465" t="s">
        <v>959</v>
      </c>
      <c r="E64" s="452" t="str">
        <f>VLOOKUP(D64,★サイズ表記!$D$4:$E$55,2,FALSE)</f>
        <v>1010</v>
      </c>
      <c r="F64" s="457" t="s">
        <v>1602</v>
      </c>
      <c r="G64" s="452" t="str">
        <f>VLOOKUP(F64,★折込地区!$A$1:$B$11,2,FALSE)</f>
        <v>Kry</v>
      </c>
      <c r="H64" s="453">
        <f>INDEX(★サイズ表記!$I$4:$Q$55, MATCH(E64,★サイズ表記!$E$4:$E$55,0), MATCH(G64,★サイズ表記!$I$3:$R$3,0))</f>
        <v>4.2</v>
      </c>
      <c r="K64" s="471" t="str">
        <f t="shared" si="8"/>
        <v>T1010Kry</v>
      </c>
      <c r="L64" s="471" t="str">
        <f t="shared" si="9"/>
        <v>B4以下変形</v>
      </c>
      <c r="P64" s="533" t="s">
        <v>1324</v>
      </c>
      <c r="Q64" s="533" t="s">
        <v>1325</v>
      </c>
      <c r="R64" s="534" t="str">
        <f t="shared" si="10"/>
        <v>1010</v>
      </c>
      <c r="S64" s="534" t="str">
        <f t="shared" si="11"/>
        <v>B4以下変形</v>
      </c>
      <c r="T64" s="538" t="str">
        <f t="shared" si="4"/>
        <v>10</v>
      </c>
      <c r="U64" s="538" t="str">
        <f t="shared" si="5"/>
        <v>10</v>
      </c>
      <c r="V64" s="471" t="s">
        <v>1136</v>
      </c>
      <c r="Y64" s="472">
        <f t="shared" si="6"/>
        <v>4.2</v>
      </c>
      <c r="Z64" s="540">
        <f t="shared" si="7"/>
        <v>0.33</v>
      </c>
      <c r="AA64" s="471">
        <v>0</v>
      </c>
    </row>
    <row r="65" spans="1:27">
      <c r="A65" s="451" t="str">
        <f>CONCATENATE(VLOOKUP(B65,★営業所!$A$1:$B$5,2,FALSE),VLOOKUP(D65,★サイズ表記!$D$4:$E$55,2,FALSE),VLOOKUP(F65,★折込地区!$A$1:$B$11,2,FALSE))</f>
        <v>T1011Kry</v>
      </c>
      <c r="B65" s="457" t="s">
        <v>275</v>
      </c>
      <c r="C65" s="452" t="str">
        <f>VLOOKUP(B65,★営業所!$A$1:$B$5,2,FALSE)</f>
        <v>T</v>
      </c>
      <c r="D65" s="465" t="s">
        <v>960</v>
      </c>
      <c r="E65" s="452" t="str">
        <f>VLOOKUP(D65,★サイズ表記!$D$4:$E$55,2,FALSE)</f>
        <v>1011</v>
      </c>
      <c r="F65" s="457" t="s">
        <v>1602</v>
      </c>
      <c r="G65" s="452" t="str">
        <f>VLOOKUP(F65,★折込地区!$A$1:$B$11,2,FALSE)</f>
        <v>Kry</v>
      </c>
      <c r="H65" s="453">
        <f>INDEX(★サイズ表記!$I$4:$Q$55, MATCH(E65,★サイズ表記!$E$4:$E$55,0), MATCH(G65,★サイズ表記!$I$3:$R$3,0))</f>
        <v>3.8</v>
      </c>
      <c r="K65" s="471" t="str">
        <f t="shared" si="8"/>
        <v>T1011Kry</v>
      </c>
      <c r="L65" s="471" t="str">
        <f t="shared" si="9"/>
        <v>B4シール付き</v>
      </c>
      <c r="P65" s="533" t="s">
        <v>1324</v>
      </c>
      <c r="Q65" s="533" t="s">
        <v>1325</v>
      </c>
      <c r="R65" s="534" t="str">
        <f t="shared" si="10"/>
        <v>1011</v>
      </c>
      <c r="S65" s="534" t="str">
        <f t="shared" si="11"/>
        <v>B4シール付き</v>
      </c>
      <c r="T65" s="538" t="str">
        <f t="shared" si="4"/>
        <v>10</v>
      </c>
      <c r="U65" s="538" t="str">
        <f t="shared" si="5"/>
        <v>11</v>
      </c>
      <c r="V65" s="471" t="s">
        <v>1136</v>
      </c>
      <c r="Y65" s="472">
        <f t="shared" si="6"/>
        <v>3.8</v>
      </c>
      <c r="Z65" s="540">
        <f t="shared" si="7"/>
        <v>0.3</v>
      </c>
      <c r="AA65" s="471">
        <v>0</v>
      </c>
    </row>
    <row r="66" spans="1:27">
      <c r="A66" s="451" t="str">
        <f>CONCATENATE(VLOOKUP(B66,★営業所!$A$1:$B$5,2,FALSE),VLOOKUP(D66,★サイズ表記!$D$4:$E$55,2,FALSE),VLOOKUP(F66,★折込地区!$A$1:$B$11,2,FALSE))</f>
        <v>T1012Kry</v>
      </c>
      <c r="B66" s="457" t="s">
        <v>275</v>
      </c>
      <c r="C66" s="452" t="str">
        <f>VLOOKUP(B66,★営業所!$A$1:$B$5,2,FALSE)</f>
        <v>T</v>
      </c>
      <c r="D66" s="465" t="s">
        <v>961</v>
      </c>
      <c r="E66" s="452" t="str">
        <f>VLOOKUP(D66,★サイズ表記!$D$4:$E$55,2,FALSE)</f>
        <v>1012</v>
      </c>
      <c r="F66" s="457" t="s">
        <v>1602</v>
      </c>
      <c r="G66" s="452" t="str">
        <f>VLOOKUP(F66,★折込地区!$A$1:$B$11,2,FALSE)</f>
        <v>Kry</v>
      </c>
      <c r="H66" s="453">
        <f>INDEX(★サイズ表記!$I$4:$Q$55, MATCH(E66,★サイズ表記!$E$4:$E$55,0), MATCH(G66,★サイズ表記!$I$3:$R$3,0))</f>
        <v>4.9000000000000004</v>
      </c>
      <c r="K66" s="471" t="str">
        <f t="shared" si="8"/>
        <v>T1012Kry</v>
      </c>
      <c r="L66" s="471" t="str">
        <f t="shared" si="9"/>
        <v>B3シール付き</v>
      </c>
      <c r="P66" s="533" t="s">
        <v>1324</v>
      </c>
      <c r="Q66" s="533" t="s">
        <v>1325</v>
      </c>
      <c r="R66" s="534" t="str">
        <f t="shared" si="10"/>
        <v>1012</v>
      </c>
      <c r="S66" s="534" t="str">
        <f t="shared" si="11"/>
        <v>B3シール付き</v>
      </c>
      <c r="T66" s="538" t="str">
        <f t="shared" si="4"/>
        <v>10</v>
      </c>
      <c r="U66" s="538" t="str">
        <f t="shared" si="5"/>
        <v>12</v>
      </c>
      <c r="V66" s="471" t="s">
        <v>1136</v>
      </c>
      <c r="Y66" s="472">
        <f t="shared" si="6"/>
        <v>4.9000000000000004</v>
      </c>
      <c r="Z66" s="540">
        <f t="shared" si="7"/>
        <v>0.39</v>
      </c>
      <c r="AA66" s="471">
        <v>0</v>
      </c>
    </row>
    <row r="67" spans="1:27">
      <c r="A67" s="451" t="str">
        <f>CONCATENATE(VLOOKUP(B67,★営業所!$A$1:$B$5,2,FALSE),VLOOKUP(D67,★サイズ表記!$D$4:$E$55,2,FALSE),VLOOKUP(F67,★折込地区!$A$1:$B$11,2,FALSE))</f>
        <v>T1013Kry</v>
      </c>
      <c r="B67" s="457" t="s">
        <v>275</v>
      </c>
      <c r="C67" s="452" t="str">
        <f>VLOOKUP(B67,★営業所!$A$1:$B$5,2,FALSE)</f>
        <v>T</v>
      </c>
      <c r="D67" s="465" t="s">
        <v>962</v>
      </c>
      <c r="E67" s="452" t="str">
        <f>VLOOKUP(D67,★サイズ表記!$D$4:$E$55,2,FALSE)</f>
        <v>1013</v>
      </c>
      <c r="F67" s="457" t="s">
        <v>1602</v>
      </c>
      <c r="G67" s="452" t="str">
        <f>VLOOKUP(F67,★折込地区!$A$1:$B$11,2,FALSE)</f>
        <v>Kry</v>
      </c>
      <c r="H67" s="453">
        <f>INDEX(★サイズ表記!$I$4:$Q$55, MATCH(E67,★サイズ表記!$E$4:$E$55,0), MATCH(G67,★サイズ表記!$I$3:$R$3,0))</f>
        <v>3.8</v>
      </c>
      <c r="K67" s="471" t="str">
        <f t="shared" si="8"/>
        <v>T1013Kry</v>
      </c>
      <c r="L67" s="471" t="str">
        <f t="shared" si="9"/>
        <v>B4スクラッチ付き</v>
      </c>
      <c r="P67" s="533" t="s">
        <v>1324</v>
      </c>
      <c r="Q67" s="533" t="s">
        <v>1325</v>
      </c>
      <c r="R67" s="534" t="str">
        <f t="shared" si="10"/>
        <v>1013</v>
      </c>
      <c r="S67" s="534" t="str">
        <f t="shared" si="11"/>
        <v>B4スクラッチ付き</v>
      </c>
      <c r="T67" s="538" t="str">
        <f t="shared" si="4"/>
        <v>10</v>
      </c>
      <c r="U67" s="538" t="str">
        <f t="shared" si="5"/>
        <v>13</v>
      </c>
      <c r="V67" s="471" t="s">
        <v>1136</v>
      </c>
      <c r="Y67" s="472">
        <f t="shared" si="6"/>
        <v>3.8</v>
      </c>
      <c r="Z67" s="540">
        <f t="shared" si="7"/>
        <v>0.3</v>
      </c>
      <c r="AA67" s="471">
        <v>0</v>
      </c>
    </row>
    <row r="68" spans="1:27">
      <c r="A68" s="451" t="str">
        <f>CONCATENATE(VLOOKUP(B68,★営業所!$A$1:$B$5,2,FALSE),VLOOKUP(D68,★サイズ表記!$D$4:$E$55,2,FALSE),VLOOKUP(F68,★折込地区!$A$1:$B$11,2,FALSE))</f>
        <v>T2001Kry</v>
      </c>
      <c r="B68" s="457" t="s">
        <v>275</v>
      </c>
      <c r="C68" s="452" t="str">
        <f>VLOOKUP(B68,★営業所!$A$1:$B$5,2,FALSE)</f>
        <v>T</v>
      </c>
      <c r="D68" s="465" t="s">
        <v>963</v>
      </c>
      <c r="E68" s="452" t="str">
        <f>VLOOKUP(D68,★サイズ表記!$D$4:$E$55,2,FALSE)</f>
        <v>2001</v>
      </c>
      <c r="F68" s="457" t="s">
        <v>1602</v>
      </c>
      <c r="G68" s="452" t="str">
        <f>VLOOKUP(F68,★折込地区!$A$1:$B$11,2,FALSE)</f>
        <v>Kry</v>
      </c>
      <c r="H68" s="453">
        <f>INDEX(★サイズ表記!$I$4:$Q$55, MATCH(E68,★サイズ表記!$E$4:$E$55,0), MATCH(G68,★サイズ表記!$I$3:$R$3,0))</f>
        <v>4.2</v>
      </c>
      <c r="K68" s="471" t="str">
        <f t="shared" si="8"/>
        <v>T2001Kry</v>
      </c>
      <c r="L68" s="471" t="str">
        <f t="shared" si="9"/>
        <v>連合B4</v>
      </c>
      <c r="P68" s="533" t="s">
        <v>1324</v>
      </c>
      <c r="Q68" s="533" t="s">
        <v>1325</v>
      </c>
      <c r="R68" s="534" t="str">
        <f t="shared" si="10"/>
        <v>2001</v>
      </c>
      <c r="S68" s="534" t="str">
        <f t="shared" si="11"/>
        <v>連合B4</v>
      </c>
      <c r="T68" s="538" t="str">
        <f t="shared" si="4"/>
        <v>20</v>
      </c>
      <c r="U68" s="538" t="str">
        <f t="shared" si="5"/>
        <v>01</v>
      </c>
      <c r="V68" s="471" t="s">
        <v>1136</v>
      </c>
      <c r="Y68" s="472">
        <f t="shared" si="6"/>
        <v>4.2</v>
      </c>
      <c r="Z68" s="540">
        <f t="shared" si="7"/>
        <v>0.33</v>
      </c>
      <c r="AA68" s="471">
        <v>0</v>
      </c>
    </row>
    <row r="69" spans="1:27">
      <c r="A69" s="451" t="str">
        <f>CONCATENATE(VLOOKUP(B69,★営業所!$A$1:$B$5,2,FALSE),VLOOKUP(D69,★サイズ表記!$D$4:$E$55,2,FALSE),VLOOKUP(F69,★折込地区!$A$1:$B$11,2,FALSE))</f>
        <v>T2002Kry</v>
      </c>
      <c r="B69" s="457" t="s">
        <v>275</v>
      </c>
      <c r="C69" s="452" t="str">
        <f>VLOOKUP(B69,★営業所!$A$1:$B$5,2,FALSE)</f>
        <v>T</v>
      </c>
      <c r="D69" s="465" t="s">
        <v>964</v>
      </c>
      <c r="E69" s="452" t="str">
        <f>VLOOKUP(D69,★サイズ表記!$D$4:$E$55,2,FALSE)</f>
        <v>2002</v>
      </c>
      <c r="F69" s="457" t="s">
        <v>1602</v>
      </c>
      <c r="G69" s="452" t="str">
        <f>VLOOKUP(F69,★折込地区!$A$1:$B$11,2,FALSE)</f>
        <v>Kry</v>
      </c>
      <c r="H69" s="453">
        <f>INDEX(★サイズ表記!$I$4:$Q$55, MATCH(E69,★サイズ表記!$E$4:$E$55,0), MATCH(G69,★サイズ表記!$I$3:$R$3,0))</f>
        <v>5.85</v>
      </c>
      <c r="K69" s="471" t="str">
        <f t="shared" si="8"/>
        <v>T2002Kry</v>
      </c>
      <c r="L69" s="471" t="str">
        <f t="shared" si="9"/>
        <v>連合B3</v>
      </c>
      <c r="P69" s="533" t="s">
        <v>1324</v>
      </c>
      <c r="Q69" s="533" t="s">
        <v>1325</v>
      </c>
      <c r="R69" s="534" t="str">
        <f t="shared" si="10"/>
        <v>2002</v>
      </c>
      <c r="S69" s="534" t="str">
        <f t="shared" si="11"/>
        <v>連合B3</v>
      </c>
      <c r="T69" s="538" t="str">
        <f t="shared" si="4"/>
        <v>20</v>
      </c>
      <c r="U69" s="538" t="str">
        <f t="shared" si="5"/>
        <v>02</v>
      </c>
      <c r="V69" s="471" t="s">
        <v>1136</v>
      </c>
      <c r="Y69" s="472">
        <f t="shared" si="6"/>
        <v>5.85</v>
      </c>
      <c r="Z69" s="540">
        <f t="shared" si="7"/>
        <v>0.46</v>
      </c>
      <c r="AA69" s="471">
        <v>0</v>
      </c>
    </row>
    <row r="70" spans="1:27">
      <c r="A70" s="451" t="str">
        <f>CONCATENATE(VLOOKUP(B70,★営業所!$A$1:$B$5,2,FALSE),VLOOKUP(D70,★サイズ表記!$D$4:$E$55,2,FALSE),VLOOKUP(F70,★折込地区!$A$1:$B$11,2,FALSE))</f>
        <v>T2003Kry</v>
      </c>
      <c r="B70" s="457" t="s">
        <v>275</v>
      </c>
      <c r="C70" s="452" t="str">
        <f>VLOOKUP(B70,★営業所!$A$1:$B$5,2,FALSE)</f>
        <v>T</v>
      </c>
      <c r="D70" s="465" t="s">
        <v>965</v>
      </c>
      <c r="E70" s="452" t="str">
        <f>VLOOKUP(D70,★サイズ表記!$D$4:$E$55,2,FALSE)</f>
        <v>2003</v>
      </c>
      <c r="F70" s="457" t="s">
        <v>1602</v>
      </c>
      <c r="G70" s="452" t="str">
        <f>VLOOKUP(F70,★折込地区!$A$1:$B$11,2,FALSE)</f>
        <v>Kry</v>
      </c>
      <c r="H70" s="453">
        <f>INDEX(★サイズ表記!$I$4:$Q$55, MATCH(E70,★サイズ表記!$E$4:$E$55,0), MATCH(G70,★サイズ表記!$I$3:$R$3,0))</f>
        <v>10.5</v>
      </c>
      <c r="K70" s="471" t="str">
        <f t="shared" si="8"/>
        <v>T2003Kry</v>
      </c>
      <c r="L70" s="471" t="str">
        <f t="shared" si="9"/>
        <v>連合B2</v>
      </c>
      <c r="P70" s="533" t="s">
        <v>1324</v>
      </c>
      <c r="Q70" s="533" t="s">
        <v>1325</v>
      </c>
      <c r="R70" s="534" t="str">
        <f t="shared" si="10"/>
        <v>2003</v>
      </c>
      <c r="S70" s="534" t="str">
        <f t="shared" si="11"/>
        <v>連合B2</v>
      </c>
      <c r="T70" s="538" t="str">
        <f t="shared" si="4"/>
        <v>20</v>
      </c>
      <c r="U70" s="538" t="str">
        <f t="shared" si="5"/>
        <v>03</v>
      </c>
      <c r="V70" s="471" t="s">
        <v>1136</v>
      </c>
      <c r="Y70" s="472">
        <f t="shared" si="6"/>
        <v>10.5</v>
      </c>
      <c r="Z70" s="540">
        <f t="shared" si="7"/>
        <v>0.84</v>
      </c>
      <c r="AA70" s="471">
        <v>0</v>
      </c>
    </row>
    <row r="71" spans="1:27">
      <c r="A71" s="451" t="str">
        <f>CONCATENATE(VLOOKUP(B71,★営業所!$A$1:$B$5,2,FALSE),VLOOKUP(D71,★サイズ表記!$D$4:$E$55,2,FALSE),VLOOKUP(F71,★折込地区!$A$1:$B$11,2,FALSE))</f>
        <v>T2004Kry</v>
      </c>
      <c r="B71" s="457" t="s">
        <v>275</v>
      </c>
      <c r="C71" s="452" t="str">
        <f>VLOOKUP(B71,★営業所!$A$1:$B$5,2,FALSE)</f>
        <v>T</v>
      </c>
      <c r="D71" s="465" t="s">
        <v>966</v>
      </c>
      <c r="E71" s="452" t="str">
        <f>VLOOKUP(D71,★サイズ表記!$D$4:$E$55,2,FALSE)</f>
        <v>2004</v>
      </c>
      <c r="F71" s="457" t="s">
        <v>1602</v>
      </c>
      <c r="G71" s="452" t="str">
        <f>VLOOKUP(F71,★折込地区!$A$1:$B$11,2,FALSE)</f>
        <v>Kry</v>
      </c>
      <c r="H71" s="453">
        <f>INDEX(★サイズ表記!$I$4:$Q$55, MATCH(E71,★サイズ表記!$E$4:$E$55,0), MATCH(G71,★サイズ表記!$I$3:$R$3,0))</f>
        <v>10.5</v>
      </c>
      <c r="K71" s="471" t="str">
        <f t="shared" si="8"/>
        <v>T2004Kry</v>
      </c>
      <c r="L71" s="471" t="str">
        <f t="shared" si="9"/>
        <v>連合3つ折り</v>
      </c>
      <c r="P71" s="533" t="s">
        <v>1324</v>
      </c>
      <c r="Q71" s="533" t="s">
        <v>1325</v>
      </c>
      <c r="R71" s="534" t="str">
        <f t="shared" si="10"/>
        <v>2004</v>
      </c>
      <c r="S71" s="534" t="str">
        <f t="shared" si="11"/>
        <v>連合3つ折り</v>
      </c>
      <c r="T71" s="538" t="str">
        <f t="shared" si="4"/>
        <v>20</v>
      </c>
      <c r="U71" s="538" t="str">
        <f t="shared" si="5"/>
        <v>04</v>
      </c>
      <c r="V71" s="471" t="s">
        <v>1136</v>
      </c>
      <c r="Y71" s="472">
        <f t="shared" si="6"/>
        <v>10.5</v>
      </c>
      <c r="Z71" s="540">
        <f t="shared" si="7"/>
        <v>0.84</v>
      </c>
      <c r="AA71" s="471">
        <v>0</v>
      </c>
    </row>
    <row r="72" spans="1:27">
      <c r="A72" s="451" t="str">
        <f>CONCATENATE(VLOOKUP(B72,★営業所!$A$1:$B$5,2,FALSE),VLOOKUP(D72,★サイズ表記!$D$4:$E$55,2,FALSE),VLOOKUP(F72,★折込地区!$A$1:$B$11,2,FALSE))</f>
        <v>T2005Kry</v>
      </c>
      <c r="B72" s="457" t="s">
        <v>275</v>
      </c>
      <c r="C72" s="452" t="str">
        <f>VLOOKUP(B72,★営業所!$A$1:$B$5,2,FALSE)</f>
        <v>T</v>
      </c>
      <c r="D72" s="465" t="s">
        <v>967</v>
      </c>
      <c r="E72" s="452" t="str">
        <f>VLOOKUP(D72,★サイズ表記!$D$4:$E$55,2,FALSE)</f>
        <v>2005</v>
      </c>
      <c r="F72" s="457" t="s">
        <v>1602</v>
      </c>
      <c r="G72" s="452" t="str">
        <f>VLOOKUP(F72,★折込地区!$A$1:$B$11,2,FALSE)</f>
        <v>Kry</v>
      </c>
      <c r="H72" s="453">
        <f>INDEX(★サイズ表記!$I$4:$Q$55, MATCH(E72,★サイズ表記!$E$4:$E$55,0), MATCH(G72,★サイズ表記!$I$3:$R$3,0))</f>
        <v>4.7</v>
      </c>
      <c r="K72" s="471" t="str">
        <f t="shared" si="8"/>
        <v>T2005Kry</v>
      </c>
      <c r="L72" s="471" t="str">
        <f t="shared" si="9"/>
        <v>連合B4厚紙</v>
      </c>
      <c r="P72" s="533" t="s">
        <v>1324</v>
      </c>
      <c r="Q72" s="533" t="s">
        <v>1325</v>
      </c>
      <c r="R72" s="534" t="str">
        <f t="shared" si="10"/>
        <v>2005</v>
      </c>
      <c r="S72" s="534" t="str">
        <f t="shared" si="11"/>
        <v>連合B4厚紙</v>
      </c>
      <c r="T72" s="538" t="str">
        <f t="shared" si="4"/>
        <v>20</v>
      </c>
      <c r="U72" s="538" t="str">
        <f t="shared" si="5"/>
        <v>05</v>
      </c>
      <c r="V72" s="471" t="s">
        <v>1136</v>
      </c>
      <c r="Y72" s="472">
        <f t="shared" si="6"/>
        <v>4.7</v>
      </c>
      <c r="Z72" s="540">
        <f t="shared" si="7"/>
        <v>0.37</v>
      </c>
      <c r="AA72" s="471">
        <v>0</v>
      </c>
    </row>
    <row r="73" spans="1:27">
      <c r="A73" s="451" t="str">
        <f>CONCATENATE(VLOOKUP(B73,★営業所!$A$1:$B$5,2,FALSE),VLOOKUP(D73,★サイズ表記!$D$4:$E$55,2,FALSE),VLOOKUP(F73,★折込地区!$A$1:$B$11,2,FALSE))</f>
        <v>T2006Kry</v>
      </c>
      <c r="B73" s="457" t="s">
        <v>275</v>
      </c>
      <c r="C73" s="452" t="str">
        <f>VLOOKUP(B73,★営業所!$A$1:$B$5,2,FALSE)</f>
        <v>T</v>
      </c>
      <c r="D73" s="465" t="s">
        <v>968</v>
      </c>
      <c r="E73" s="452" t="str">
        <f>VLOOKUP(D73,★サイズ表記!$D$4:$E$55,2,FALSE)</f>
        <v>2006</v>
      </c>
      <c r="F73" s="457" t="s">
        <v>1602</v>
      </c>
      <c r="G73" s="452" t="str">
        <f>VLOOKUP(F73,★折込地区!$A$1:$B$11,2,FALSE)</f>
        <v>Kry</v>
      </c>
      <c r="H73" s="453">
        <f>INDEX(★サイズ表記!$I$4:$Q$55, MATCH(E73,★サイズ表記!$E$4:$E$55,0), MATCH(G73,★サイズ表記!$I$3:$R$3,0))</f>
        <v>7.35</v>
      </c>
      <c r="K73" s="471" t="str">
        <f t="shared" si="8"/>
        <v>T2006Kry</v>
      </c>
      <c r="L73" s="471" t="str">
        <f t="shared" si="9"/>
        <v>連合2つ折り極小</v>
      </c>
      <c r="P73" s="533" t="s">
        <v>1324</v>
      </c>
      <c r="Q73" s="533" t="s">
        <v>1325</v>
      </c>
      <c r="R73" s="534" t="str">
        <f t="shared" si="10"/>
        <v>2006</v>
      </c>
      <c r="S73" s="534" t="str">
        <f t="shared" si="11"/>
        <v>連合2つ折り極小</v>
      </c>
      <c r="T73" s="538" t="str">
        <f t="shared" si="4"/>
        <v>20</v>
      </c>
      <c r="U73" s="538" t="str">
        <f t="shared" si="5"/>
        <v>06</v>
      </c>
      <c r="V73" s="471" t="s">
        <v>1136</v>
      </c>
      <c r="Y73" s="472">
        <f t="shared" si="6"/>
        <v>7.35</v>
      </c>
      <c r="Z73" s="540">
        <f t="shared" si="7"/>
        <v>0.57999999999999996</v>
      </c>
      <c r="AA73" s="471">
        <v>0</v>
      </c>
    </row>
    <row r="74" spans="1:27">
      <c r="A74" s="451" t="str">
        <f>CONCATENATE(VLOOKUP(B74,★営業所!$A$1:$B$5,2,FALSE),VLOOKUP(D74,★サイズ表記!$D$4:$E$55,2,FALSE),VLOOKUP(F74,★折込地区!$A$1:$B$11,2,FALSE))</f>
        <v>T2007Kry</v>
      </c>
      <c r="B74" s="457" t="s">
        <v>275</v>
      </c>
      <c r="C74" s="452" t="str">
        <f>VLOOKUP(B74,★営業所!$A$1:$B$5,2,FALSE)</f>
        <v>T</v>
      </c>
      <c r="D74" s="465" t="s">
        <v>1365</v>
      </c>
      <c r="E74" s="452" t="str">
        <f>VLOOKUP(D74,★サイズ表記!$D$4:$E$55,2,FALSE)</f>
        <v>2007</v>
      </c>
      <c r="F74" s="457" t="s">
        <v>1602</v>
      </c>
      <c r="G74" s="452" t="str">
        <f>VLOOKUP(F74,★折込地区!$A$1:$B$11,2,FALSE)</f>
        <v>Kry</v>
      </c>
      <c r="H74" s="453">
        <f>INDEX(★サイズ表記!$I$4:$Q$55, MATCH(E74,★サイズ表記!$E$4:$E$55,0), MATCH(G74,★サイズ表記!$I$3:$R$3,0))</f>
        <v>10.050000000000001</v>
      </c>
      <c r="K74" s="471" t="str">
        <f t="shared" si="8"/>
        <v>T2007Kry</v>
      </c>
      <c r="L74" s="471" t="str">
        <f t="shared" si="9"/>
        <v>連合タブ6P</v>
      </c>
      <c r="P74" s="533" t="s">
        <v>1324</v>
      </c>
      <c r="Q74" s="533" t="s">
        <v>1325</v>
      </c>
      <c r="R74" s="534" t="str">
        <f t="shared" si="10"/>
        <v>2007</v>
      </c>
      <c r="S74" s="534" t="str">
        <f t="shared" si="11"/>
        <v>連合タブ6P</v>
      </c>
      <c r="T74" s="538" t="str">
        <f t="shared" si="4"/>
        <v>20</v>
      </c>
      <c r="U74" s="538" t="str">
        <f t="shared" si="5"/>
        <v>07</v>
      </c>
      <c r="V74" s="471" t="s">
        <v>1136</v>
      </c>
      <c r="Y74" s="472">
        <f t="shared" si="6"/>
        <v>10.050000000000001</v>
      </c>
      <c r="Z74" s="540">
        <f t="shared" si="7"/>
        <v>0.8</v>
      </c>
      <c r="AA74" s="471">
        <v>0</v>
      </c>
    </row>
    <row r="75" spans="1:27">
      <c r="A75" s="451" t="str">
        <f>CONCATENATE(VLOOKUP(B75,★営業所!$A$1:$B$5,2,FALSE),VLOOKUP(D75,★サイズ表記!$D$4:$E$55,2,FALSE),VLOOKUP(F75,★折込地区!$A$1:$B$11,2,FALSE))</f>
        <v>T2008Kry</v>
      </c>
      <c r="B75" s="457" t="s">
        <v>275</v>
      </c>
      <c r="C75" s="452" t="str">
        <f>VLOOKUP(B75,★営業所!$A$1:$B$5,2,FALSE)</f>
        <v>T</v>
      </c>
      <c r="D75" s="465" t="s">
        <v>1366</v>
      </c>
      <c r="E75" s="452" t="str">
        <f>VLOOKUP(D75,★サイズ表記!$D$4:$E$55,2,FALSE)</f>
        <v>2008</v>
      </c>
      <c r="F75" s="457" t="s">
        <v>1602</v>
      </c>
      <c r="G75" s="452" t="str">
        <f>VLOOKUP(F75,★折込地区!$A$1:$B$11,2,FALSE)</f>
        <v>Kry</v>
      </c>
      <c r="H75" s="453">
        <f>INDEX(★サイズ表記!$I$4:$Q$55, MATCH(E75,★サイズ表記!$E$4:$E$55,0), MATCH(G75,★サイズ表記!$I$3:$R$3,0))</f>
        <v>10.5</v>
      </c>
      <c r="K75" s="471" t="str">
        <f t="shared" si="8"/>
        <v>T2008Kry</v>
      </c>
      <c r="L75" s="471" t="str">
        <f t="shared" si="9"/>
        <v>連合タブ8P</v>
      </c>
      <c r="P75" s="533" t="s">
        <v>1324</v>
      </c>
      <c r="Q75" s="533" t="s">
        <v>1325</v>
      </c>
      <c r="R75" s="534" t="str">
        <f t="shared" si="10"/>
        <v>2008</v>
      </c>
      <c r="S75" s="534" t="str">
        <f t="shared" si="11"/>
        <v>連合タブ8P</v>
      </c>
      <c r="T75" s="538" t="str">
        <f t="shared" si="4"/>
        <v>20</v>
      </c>
      <c r="U75" s="538" t="str">
        <f t="shared" si="5"/>
        <v>08</v>
      </c>
      <c r="V75" s="471" t="s">
        <v>1136</v>
      </c>
      <c r="Y75" s="472">
        <f t="shared" si="6"/>
        <v>10.5</v>
      </c>
      <c r="Z75" s="540">
        <f t="shared" si="7"/>
        <v>0.84</v>
      </c>
      <c r="AA75" s="471">
        <v>0</v>
      </c>
    </row>
    <row r="76" spans="1:27">
      <c r="A76" s="451" t="str">
        <f>CONCATENATE(VLOOKUP(B76,★営業所!$A$1:$B$5,2,FALSE),VLOOKUP(D76,★サイズ表記!$D$4:$E$55,2,FALSE),VLOOKUP(F76,★折込地区!$A$1:$B$11,2,FALSE))</f>
        <v>T2009Kry</v>
      </c>
      <c r="B76" s="457" t="s">
        <v>275</v>
      </c>
      <c r="C76" s="452" t="str">
        <f>VLOOKUP(B76,★営業所!$A$1:$B$5,2,FALSE)</f>
        <v>T</v>
      </c>
      <c r="D76" s="465" t="s">
        <v>1364</v>
      </c>
      <c r="E76" s="452" t="str">
        <f>VLOOKUP(D76,★サイズ表記!$D$4:$E$55,2,FALSE)</f>
        <v>2009</v>
      </c>
      <c r="F76" s="457" t="s">
        <v>1602</v>
      </c>
      <c r="G76" s="452" t="str">
        <f>VLOOKUP(F76,★折込地区!$A$1:$B$11,2,FALSE)</f>
        <v>Kry</v>
      </c>
      <c r="H76" s="453">
        <f>INDEX(★サイズ表記!$I$4:$Q$55, MATCH(E76,★サイズ表記!$E$4:$E$55,0), MATCH(G76,★サイズ表記!$I$3:$R$3,0))</f>
        <v>16.350000000000001</v>
      </c>
      <c r="K76" s="471" t="str">
        <f t="shared" si="8"/>
        <v>T2009Kry</v>
      </c>
      <c r="L76" s="471" t="str">
        <f t="shared" si="9"/>
        <v>連合タブ12P</v>
      </c>
      <c r="P76" s="533" t="s">
        <v>1324</v>
      </c>
      <c r="Q76" s="533" t="s">
        <v>1325</v>
      </c>
      <c r="R76" s="534" t="str">
        <f t="shared" si="10"/>
        <v>2009</v>
      </c>
      <c r="S76" s="534" t="str">
        <f t="shared" si="11"/>
        <v>連合タブ12P</v>
      </c>
      <c r="T76" s="538" t="str">
        <f t="shared" si="4"/>
        <v>20</v>
      </c>
      <c r="U76" s="538" t="str">
        <f t="shared" si="5"/>
        <v>09</v>
      </c>
      <c r="V76" s="471" t="s">
        <v>1136</v>
      </c>
      <c r="Y76" s="472">
        <f t="shared" si="6"/>
        <v>16.350000000000001</v>
      </c>
      <c r="Z76" s="540">
        <f t="shared" si="7"/>
        <v>1.3</v>
      </c>
      <c r="AA76" s="471">
        <v>0</v>
      </c>
    </row>
    <row r="77" spans="1:27">
      <c r="A77" s="451" t="str">
        <f>CONCATENATE(VLOOKUP(B77,★営業所!$A$1:$B$5,2,FALSE),VLOOKUP(D77,★サイズ表記!$D$4:$E$55,2,FALSE),VLOOKUP(F77,★折込地区!$A$1:$B$11,2,FALSE))</f>
        <v>T3001Kry</v>
      </c>
      <c r="B77" s="457" t="s">
        <v>275</v>
      </c>
      <c r="C77" s="452" t="str">
        <f>VLOOKUP(B77,★営業所!$A$1:$B$5,2,FALSE)</f>
        <v>T</v>
      </c>
      <c r="D77" s="465" t="s">
        <v>969</v>
      </c>
      <c r="E77" s="452" t="str">
        <f>VLOOKUP(D77,★サイズ表記!$D$4:$E$55,2,FALSE)</f>
        <v>3001</v>
      </c>
      <c r="F77" s="457" t="s">
        <v>1602</v>
      </c>
      <c r="G77" s="452" t="str">
        <f>VLOOKUP(F77,★折込地区!$A$1:$B$11,2,FALSE)</f>
        <v>Kry</v>
      </c>
      <c r="H77" s="453">
        <f>INDEX(★サイズ表記!$I$4:$Q$55, MATCH(E77,★サイズ表記!$E$4:$E$55,0), MATCH(G77,★サイズ表記!$I$3:$R$3,0))</f>
        <v>4.2</v>
      </c>
      <c r="K77" s="471" t="str">
        <f t="shared" si="8"/>
        <v>T3001Kry</v>
      </c>
      <c r="L77" s="471" t="str">
        <f t="shared" si="9"/>
        <v>政治B4</v>
      </c>
      <c r="P77" s="533" t="s">
        <v>1324</v>
      </c>
      <c r="Q77" s="533" t="s">
        <v>1325</v>
      </c>
      <c r="R77" s="534" t="str">
        <f t="shared" si="10"/>
        <v>3001</v>
      </c>
      <c r="S77" s="534" t="str">
        <f t="shared" si="11"/>
        <v>政治B4</v>
      </c>
      <c r="T77" s="538" t="str">
        <f t="shared" si="4"/>
        <v>30</v>
      </c>
      <c r="U77" s="538" t="str">
        <f t="shared" si="5"/>
        <v>01</v>
      </c>
      <c r="V77" s="471" t="s">
        <v>1136</v>
      </c>
      <c r="Y77" s="472">
        <f t="shared" si="6"/>
        <v>4.2</v>
      </c>
      <c r="Z77" s="540">
        <f t="shared" si="7"/>
        <v>0.33</v>
      </c>
      <c r="AA77" s="471">
        <v>0</v>
      </c>
    </row>
    <row r="78" spans="1:27">
      <c r="A78" s="451" t="str">
        <f>CONCATENATE(VLOOKUP(B78,★営業所!$A$1:$B$5,2,FALSE),VLOOKUP(D78,★サイズ表記!$D$4:$E$55,2,FALSE),VLOOKUP(F78,★折込地区!$A$1:$B$11,2,FALSE))</f>
        <v>T3002Kry</v>
      </c>
      <c r="B78" s="457" t="s">
        <v>275</v>
      </c>
      <c r="C78" s="452" t="str">
        <f>VLOOKUP(B78,★営業所!$A$1:$B$5,2,FALSE)</f>
        <v>T</v>
      </c>
      <c r="D78" s="465" t="s">
        <v>970</v>
      </c>
      <c r="E78" s="452" t="str">
        <f>VLOOKUP(D78,★サイズ表記!$D$4:$E$55,2,FALSE)</f>
        <v>3002</v>
      </c>
      <c r="F78" s="457" t="s">
        <v>1602</v>
      </c>
      <c r="G78" s="452" t="str">
        <f>VLOOKUP(F78,★折込地区!$A$1:$B$11,2,FALSE)</f>
        <v>Kry</v>
      </c>
      <c r="H78" s="453">
        <f>INDEX(★サイズ表記!$I$4:$Q$55, MATCH(E78,★サイズ表記!$E$4:$E$55,0), MATCH(G78,★サイズ表記!$I$3:$R$3,0))</f>
        <v>5.85</v>
      </c>
      <c r="K78" s="471" t="str">
        <f t="shared" si="8"/>
        <v>T3002Kry</v>
      </c>
      <c r="L78" s="471" t="str">
        <f t="shared" si="9"/>
        <v>政治B3</v>
      </c>
      <c r="P78" s="533" t="s">
        <v>1324</v>
      </c>
      <c r="Q78" s="533" t="s">
        <v>1325</v>
      </c>
      <c r="R78" s="534" t="str">
        <f t="shared" si="10"/>
        <v>3002</v>
      </c>
      <c r="S78" s="534" t="str">
        <f t="shared" si="11"/>
        <v>政治B3</v>
      </c>
      <c r="T78" s="538" t="str">
        <f t="shared" si="4"/>
        <v>30</v>
      </c>
      <c r="U78" s="538" t="str">
        <f t="shared" si="5"/>
        <v>02</v>
      </c>
      <c r="V78" s="471" t="s">
        <v>1136</v>
      </c>
      <c r="Y78" s="472">
        <f t="shared" si="6"/>
        <v>5.85</v>
      </c>
      <c r="Z78" s="540">
        <f t="shared" si="7"/>
        <v>0.46</v>
      </c>
      <c r="AA78" s="471">
        <v>0</v>
      </c>
    </row>
    <row r="79" spans="1:27">
      <c r="A79" s="451" t="str">
        <f>CONCATENATE(VLOOKUP(B79,★営業所!$A$1:$B$5,2,FALSE),VLOOKUP(D79,★サイズ表記!$D$4:$E$55,2,FALSE),VLOOKUP(F79,★折込地区!$A$1:$B$11,2,FALSE))</f>
        <v>T3003Kry</v>
      </c>
      <c r="B79" s="457" t="s">
        <v>275</v>
      </c>
      <c r="C79" s="452" t="str">
        <f>VLOOKUP(B79,★営業所!$A$1:$B$5,2,FALSE)</f>
        <v>T</v>
      </c>
      <c r="D79" s="465" t="s">
        <v>971</v>
      </c>
      <c r="E79" s="452" t="str">
        <f>VLOOKUP(D79,★サイズ表記!$D$4:$E$55,2,FALSE)</f>
        <v>3003</v>
      </c>
      <c r="F79" s="457" t="s">
        <v>1602</v>
      </c>
      <c r="G79" s="452" t="str">
        <f>VLOOKUP(F79,★折込地区!$A$1:$B$11,2,FALSE)</f>
        <v>Kry</v>
      </c>
      <c r="H79" s="453">
        <f>INDEX(★サイズ表記!$I$4:$Q$55, MATCH(E79,★サイズ表記!$E$4:$E$55,0), MATCH(G79,★サイズ表記!$I$3:$R$3,0))</f>
        <v>10.5</v>
      </c>
      <c r="K79" s="471" t="str">
        <f t="shared" si="8"/>
        <v>T3003Kry</v>
      </c>
      <c r="L79" s="471" t="str">
        <f t="shared" si="9"/>
        <v>政治B2</v>
      </c>
      <c r="P79" s="533" t="s">
        <v>1324</v>
      </c>
      <c r="Q79" s="533" t="s">
        <v>1325</v>
      </c>
      <c r="R79" s="534" t="str">
        <f t="shared" si="10"/>
        <v>3003</v>
      </c>
      <c r="S79" s="534" t="str">
        <f t="shared" si="11"/>
        <v>政治B2</v>
      </c>
      <c r="T79" s="538" t="str">
        <f t="shared" si="4"/>
        <v>30</v>
      </c>
      <c r="U79" s="538" t="str">
        <f t="shared" si="5"/>
        <v>03</v>
      </c>
      <c r="V79" s="471" t="s">
        <v>1136</v>
      </c>
      <c r="Y79" s="472">
        <f t="shared" si="6"/>
        <v>10.5</v>
      </c>
      <c r="Z79" s="540">
        <f t="shared" si="7"/>
        <v>0.84</v>
      </c>
      <c r="AA79" s="471">
        <v>0</v>
      </c>
    </row>
    <row r="80" spans="1:27">
      <c r="A80" s="451" t="str">
        <f>CONCATENATE(VLOOKUP(B80,★営業所!$A$1:$B$5,2,FALSE),VLOOKUP(D80,★サイズ表記!$D$4:$E$55,2,FALSE),VLOOKUP(F80,★折込地区!$A$1:$B$11,2,FALSE))</f>
        <v>T3004Kry</v>
      </c>
      <c r="B80" s="457" t="s">
        <v>275</v>
      </c>
      <c r="C80" s="452" t="str">
        <f>VLOOKUP(B80,★営業所!$A$1:$B$5,2,FALSE)</f>
        <v>T</v>
      </c>
      <c r="D80" s="465" t="s">
        <v>972</v>
      </c>
      <c r="E80" s="452" t="str">
        <f>VLOOKUP(D80,★サイズ表記!$D$4:$E$55,2,FALSE)</f>
        <v>3004</v>
      </c>
      <c r="F80" s="457" t="s">
        <v>1602</v>
      </c>
      <c r="G80" s="452" t="str">
        <f>VLOOKUP(F80,★折込地区!$A$1:$B$11,2,FALSE)</f>
        <v>Kry</v>
      </c>
      <c r="H80" s="453">
        <f>INDEX(★サイズ表記!$I$4:$Q$55, MATCH(E80,★サイズ表記!$E$4:$E$55,0), MATCH(G80,★サイズ表記!$I$3:$R$3,0))</f>
        <v>10.5</v>
      </c>
      <c r="K80" s="471" t="str">
        <f t="shared" si="8"/>
        <v>T3004Kry</v>
      </c>
      <c r="L80" s="471" t="str">
        <f t="shared" si="9"/>
        <v>政治3つ折り</v>
      </c>
      <c r="P80" s="533" t="s">
        <v>1324</v>
      </c>
      <c r="Q80" s="533" t="s">
        <v>1325</v>
      </c>
      <c r="R80" s="534" t="str">
        <f t="shared" si="10"/>
        <v>3004</v>
      </c>
      <c r="S80" s="534" t="str">
        <f t="shared" si="11"/>
        <v>政治3つ折り</v>
      </c>
      <c r="T80" s="538" t="str">
        <f t="shared" si="4"/>
        <v>30</v>
      </c>
      <c r="U80" s="538" t="str">
        <f t="shared" si="5"/>
        <v>04</v>
      </c>
      <c r="V80" s="471" t="s">
        <v>1136</v>
      </c>
      <c r="Y80" s="472">
        <f t="shared" si="6"/>
        <v>10.5</v>
      </c>
      <c r="Z80" s="540">
        <f t="shared" si="7"/>
        <v>0.84</v>
      </c>
      <c r="AA80" s="471">
        <v>0</v>
      </c>
    </row>
    <row r="81" spans="1:27">
      <c r="A81" s="451" t="str">
        <f>CONCATENATE(VLOOKUP(B81,★営業所!$A$1:$B$5,2,FALSE),VLOOKUP(D81,★サイズ表記!$D$4:$E$55,2,FALSE),VLOOKUP(F81,★折込地区!$A$1:$B$11,2,FALSE))</f>
        <v>T3005Kry</v>
      </c>
      <c r="B81" s="457" t="s">
        <v>275</v>
      </c>
      <c r="C81" s="452" t="str">
        <f>VLOOKUP(B81,★営業所!$A$1:$B$5,2,FALSE)</f>
        <v>T</v>
      </c>
      <c r="D81" s="465" t="s">
        <v>973</v>
      </c>
      <c r="E81" s="452" t="str">
        <f>VLOOKUP(D81,★サイズ表記!$D$4:$E$55,2,FALSE)</f>
        <v>3005</v>
      </c>
      <c r="F81" s="457" t="s">
        <v>1602</v>
      </c>
      <c r="G81" s="452" t="str">
        <f>VLOOKUP(F81,★折込地区!$A$1:$B$11,2,FALSE)</f>
        <v>Kry</v>
      </c>
      <c r="H81" s="453">
        <f>INDEX(★サイズ表記!$I$4:$Q$55, MATCH(E81,★サイズ表記!$E$4:$E$55,0), MATCH(G81,★サイズ表記!$I$3:$R$3,0))</f>
        <v>7.35</v>
      </c>
      <c r="K81" s="471" t="str">
        <f t="shared" si="8"/>
        <v>T3005Kry</v>
      </c>
      <c r="L81" s="471" t="str">
        <f t="shared" si="9"/>
        <v>政治2つ折り極小</v>
      </c>
      <c r="P81" s="533" t="s">
        <v>1324</v>
      </c>
      <c r="Q81" s="533" t="s">
        <v>1325</v>
      </c>
      <c r="R81" s="534" t="str">
        <f t="shared" si="10"/>
        <v>3005</v>
      </c>
      <c r="S81" s="534" t="str">
        <f t="shared" si="11"/>
        <v>政治2つ折り極小</v>
      </c>
      <c r="T81" s="538" t="str">
        <f t="shared" si="4"/>
        <v>30</v>
      </c>
      <c r="U81" s="538" t="str">
        <f t="shared" si="5"/>
        <v>05</v>
      </c>
      <c r="V81" s="471" t="s">
        <v>1136</v>
      </c>
      <c r="Y81" s="472">
        <f t="shared" si="6"/>
        <v>7.35</v>
      </c>
      <c r="Z81" s="540">
        <f t="shared" si="7"/>
        <v>0.57999999999999996</v>
      </c>
      <c r="AA81" s="471">
        <v>0</v>
      </c>
    </row>
    <row r="82" spans="1:27">
      <c r="A82" s="451" t="str">
        <f>CONCATENATE(VLOOKUP(B82,★営業所!$A$1:$B$5,2,FALSE),VLOOKUP(D82,★サイズ表記!$D$4:$E$55,2,FALSE),VLOOKUP(F82,★折込地区!$A$1:$B$11,2,FALSE))</f>
        <v>T3006Kry</v>
      </c>
      <c r="B82" s="457" t="s">
        <v>275</v>
      </c>
      <c r="C82" s="452" t="str">
        <f>VLOOKUP(B82,★営業所!$A$1:$B$5,2,FALSE)</f>
        <v>T</v>
      </c>
      <c r="D82" s="465" t="s">
        <v>974</v>
      </c>
      <c r="E82" s="452" t="str">
        <f>VLOOKUP(D82,★サイズ表記!$D$4:$E$55,2,FALSE)</f>
        <v>3006</v>
      </c>
      <c r="F82" s="457" t="s">
        <v>1602</v>
      </c>
      <c r="G82" s="452" t="str">
        <f>VLOOKUP(F82,★折込地区!$A$1:$B$11,2,FALSE)</f>
        <v>Kry</v>
      </c>
      <c r="H82" s="453">
        <f>INDEX(★サイズ表記!$I$4:$Q$55, MATCH(E82,★サイズ表記!$E$4:$E$55,0), MATCH(G82,★サイズ表記!$I$3:$R$3,0))</f>
        <v>4.7</v>
      </c>
      <c r="K82" s="471" t="str">
        <f t="shared" si="8"/>
        <v>T3006Kry</v>
      </c>
      <c r="L82" s="471" t="str">
        <f t="shared" si="9"/>
        <v>政治B4厚紙</v>
      </c>
      <c r="P82" s="533" t="s">
        <v>1324</v>
      </c>
      <c r="Q82" s="533" t="s">
        <v>1325</v>
      </c>
      <c r="R82" s="534" t="str">
        <f t="shared" si="10"/>
        <v>3006</v>
      </c>
      <c r="S82" s="534" t="str">
        <f t="shared" si="11"/>
        <v>政治B4厚紙</v>
      </c>
      <c r="T82" s="538" t="str">
        <f t="shared" si="4"/>
        <v>30</v>
      </c>
      <c r="U82" s="538" t="str">
        <f t="shared" si="5"/>
        <v>06</v>
      </c>
      <c r="V82" s="471" t="s">
        <v>1136</v>
      </c>
      <c r="Y82" s="472">
        <f t="shared" si="6"/>
        <v>4.7</v>
      </c>
      <c r="Z82" s="540">
        <f t="shared" si="7"/>
        <v>0.37</v>
      </c>
      <c r="AA82" s="471">
        <v>0</v>
      </c>
    </row>
    <row r="83" spans="1:27">
      <c r="A83" s="451" t="str">
        <f>CONCATENATE(VLOOKUP(B83,★営業所!$A$1:$B$5,2,FALSE),VLOOKUP(D83,★サイズ表記!$D$4:$E$55,2,FALSE),VLOOKUP(F83,★折込地区!$A$1:$B$11,2,FALSE))</f>
        <v>T3007Kry</v>
      </c>
      <c r="B83" s="457" t="s">
        <v>275</v>
      </c>
      <c r="C83" s="452" t="str">
        <f>VLOOKUP(B83,★営業所!$A$1:$B$5,2,FALSE)</f>
        <v>T</v>
      </c>
      <c r="D83" s="465" t="s">
        <v>1362</v>
      </c>
      <c r="E83" s="452" t="str">
        <f>VLOOKUP(D83,★サイズ表記!$D$4:$E$55,2,FALSE)</f>
        <v>3007</v>
      </c>
      <c r="F83" s="457" t="s">
        <v>1602</v>
      </c>
      <c r="G83" s="452" t="str">
        <f>VLOOKUP(F83,★折込地区!$A$1:$B$11,2,FALSE)</f>
        <v>Kry</v>
      </c>
      <c r="H83" s="453">
        <f>INDEX(★サイズ表記!$I$4:$Q$55, MATCH(E83,★サイズ表記!$E$4:$E$55,0), MATCH(G83,★サイズ表記!$I$3:$R$3,0))</f>
        <v>10.050000000000001</v>
      </c>
      <c r="K83" s="471" t="str">
        <f t="shared" si="8"/>
        <v>T3007Kry</v>
      </c>
      <c r="L83" s="471" t="str">
        <f t="shared" si="9"/>
        <v>政治タブ6P</v>
      </c>
      <c r="P83" s="533" t="s">
        <v>1324</v>
      </c>
      <c r="Q83" s="533" t="s">
        <v>1325</v>
      </c>
      <c r="R83" s="534" t="str">
        <f t="shared" si="10"/>
        <v>3007</v>
      </c>
      <c r="S83" s="534" t="str">
        <f t="shared" si="11"/>
        <v>政治タブ6P</v>
      </c>
      <c r="T83" s="538" t="str">
        <f t="shared" si="4"/>
        <v>30</v>
      </c>
      <c r="U83" s="538" t="str">
        <f t="shared" si="5"/>
        <v>07</v>
      </c>
      <c r="V83" s="471" t="s">
        <v>1136</v>
      </c>
      <c r="Y83" s="472">
        <f t="shared" si="6"/>
        <v>10.050000000000001</v>
      </c>
      <c r="Z83" s="540">
        <f t="shared" si="7"/>
        <v>0.8</v>
      </c>
      <c r="AA83" s="471">
        <v>0</v>
      </c>
    </row>
    <row r="84" spans="1:27">
      <c r="A84" s="451" t="str">
        <f>CONCATENATE(VLOOKUP(B84,★営業所!$A$1:$B$5,2,FALSE),VLOOKUP(D84,★サイズ表記!$D$4:$E$55,2,FALSE),VLOOKUP(F84,★折込地区!$A$1:$B$11,2,FALSE))</f>
        <v>T3008Kry</v>
      </c>
      <c r="B84" s="457" t="s">
        <v>275</v>
      </c>
      <c r="C84" s="452" t="str">
        <f>VLOOKUP(B84,★営業所!$A$1:$B$5,2,FALSE)</f>
        <v>T</v>
      </c>
      <c r="D84" s="465" t="s">
        <v>1363</v>
      </c>
      <c r="E84" s="452" t="str">
        <f>VLOOKUP(D84,★サイズ表記!$D$4:$E$55,2,FALSE)</f>
        <v>3008</v>
      </c>
      <c r="F84" s="457" t="s">
        <v>1602</v>
      </c>
      <c r="G84" s="452" t="str">
        <f>VLOOKUP(F84,★折込地区!$A$1:$B$11,2,FALSE)</f>
        <v>Kry</v>
      </c>
      <c r="H84" s="453">
        <f>INDEX(★サイズ表記!$I$4:$Q$55, MATCH(E84,★サイズ表記!$E$4:$E$55,0), MATCH(G84,★サイズ表記!$I$3:$R$3,0))</f>
        <v>10.5</v>
      </c>
      <c r="K84" s="471" t="str">
        <f t="shared" si="8"/>
        <v>T3008Kry</v>
      </c>
      <c r="L84" s="471" t="str">
        <f t="shared" si="9"/>
        <v>政治タブ8P</v>
      </c>
      <c r="P84" s="533" t="s">
        <v>1324</v>
      </c>
      <c r="Q84" s="533" t="s">
        <v>1325</v>
      </c>
      <c r="R84" s="534" t="str">
        <f t="shared" si="10"/>
        <v>3008</v>
      </c>
      <c r="S84" s="534" t="str">
        <f t="shared" si="11"/>
        <v>政治タブ8P</v>
      </c>
      <c r="T84" s="538" t="str">
        <f t="shared" si="4"/>
        <v>30</v>
      </c>
      <c r="U84" s="538" t="str">
        <f t="shared" si="5"/>
        <v>08</v>
      </c>
      <c r="V84" s="471" t="s">
        <v>1136</v>
      </c>
      <c r="Y84" s="472">
        <f t="shared" si="6"/>
        <v>10.5</v>
      </c>
      <c r="Z84" s="540">
        <f t="shared" si="7"/>
        <v>0.84</v>
      </c>
      <c r="AA84" s="471">
        <v>0</v>
      </c>
    </row>
    <row r="85" spans="1:27">
      <c r="A85" s="451" t="str">
        <f>CONCATENATE(VLOOKUP(B85,★営業所!$A$1:$B$5,2,FALSE),VLOOKUP(D85,★サイズ表記!$D$4:$E$55,2,FALSE),VLOOKUP(F85,★折込地区!$A$1:$B$11,2,FALSE))</f>
        <v>T3009Kry</v>
      </c>
      <c r="B85" s="457" t="s">
        <v>275</v>
      </c>
      <c r="C85" s="452" t="str">
        <f>VLOOKUP(B85,★営業所!$A$1:$B$5,2,FALSE)</f>
        <v>T</v>
      </c>
      <c r="D85" s="465" t="s">
        <v>1361</v>
      </c>
      <c r="E85" s="452" t="str">
        <f>VLOOKUP(D85,★サイズ表記!$D$4:$E$55,2,FALSE)</f>
        <v>3009</v>
      </c>
      <c r="F85" s="457" t="s">
        <v>1602</v>
      </c>
      <c r="G85" s="452" t="str">
        <f>VLOOKUP(F85,★折込地区!$A$1:$B$11,2,FALSE)</f>
        <v>Kry</v>
      </c>
      <c r="H85" s="453">
        <f>INDEX(★サイズ表記!$I$4:$Q$55, MATCH(E85,★サイズ表記!$E$4:$E$55,0), MATCH(G85,★サイズ表記!$I$3:$R$3,0))</f>
        <v>16.350000000000001</v>
      </c>
      <c r="K85" s="471" t="str">
        <f t="shared" si="8"/>
        <v>T3009Kry</v>
      </c>
      <c r="L85" s="471" t="str">
        <f t="shared" si="9"/>
        <v>政治タブ12P</v>
      </c>
      <c r="P85" s="533" t="s">
        <v>1324</v>
      </c>
      <c r="Q85" s="533" t="s">
        <v>1325</v>
      </c>
      <c r="R85" s="534" t="str">
        <f t="shared" si="10"/>
        <v>3009</v>
      </c>
      <c r="S85" s="534" t="str">
        <f t="shared" si="11"/>
        <v>政治タブ12P</v>
      </c>
      <c r="T85" s="538" t="str">
        <f t="shared" si="4"/>
        <v>30</v>
      </c>
      <c r="U85" s="538" t="str">
        <f t="shared" si="5"/>
        <v>09</v>
      </c>
      <c r="V85" s="471" t="s">
        <v>1136</v>
      </c>
      <c r="Y85" s="472">
        <f t="shared" si="6"/>
        <v>16.350000000000001</v>
      </c>
      <c r="Z85" s="540">
        <f t="shared" si="7"/>
        <v>1.3</v>
      </c>
      <c r="AA85" s="471">
        <v>0</v>
      </c>
    </row>
    <row r="86" spans="1:27">
      <c r="A86" s="451" t="str">
        <f>CONCATENATE(VLOOKUP(B86,★営業所!$A$1:$B$5,2,FALSE),VLOOKUP(D86,★サイズ表記!$D$4:$E$55,2,FALSE),VLOOKUP(F86,★折込地区!$A$1:$B$11,2,FALSE))</f>
        <v>T4001Kry</v>
      </c>
      <c r="B86" s="457" t="s">
        <v>275</v>
      </c>
      <c r="C86" s="452" t="str">
        <f>VLOOKUP(B86,★営業所!$A$1:$B$5,2,FALSE)</f>
        <v>T</v>
      </c>
      <c r="D86" s="465" t="s">
        <v>1358</v>
      </c>
      <c r="E86" s="452" t="str">
        <f>VLOOKUP(D86,★サイズ表記!$D$4:$E$55,2,FALSE)</f>
        <v>4001</v>
      </c>
      <c r="F86" s="457" t="s">
        <v>1602</v>
      </c>
      <c r="G86" s="452" t="str">
        <f>VLOOKUP(F86,★折込地区!$A$1:$B$11,2,FALSE)</f>
        <v>Kry</v>
      </c>
      <c r="H86" s="453">
        <f>INDEX(★サイズ表記!$I$4:$Q$55, MATCH(E86,★サイズ表記!$E$4:$E$55,0), MATCH(G86,★サイズ表記!$I$3:$R$3,0))</f>
        <v>6.7</v>
      </c>
      <c r="K86" s="471" t="str">
        <f t="shared" si="8"/>
        <v>T4001Kry</v>
      </c>
      <c r="L86" s="471" t="str">
        <f t="shared" si="9"/>
        <v>タブ6P</v>
      </c>
      <c r="P86" s="533" t="s">
        <v>1324</v>
      </c>
      <c r="Q86" s="533" t="s">
        <v>1325</v>
      </c>
      <c r="R86" s="534" t="str">
        <f t="shared" si="10"/>
        <v>4001</v>
      </c>
      <c r="S86" s="534" t="str">
        <f t="shared" si="11"/>
        <v>タブ6P</v>
      </c>
      <c r="T86" s="538" t="str">
        <f t="shared" si="4"/>
        <v>40</v>
      </c>
      <c r="U86" s="538" t="str">
        <f t="shared" si="5"/>
        <v>01</v>
      </c>
      <c r="V86" s="471" t="s">
        <v>1136</v>
      </c>
      <c r="Y86" s="472">
        <f t="shared" si="6"/>
        <v>6.7</v>
      </c>
      <c r="Z86" s="540">
        <f t="shared" si="7"/>
        <v>0.53</v>
      </c>
      <c r="AA86" s="471">
        <v>0</v>
      </c>
    </row>
    <row r="87" spans="1:27">
      <c r="A87" s="451" t="str">
        <f>CONCATENATE(VLOOKUP(B87,★営業所!$A$1:$B$5,2,FALSE),VLOOKUP(D87,★サイズ表記!$D$4:$E$55,2,FALSE),VLOOKUP(F87,★折込地区!$A$1:$B$11,2,FALSE))</f>
        <v>T4002Kry</v>
      </c>
      <c r="B87" s="457" t="s">
        <v>275</v>
      </c>
      <c r="C87" s="452" t="str">
        <f>VLOOKUP(B87,★営業所!$A$1:$B$5,2,FALSE)</f>
        <v>T</v>
      </c>
      <c r="D87" s="465" t="s">
        <v>1359</v>
      </c>
      <c r="E87" s="452" t="str">
        <f>VLOOKUP(D87,★サイズ表記!$D$4:$E$55,2,FALSE)</f>
        <v>4002</v>
      </c>
      <c r="F87" s="457" t="s">
        <v>1602</v>
      </c>
      <c r="G87" s="452" t="str">
        <f>VLOOKUP(F87,★折込地区!$A$1:$B$11,2,FALSE)</f>
        <v>Kry</v>
      </c>
      <c r="H87" s="453">
        <f>INDEX(★サイズ表記!$I$4:$Q$55, MATCH(E87,★サイズ表記!$E$4:$E$55,0), MATCH(G87,★サイズ表記!$I$3:$R$3,0))</f>
        <v>7</v>
      </c>
      <c r="K87" s="471" t="str">
        <f t="shared" si="8"/>
        <v>T4002Kry</v>
      </c>
      <c r="L87" s="471" t="str">
        <f t="shared" si="9"/>
        <v>タブ8P</v>
      </c>
      <c r="P87" s="533" t="s">
        <v>1324</v>
      </c>
      <c r="Q87" s="533" t="s">
        <v>1325</v>
      </c>
      <c r="R87" s="534" t="str">
        <f t="shared" si="10"/>
        <v>4002</v>
      </c>
      <c r="S87" s="534" t="str">
        <f t="shared" si="11"/>
        <v>タブ8P</v>
      </c>
      <c r="T87" s="538" t="str">
        <f t="shared" si="4"/>
        <v>40</v>
      </c>
      <c r="U87" s="538" t="str">
        <f t="shared" si="5"/>
        <v>02</v>
      </c>
      <c r="V87" s="471" t="s">
        <v>1136</v>
      </c>
      <c r="Y87" s="472">
        <f t="shared" si="6"/>
        <v>7</v>
      </c>
      <c r="Z87" s="540">
        <f t="shared" si="7"/>
        <v>0.56000000000000005</v>
      </c>
      <c r="AA87" s="471">
        <v>0</v>
      </c>
    </row>
    <row r="88" spans="1:27">
      <c r="A88" s="451" t="str">
        <f>CONCATENATE(VLOOKUP(B88,★営業所!$A$1:$B$5,2,FALSE),VLOOKUP(D88,★サイズ表記!$D$4:$E$55,2,FALSE),VLOOKUP(F88,★折込地区!$A$1:$B$11,2,FALSE))</f>
        <v>T4003Kry</v>
      </c>
      <c r="B88" s="457" t="s">
        <v>275</v>
      </c>
      <c r="C88" s="452" t="str">
        <f>VLOOKUP(B88,★営業所!$A$1:$B$5,2,FALSE)</f>
        <v>T</v>
      </c>
      <c r="D88" s="465" t="s">
        <v>1360</v>
      </c>
      <c r="E88" s="452" t="str">
        <f>VLOOKUP(D88,★サイズ表記!$D$4:$E$55,2,FALSE)</f>
        <v>4003</v>
      </c>
      <c r="F88" s="457" t="s">
        <v>1602</v>
      </c>
      <c r="G88" s="452" t="str">
        <f>VLOOKUP(F88,★折込地区!$A$1:$B$11,2,FALSE)</f>
        <v>Kry</v>
      </c>
      <c r="H88" s="453">
        <f>INDEX(★サイズ表記!$I$4:$Q$55, MATCH(E88,★サイズ表記!$E$4:$E$55,0), MATCH(G88,★サイズ表記!$I$3:$R$3,0))</f>
        <v>8</v>
      </c>
      <c r="K88" s="471" t="str">
        <f t="shared" si="8"/>
        <v>T4003Kry</v>
      </c>
      <c r="L88" s="471" t="str">
        <f t="shared" si="9"/>
        <v>タブ8Pホチキス止め</v>
      </c>
      <c r="P88" s="533" t="s">
        <v>1324</v>
      </c>
      <c r="Q88" s="533" t="s">
        <v>1325</v>
      </c>
      <c r="R88" s="534" t="str">
        <f t="shared" si="10"/>
        <v>4003</v>
      </c>
      <c r="S88" s="534" t="str">
        <f t="shared" si="11"/>
        <v>タブ8Pホチキス止め</v>
      </c>
      <c r="T88" s="538" t="str">
        <f t="shared" si="4"/>
        <v>40</v>
      </c>
      <c r="U88" s="538" t="str">
        <f t="shared" si="5"/>
        <v>03</v>
      </c>
      <c r="V88" s="471" t="s">
        <v>1136</v>
      </c>
      <c r="Y88" s="472">
        <f t="shared" si="6"/>
        <v>8</v>
      </c>
      <c r="Z88" s="540">
        <f t="shared" si="7"/>
        <v>0.64</v>
      </c>
      <c r="AA88" s="471">
        <v>0</v>
      </c>
    </row>
    <row r="89" spans="1:27">
      <c r="A89" s="451" t="str">
        <f>CONCATENATE(VLOOKUP(B89,★営業所!$A$1:$B$5,2,FALSE),VLOOKUP(D89,★サイズ表記!$D$4:$E$55,2,FALSE),VLOOKUP(F89,★折込地区!$A$1:$B$11,2,FALSE))</f>
        <v>T4004Kry</v>
      </c>
      <c r="B89" s="457" t="s">
        <v>275</v>
      </c>
      <c r="C89" s="452" t="str">
        <f>VLOOKUP(B89,★営業所!$A$1:$B$5,2,FALSE)</f>
        <v>T</v>
      </c>
      <c r="D89" s="465" t="s">
        <v>1350</v>
      </c>
      <c r="E89" s="452" t="str">
        <f>VLOOKUP(D89,★サイズ表記!$D$4:$E$55,2,FALSE)</f>
        <v>4004</v>
      </c>
      <c r="F89" s="457" t="s">
        <v>1602</v>
      </c>
      <c r="G89" s="452" t="str">
        <f>VLOOKUP(F89,★折込地区!$A$1:$B$11,2,FALSE)</f>
        <v>Kry</v>
      </c>
      <c r="H89" s="453">
        <f>INDEX(★サイズ表記!$I$4:$Q$55, MATCH(E89,★サイズ表記!$E$4:$E$55,0), MATCH(G89,★サイズ表記!$I$3:$R$3,0))</f>
        <v>9.8000000000000007</v>
      </c>
      <c r="K89" s="471" t="str">
        <f t="shared" si="8"/>
        <v>T4004Kry</v>
      </c>
      <c r="L89" s="471" t="str">
        <f t="shared" si="9"/>
        <v>タブ10P</v>
      </c>
      <c r="P89" s="533" t="s">
        <v>1324</v>
      </c>
      <c r="Q89" s="533" t="s">
        <v>1325</v>
      </c>
      <c r="R89" s="534" t="str">
        <f t="shared" si="10"/>
        <v>4004</v>
      </c>
      <c r="S89" s="534" t="str">
        <f t="shared" si="11"/>
        <v>タブ10P</v>
      </c>
      <c r="T89" s="538" t="str">
        <f t="shared" si="4"/>
        <v>40</v>
      </c>
      <c r="U89" s="538" t="str">
        <f t="shared" si="5"/>
        <v>04</v>
      </c>
      <c r="V89" s="471" t="s">
        <v>1136</v>
      </c>
      <c r="Y89" s="472">
        <f t="shared" si="6"/>
        <v>9.8000000000000007</v>
      </c>
      <c r="Z89" s="540">
        <f t="shared" si="7"/>
        <v>0.78</v>
      </c>
      <c r="AA89" s="471">
        <v>0</v>
      </c>
    </row>
    <row r="90" spans="1:27">
      <c r="A90" s="451" t="str">
        <f>CONCATENATE(VLOOKUP(B90,★営業所!$A$1:$B$5,2,FALSE),VLOOKUP(D90,★サイズ表記!$D$4:$E$55,2,FALSE),VLOOKUP(F90,★折込地区!$A$1:$B$11,2,FALSE))</f>
        <v>T4005Kry</v>
      </c>
      <c r="B90" s="457" t="s">
        <v>275</v>
      </c>
      <c r="C90" s="452" t="str">
        <f>VLOOKUP(B90,★営業所!$A$1:$B$5,2,FALSE)</f>
        <v>T</v>
      </c>
      <c r="D90" s="465" t="s">
        <v>1351</v>
      </c>
      <c r="E90" s="452" t="str">
        <f>VLOOKUP(D90,★サイズ表記!$D$4:$E$55,2,FALSE)</f>
        <v>4005</v>
      </c>
      <c r="F90" s="457" t="s">
        <v>1602</v>
      </c>
      <c r="G90" s="452" t="str">
        <f>VLOOKUP(F90,★折込地区!$A$1:$B$11,2,FALSE)</f>
        <v>Kry</v>
      </c>
      <c r="H90" s="453">
        <f>INDEX(★サイズ表記!$I$4:$Q$55, MATCH(E90,★サイズ表記!$E$4:$E$55,0), MATCH(G90,★サイズ表記!$I$3:$R$3,0))</f>
        <v>10.9</v>
      </c>
      <c r="K90" s="471" t="str">
        <f t="shared" si="8"/>
        <v>T4005Kry</v>
      </c>
      <c r="L90" s="471" t="str">
        <f t="shared" si="9"/>
        <v>タブ12P</v>
      </c>
      <c r="P90" s="533" t="s">
        <v>1324</v>
      </c>
      <c r="Q90" s="533" t="s">
        <v>1325</v>
      </c>
      <c r="R90" s="534" t="str">
        <f t="shared" si="10"/>
        <v>4005</v>
      </c>
      <c r="S90" s="534" t="str">
        <f t="shared" si="11"/>
        <v>タブ12P</v>
      </c>
      <c r="T90" s="538" t="str">
        <f t="shared" si="4"/>
        <v>40</v>
      </c>
      <c r="U90" s="538" t="str">
        <f t="shared" si="5"/>
        <v>05</v>
      </c>
      <c r="V90" s="471" t="s">
        <v>1136</v>
      </c>
      <c r="Y90" s="472">
        <f t="shared" si="6"/>
        <v>10.9</v>
      </c>
      <c r="Z90" s="540">
        <f t="shared" si="7"/>
        <v>0.87</v>
      </c>
      <c r="AA90" s="471">
        <v>0</v>
      </c>
    </row>
    <row r="91" spans="1:27">
      <c r="A91" s="451" t="str">
        <f>CONCATENATE(VLOOKUP(B91,★営業所!$A$1:$B$5,2,FALSE),VLOOKUP(D91,★サイズ表記!$D$4:$E$55,2,FALSE),VLOOKUP(F91,★折込地区!$A$1:$B$11,2,FALSE))</f>
        <v>T4006Kry</v>
      </c>
      <c r="B91" s="457" t="s">
        <v>275</v>
      </c>
      <c r="C91" s="452" t="str">
        <f>VLOOKUP(B91,★営業所!$A$1:$B$5,2,FALSE)</f>
        <v>T</v>
      </c>
      <c r="D91" s="465" t="s">
        <v>1352</v>
      </c>
      <c r="E91" s="452" t="str">
        <f>VLOOKUP(D91,★サイズ表記!$D$4:$E$55,2,FALSE)</f>
        <v>4006</v>
      </c>
      <c r="F91" s="457" t="s">
        <v>1602</v>
      </c>
      <c r="G91" s="452" t="str">
        <f>VLOOKUP(F91,★折込地区!$A$1:$B$11,2,FALSE)</f>
        <v>Kry</v>
      </c>
      <c r="H91" s="453">
        <f>INDEX(★サイズ表記!$I$4:$Q$55, MATCH(E91,★サイズ表記!$E$4:$E$55,0), MATCH(G91,★サイズ表記!$I$3:$R$3,0))</f>
        <v>13.7</v>
      </c>
      <c r="K91" s="471" t="str">
        <f t="shared" si="8"/>
        <v>T4006Kry</v>
      </c>
      <c r="L91" s="471" t="str">
        <f t="shared" si="9"/>
        <v>タブ14P</v>
      </c>
      <c r="P91" s="533" t="s">
        <v>1324</v>
      </c>
      <c r="Q91" s="533" t="s">
        <v>1325</v>
      </c>
      <c r="R91" s="534" t="str">
        <f t="shared" si="10"/>
        <v>4006</v>
      </c>
      <c r="S91" s="534" t="str">
        <f t="shared" si="11"/>
        <v>タブ14P</v>
      </c>
      <c r="T91" s="538" t="str">
        <f t="shared" si="4"/>
        <v>40</v>
      </c>
      <c r="U91" s="538" t="str">
        <f t="shared" si="5"/>
        <v>06</v>
      </c>
      <c r="V91" s="471" t="s">
        <v>1136</v>
      </c>
      <c r="Y91" s="472">
        <f t="shared" si="6"/>
        <v>13.7</v>
      </c>
      <c r="Z91" s="540">
        <f t="shared" si="7"/>
        <v>1.0900000000000001</v>
      </c>
      <c r="AA91" s="471">
        <v>0</v>
      </c>
    </row>
    <row r="92" spans="1:27">
      <c r="A92" s="451" t="str">
        <f>CONCATENATE(VLOOKUP(B92,★営業所!$A$1:$B$5,2,FALSE),VLOOKUP(D92,★サイズ表記!$D$4:$E$55,2,FALSE),VLOOKUP(F92,★折込地区!$A$1:$B$11,2,FALSE))</f>
        <v>T4007Kry</v>
      </c>
      <c r="B92" s="457" t="s">
        <v>275</v>
      </c>
      <c r="C92" s="452" t="str">
        <f>VLOOKUP(B92,★営業所!$A$1:$B$5,2,FALSE)</f>
        <v>T</v>
      </c>
      <c r="D92" s="465" t="s">
        <v>1353</v>
      </c>
      <c r="E92" s="452" t="str">
        <f>VLOOKUP(D92,★サイズ表記!$D$4:$E$55,2,FALSE)</f>
        <v>4007</v>
      </c>
      <c r="F92" s="457" t="s">
        <v>1602</v>
      </c>
      <c r="G92" s="452" t="str">
        <f>VLOOKUP(F92,★折込地区!$A$1:$B$11,2,FALSE)</f>
        <v>Kry</v>
      </c>
      <c r="H92" s="453">
        <f>INDEX(★サイズ表記!$I$4:$Q$55, MATCH(E92,★サイズ表記!$E$4:$E$55,0), MATCH(G92,★サイズ表記!$I$3:$R$3,0))</f>
        <v>15</v>
      </c>
      <c r="K92" s="471" t="str">
        <f t="shared" si="8"/>
        <v>T4007Kry</v>
      </c>
      <c r="L92" s="471" t="str">
        <f t="shared" si="9"/>
        <v>タブ16P</v>
      </c>
      <c r="P92" s="533" t="s">
        <v>1324</v>
      </c>
      <c r="Q92" s="533" t="s">
        <v>1325</v>
      </c>
      <c r="R92" s="534" t="str">
        <f t="shared" si="10"/>
        <v>4007</v>
      </c>
      <c r="S92" s="534" t="str">
        <f t="shared" si="11"/>
        <v>タブ16P</v>
      </c>
      <c r="T92" s="538" t="str">
        <f t="shared" si="4"/>
        <v>40</v>
      </c>
      <c r="U92" s="538" t="str">
        <f t="shared" si="5"/>
        <v>07</v>
      </c>
      <c r="V92" s="471" t="s">
        <v>1136</v>
      </c>
      <c r="Y92" s="472">
        <f t="shared" si="6"/>
        <v>15</v>
      </c>
      <c r="Z92" s="540">
        <f t="shared" si="7"/>
        <v>1.2</v>
      </c>
      <c r="AA92" s="471">
        <v>0</v>
      </c>
    </row>
    <row r="93" spans="1:27">
      <c r="A93" s="451" t="str">
        <f>CONCATENATE(VLOOKUP(B93,★営業所!$A$1:$B$5,2,FALSE),VLOOKUP(D93,★サイズ表記!$D$4:$E$55,2,FALSE),VLOOKUP(F93,★折込地区!$A$1:$B$11,2,FALSE))</f>
        <v>T4008Kry</v>
      </c>
      <c r="B93" s="457" t="s">
        <v>275</v>
      </c>
      <c r="C93" s="452" t="str">
        <f>VLOOKUP(B93,★営業所!$A$1:$B$5,2,FALSE)</f>
        <v>T</v>
      </c>
      <c r="D93" s="465" t="s">
        <v>1355</v>
      </c>
      <c r="E93" s="452" t="str">
        <f>VLOOKUP(D93,★サイズ表記!$D$4:$E$55,2,FALSE)</f>
        <v>4008</v>
      </c>
      <c r="F93" s="457" t="s">
        <v>1602</v>
      </c>
      <c r="G93" s="452" t="str">
        <f>VLOOKUP(F93,★折込地区!$A$1:$B$11,2,FALSE)</f>
        <v>Kry</v>
      </c>
      <c r="H93" s="453">
        <f>INDEX(★サイズ表記!$I$4:$Q$55, MATCH(E93,★サイズ表記!$E$4:$E$55,0), MATCH(G93,★サイズ表記!$I$3:$R$3,0))</f>
        <v>17.8</v>
      </c>
      <c r="K93" s="471" t="str">
        <f t="shared" si="8"/>
        <v>T4008Kry</v>
      </c>
      <c r="L93" s="471" t="str">
        <f t="shared" si="9"/>
        <v>タブ18P</v>
      </c>
      <c r="P93" s="533" t="s">
        <v>1324</v>
      </c>
      <c r="Q93" s="533" t="s">
        <v>1325</v>
      </c>
      <c r="R93" s="534" t="str">
        <f t="shared" si="10"/>
        <v>4008</v>
      </c>
      <c r="S93" s="534" t="str">
        <f t="shared" si="11"/>
        <v>タブ18P</v>
      </c>
      <c r="T93" s="538" t="str">
        <f t="shared" si="4"/>
        <v>40</v>
      </c>
      <c r="U93" s="538" t="str">
        <f t="shared" si="5"/>
        <v>08</v>
      </c>
      <c r="V93" s="471" t="s">
        <v>1136</v>
      </c>
      <c r="Y93" s="472">
        <f t="shared" si="6"/>
        <v>17.8</v>
      </c>
      <c r="Z93" s="540">
        <f t="shared" si="7"/>
        <v>1.42</v>
      </c>
      <c r="AA93" s="471">
        <v>0</v>
      </c>
    </row>
    <row r="94" spans="1:27">
      <c r="A94" s="451" t="str">
        <f>CONCATENATE(VLOOKUP(B94,★営業所!$A$1:$B$5,2,FALSE),VLOOKUP(D94,★サイズ表記!$D$4:$E$55,2,FALSE),VLOOKUP(F94,★折込地区!$A$1:$B$11,2,FALSE))</f>
        <v>T4009Kry</v>
      </c>
      <c r="B94" s="457" t="s">
        <v>275</v>
      </c>
      <c r="C94" s="452" t="str">
        <f>VLOOKUP(B94,★営業所!$A$1:$B$5,2,FALSE)</f>
        <v>T</v>
      </c>
      <c r="D94" s="465" t="s">
        <v>1356</v>
      </c>
      <c r="E94" s="452" t="str">
        <f>VLOOKUP(D94,★サイズ表記!$D$4:$E$55,2,FALSE)</f>
        <v>4009</v>
      </c>
      <c r="F94" s="457" t="s">
        <v>1602</v>
      </c>
      <c r="G94" s="452" t="str">
        <f>VLOOKUP(F94,★折込地区!$A$1:$B$11,2,FALSE)</f>
        <v>Kry</v>
      </c>
      <c r="H94" s="453">
        <f>INDEX(★サイズ表記!$I$4:$Q$55, MATCH(E94,★サイズ表記!$E$4:$E$55,0), MATCH(G94,★サイズ表記!$I$3:$R$3,0))</f>
        <v>18.899999999999999</v>
      </c>
      <c r="K94" s="471" t="str">
        <f t="shared" si="8"/>
        <v>T4009Kry</v>
      </c>
      <c r="L94" s="471" t="str">
        <f t="shared" si="9"/>
        <v>タブ20P</v>
      </c>
      <c r="P94" s="533" t="s">
        <v>1324</v>
      </c>
      <c r="Q94" s="533" t="s">
        <v>1325</v>
      </c>
      <c r="R94" s="534" t="str">
        <f t="shared" si="10"/>
        <v>4009</v>
      </c>
      <c r="S94" s="534" t="str">
        <f t="shared" si="11"/>
        <v>タブ20P</v>
      </c>
      <c r="T94" s="538" t="str">
        <f t="shared" si="4"/>
        <v>40</v>
      </c>
      <c r="U94" s="538" t="str">
        <f t="shared" si="5"/>
        <v>09</v>
      </c>
      <c r="V94" s="471" t="s">
        <v>1136</v>
      </c>
      <c r="Y94" s="472">
        <f t="shared" si="6"/>
        <v>18.899999999999999</v>
      </c>
      <c r="Z94" s="540">
        <f t="shared" si="7"/>
        <v>1.51</v>
      </c>
      <c r="AA94" s="471">
        <v>0</v>
      </c>
    </row>
    <row r="95" spans="1:27">
      <c r="A95" s="451" t="str">
        <f>CONCATENATE(VLOOKUP(B95,★営業所!$A$1:$B$5,2,FALSE),VLOOKUP(D95,★サイズ表記!$D$4:$E$55,2,FALSE),VLOOKUP(F95,★折込地区!$A$1:$B$11,2,FALSE))</f>
        <v>T4010Kry</v>
      </c>
      <c r="B95" s="457" t="s">
        <v>275</v>
      </c>
      <c r="C95" s="452" t="str">
        <f>VLOOKUP(B95,★営業所!$A$1:$B$5,2,FALSE)</f>
        <v>T</v>
      </c>
      <c r="D95" s="465" t="s">
        <v>1354</v>
      </c>
      <c r="E95" s="452" t="str">
        <f>VLOOKUP(D95,★サイズ表記!$D$4:$E$55,2,FALSE)</f>
        <v>4010</v>
      </c>
      <c r="F95" s="457" t="s">
        <v>1602</v>
      </c>
      <c r="G95" s="452" t="str">
        <f>VLOOKUP(F95,★折込地区!$A$1:$B$11,2,FALSE)</f>
        <v>Kry</v>
      </c>
      <c r="H95" s="453">
        <f>INDEX(★サイズ表記!$I$4:$Q$55, MATCH(E95,★サイズ表記!$E$4:$E$55,0), MATCH(G95,★サイズ表記!$I$3:$R$3,0))</f>
        <v>16</v>
      </c>
      <c r="K95" s="471" t="str">
        <f t="shared" si="8"/>
        <v>T4010Kry</v>
      </c>
      <c r="L95" s="471" t="str">
        <f t="shared" si="9"/>
        <v>タブ16Pホチキス止め</v>
      </c>
      <c r="P95" s="533" t="s">
        <v>1324</v>
      </c>
      <c r="Q95" s="533" t="s">
        <v>1325</v>
      </c>
      <c r="R95" s="534" t="str">
        <f t="shared" si="10"/>
        <v>4010</v>
      </c>
      <c r="S95" s="534" t="str">
        <f t="shared" si="11"/>
        <v>タブ16Pホチキス止め</v>
      </c>
      <c r="T95" s="538" t="str">
        <f t="shared" si="4"/>
        <v>40</v>
      </c>
      <c r="U95" s="538" t="str">
        <f t="shared" si="5"/>
        <v>10</v>
      </c>
      <c r="V95" s="471" t="s">
        <v>1136</v>
      </c>
      <c r="Y95" s="472">
        <f t="shared" si="6"/>
        <v>16</v>
      </c>
      <c r="Z95" s="540">
        <f t="shared" si="7"/>
        <v>1.28</v>
      </c>
      <c r="AA95" s="471">
        <v>0</v>
      </c>
    </row>
    <row r="96" spans="1:27">
      <c r="A96" s="451" t="str">
        <f>CONCATENATE(VLOOKUP(B96,★営業所!$A$1:$B$5,2,FALSE),VLOOKUP(D96,★サイズ表記!$D$4:$E$55,2,FALSE),VLOOKUP(F96,★折込地区!$A$1:$B$11,2,FALSE))</f>
        <v>T4011Kry</v>
      </c>
      <c r="B96" s="457" t="s">
        <v>275</v>
      </c>
      <c r="C96" s="452" t="str">
        <f>VLOOKUP(B96,★営業所!$A$1:$B$5,2,FALSE)</f>
        <v>T</v>
      </c>
      <c r="D96" s="465" t="s">
        <v>1357</v>
      </c>
      <c r="E96" s="452" t="str">
        <f>VLOOKUP(D96,★サイズ表記!$D$4:$E$55,2,FALSE)</f>
        <v>4011</v>
      </c>
      <c r="F96" s="457" t="s">
        <v>1602</v>
      </c>
      <c r="G96" s="452" t="str">
        <f>VLOOKUP(F96,★折込地区!$A$1:$B$11,2,FALSE)</f>
        <v>Kry</v>
      </c>
      <c r="H96" s="453">
        <f>INDEX(★サイズ表記!$I$4:$Q$55, MATCH(E96,★サイズ表記!$E$4:$E$55,0), MATCH(G96,★サイズ表記!$I$3:$R$3,0))</f>
        <v>0</v>
      </c>
      <c r="K96" s="471" t="str">
        <f t="shared" si="8"/>
        <v>T4011Kry</v>
      </c>
      <c r="L96" s="471" t="str">
        <f t="shared" si="9"/>
        <v>タブ40P</v>
      </c>
      <c r="P96" s="533" t="s">
        <v>1324</v>
      </c>
      <c r="Q96" s="533" t="s">
        <v>1325</v>
      </c>
      <c r="R96" s="534" t="str">
        <f t="shared" si="10"/>
        <v>4011</v>
      </c>
      <c r="S96" s="534" t="str">
        <f t="shared" si="11"/>
        <v>タブ40P</v>
      </c>
      <c r="T96" s="538" t="str">
        <f t="shared" si="4"/>
        <v>40</v>
      </c>
      <c r="U96" s="538" t="str">
        <f t="shared" si="5"/>
        <v>11</v>
      </c>
      <c r="V96" s="471" t="s">
        <v>1136</v>
      </c>
      <c r="Y96" s="472">
        <f t="shared" si="6"/>
        <v>0</v>
      </c>
      <c r="Z96" s="540">
        <f t="shared" si="7"/>
        <v>0</v>
      </c>
      <c r="AA96" s="471">
        <v>0</v>
      </c>
    </row>
    <row r="97" spans="1:27">
      <c r="A97" s="451" t="str">
        <f>CONCATENATE(VLOOKUP(B97,★営業所!$A$1:$B$5,2,FALSE),VLOOKUP(D97,★サイズ表記!$D$4:$E$55,2,FALSE),VLOOKUP(F97,★折込地区!$A$1:$B$11,2,FALSE))</f>
        <v>T9001Kry</v>
      </c>
      <c r="B97" s="457" t="s">
        <v>275</v>
      </c>
      <c r="C97" s="452" t="str">
        <f>VLOOKUP(B97,★営業所!$A$1:$B$5,2,FALSE)</f>
        <v>T</v>
      </c>
      <c r="D97" s="465" t="s">
        <v>975</v>
      </c>
      <c r="E97" s="452" t="str">
        <f>VLOOKUP(D97,★サイズ表記!$D$4:$E$55,2,FALSE)</f>
        <v>9001</v>
      </c>
      <c r="F97" s="457" t="s">
        <v>1602</v>
      </c>
      <c r="G97" s="452" t="str">
        <f>VLOOKUP(F97,★折込地区!$A$1:$B$11,2,FALSE)</f>
        <v>Kry</v>
      </c>
      <c r="H97" s="453">
        <f>INDEX(★サイズ表記!$I$4:$Q$55, MATCH(E97,★サイズ表記!$E$4:$E$55,0), MATCH(G97,★サイズ表記!$I$3:$R$3,0))</f>
        <v>7</v>
      </c>
      <c r="K97" s="471" t="str">
        <f t="shared" si="8"/>
        <v>T9001Kry</v>
      </c>
      <c r="L97" s="471" t="str">
        <f t="shared" si="9"/>
        <v>うさぎの耳</v>
      </c>
      <c r="P97" s="533" t="s">
        <v>1324</v>
      </c>
      <c r="Q97" s="533" t="s">
        <v>1325</v>
      </c>
      <c r="R97" s="534" t="str">
        <f t="shared" si="10"/>
        <v>9001</v>
      </c>
      <c r="S97" s="534" t="str">
        <f t="shared" si="11"/>
        <v>うさぎの耳</v>
      </c>
      <c r="T97" s="538" t="str">
        <f t="shared" si="4"/>
        <v>90</v>
      </c>
      <c r="U97" s="538" t="str">
        <f t="shared" si="5"/>
        <v>01</v>
      </c>
      <c r="V97" s="471" t="s">
        <v>1136</v>
      </c>
      <c r="Y97" s="472">
        <f t="shared" si="6"/>
        <v>7</v>
      </c>
      <c r="Z97" s="540">
        <f t="shared" si="7"/>
        <v>0.56000000000000005</v>
      </c>
      <c r="AA97" s="471">
        <v>0</v>
      </c>
    </row>
    <row r="98" spans="1:27">
      <c r="A98" s="451" t="str">
        <f>CONCATENATE(VLOOKUP(B98,★営業所!$A$1:$B$5,2,FALSE),VLOOKUP(D98,★サイズ表記!$D$4:$E$55,2,FALSE),VLOOKUP(F98,★折込地区!$A$1:$B$11,2,FALSE))</f>
        <v>T9002Kry</v>
      </c>
      <c r="B98" s="457" t="s">
        <v>275</v>
      </c>
      <c r="C98" s="452" t="str">
        <f>VLOOKUP(B98,★営業所!$A$1:$B$5,2,FALSE)</f>
        <v>T</v>
      </c>
      <c r="D98" s="465" t="s">
        <v>976</v>
      </c>
      <c r="E98" s="452" t="str">
        <f>VLOOKUP(D98,★サイズ表記!$D$4:$E$55,2,FALSE)</f>
        <v>9002</v>
      </c>
      <c r="F98" s="457" t="s">
        <v>1602</v>
      </c>
      <c r="G98" s="452" t="str">
        <f>VLOOKUP(F98,★折込地区!$A$1:$B$11,2,FALSE)</f>
        <v>Kry</v>
      </c>
      <c r="H98" s="453">
        <f>INDEX(★サイズ表記!$I$4:$Q$55, MATCH(E98,★サイズ表記!$E$4:$E$55,0), MATCH(G98,★サイズ表記!$I$3:$R$3,0))</f>
        <v>5</v>
      </c>
      <c r="K98" s="471" t="str">
        <f t="shared" si="8"/>
        <v>T9002Kry</v>
      </c>
      <c r="L98" s="471" t="str">
        <f t="shared" si="9"/>
        <v>ユーキャン（題字）</v>
      </c>
      <c r="P98" s="533" t="s">
        <v>1324</v>
      </c>
      <c r="Q98" s="533" t="s">
        <v>1325</v>
      </c>
      <c r="R98" s="534" t="str">
        <f t="shared" si="10"/>
        <v>9002</v>
      </c>
      <c r="S98" s="534" t="str">
        <f t="shared" si="11"/>
        <v>ユーキャン（題字）</v>
      </c>
      <c r="T98" s="538" t="str">
        <f t="shared" si="4"/>
        <v>90</v>
      </c>
      <c r="U98" s="538" t="str">
        <f t="shared" si="5"/>
        <v>02</v>
      </c>
      <c r="V98" s="471" t="s">
        <v>1136</v>
      </c>
      <c r="Y98" s="472">
        <f t="shared" si="6"/>
        <v>5</v>
      </c>
      <c r="Z98" s="540">
        <f t="shared" si="7"/>
        <v>0.4</v>
      </c>
      <c r="AA98" s="471">
        <v>0</v>
      </c>
    </row>
    <row r="99" spans="1:27">
      <c r="A99" s="451" t="str">
        <f>CONCATENATE(VLOOKUP(B99,★営業所!$A$1:$B$5,2,FALSE),VLOOKUP(D99,★サイズ表記!$D$4:$E$55,2,FALSE),VLOOKUP(F99,★折込地区!$A$1:$B$11,2,FALSE))</f>
        <v>T9003Kry</v>
      </c>
      <c r="B99" s="457" t="s">
        <v>275</v>
      </c>
      <c r="C99" s="452" t="str">
        <f>VLOOKUP(B99,★営業所!$A$1:$B$5,2,FALSE)</f>
        <v>T</v>
      </c>
      <c r="D99" s="465" t="s">
        <v>977</v>
      </c>
      <c r="E99" s="452" t="str">
        <f>VLOOKUP(D99,★サイズ表記!$D$4:$E$55,2,FALSE)</f>
        <v>9003</v>
      </c>
      <c r="F99" s="457" t="s">
        <v>1602</v>
      </c>
      <c r="G99" s="452" t="str">
        <f>VLOOKUP(F99,★折込地区!$A$1:$B$11,2,FALSE)</f>
        <v>Kry</v>
      </c>
      <c r="H99" s="453">
        <f>INDEX(★サイズ表記!$I$4:$Q$55, MATCH(E99,★サイズ表記!$E$4:$E$55,0), MATCH(G99,★サイズ表記!$I$3:$R$3,0))</f>
        <v>4.9000000000000004</v>
      </c>
      <c r="K99" s="471" t="str">
        <f t="shared" si="8"/>
        <v>T9003Kry</v>
      </c>
      <c r="L99" s="471" t="str">
        <f t="shared" si="9"/>
        <v>横長B3</v>
      </c>
      <c r="P99" s="533" t="s">
        <v>1324</v>
      </c>
      <c r="Q99" s="533" t="s">
        <v>1325</v>
      </c>
      <c r="R99" s="534" t="str">
        <f t="shared" si="10"/>
        <v>9003</v>
      </c>
      <c r="S99" s="534" t="str">
        <f t="shared" si="11"/>
        <v>横長B3</v>
      </c>
      <c r="T99" s="538" t="str">
        <f t="shared" si="4"/>
        <v>90</v>
      </c>
      <c r="U99" s="538" t="str">
        <f t="shared" si="5"/>
        <v>03</v>
      </c>
      <c r="V99" s="471" t="s">
        <v>1136</v>
      </c>
      <c r="Y99" s="472">
        <f t="shared" si="6"/>
        <v>4.9000000000000004</v>
      </c>
      <c r="Z99" s="540">
        <f t="shared" si="7"/>
        <v>0.39</v>
      </c>
      <c r="AA99" s="471">
        <v>0</v>
      </c>
    </row>
    <row r="100" spans="1:27">
      <c r="A100" s="451" t="str">
        <f>CONCATENATE(VLOOKUP(B100,★営業所!$A$1:$B$5,2,FALSE),VLOOKUP(D100,★サイズ表記!$D$4:$E$55,2,FALSE),VLOOKUP(F100,★折込地区!$A$1:$B$11,2,FALSE))</f>
        <v>T9004Kry</v>
      </c>
      <c r="B100" s="457" t="s">
        <v>275</v>
      </c>
      <c r="C100" s="452" t="str">
        <f>VLOOKUP(B100,★営業所!$A$1:$B$5,2,FALSE)</f>
        <v>T</v>
      </c>
      <c r="D100" s="465" t="s">
        <v>978</v>
      </c>
      <c r="E100" s="452" t="str">
        <f>VLOOKUP(D100,★サイズ表記!$D$4:$E$55,2,FALSE)</f>
        <v>9004</v>
      </c>
      <c r="F100" s="457" t="s">
        <v>1602</v>
      </c>
      <c r="G100" s="452" t="str">
        <f>VLOOKUP(F100,★折込地区!$A$1:$B$11,2,FALSE)</f>
        <v>Kry</v>
      </c>
      <c r="H100" s="453">
        <f>INDEX(★サイズ表記!$I$4:$Q$55, MATCH(E100,★サイズ表記!$E$4:$E$55,0), MATCH(G100,★サイズ表記!$I$3:$R$3,0))</f>
        <v>5</v>
      </c>
      <c r="K100" s="471" t="str">
        <f t="shared" si="8"/>
        <v>T9004Kry</v>
      </c>
      <c r="L100" s="471" t="str">
        <f t="shared" si="9"/>
        <v>AD-BAG</v>
      </c>
      <c r="P100" s="533" t="s">
        <v>1324</v>
      </c>
      <c r="Q100" s="533" t="s">
        <v>1325</v>
      </c>
      <c r="R100" s="534" t="str">
        <f t="shared" si="10"/>
        <v>9004</v>
      </c>
      <c r="S100" s="534" t="str">
        <f t="shared" si="11"/>
        <v>AD-BAG</v>
      </c>
      <c r="T100" s="538" t="str">
        <f t="shared" si="4"/>
        <v>90</v>
      </c>
      <c r="U100" s="538" t="str">
        <f t="shared" si="5"/>
        <v>04</v>
      </c>
      <c r="V100" s="471" t="s">
        <v>1136</v>
      </c>
      <c r="Y100" s="472">
        <f t="shared" si="6"/>
        <v>5</v>
      </c>
      <c r="Z100" s="540">
        <f t="shared" si="7"/>
        <v>0.4</v>
      </c>
      <c r="AA100" s="471">
        <v>0</v>
      </c>
    </row>
    <row r="101" spans="1:27">
      <c r="A101" s="451" t="str">
        <f>CONCATENATE(VLOOKUP(B101,★営業所!$A$1:$B$5,2,FALSE),VLOOKUP(D101,★サイズ表記!$D$4:$E$55,2,FALSE),VLOOKUP(F101,★折込地区!$A$1:$B$11,2,FALSE))</f>
        <v>T9005Kry</v>
      </c>
      <c r="B101" s="457" t="s">
        <v>275</v>
      </c>
      <c r="C101" s="452" t="str">
        <f>VLOOKUP(B101,★営業所!$A$1:$B$5,2,FALSE)</f>
        <v>T</v>
      </c>
      <c r="D101" s="465" t="s">
        <v>979</v>
      </c>
      <c r="E101" s="452" t="str">
        <f>VLOOKUP(D101,★サイズ表記!$D$4:$E$55,2,FALSE)</f>
        <v>9005</v>
      </c>
      <c r="F101" s="457" t="s">
        <v>1602</v>
      </c>
      <c r="G101" s="452" t="str">
        <f>VLOOKUP(F101,★折込地区!$A$1:$B$11,2,FALSE)</f>
        <v>Kry</v>
      </c>
      <c r="H101" s="453">
        <f>INDEX(★サイズ表記!$I$4:$Q$55, MATCH(E101,★サイズ表記!$E$4:$E$55,0), MATCH(G101,★サイズ表記!$I$3:$R$3,0))</f>
        <v>5</v>
      </c>
      <c r="K101" s="471" t="str">
        <f t="shared" si="8"/>
        <v>T9005Kry</v>
      </c>
      <c r="L101" s="471" t="str">
        <f t="shared" si="9"/>
        <v>封筒</v>
      </c>
      <c r="P101" s="533" t="s">
        <v>1324</v>
      </c>
      <c r="Q101" s="533" t="s">
        <v>1325</v>
      </c>
      <c r="R101" s="534" t="str">
        <f t="shared" si="10"/>
        <v>9005</v>
      </c>
      <c r="S101" s="534" t="str">
        <f t="shared" si="11"/>
        <v>封筒</v>
      </c>
      <c r="T101" s="538" t="str">
        <f t="shared" si="4"/>
        <v>90</v>
      </c>
      <c r="U101" s="538" t="str">
        <f t="shared" si="5"/>
        <v>05</v>
      </c>
      <c r="V101" s="471" t="s">
        <v>1136</v>
      </c>
      <c r="Y101" s="472">
        <f t="shared" si="6"/>
        <v>5</v>
      </c>
      <c r="Z101" s="540">
        <f t="shared" si="7"/>
        <v>0.4</v>
      </c>
      <c r="AA101" s="471">
        <v>0</v>
      </c>
    </row>
    <row r="102" spans="1:27">
      <c r="A102" s="451" t="str">
        <f>CONCATENATE(VLOOKUP(B102,★営業所!$A$1:$B$5,2,FALSE),VLOOKUP(D102,★サイズ表記!$D$4:$E$55,2,FALSE),VLOOKUP(F102,★折込地区!$A$1:$B$11,2,FALSE))</f>
        <v>T9006Kry</v>
      </c>
      <c r="B102" s="457" t="s">
        <v>275</v>
      </c>
      <c r="C102" s="452" t="str">
        <f>VLOOKUP(B102,★営業所!$A$1:$B$5,2,FALSE)</f>
        <v>T</v>
      </c>
      <c r="D102" s="465" t="s">
        <v>980</v>
      </c>
      <c r="E102" s="452" t="str">
        <f>VLOOKUP(D102,★サイズ表記!$D$4:$E$55,2,FALSE)</f>
        <v>9006</v>
      </c>
      <c r="F102" s="457" t="s">
        <v>1602</v>
      </c>
      <c r="G102" s="452" t="str">
        <f>VLOOKUP(F102,★折込地区!$A$1:$B$11,2,FALSE)</f>
        <v>Kry</v>
      </c>
      <c r="H102" s="453">
        <f>INDEX(★サイズ表記!$I$4:$Q$55, MATCH(E102,★サイズ表記!$E$4:$E$55,0), MATCH(G102,★サイズ表記!$I$3:$R$3,0))</f>
        <v>3.9</v>
      </c>
      <c r="K102" s="471" t="str">
        <f t="shared" si="8"/>
        <v>T9006Kry</v>
      </c>
      <c r="L102" s="471" t="str">
        <f t="shared" si="9"/>
        <v>圧着</v>
      </c>
      <c r="P102" s="533" t="s">
        <v>1324</v>
      </c>
      <c r="Q102" s="533" t="s">
        <v>1325</v>
      </c>
      <c r="R102" s="534" t="str">
        <f t="shared" si="10"/>
        <v>9006</v>
      </c>
      <c r="S102" s="534" t="str">
        <f t="shared" si="11"/>
        <v>圧着</v>
      </c>
      <c r="T102" s="538" t="str">
        <f t="shared" si="4"/>
        <v>90</v>
      </c>
      <c r="U102" s="538" t="str">
        <f t="shared" si="5"/>
        <v>06</v>
      </c>
      <c r="V102" s="471" t="s">
        <v>1136</v>
      </c>
      <c r="Y102" s="472">
        <f t="shared" si="6"/>
        <v>3.9</v>
      </c>
      <c r="Z102" s="540">
        <f t="shared" si="7"/>
        <v>0.31</v>
      </c>
      <c r="AA102" s="471">
        <v>0</v>
      </c>
    </row>
    <row r="103" spans="1:27">
      <c r="A103" s="451" t="str">
        <f>CONCATENATE(VLOOKUP(B103,★営業所!$A$1:$B$5,2,FALSE),VLOOKUP(D103,★サイズ表記!$D$4:$E$55,2,FALSE),VLOOKUP(F103,★折込地区!$A$1:$B$11,2,FALSE))</f>
        <v>T9007Kry</v>
      </c>
      <c r="B103" s="457" t="s">
        <v>275</v>
      </c>
      <c r="C103" s="452" t="str">
        <f>VLOOKUP(B103,★営業所!$A$1:$B$5,2,FALSE)</f>
        <v>T</v>
      </c>
      <c r="D103" s="465" t="s">
        <v>981</v>
      </c>
      <c r="E103" s="452" t="str">
        <f>VLOOKUP(D103,★サイズ表記!$D$4:$E$55,2,FALSE)</f>
        <v>9007</v>
      </c>
      <c r="F103" s="457" t="s">
        <v>1602</v>
      </c>
      <c r="G103" s="452" t="str">
        <f>VLOOKUP(F103,★折込地区!$A$1:$B$11,2,FALSE)</f>
        <v>Kry</v>
      </c>
      <c r="H103" s="453">
        <f>INDEX(★サイズ表記!$I$4:$Q$55, MATCH(E103,★サイズ表記!$E$4:$E$55,0), MATCH(G103,★サイズ表記!$I$3:$R$3,0))</f>
        <v>4.4000000000000004</v>
      </c>
      <c r="K103" s="471" t="str">
        <f t="shared" si="8"/>
        <v>T9007Kry</v>
      </c>
      <c r="L103" s="471" t="str">
        <f t="shared" si="9"/>
        <v>圧着厚紙</v>
      </c>
      <c r="P103" s="533" t="s">
        <v>1324</v>
      </c>
      <c r="Q103" s="533" t="s">
        <v>1325</v>
      </c>
      <c r="R103" s="534" t="str">
        <f t="shared" si="10"/>
        <v>9007</v>
      </c>
      <c r="S103" s="534" t="str">
        <f t="shared" si="11"/>
        <v>圧着厚紙</v>
      </c>
      <c r="T103" s="538" t="str">
        <f t="shared" si="4"/>
        <v>90</v>
      </c>
      <c r="U103" s="538" t="str">
        <f t="shared" si="5"/>
        <v>07</v>
      </c>
      <c r="V103" s="471" t="s">
        <v>1136</v>
      </c>
      <c r="Y103" s="472">
        <f t="shared" si="6"/>
        <v>4.4000000000000004</v>
      </c>
      <c r="Z103" s="540">
        <f t="shared" si="7"/>
        <v>0.35</v>
      </c>
      <c r="AA103" s="471">
        <v>0</v>
      </c>
    </row>
    <row r="104" spans="1:27">
      <c r="A104" s="451" t="str">
        <f>CONCATENATE(VLOOKUP(B104,★営業所!$A$1:$B$5,2,FALSE),VLOOKUP(D104,★サイズ表記!$D$4:$E$55,2,FALSE),VLOOKUP(F104,★折込地区!$A$1:$B$11,2,FALSE))</f>
        <v>T1001Yng</v>
      </c>
      <c r="B104" s="457" t="s">
        <v>275</v>
      </c>
      <c r="C104" s="452" t="str">
        <f>VLOOKUP(B104,★営業所!$A$1:$B$5,2,FALSE)</f>
        <v>T</v>
      </c>
      <c r="D104" s="465" t="s">
        <v>948</v>
      </c>
      <c r="E104" s="452" t="str">
        <f>VLOOKUP(D104,★サイズ表記!$D$4:$E$55,2,FALSE)</f>
        <v>1001</v>
      </c>
      <c r="F104" s="457" t="s">
        <v>1603</v>
      </c>
      <c r="G104" s="452" t="str">
        <f>VLOOKUP(F104,★折込地区!$A$1:$B$11,2,FALSE)</f>
        <v>Yng</v>
      </c>
      <c r="H104" s="453">
        <f>INDEX(★サイズ表記!$I$4:$Q$55, MATCH(E104,★サイズ表記!$E$4:$E$55,0), MATCH(G104,★サイズ表記!$I$3:$R$3,0))</f>
        <v>2.8</v>
      </c>
      <c r="K104" s="471" t="str">
        <f t="shared" si="8"/>
        <v>T1001Yng</v>
      </c>
      <c r="L104" s="471" t="str">
        <f t="shared" si="9"/>
        <v>B4（折り無し）</v>
      </c>
      <c r="P104" s="533" t="s">
        <v>1324</v>
      </c>
      <c r="Q104" s="533" t="s">
        <v>1325</v>
      </c>
      <c r="R104" s="534" t="str">
        <f>E104</f>
        <v>1001</v>
      </c>
      <c r="S104" s="534" t="str">
        <f>L104</f>
        <v>B4（折り無し）</v>
      </c>
      <c r="T104" s="538" t="str">
        <f>LEFT($E104,2)</f>
        <v>10</v>
      </c>
      <c r="U104" s="538" t="str">
        <f>RIGHT($E104,2)</f>
        <v>01</v>
      </c>
      <c r="V104" s="471" t="s">
        <v>1136</v>
      </c>
      <c r="Y104" s="472">
        <f>$H104</f>
        <v>2.8</v>
      </c>
      <c r="Z104" s="540">
        <f>ROUNDDOWN($H104*8/100,2)</f>
        <v>0.22</v>
      </c>
      <c r="AA104" s="471">
        <v>0</v>
      </c>
    </row>
    <row r="105" spans="1:27">
      <c r="A105" s="451" t="str">
        <f>CONCATENATE(VLOOKUP(B105,★営業所!$A$1:$B$5,2,FALSE),VLOOKUP(D105,★サイズ表記!$D$4:$E$55,2,FALSE),VLOOKUP(F105,★折込地区!$A$1:$B$11,2,FALSE))</f>
        <v>T1002Yng</v>
      </c>
      <c r="B105" s="457" t="s">
        <v>275</v>
      </c>
      <c r="C105" s="452" t="str">
        <f>VLOOKUP(B105,★営業所!$A$1:$B$5,2,FALSE)</f>
        <v>T</v>
      </c>
      <c r="D105" s="465" t="s">
        <v>950</v>
      </c>
      <c r="E105" s="452" t="str">
        <f>VLOOKUP(D105,★サイズ表記!$D$4:$E$55,2,FALSE)</f>
        <v>1002</v>
      </c>
      <c r="F105" s="457" t="s">
        <v>1603</v>
      </c>
      <c r="G105" s="452" t="str">
        <f>VLOOKUP(F105,★折込地区!$A$1:$B$11,2,FALSE)</f>
        <v>Yng</v>
      </c>
      <c r="H105" s="453">
        <f>INDEX(★サイズ表記!$I$4:$Q$55, MATCH(E105,★サイズ表記!$E$4:$E$55,0), MATCH(G105,★サイズ表記!$I$3:$R$3,0))</f>
        <v>3.9</v>
      </c>
      <c r="K105" s="471" t="str">
        <f t="shared" si="8"/>
        <v>T1002Yng</v>
      </c>
      <c r="L105" s="471" t="str">
        <f t="shared" si="9"/>
        <v>B3（2つ折り）</v>
      </c>
      <c r="P105" s="533" t="s">
        <v>1324</v>
      </c>
      <c r="Q105" s="533" t="s">
        <v>1325</v>
      </c>
      <c r="R105" s="534" t="str">
        <f t="shared" ref="R105:R152" si="12">E105</f>
        <v>1002</v>
      </c>
      <c r="S105" s="534" t="str">
        <f t="shared" ref="S105:S152" si="13">L105</f>
        <v>B3（2つ折り）</v>
      </c>
      <c r="T105" s="538" t="str">
        <f t="shared" si="4"/>
        <v>10</v>
      </c>
      <c r="U105" s="538" t="str">
        <f t="shared" si="5"/>
        <v>02</v>
      </c>
      <c r="V105" s="471" t="s">
        <v>1136</v>
      </c>
      <c r="Y105" s="472">
        <f t="shared" si="6"/>
        <v>3.9</v>
      </c>
      <c r="Z105" s="540">
        <f t="shared" si="7"/>
        <v>0.31</v>
      </c>
      <c r="AA105" s="471">
        <v>0</v>
      </c>
    </row>
    <row r="106" spans="1:27">
      <c r="A106" s="451" t="str">
        <f>CONCATENATE(VLOOKUP(B106,★営業所!$A$1:$B$5,2,FALSE),VLOOKUP(D106,★サイズ表記!$D$4:$E$55,2,FALSE),VLOOKUP(F106,★折込地区!$A$1:$B$11,2,FALSE))</f>
        <v>T1003Yng</v>
      </c>
      <c r="B106" s="457" t="s">
        <v>275</v>
      </c>
      <c r="C106" s="452" t="str">
        <f>VLOOKUP(B106,★営業所!$A$1:$B$5,2,FALSE)</f>
        <v>T</v>
      </c>
      <c r="D106" s="465" t="s">
        <v>951</v>
      </c>
      <c r="E106" s="452" t="str">
        <f>VLOOKUP(D106,★サイズ表記!$D$4:$E$55,2,FALSE)</f>
        <v>1003</v>
      </c>
      <c r="F106" s="457" t="s">
        <v>1603</v>
      </c>
      <c r="G106" s="452" t="str">
        <f>VLOOKUP(F106,★折込地区!$A$1:$B$11,2,FALSE)</f>
        <v>Yng</v>
      </c>
      <c r="H106" s="453">
        <f>INDEX(★サイズ表記!$I$4:$Q$55, MATCH(E106,★サイズ表記!$E$4:$E$55,0), MATCH(G106,★サイズ表記!$I$3:$R$3,0))</f>
        <v>7</v>
      </c>
      <c r="K106" s="471" t="str">
        <f t="shared" si="8"/>
        <v>T1003Yng</v>
      </c>
      <c r="L106" s="471" t="str">
        <f t="shared" si="9"/>
        <v>3つ折り</v>
      </c>
      <c r="P106" s="533" t="s">
        <v>1324</v>
      </c>
      <c r="Q106" s="533" t="s">
        <v>1325</v>
      </c>
      <c r="R106" s="534" t="str">
        <f t="shared" si="12"/>
        <v>1003</v>
      </c>
      <c r="S106" s="534" t="str">
        <f t="shared" si="13"/>
        <v>3つ折り</v>
      </c>
      <c r="T106" s="538" t="str">
        <f t="shared" si="4"/>
        <v>10</v>
      </c>
      <c r="U106" s="538" t="str">
        <f t="shared" si="5"/>
        <v>03</v>
      </c>
      <c r="V106" s="471" t="s">
        <v>1136</v>
      </c>
      <c r="Y106" s="472">
        <f t="shared" si="6"/>
        <v>7</v>
      </c>
      <c r="Z106" s="540">
        <f t="shared" si="7"/>
        <v>0.56000000000000005</v>
      </c>
      <c r="AA106" s="471">
        <v>0</v>
      </c>
    </row>
    <row r="107" spans="1:27">
      <c r="A107" s="451" t="str">
        <f>CONCATENATE(VLOOKUP(B107,★営業所!$A$1:$B$5,2,FALSE),VLOOKUP(D107,★サイズ表記!$D$4:$E$55,2,FALSE),VLOOKUP(F107,★折込地区!$A$1:$B$11,2,FALSE))</f>
        <v>T1004Yng</v>
      </c>
      <c r="B107" s="457" t="s">
        <v>275</v>
      </c>
      <c r="C107" s="452" t="str">
        <f>VLOOKUP(B107,★営業所!$A$1:$B$5,2,FALSE)</f>
        <v>T</v>
      </c>
      <c r="D107" s="465" t="s">
        <v>947</v>
      </c>
      <c r="E107" s="452" t="str">
        <f>VLOOKUP(D107,★サイズ表記!$D$4:$E$55,2,FALSE)</f>
        <v>1004</v>
      </c>
      <c r="F107" s="457" t="s">
        <v>1603</v>
      </c>
      <c r="G107" s="452" t="str">
        <f>VLOOKUP(F107,★折込地区!$A$1:$B$11,2,FALSE)</f>
        <v>Yng</v>
      </c>
      <c r="H107" s="453">
        <f>INDEX(★サイズ表記!$I$4:$Q$55, MATCH(E107,★サイズ表記!$E$4:$E$55,0), MATCH(G107,★サイズ表記!$I$3:$R$3,0))</f>
        <v>7</v>
      </c>
      <c r="K107" s="471" t="str">
        <f t="shared" si="8"/>
        <v>T1004Yng</v>
      </c>
      <c r="L107" s="471" t="str">
        <f t="shared" si="9"/>
        <v>観音折</v>
      </c>
      <c r="P107" s="533" t="s">
        <v>1324</v>
      </c>
      <c r="Q107" s="533" t="s">
        <v>1325</v>
      </c>
      <c r="R107" s="534" t="str">
        <f t="shared" si="12"/>
        <v>1004</v>
      </c>
      <c r="S107" s="534" t="str">
        <f t="shared" si="13"/>
        <v>観音折</v>
      </c>
      <c r="T107" s="538" t="str">
        <f t="shared" si="4"/>
        <v>10</v>
      </c>
      <c r="U107" s="538" t="str">
        <f t="shared" si="5"/>
        <v>04</v>
      </c>
      <c r="V107" s="471" t="s">
        <v>1136</v>
      </c>
      <c r="Y107" s="472">
        <f t="shared" si="6"/>
        <v>7</v>
      </c>
      <c r="Z107" s="540">
        <f t="shared" si="7"/>
        <v>0.56000000000000005</v>
      </c>
      <c r="AA107" s="471">
        <v>0</v>
      </c>
    </row>
    <row r="108" spans="1:27">
      <c r="A108" s="451" t="str">
        <f>CONCATENATE(VLOOKUP(B108,★営業所!$A$1:$B$5,2,FALSE),VLOOKUP(D108,★サイズ表記!$D$4:$E$55,2,FALSE),VLOOKUP(F108,★折込地区!$A$1:$B$11,2,FALSE))</f>
        <v>T1005Yng</v>
      </c>
      <c r="B108" s="457" t="s">
        <v>275</v>
      </c>
      <c r="C108" s="452" t="str">
        <f>VLOOKUP(B108,★営業所!$A$1:$B$5,2,FALSE)</f>
        <v>T</v>
      </c>
      <c r="D108" s="465" t="s">
        <v>952</v>
      </c>
      <c r="E108" s="452" t="str">
        <f>VLOOKUP(D108,★サイズ表記!$D$4:$E$55,2,FALSE)</f>
        <v>1005</v>
      </c>
      <c r="F108" s="457" t="s">
        <v>1603</v>
      </c>
      <c r="G108" s="452" t="str">
        <f>VLOOKUP(F108,★折込地区!$A$1:$B$11,2,FALSE)</f>
        <v>Yng</v>
      </c>
      <c r="H108" s="453">
        <f>INDEX(★サイズ表記!$I$4:$Q$55, MATCH(E108,★サイズ表記!$E$4:$E$55,0), MATCH(G108,★サイズ表記!$I$3:$R$3,0))</f>
        <v>7</v>
      </c>
      <c r="K108" s="471" t="str">
        <f t="shared" si="8"/>
        <v>T1005Yng</v>
      </c>
      <c r="L108" s="471" t="str">
        <f t="shared" si="9"/>
        <v>B2（4つ折り）</v>
      </c>
      <c r="P108" s="533" t="s">
        <v>1324</v>
      </c>
      <c r="Q108" s="533" t="s">
        <v>1325</v>
      </c>
      <c r="R108" s="534" t="str">
        <f t="shared" si="12"/>
        <v>1005</v>
      </c>
      <c r="S108" s="534" t="str">
        <f t="shared" si="13"/>
        <v>B2（4つ折り）</v>
      </c>
      <c r="T108" s="538" t="str">
        <f t="shared" si="4"/>
        <v>10</v>
      </c>
      <c r="U108" s="538" t="str">
        <f t="shared" si="5"/>
        <v>05</v>
      </c>
      <c r="V108" s="471" t="s">
        <v>1136</v>
      </c>
      <c r="Y108" s="472">
        <f t="shared" si="6"/>
        <v>7</v>
      </c>
      <c r="Z108" s="540">
        <f t="shared" si="7"/>
        <v>0.56000000000000005</v>
      </c>
      <c r="AA108" s="471">
        <v>0</v>
      </c>
    </row>
    <row r="109" spans="1:27">
      <c r="A109" s="451" t="str">
        <f>CONCATENATE(VLOOKUP(B109,★営業所!$A$1:$B$5,2,FALSE),VLOOKUP(D109,★サイズ表記!$D$4:$E$55,2,FALSE),VLOOKUP(F109,★折込地区!$A$1:$B$11,2,FALSE))</f>
        <v>T1006Yng</v>
      </c>
      <c r="B109" s="457" t="s">
        <v>275</v>
      </c>
      <c r="C109" s="452" t="str">
        <f>VLOOKUP(B109,★営業所!$A$1:$B$5,2,FALSE)</f>
        <v>T</v>
      </c>
      <c r="D109" s="465" t="s">
        <v>955</v>
      </c>
      <c r="E109" s="452" t="str">
        <f>VLOOKUP(D109,★サイズ表記!$D$4:$E$55,2,FALSE)</f>
        <v>1006</v>
      </c>
      <c r="F109" s="457" t="s">
        <v>1603</v>
      </c>
      <c r="G109" s="452" t="str">
        <f>VLOOKUP(F109,★折込地区!$A$1:$B$11,2,FALSE)</f>
        <v>Yng</v>
      </c>
      <c r="H109" s="453">
        <f>INDEX(★サイズ表記!$I$4:$Q$55, MATCH(E109,★サイズ表記!$E$4:$E$55,0), MATCH(G109,★サイズ表記!$I$3:$R$3,0))</f>
        <v>15</v>
      </c>
      <c r="K109" s="471" t="str">
        <f t="shared" si="8"/>
        <v>T1006Yng</v>
      </c>
      <c r="L109" s="471" t="str">
        <f t="shared" si="9"/>
        <v>B1（8折り）</v>
      </c>
      <c r="P109" s="533" t="s">
        <v>1324</v>
      </c>
      <c r="Q109" s="533" t="s">
        <v>1325</v>
      </c>
      <c r="R109" s="534" t="str">
        <f t="shared" si="12"/>
        <v>1006</v>
      </c>
      <c r="S109" s="534" t="str">
        <f t="shared" si="13"/>
        <v>B1（8折り）</v>
      </c>
      <c r="T109" s="538" t="str">
        <f t="shared" si="4"/>
        <v>10</v>
      </c>
      <c r="U109" s="538" t="str">
        <f t="shared" si="5"/>
        <v>06</v>
      </c>
      <c r="V109" s="471" t="s">
        <v>1136</v>
      </c>
      <c r="Y109" s="472">
        <f t="shared" si="6"/>
        <v>15</v>
      </c>
      <c r="Z109" s="540">
        <f t="shared" si="7"/>
        <v>1.2</v>
      </c>
      <c r="AA109" s="471">
        <v>0</v>
      </c>
    </row>
    <row r="110" spans="1:27">
      <c r="A110" s="451" t="str">
        <f>CONCATENATE(VLOOKUP(B110,★営業所!$A$1:$B$5,2,FALSE),VLOOKUP(D110,★サイズ表記!$D$4:$E$55,2,FALSE),VLOOKUP(F110,★折込地区!$A$1:$B$11,2,FALSE))</f>
        <v>T1007Yng</v>
      </c>
      <c r="B110" s="457" t="s">
        <v>275</v>
      </c>
      <c r="C110" s="452" t="str">
        <f>VLOOKUP(B110,★営業所!$A$1:$B$5,2,FALSE)</f>
        <v>T</v>
      </c>
      <c r="D110" s="465" t="s">
        <v>956</v>
      </c>
      <c r="E110" s="452" t="str">
        <f>VLOOKUP(D110,★サイズ表記!$D$4:$E$55,2,FALSE)</f>
        <v>1007</v>
      </c>
      <c r="F110" s="457" t="s">
        <v>1603</v>
      </c>
      <c r="G110" s="452" t="str">
        <f>VLOOKUP(F110,★折込地区!$A$1:$B$11,2,FALSE)</f>
        <v>Yng</v>
      </c>
      <c r="H110" s="453">
        <f>INDEX(★サイズ表記!$I$4:$Q$55, MATCH(E110,★サイズ表記!$E$4:$E$55,0), MATCH(G110,★サイズ表記!$I$3:$R$3,0))</f>
        <v>3.3</v>
      </c>
      <c r="K110" s="471" t="str">
        <f t="shared" si="8"/>
        <v>T1007Yng</v>
      </c>
      <c r="L110" s="471" t="str">
        <f t="shared" si="9"/>
        <v>B4厚紙</v>
      </c>
      <c r="P110" s="533" t="s">
        <v>1324</v>
      </c>
      <c r="Q110" s="533" t="s">
        <v>1325</v>
      </c>
      <c r="R110" s="534" t="str">
        <f t="shared" si="12"/>
        <v>1007</v>
      </c>
      <c r="S110" s="534" t="str">
        <f t="shared" si="13"/>
        <v>B4厚紙</v>
      </c>
      <c r="T110" s="538" t="str">
        <f t="shared" si="4"/>
        <v>10</v>
      </c>
      <c r="U110" s="538" t="str">
        <f t="shared" si="5"/>
        <v>07</v>
      </c>
      <c r="V110" s="471" t="s">
        <v>1136</v>
      </c>
      <c r="Y110" s="472">
        <f t="shared" si="6"/>
        <v>3.3</v>
      </c>
      <c r="Z110" s="540">
        <f t="shared" si="7"/>
        <v>0.26</v>
      </c>
      <c r="AA110" s="471">
        <v>0</v>
      </c>
    </row>
    <row r="111" spans="1:27">
      <c r="A111" s="451" t="str">
        <f>CONCATENATE(VLOOKUP(B111,★営業所!$A$1:$B$5,2,FALSE),VLOOKUP(D111,★サイズ表記!$D$4:$E$55,2,FALSE),VLOOKUP(F111,★折込地区!$A$1:$B$11,2,FALSE))</f>
        <v>T1008Yng</v>
      </c>
      <c r="B111" s="457" t="s">
        <v>275</v>
      </c>
      <c r="C111" s="452" t="str">
        <f>VLOOKUP(B111,★営業所!$A$1:$B$5,2,FALSE)</f>
        <v>T</v>
      </c>
      <c r="D111" s="465" t="s">
        <v>957</v>
      </c>
      <c r="E111" s="452" t="str">
        <f>VLOOKUP(D111,★サイズ表記!$D$4:$E$55,2,FALSE)</f>
        <v>1008</v>
      </c>
      <c r="F111" s="457" t="s">
        <v>1603</v>
      </c>
      <c r="G111" s="452" t="str">
        <f>VLOOKUP(F111,★折込地区!$A$1:$B$11,2,FALSE)</f>
        <v>Yng</v>
      </c>
      <c r="H111" s="453">
        <f>INDEX(★サイズ表記!$I$4:$Q$55, MATCH(E111,★サイズ表記!$E$4:$E$55,0), MATCH(G111,★サイズ表記!$I$3:$R$3,0))</f>
        <v>4.4000000000000004</v>
      </c>
      <c r="K111" s="471" t="str">
        <f t="shared" si="8"/>
        <v>T1008Yng</v>
      </c>
      <c r="L111" s="471" t="str">
        <f t="shared" si="9"/>
        <v>B3厚紙</v>
      </c>
      <c r="P111" s="533" t="s">
        <v>1324</v>
      </c>
      <c r="Q111" s="533" t="s">
        <v>1325</v>
      </c>
      <c r="R111" s="534" t="str">
        <f t="shared" si="12"/>
        <v>1008</v>
      </c>
      <c r="S111" s="534" t="str">
        <f t="shared" si="13"/>
        <v>B3厚紙</v>
      </c>
      <c r="T111" s="538" t="str">
        <f t="shared" si="4"/>
        <v>10</v>
      </c>
      <c r="U111" s="538" t="str">
        <f t="shared" si="5"/>
        <v>08</v>
      </c>
      <c r="V111" s="471" t="s">
        <v>1136</v>
      </c>
      <c r="Y111" s="472">
        <f t="shared" si="6"/>
        <v>4.4000000000000004</v>
      </c>
      <c r="Z111" s="540">
        <f t="shared" si="7"/>
        <v>0.35</v>
      </c>
      <c r="AA111" s="471">
        <v>0</v>
      </c>
    </row>
    <row r="112" spans="1:27">
      <c r="A112" s="451" t="str">
        <f>CONCATENATE(VLOOKUP(B112,★営業所!$A$1:$B$5,2,FALSE),VLOOKUP(D112,★サイズ表記!$D$4:$E$55,2,FALSE),VLOOKUP(F112,★折込地区!$A$1:$B$11,2,FALSE))</f>
        <v>T1009Yng</v>
      </c>
      <c r="B112" s="457" t="s">
        <v>275</v>
      </c>
      <c r="C112" s="452" t="str">
        <f>VLOOKUP(B112,★営業所!$A$1:$B$5,2,FALSE)</f>
        <v>T</v>
      </c>
      <c r="D112" s="465" t="s">
        <v>958</v>
      </c>
      <c r="E112" s="452" t="str">
        <f>VLOOKUP(D112,★サイズ表記!$D$4:$E$55,2,FALSE)</f>
        <v>1009</v>
      </c>
      <c r="F112" s="457" t="s">
        <v>1603</v>
      </c>
      <c r="G112" s="452" t="str">
        <f>VLOOKUP(F112,★折込地区!$A$1:$B$11,2,FALSE)</f>
        <v>Yng</v>
      </c>
      <c r="H112" s="453">
        <f>INDEX(★サイズ表記!$I$4:$Q$55, MATCH(E112,★サイズ表記!$E$4:$E$55,0), MATCH(G112,★サイズ表記!$I$3:$R$3,0))</f>
        <v>7.5</v>
      </c>
      <c r="K112" s="471" t="str">
        <f t="shared" si="8"/>
        <v>T1009Yng</v>
      </c>
      <c r="L112" s="471" t="str">
        <f t="shared" si="9"/>
        <v>B2厚紙</v>
      </c>
      <c r="P112" s="533" t="s">
        <v>1324</v>
      </c>
      <c r="Q112" s="533" t="s">
        <v>1325</v>
      </c>
      <c r="R112" s="534" t="str">
        <f t="shared" si="12"/>
        <v>1009</v>
      </c>
      <c r="S112" s="534" t="str">
        <f t="shared" si="13"/>
        <v>B2厚紙</v>
      </c>
      <c r="T112" s="538" t="str">
        <f t="shared" si="4"/>
        <v>10</v>
      </c>
      <c r="U112" s="538" t="str">
        <f t="shared" si="5"/>
        <v>09</v>
      </c>
      <c r="V112" s="471" t="s">
        <v>1136</v>
      </c>
      <c r="Y112" s="472">
        <f t="shared" si="6"/>
        <v>7.5</v>
      </c>
      <c r="Z112" s="540">
        <f t="shared" si="7"/>
        <v>0.6</v>
      </c>
      <c r="AA112" s="471">
        <v>0</v>
      </c>
    </row>
    <row r="113" spans="1:27">
      <c r="A113" s="451" t="str">
        <f>CONCATENATE(VLOOKUP(B113,★営業所!$A$1:$B$5,2,FALSE),VLOOKUP(D113,★サイズ表記!$D$4:$E$55,2,FALSE),VLOOKUP(F113,★折込地区!$A$1:$B$11,2,FALSE))</f>
        <v>T1010Yng</v>
      </c>
      <c r="B113" s="457" t="s">
        <v>275</v>
      </c>
      <c r="C113" s="452" t="str">
        <f>VLOOKUP(B113,★営業所!$A$1:$B$5,2,FALSE)</f>
        <v>T</v>
      </c>
      <c r="D113" s="465" t="s">
        <v>959</v>
      </c>
      <c r="E113" s="452" t="str">
        <f>VLOOKUP(D113,★サイズ表記!$D$4:$E$55,2,FALSE)</f>
        <v>1010</v>
      </c>
      <c r="F113" s="457" t="s">
        <v>1603</v>
      </c>
      <c r="G113" s="452" t="str">
        <f>VLOOKUP(F113,★折込地区!$A$1:$B$11,2,FALSE)</f>
        <v>Yng</v>
      </c>
      <c r="H113" s="453">
        <f>INDEX(★サイズ表記!$I$4:$Q$55, MATCH(E113,★サイズ表記!$E$4:$E$55,0), MATCH(G113,★サイズ表記!$I$3:$R$3,0))</f>
        <v>4.2</v>
      </c>
      <c r="K113" s="471" t="str">
        <f t="shared" si="8"/>
        <v>T1010Yng</v>
      </c>
      <c r="L113" s="471" t="str">
        <f t="shared" si="9"/>
        <v>B4以下変形</v>
      </c>
      <c r="P113" s="533" t="s">
        <v>1324</v>
      </c>
      <c r="Q113" s="533" t="s">
        <v>1325</v>
      </c>
      <c r="R113" s="534" t="str">
        <f t="shared" si="12"/>
        <v>1010</v>
      </c>
      <c r="S113" s="534" t="str">
        <f t="shared" si="13"/>
        <v>B4以下変形</v>
      </c>
      <c r="T113" s="538" t="str">
        <f t="shared" si="4"/>
        <v>10</v>
      </c>
      <c r="U113" s="538" t="str">
        <f t="shared" si="5"/>
        <v>10</v>
      </c>
      <c r="V113" s="471" t="s">
        <v>1136</v>
      </c>
      <c r="Y113" s="472">
        <f t="shared" si="6"/>
        <v>4.2</v>
      </c>
      <c r="Z113" s="540">
        <f t="shared" si="7"/>
        <v>0.33</v>
      </c>
      <c r="AA113" s="471">
        <v>0</v>
      </c>
    </row>
    <row r="114" spans="1:27">
      <c r="A114" s="451" t="str">
        <f>CONCATENATE(VLOOKUP(B114,★営業所!$A$1:$B$5,2,FALSE),VLOOKUP(D114,★サイズ表記!$D$4:$E$55,2,FALSE),VLOOKUP(F114,★折込地区!$A$1:$B$11,2,FALSE))</f>
        <v>T1011Yng</v>
      </c>
      <c r="B114" s="457" t="s">
        <v>275</v>
      </c>
      <c r="C114" s="452" t="str">
        <f>VLOOKUP(B114,★営業所!$A$1:$B$5,2,FALSE)</f>
        <v>T</v>
      </c>
      <c r="D114" s="465" t="s">
        <v>960</v>
      </c>
      <c r="E114" s="452" t="str">
        <f>VLOOKUP(D114,★サイズ表記!$D$4:$E$55,2,FALSE)</f>
        <v>1011</v>
      </c>
      <c r="F114" s="457" t="s">
        <v>1603</v>
      </c>
      <c r="G114" s="452" t="str">
        <f>VLOOKUP(F114,★折込地区!$A$1:$B$11,2,FALSE)</f>
        <v>Yng</v>
      </c>
      <c r="H114" s="453">
        <f>INDEX(★サイズ表記!$I$4:$Q$55, MATCH(E114,★サイズ表記!$E$4:$E$55,0), MATCH(G114,★サイズ表記!$I$3:$R$3,0))</f>
        <v>3.8</v>
      </c>
      <c r="K114" s="471" t="str">
        <f t="shared" si="8"/>
        <v>T1011Yng</v>
      </c>
      <c r="L114" s="471" t="str">
        <f t="shared" si="9"/>
        <v>B4シール付き</v>
      </c>
      <c r="P114" s="533" t="s">
        <v>1324</v>
      </c>
      <c r="Q114" s="533" t="s">
        <v>1325</v>
      </c>
      <c r="R114" s="534" t="str">
        <f t="shared" si="12"/>
        <v>1011</v>
      </c>
      <c r="S114" s="534" t="str">
        <f t="shared" si="13"/>
        <v>B4シール付き</v>
      </c>
      <c r="T114" s="538" t="str">
        <f t="shared" si="4"/>
        <v>10</v>
      </c>
      <c r="U114" s="538" t="str">
        <f t="shared" si="5"/>
        <v>11</v>
      </c>
      <c r="V114" s="471" t="s">
        <v>1136</v>
      </c>
      <c r="Y114" s="472">
        <f t="shared" si="6"/>
        <v>3.8</v>
      </c>
      <c r="Z114" s="540">
        <f t="shared" si="7"/>
        <v>0.3</v>
      </c>
      <c r="AA114" s="471">
        <v>0</v>
      </c>
    </row>
    <row r="115" spans="1:27">
      <c r="A115" s="451" t="str">
        <f>CONCATENATE(VLOOKUP(B115,★営業所!$A$1:$B$5,2,FALSE),VLOOKUP(D115,★サイズ表記!$D$4:$E$55,2,FALSE),VLOOKUP(F115,★折込地区!$A$1:$B$11,2,FALSE))</f>
        <v>T1012Yng</v>
      </c>
      <c r="B115" s="457" t="s">
        <v>275</v>
      </c>
      <c r="C115" s="452" t="str">
        <f>VLOOKUP(B115,★営業所!$A$1:$B$5,2,FALSE)</f>
        <v>T</v>
      </c>
      <c r="D115" s="465" t="s">
        <v>961</v>
      </c>
      <c r="E115" s="452" t="str">
        <f>VLOOKUP(D115,★サイズ表記!$D$4:$E$55,2,FALSE)</f>
        <v>1012</v>
      </c>
      <c r="F115" s="457" t="s">
        <v>1603</v>
      </c>
      <c r="G115" s="452" t="str">
        <f>VLOOKUP(F115,★折込地区!$A$1:$B$11,2,FALSE)</f>
        <v>Yng</v>
      </c>
      <c r="H115" s="453">
        <f>INDEX(★サイズ表記!$I$4:$Q$55, MATCH(E115,★サイズ表記!$E$4:$E$55,0), MATCH(G115,★サイズ表記!$I$3:$R$3,0))</f>
        <v>4.9000000000000004</v>
      </c>
      <c r="K115" s="471" t="str">
        <f t="shared" si="8"/>
        <v>T1012Yng</v>
      </c>
      <c r="L115" s="471" t="str">
        <f t="shared" si="9"/>
        <v>B3シール付き</v>
      </c>
      <c r="P115" s="533" t="s">
        <v>1324</v>
      </c>
      <c r="Q115" s="533" t="s">
        <v>1325</v>
      </c>
      <c r="R115" s="534" t="str">
        <f t="shared" si="12"/>
        <v>1012</v>
      </c>
      <c r="S115" s="534" t="str">
        <f t="shared" si="13"/>
        <v>B3シール付き</v>
      </c>
      <c r="T115" s="538" t="str">
        <f t="shared" si="4"/>
        <v>10</v>
      </c>
      <c r="U115" s="538" t="str">
        <f t="shared" si="5"/>
        <v>12</v>
      </c>
      <c r="V115" s="471" t="s">
        <v>1136</v>
      </c>
      <c r="Y115" s="472">
        <f t="shared" si="6"/>
        <v>4.9000000000000004</v>
      </c>
      <c r="Z115" s="540">
        <f t="shared" si="7"/>
        <v>0.39</v>
      </c>
      <c r="AA115" s="471">
        <v>0</v>
      </c>
    </row>
    <row r="116" spans="1:27">
      <c r="A116" s="451" t="str">
        <f>CONCATENATE(VLOOKUP(B116,★営業所!$A$1:$B$5,2,FALSE),VLOOKUP(D116,★サイズ表記!$D$4:$E$55,2,FALSE),VLOOKUP(F116,★折込地区!$A$1:$B$11,2,FALSE))</f>
        <v>T1013Yng</v>
      </c>
      <c r="B116" s="457" t="s">
        <v>275</v>
      </c>
      <c r="C116" s="452" t="str">
        <f>VLOOKUP(B116,★営業所!$A$1:$B$5,2,FALSE)</f>
        <v>T</v>
      </c>
      <c r="D116" s="465" t="s">
        <v>962</v>
      </c>
      <c r="E116" s="452" t="str">
        <f>VLOOKUP(D116,★サイズ表記!$D$4:$E$55,2,FALSE)</f>
        <v>1013</v>
      </c>
      <c r="F116" s="457" t="s">
        <v>1603</v>
      </c>
      <c r="G116" s="452" t="str">
        <f>VLOOKUP(F116,★折込地区!$A$1:$B$11,2,FALSE)</f>
        <v>Yng</v>
      </c>
      <c r="H116" s="453">
        <f>INDEX(★サイズ表記!$I$4:$Q$55, MATCH(E116,★サイズ表記!$E$4:$E$55,0), MATCH(G116,★サイズ表記!$I$3:$R$3,0))</f>
        <v>3.8</v>
      </c>
      <c r="K116" s="471" t="str">
        <f t="shared" si="8"/>
        <v>T1013Yng</v>
      </c>
      <c r="L116" s="471" t="str">
        <f t="shared" si="9"/>
        <v>B4スクラッチ付き</v>
      </c>
      <c r="P116" s="533" t="s">
        <v>1324</v>
      </c>
      <c r="Q116" s="533" t="s">
        <v>1325</v>
      </c>
      <c r="R116" s="534" t="str">
        <f t="shared" si="12"/>
        <v>1013</v>
      </c>
      <c r="S116" s="534" t="str">
        <f t="shared" si="13"/>
        <v>B4スクラッチ付き</v>
      </c>
      <c r="T116" s="538" t="str">
        <f t="shared" si="4"/>
        <v>10</v>
      </c>
      <c r="U116" s="538" t="str">
        <f t="shared" si="5"/>
        <v>13</v>
      </c>
      <c r="V116" s="471" t="s">
        <v>1136</v>
      </c>
      <c r="Y116" s="472">
        <f t="shared" si="6"/>
        <v>3.8</v>
      </c>
      <c r="Z116" s="540">
        <f t="shared" si="7"/>
        <v>0.3</v>
      </c>
      <c r="AA116" s="471">
        <v>0</v>
      </c>
    </row>
    <row r="117" spans="1:27">
      <c r="A117" s="451" t="str">
        <f>CONCATENATE(VLOOKUP(B117,★営業所!$A$1:$B$5,2,FALSE),VLOOKUP(D117,★サイズ表記!$D$4:$E$55,2,FALSE),VLOOKUP(F117,★折込地区!$A$1:$B$11,2,FALSE))</f>
        <v>T2001Yng</v>
      </c>
      <c r="B117" s="457" t="s">
        <v>275</v>
      </c>
      <c r="C117" s="452" t="str">
        <f>VLOOKUP(B117,★営業所!$A$1:$B$5,2,FALSE)</f>
        <v>T</v>
      </c>
      <c r="D117" s="465" t="s">
        <v>963</v>
      </c>
      <c r="E117" s="452" t="str">
        <f>VLOOKUP(D117,★サイズ表記!$D$4:$E$55,2,FALSE)</f>
        <v>2001</v>
      </c>
      <c r="F117" s="457" t="s">
        <v>1603</v>
      </c>
      <c r="G117" s="452" t="str">
        <f>VLOOKUP(F117,★折込地区!$A$1:$B$11,2,FALSE)</f>
        <v>Yng</v>
      </c>
      <c r="H117" s="453">
        <f>INDEX(★サイズ表記!$I$4:$Q$55, MATCH(E117,★サイズ表記!$E$4:$E$55,0), MATCH(G117,★サイズ表記!$I$3:$R$3,0))</f>
        <v>4.2</v>
      </c>
      <c r="K117" s="471" t="str">
        <f t="shared" si="8"/>
        <v>T2001Yng</v>
      </c>
      <c r="L117" s="471" t="str">
        <f t="shared" si="9"/>
        <v>連合B4</v>
      </c>
      <c r="P117" s="533" t="s">
        <v>1324</v>
      </c>
      <c r="Q117" s="533" t="s">
        <v>1325</v>
      </c>
      <c r="R117" s="534" t="str">
        <f t="shared" si="12"/>
        <v>2001</v>
      </c>
      <c r="S117" s="534" t="str">
        <f t="shared" si="13"/>
        <v>連合B4</v>
      </c>
      <c r="T117" s="538" t="str">
        <f t="shared" si="4"/>
        <v>20</v>
      </c>
      <c r="U117" s="538" t="str">
        <f t="shared" si="5"/>
        <v>01</v>
      </c>
      <c r="V117" s="471" t="s">
        <v>1136</v>
      </c>
      <c r="Y117" s="472">
        <f t="shared" si="6"/>
        <v>4.2</v>
      </c>
      <c r="Z117" s="540">
        <f t="shared" si="7"/>
        <v>0.33</v>
      </c>
      <c r="AA117" s="471">
        <v>0</v>
      </c>
    </row>
    <row r="118" spans="1:27">
      <c r="A118" s="451" t="str">
        <f>CONCATENATE(VLOOKUP(B118,★営業所!$A$1:$B$5,2,FALSE),VLOOKUP(D118,★サイズ表記!$D$4:$E$55,2,FALSE),VLOOKUP(F118,★折込地区!$A$1:$B$11,2,FALSE))</f>
        <v>T2002Yng</v>
      </c>
      <c r="B118" s="457" t="s">
        <v>275</v>
      </c>
      <c r="C118" s="452" t="str">
        <f>VLOOKUP(B118,★営業所!$A$1:$B$5,2,FALSE)</f>
        <v>T</v>
      </c>
      <c r="D118" s="465" t="s">
        <v>964</v>
      </c>
      <c r="E118" s="452" t="str">
        <f>VLOOKUP(D118,★サイズ表記!$D$4:$E$55,2,FALSE)</f>
        <v>2002</v>
      </c>
      <c r="F118" s="457" t="s">
        <v>1603</v>
      </c>
      <c r="G118" s="452" t="str">
        <f>VLOOKUP(F118,★折込地区!$A$1:$B$11,2,FALSE)</f>
        <v>Yng</v>
      </c>
      <c r="H118" s="453">
        <f>INDEX(★サイズ表記!$I$4:$Q$55, MATCH(E118,★サイズ表記!$E$4:$E$55,0), MATCH(G118,★サイズ表記!$I$3:$R$3,0))</f>
        <v>5.85</v>
      </c>
      <c r="K118" s="471" t="str">
        <f t="shared" si="8"/>
        <v>T2002Yng</v>
      </c>
      <c r="L118" s="471" t="str">
        <f t="shared" si="9"/>
        <v>連合B3</v>
      </c>
      <c r="P118" s="533" t="s">
        <v>1324</v>
      </c>
      <c r="Q118" s="533" t="s">
        <v>1325</v>
      </c>
      <c r="R118" s="534" t="str">
        <f t="shared" si="12"/>
        <v>2002</v>
      </c>
      <c r="S118" s="534" t="str">
        <f t="shared" si="13"/>
        <v>連合B3</v>
      </c>
      <c r="T118" s="538" t="str">
        <f t="shared" si="4"/>
        <v>20</v>
      </c>
      <c r="U118" s="538" t="str">
        <f t="shared" si="5"/>
        <v>02</v>
      </c>
      <c r="V118" s="471" t="s">
        <v>1136</v>
      </c>
      <c r="Y118" s="472">
        <f t="shared" si="6"/>
        <v>5.85</v>
      </c>
      <c r="Z118" s="540">
        <f t="shared" si="7"/>
        <v>0.46</v>
      </c>
      <c r="AA118" s="471">
        <v>0</v>
      </c>
    </row>
    <row r="119" spans="1:27">
      <c r="A119" s="451" t="str">
        <f>CONCATENATE(VLOOKUP(B119,★営業所!$A$1:$B$5,2,FALSE),VLOOKUP(D119,★サイズ表記!$D$4:$E$55,2,FALSE),VLOOKUP(F119,★折込地区!$A$1:$B$11,2,FALSE))</f>
        <v>T2003Yng</v>
      </c>
      <c r="B119" s="457" t="s">
        <v>275</v>
      </c>
      <c r="C119" s="452" t="str">
        <f>VLOOKUP(B119,★営業所!$A$1:$B$5,2,FALSE)</f>
        <v>T</v>
      </c>
      <c r="D119" s="465" t="s">
        <v>965</v>
      </c>
      <c r="E119" s="452" t="str">
        <f>VLOOKUP(D119,★サイズ表記!$D$4:$E$55,2,FALSE)</f>
        <v>2003</v>
      </c>
      <c r="F119" s="457" t="s">
        <v>1603</v>
      </c>
      <c r="G119" s="452" t="str">
        <f>VLOOKUP(F119,★折込地区!$A$1:$B$11,2,FALSE)</f>
        <v>Yng</v>
      </c>
      <c r="H119" s="453">
        <f>INDEX(★サイズ表記!$I$4:$Q$55, MATCH(E119,★サイズ表記!$E$4:$E$55,0), MATCH(G119,★サイズ表記!$I$3:$R$3,0))</f>
        <v>10.5</v>
      </c>
      <c r="K119" s="471" t="str">
        <f t="shared" ref="K119:K152" si="14">A119</f>
        <v>T2003Yng</v>
      </c>
      <c r="L119" s="471" t="str">
        <f t="shared" ref="L119:L152" si="15">D119</f>
        <v>連合B2</v>
      </c>
      <c r="P119" s="533" t="s">
        <v>1324</v>
      </c>
      <c r="Q119" s="533" t="s">
        <v>1325</v>
      </c>
      <c r="R119" s="534" t="str">
        <f t="shared" si="12"/>
        <v>2003</v>
      </c>
      <c r="S119" s="534" t="str">
        <f t="shared" si="13"/>
        <v>連合B2</v>
      </c>
      <c r="T119" s="538" t="str">
        <f t="shared" si="4"/>
        <v>20</v>
      </c>
      <c r="U119" s="538" t="str">
        <f t="shared" si="5"/>
        <v>03</v>
      </c>
      <c r="V119" s="471" t="s">
        <v>1136</v>
      </c>
      <c r="Y119" s="472">
        <f t="shared" si="6"/>
        <v>10.5</v>
      </c>
      <c r="Z119" s="540">
        <f t="shared" si="7"/>
        <v>0.84</v>
      </c>
      <c r="AA119" s="471">
        <v>0</v>
      </c>
    </row>
    <row r="120" spans="1:27">
      <c r="A120" s="451" t="str">
        <f>CONCATENATE(VLOOKUP(B120,★営業所!$A$1:$B$5,2,FALSE),VLOOKUP(D120,★サイズ表記!$D$4:$E$55,2,FALSE),VLOOKUP(F120,★折込地区!$A$1:$B$11,2,FALSE))</f>
        <v>T2004Yng</v>
      </c>
      <c r="B120" s="457" t="s">
        <v>275</v>
      </c>
      <c r="C120" s="452" t="str">
        <f>VLOOKUP(B120,★営業所!$A$1:$B$5,2,FALSE)</f>
        <v>T</v>
      </c>
      <c r="D120" s="465" t="s">
        <v>966</v>
      </c>
      <c r="E120" s="452" t="str">
        <f>VLOOKUP(D120,★サイズ表記!$D$4:$E$55,2,FALSE)</f>
        <v>2004</v>
      </c>
      <c r="F120" s="457" t="s">
        <v>1603</v>
      </c>
      <c r="G120" s="452" t="str">
        <f>VLOOKUP(F120,★折込地区!$A$1:$B$11,2,FALSE)</f>
        <v>Yng</v>
      </c>
      <c r="H120" s="453">
        <f>INDEX(★サイズ表記!$I$4:$Q$55, MATCH(E120,★サイズ表記!$E$4:$E$55,0), MATCH(G120,★サイズ表記!$I$3:$R$3,0))</f>
        <v>10.5</v>
      </c>
      <c r="K120" s="471" t="str">
        <f t="shared" si="14"/>
        <v>T2004Yng</v>
      </c>
      <c r="L120" s="471" t="str">
        <f t="shared" si="15"/>
        <v>連合3つ折り</v>
      </c>
      <c r="P120" s="533" t="s">
        <v>1324</v>
      </c>
      <c r="Q120" s="533" t="s">
        <v>1325</v>
      </c>
      <c r="R120" s="534" t="str">
        <f t="shared" si="12"/>
        <v>2004</v>
      </c>
      <c r="S120" s="534" t="str">
        <f t="shared" si="13"/>
        <v>連合3つ折り</v>
      </c>
      <c r="T120" s="538" t="str">
        <f t="shared" si="4"/>
        <v>20</v>
      </c>
      <c r="U120" s="538" t="str">
        <f t="shared" si="5"/>
        <v>04</v>
      </c>
      <c r="V120" s="471" t="s">
        <v>1136</v>
      </c>
      <c r="Y120" s="472">
        <f t="shared" si="6"/>
        <v>10.5</v>
      </c>
      <c r="Z120" s="540">
        <f t="shared" si="7"/>
        <v>0.84</v>
      </c>
      <c r="AA120" s="471">
        <v>0</v>
      </c>
    </row>
    <row r="121" spans="1:27">
      <c r="A121" s="451" t="str">
        <f>CONCATENATE(VLOOKUP(B121,★営業所!$A$1:$B$5,2,FALSE),VLOOKUP(D121,★サイズ表記!$D$4:$E$55,2,FALSE),VLOOKUP(F121,★折込地区!$A$1:$B$11,2,FALSE))</f>
        <v>T2005Yng</v>
      </c>
      <c r="B121" s="457" t="s">
        <v>275</v>
      </c>
      <c r="C121" s="452" t="str">
        <f>VLOOKUP(B121,★営業所!$A$1:$B$5,2,FALSE)</f>
        <v>T</v>
      </c>
      <c r="D121" s="465" t="s">
        <v>967</v>
      </c>
      <c r="E121" s="452" t="str">
        <f>VLOOKUP(D121,★サイズ表記!$D$4:$E$55,2,FALSE)</f>
        <v>2005</v>
      </c>
      <c r="F121" s="457" t="s">
        <v>1603</v>
      </c>
      <c r="G121" s="452" t="str">
        <f>VLOOKUP(F121,★折込地区!$A$1:$B$11,2,FALSE)</f>
        <v>Yng</v>
      </c>
      <c r="H121" s="453">
        <f>INDEX(★サイズ表記!$I$4:$Q$55, MATCH(E121,★サイズ表記!$E$4:$E$55,0), MATCH(G121,★サイズ表記!$I$3:$R$3,0))</f>
        <v>4.7</v>
      </c>
      <c r="K121" s="471" t="str">
        <f t="shared" si="14"/>
        <v>T2005Yng</v>
      </c>
      <c r="L121" s="471" t="str">
        <f t="shared" si="15"/>
        <v>連合B4厚紙</v>
      </c>
      <c r="P121" s="533" t="s">
        <v>1324</v>
      </c>
      <c r="Q121" s="533" t="s">
        <v>1325</v>
      </c>
      <c r="R121" s="534" t="str">
        <f t="shared" si="12"/>
        <v>2005</v>
      </c>
      <c r="S121" s="534" t="str">
        <f t="shared" si="13"/>
        <v>連合B4厚紙</v>
      </c>
      <c r="T121" s="538" t="str">
        <f t="shared" si="4"/>
        <v>20</v>
      </c>
      <c r="U121" s="538" t="str">
        <f t="shared" si="5"/>
        <v>05</v>
      </c>
      <c r="V121" s="471" t="s">
        <v>1136</v>
      </c>
      <c r="Y121" s="472">
        <f t="shared" si="6"/>
        <v>4.7</v>
      </c>
      <c r="Z121" s="540">
        <f t="shared" si="7"/>
        <v>0.37</v>
      </c>
      <c r="AA121" s="471">
        <v>0</v>
      </c>
    </row>
    <row r="122" spans="1:27">
      <c r="A122" s="451" t="str">
        <f>CONCATENATE(VLOOKUP(B122,★営業所!$A$1:$B$5,2,FALSE),VLOOKUP(D122,★サイズ表記!$D$4:$E$55,2,FALSE),VLOOKUP(F122,★折込地区!$A$1:$B$11,2,FALSE))</f>
        <v>T2006Yng</v>
      </c>
      <c r="B122" s="457" t="s">
        <v>275</v>
      </c>
      <c r="C122" s="452" t="str">
        <f>VLOOKUP(B122,★営業所!$A$1:$B$5,2,FALSE)</f>
        <v>T</v>
      </c>
      <c r="D122" s="465" t="s">
        <v>968</v>
      </c>
      <c r="E122" s="452" t="str">
        <f>VLOOKUP(D122,★サイズ表記!$D$4:$E$55,2,FALSE)</f>
        <v>2006</v>
      </c>
      <c r="F122" s="457" t="s">
        <v>1603</v>
      </c>
      <c r="G122" s="452" t="str">
        <f>VLOOKUP(F122,★折込地区!$A$1:$B$11,2,FALSE)</f>
        <v>Yng</v>
      </c>
      <c r="H122" s="453">
        <f>INDEX(★サイズ表記!$I$4:$Q$55, MATCH(E122,★サイズ表記!$E$4:$E$55,0), MATCH(G122,★サイズ表記!$I$3:$R$3,0))</f>
        <v>7.35</v>
      </c>
      <c r="K122" s="471" t="str">
        <f t="shared" si="14"/>
        <v>T2006Yng</v>
      </c>
      <c r="L122" s="471" t="str">
        <f t="shared" si="15"/>
        <v>連合2つ折り極小</v>
      </c>
      <c r="P122" s="533" t="s">
        <v>1324</v>
      </c>
      <c r="Q122" s="533" t="s">
        <v>1325</v>
      </c>
      <c r="R122" s="534" t="str">
        <f t="shared" si="12"/>
        <v>2006</v>
      </c>
      <c r="S122" s="534" t="str">
        <f t="shared" si="13"/>
        <v>連合2つ折り極小</v>
      </c>
      <c r="T122" s="538" t="str">
        <f t="shared" si="4"/>
        <v>20</v>
      </c>
      <c r="U122" s="538" t="str">
        <f t="shared" si="5"/>
        <v>06</v>
      </c>
      <c r="V122" s="471" t="s">
        <v>1136</v>
      </c>
      <c r="Y122" s="472">
        <f t="shared" si="6"/>
        <v>7.35</v>
      </c>
      <c r="Z122" s="540">
        <f t="shared" si="7"/>
        <v>0.57999999999999996</v>
      </c>
      <c r="AA122" s="471">
        <v>0</v>
      </c>
    </row>
    <row r="123" spans="1:27">
      <c r="A123" s="451" t="str">
        <f>CONCATENATE(VLOOKUP(B123,★営業所!$A$1:$B$5,2,FALSE),VLOOKUP(D123,★サイズ表記!$D$4:$E$55,2,FALSE),VLOOKUP(F123,★折込地区!$A$1:$B$11,2,FALSE))</f>
        <v>T2007Yng</v>
      </c>
      <c r="B123" s="457" t="s">
        <v>275</v>
      </c>
      <c r="C123" s="452" t="str">
        <f>VLOOKUP(B123,★営業所!$A$1:$B$5,2,FALSE)</f>
        <v>T</v>
      </c>
      <c r="D123" s="465" t="s">
        <v>1365</v>
      </c>
      <c r="E123" s="452" t="str">
        <f>VLOOKUP(D123,★サイズ表記!$D$4:$E$55,2,FALSE)</f>
        <v>2007</v>
      </c>
      <c r="F123" s="457" t="s">
        <v>1603</v>
      </c>
      <c r="G123" s="452" t="str">
        <f>VLOOKUP(F123,★折込地区!$A$1:$B$11,2,FALSE)</f>
        <v>Yng</v>
      </c>
      <c r="H123" s="453">
        <f>INDEX(★サイズ表記!$I$4:$Q$55, MATCH(E123,★サイズ表記!$E$4:$E$55,0), MATCH(G123,★サイズ表記!$I$3:$R$3,0))</f>
        <v>10.050000000000001</v>
      </c>
      <c r="K123" s="471" t="str">
        <f t="shared" si="14"/>
        <v>T2007Yng</v>
      </c>
      <c r="L123" s="471" t="str">
        <f t="shared" si="15"/>
        <v>連合タブ6P</v>
      </c>
      <c r="P123" s="533" t="s">
        <v>1324</v>
      </c>
      <c r="Q123" s="533" t="s">
        <v>1325</v>
      </c>
      <c r="R123" s="534" t="str">
        <f t="shared" si="12"/>
        <v>2007</v>
      </c>
      <c r="S123" s="534" t="str">
        <f t="shared" si="13"/>
        <v>連合タブ6P</v>
      </c>
      <c r="T123" s="538" t="str">
        <f t="shared" si="4"/>
        <v>20</v>
      </c>
      <c r="U123" s="538" t="str">
        <f t="shared" si="5"/>
        <v>07</v>
      </c>
      <c r="V123" s="471" t="s">
        <v>1136</v>
      </c>
      <c r="Y123" s="472">
        <f t="shared" si="6"/>
        <v>10.050000000000001</v>
      </c>
      <c r="Z123" s="540">
        <f t="shared" si="7"/>
        <v>0.8</v>
      </c>
      <c r="AA123" s="471">
        <v>0</v>
      </c>
    </row>
    <row r="124" spans="1:27">
      <c r="A124" s="451" t="str">
        <f>CONCATENATE(VLOOKUP(B124,★営業所!$A$1:$B$5,2,FALSE),VLOOKUP(D124,★サイズ表記!$D$4:$E$55,2,FALSE),VLOOKUP(F124,★折込地区!$A$1:$B$11,2,FALSE))</f>
        <v>T2008Yng</v>
      </c>
      <c r="B124" s="457" t="s">
        <v>275</v>
      </c>
      <c r="C124" s="452" t="str">
        <f>VLOOKUP(B124,★営業所!$A$1:$B$5,2,FALSE)</f>
        <v>T</v>
      </c>
      <c r="D124" s="465" t="s">
        <v>1366</v>
      </c>
      <c r="E124" s="452" t="str">
        <f>VLOOKUP(D124,★サイズ表記!$D$4:$E$55,2,FALSE)</f>
        <v>2008</v>
      </c>
      <c r="F124" s="457" t="s">
        <v>1603</v>
      </c>
      <c r="G124" s="452" t="str">
        <f>VLOOKUP(F124,★折込地区!$A$1:$B$11,2,FALSE)</f>
        <v>Yng</v>
      </c>
      <c r="H124" s="453">
        <f>INDEX(★サイズ表記!$I$4:$Q$55, MATCH(E124,★サイズ表記!$E$4:$E$55,0), MATCH(G124,★サイズ表記!$I$3:$R$3,0))</f>
        <v>10.5</v>
      </c>
      <c r="K124" s="471" t="str">
        <f t="shared" si="14"/>
        <v>T2008Yng</v>
      </c>
      <c r="L124" s="471" t="str">
        <f t="shared" si="15"/>
        <v>連合タブ8P</v>
      </c>
      <c r="P124" s="533" t="s">
        <v>1324</v>
      </c>
      <c r="Q124" s="533" t="s">
        <v>1325</v>
      </c>
      <c r="R124" s="534" t="str">
        <f t="shared" si="12"/>
        <v>2008</v>
      </c>
      <c r="S124" s="534" t="str">
        <f t="shared" si="13"/>
        <v>連合タブ8P</v>
      </c>
      <c r="T124" s="538" t="str">
        <f t="shared" si="4"/>
        <v>20</v>
      </c>
      <c r="U124" s="538" t="str">
        <f t="shared" si="5"/>
        <v>08</v>
      </c>
      <c r="V124" s="471" t="s">
        <v>1136</v>
      </c>
      <c r="Y124" s="472">
        <f t="shared" si="6"/>
        <v>10.5</v>
      </c>
      <c r="Z124" s="540">
        <f t="shared" si="7"/>
        <v>0.84</v>
      </c>
      <c r="AA124" s="471">
        <v>0</v>
      </c>
    </row>
    <row r="125" spans="1:27">
      <c r="A125" s="451" t="str">
        <f>CONCATENATE(VLOOKUP(B125,★営業所!$A$1:$B$5,2,FALSE),VLOOKUP(D125,★サイズ表記!$D$4:$E$55,2,FALSE),VLOOKUP(F125,★折込地区!$A$1:$B$11,2,FALSE))</f>
        <v>T2009Yng</v>
      </c>
      <c r="B125" s="457" t="s">
        <v>275</v>
      </c>
      <c r="C125" s="452" t="str">
        <f>VLOOKUP(B125,★営業所!$A$1:$B$5,2,FALSE)</f>
        <v>T</v>
      </c>
      <c r="D125" s="465" t="s">
        <v>1364</v>
      </c>
      <c r="E125" s="452" t="str">
        <f>VLOOKUP(D125,★サイズ表記!$D$4:$E$55,2,FALSE)</f>
        <v>2009</v>
      </c>
      <c r="F125" s="457" t="s">
        <v>1603</v>
      </c>
      <c r="G125" s="452" t="str">
        <f>VLOOKUP(F125,★折込地区!$A$1:$B$11,2,FALSE)</f>
        <v>Yng</v>
      </c>
      <c r="H125" s="453">
        <f>INDEX(★サイズ表記!$I$4:$Q$55, MATCH(E125,★サイズ表記!$E$4:$E$55,0), MATCH(G125,★サイズ表記!$I$3:$R$3,0))</f>
        <v>16.350000000000001</v>
      </c>
      <c r="K125" s="471" t="str">
        <f t="shared" si="14"/>
        <v>T2009Yng</v>
      </c>
      <c r="L125" s="471" t="str">
        <f t="shared" si="15"/>
        <v>連合タブ12P</v>
      </c>
      <c r="P125" s="533" t="s">
        <v>1324</v>
      </c>
      <c r="Q125" s="533" t="s">
        <v>1325</v>
      </c>
      <c r="R125" s="534" t="str">
        <f t="shared" si="12"/>
        <v>2009</v>
      </c>
      <c r="S125" s="534" t="str">
        <f t="shared" si="13"/>
        <v>連合タブ12P</v>
      </c>
      <c r="T125" s="538" t="str">
        <f t="shared" si="4"/>
        <v>20</v>
      </c>
      <c r="U125" s="538" t="str">
        <f t="shared" si="5"/>
        <v>09</v>
      </c>
      <c r="V125" s="471" t="s">
        <v>1136</v>
      </c>
      <c r="Y125" s="472">
        <f t="shared" si="6"/>
        <v>16.350000000000001</v>
      </c>
      <c r="Z125" s="540">
        <f t="shared" si="7"/>
        <v>1.3</v>
      </c>
      <c r="AA125" s="471">
        <v>0</v>
      </c>
    </row>
    <row r="126" spans="1:27">
      <c r="A126" s="451" t="str">
        <f>CONCATENATE(VLOOKUP(B126,★営業所!$A$1:$B$5,2,FALSE),VLOOKUP(D126,★サイズ表記!$D$4:$E$55,2,FALSE),VLOOKUP(F126,★折込地区!$A$1:$B$11,2,FALSE))</f>
        <v>T3001Yng</v>
      </c>
      <c r="B126" s="457" t="s">
        <v>275</v>
      </c>
      <c r="C126" s="452" t="str">
        <f>VLOOKUP(B126,★営業所!$A$1:$B$5,2,FALSE)</f>
        <v>T</v>
      </c>
      <c r="D126" s="465" t="s">
        <v>969</v>
      </c>
      <c r="E126" s="452" t="str">
        <f>VLOOKUP(D126,★サイズ表記!$D$4:$E$55,2,FALSE)</f>
        <v>3001</v>
      </c>
      <c r="F126" s="457" t="s">
        <v>1603</v>
      </c>
      <c r="G126" s="452" t="str">
        <f>VLOOKUP(F126,★折込地区!$A$1:$B$11,2,FALSE)</f>
        <v>Yng</v>
      </c>
      <c r="H126" s="453">
        <f>INDEX(★サイズ表記!$I$4:$Q$55, MATCH(E126,★サイズ表記!$E$4:$E$55,0), MATCH(G126,★サイズ表記!$I$3:$R$3,0))</f>
        <v>4.2</v>
      </c>
      <c r="K126" s="471" t="str">
        <f t="shared" si="14"/>
        <v>T3001Yng</v>
      </c>
      <c r="L126" s="471" t="str">
        <f t="shared" si="15"/>
        <v>政治B4</v>
      </c>
      <c r="P126" s="533" t="s">
        <v>1324</v>
      </c>
      <c r="Q126" s="533" t="s">
        <v>1325</v>
      </c>
      <c r="R126" s="534" t="str">
        <f t="shared" si="12"/>
        <v>3001</v>
      </c>
      <c r="S126" s="534" t="str">
        <f t="shared" si="13"/>
        <v>政治B4</v>
      </c>
      <c r="T126" s="538" t="str">
        <f t="shared" si="4"/>
        <v>30</v>
      </c>
      <c r="U126" s="538" t="str">
        <f t="shared" si="5"/>
        <v>01</v>
      </c>
      <c r="V126" s="471" t="s">
        <v>1136</v>
      </c>
      <c r="Y126" s="472">
        <f t="shared" si="6"/>
        <v>4.2</v>
      </c>
      <c r="Z126" s="540">
        <f t="shared" si="7"/>
        <v>0.33</v>
      </c>
      <c r="AA126" s="471">
        <v>0</v>
      </c>
    </row>
    <row r="127" spans="1:27">
      <c r="A127" s="451" t="str">
        <f>CONCATENATE(VLOOKUP(B127,★営業所!$A$1:$B$5,2,FALSE),VLOOKUP(D127,★サイズ表記!$D$4:$E$55,2,FALSE),VLOOKUP(F127,★折込地区!$A$1:$B$11,2,FALSE))</f>
        <v>T3002Yng</v>
      </c>
      <c r="B127" s="457" t="s">
        <v>275</v>
      </c>
      <c r="C127" s="452" t="str">
        <f>VLOOKUP(B127,★営業所!$A$1:$B$5,2,FALSE)</f>
        <v>T</v>
      </c>
      <c r="D127" s="465" t="s">
        <v>970</v>
      </c>
      <c r="E127" s="452" t="str">
        <f>VLOOKUP(D127,★サイズ表記!$D$4:$E$55,2,FALSE)</f>
        <v>3002</v>
      </c>
      <c r="F127" s="457" t="s">
        <v>1603</v>
      </c>
      <c r="G127" s="452" t="str">
        <f>VLOOKUP(F127,★折込地区!$A$1:$B$11,2,FALSE)</f>
        <v>Yng</v>
      </c>
      <c r="H127" s="453">
        <f>INDEX(★サイズ表記!$I$4:$Q$55, MATCH(E127,★サイズ表記!$E$4:$E$55,0), MATCH(G127,★サイズ表記!$I$3:$R$3,0))</f>
        <v>5.85</v>
      </c>
      <c r="K127" s="471" t="str">
        <f t="shared" si="14"/>
        <v>T3002Yng</v>
      </c>
      <c r="L127" s="471" t="str">
        <f t="shared" si="15"/>
        <v>政治B3</v>
      </c>
      <c r="P127" s="533" t="s">
        <v>1324</v>
      </c>
      <c r="Q127" s="533" t="s">
        <v>1325</v>
      </c>
      <c r="R127" s="534" t="str">
        <f t="shared" si="12"/>
        <v>3002</v>
      </c>
      <c r="S127" s="534" t="str">
        <f t="shared" si="13"/>
        <v>政治B3</v>
      </c>
      <c r="T127" s="538" t="str">
        <f t="shared" si="4"/>
        <v>30</v>
      </c>
      <c r="U127" s="538" t="str">
        <f t="shared" si="5"/>
        <v>02</v>
      </c>
      <c r="V127" s="471" t="s">
        <v>1136</v>
      </c>
      <c r="Y127" s="472">
        <f t="shared" si="6"/>
        <v>5.85</v>
      </c>
      <c r="Z127" s="540">
        <f t="shared" si="7"/>
        <v>0.46</v>
      </c>
      <c r="AA127" s="471">
        <v>0</v>
      </c>
    </row>
    <row r="128" spans="1:27">
      <c r="A128" s="451" t="str">
        <f>CONCATENATE(VLOOKUP(B128,★営業所!$A$1:$B$5,2,FALSE),VLOOKUP(D128,★サイズ表記!$D$4:$E$55,2,FALSE),VLOOKUP(F128,★折込地区!$A$1:$B$11,2,FALSE))</f>
        <v>T3003Yng</v>
      </c>
      <c r="B128" s="457" t="s">
        <v>275</v>
      </c>
      <c r="C128" s="452" t="str">
        <f>VLOOKUP(B128,★営業所!$A$1:$B$5,2,FALSE)</f>
        <v>T</v>
      </c>
      <c r="D128" s="465" t="s">
        <v>971</v>
      </c>
      <c r="E128" s="452" t="str">
        <f>VLOOKUP(D128,★サイズ表記!$D$4:$E$55,2,FALSE)</f>
        <v>3003</v>
      </c>
      <c r="F128" s="457" t="s">
        <v>1603</v>
      </c>
      <c r="G128" s="452" t="str">
        <f>VLOOKUP(F128,★折込地区!$A$1:$B$11,2,FALSE)</f>
        <v>Yng</v>
      </c>
      <c r="H128" s="453">
        <f>INDEX(★サイズ表記!$I$4:$Q$55, MATCH(E128,★サイズ表記!$E$4:$E$55,0), MATCH(G128,★サイズ表記!$I$3:$R$3,0))</f>
        <v>10.5</v>
      </c>
      <c r="K128" s="471" t="str">
        <f t="shared" si="14"/>
        <v>T3003Yng</v>
      </c>
      <c r="L128" s="471" t="str">
        <f t="shared" si="15"/>
        <v>政治B2</v>
      </c>
      <c r="P128" s="533" t="s">
        <v>1324</v>
      </c>
      <c r="Q128" s="533" t="s">
        <v>1325</v>
      </c>
      <c r="R128" s="534" t="str">
        <f t="shared" si="12"/>
        <v>3003</v>
      </c>
      <c r="S128" s="534" t="str">
        <f t="shared" si="13"/>
        <v>政治B2</v>
      </c>
      <c r="T128" s="538" t="str">
        <f t="shared" si="4"/>
        <v>30</v>
      </c>
      <c r="U128" s="538" t="str">
        <f t="shared" si="5"/>
        <v>03</v>
      </c>
      <c r="V128" s="471" t="s">
        <v>1136</v>
      </c>
      <c r="Y128" s="472">
        <f t="shared" si="6"/>
        <v>10.5</v>
      </c>
      <c r="Z128" s="540">
        <f t="shared" si="7"/>
        <v>0.84</v>
      </c>
      <c r="AA128" s="471">
        <v>0</v>
      </c>
    </row>
    <row r="129" spans="1:27">
      <c r="A129" s="451" t="str">
        <f>CONCATENATE(VLOOKUP(B129,★営業所!$A$1:$B$5,2,FALSE),VLOOKUP(D129,★サイズ表記!$D$4:$E$55,2,FALSE),VLOOKUP(F129,★折込地区!$A$1:$B$11,2,FALSE))</f>
        <v>T3004Yng</v>
      </c>
      <c r="B129" s="457" t="s">
        <v>275</v>
      </c>
      <c r="C129" s="452" t="str">
        <f>VLOOKUP(B129,★営業所!$A$1:$B$5,2,FALSE)</f>
        <v>T</v>
      </c>
      <c r="D129" s="465" t="s">
        <v>972</v>
      </c>
      <c r="E129" s="452" t="str">
        <f>VLOOKUP(D129,★サイズ表記!$D$4:$E$55,2,FALSE)</f>
        <v>3004</v>
      </c>
      <c r="F129" s="457" t="s">
        <v>1603</v>
      </c>
      <c r="G129" s="452" t="str">
        <f>VLOOKUP(F129,★折込地区!$A$1:$B$11,2,FALSE)</f>
        <v>Yng</v>
      </c>
      <c r="H129" s="453">
        <f>INDEX(★サイズ表記!$I$4:$Q$55, MATCH(E129,★サイズ表記!$E$4:$E$55,0), MATCH(G129,★サイズ表記!$I$3:$R$3,0))</f>
        <v>10.5</v>
      </c>
      <c r="K129" s="471" t="str">
        <f t="shared" si="14"/>
        <v>T3004Yng</v>
      </c>
      <c r="L129" s="471" t="str">
        <f t="shared" si="15"/>
        <v>政治3つ折り</v>
      </c>
      <c r="P129" s="533" t="s">
        <v>1324</v>
      </c>
      <c r="Q129" s="533" t="s">
        <v>1325</v>
      </c>
      <c r="R129" s="534" t="str">
        <f t="shared" si="12"/>
        <v>3004</v>
      </c>
      <c r="S129" s="534" t="str">
        <f t="shared" si="13"/>
        <v>政治3つ折り</v>
      </c>
      <c r="T129" s="538" t="str">
        <f t="shared" si="4"/>
        <v>30</v>
      </c>
      <c r="U129" s="538" t="str">
        <f t="shared" si="5"/>
        <v>04</v>
      </c>
      <c r="V129" s="471" t="s">
        <v>1136</v>
      </c>
      <c r="Y129" s="472">
        <f t="shared" si="6"/>
        <v>10.5</v>
      </c>
      <c r="Z129" s="540">
        <f t="shared" si="7"/>
        <v>0.84</v>
      </c>
      <c r="AA129" s="471">
        <v>0</v>
      </c>
    </row>
    <row r="130" spans="1:27">
      <c r="A130" s="451" t="str">
        <f>CONCATENATE(VLOOKUP(B130,★営業所!$A$1:$B$5,2,FALSE),VLOOKUP(D130,★サイズ表記!$D$4:$E$55,2,FALSE),VLOOKUP(F130,★折込地区!$A$1:$B$11,2,FALSE))</f>
        <v>T3005Yng</v>
      </c>
      <c r="B130" s="457" t="s">
        <v>275</v>
      </c>
      <c r="C130" s="452" t="str">
        <f>VLOOKUP(B130,★営業所!$A$1:$B$5,2,FALSE)</f>
        <v>T</v>
      </c>
      <c r="D130" s="465" t="s">
        <v>973</v>
      </c>
      <c r="E130" s="452" t="str">
        <f>VLOOKUP(D130,★サイズ表記!$D$4:$E$55,2,FALSE)</f>
        <v>3005</v>
      </c>
      <c r="F130" s="457" t="s">
        <v>1603</v>
      </c>
      <c r="G130" s="452" t="str">
        <f>VLOOKUP(F130,★折込地区!$A$1:$B$11,2,FALSE)</f>
        <v>Yng</v>
      </c>
      <c r="H130" s="453">
        <f>INDEX(★サイズ表記!$I$4:$Q$55, MATCH(E130,★サイズ表記!$E$4:$E$55,0), MATCH(G130,★サイズ表記!$I$3:$R$3,0))</f>
        <v>7.35</v>
      </c>
      <c r="K130" s="471" t="str">
        <f t="shared" si="14"/>
        <v>T3005Yng</v>
      </c>
      <c r="L130" s="471" t="str">
        <f t="shared" si="15"/>
        <v>政治2つ折り極小</v>
      </c>
      <c r="P130" s="533" t="s">
        <v>1324</v>
      </c>
      <c r="Q130" s="533" t="s">
        <v>1325</v>
      </c>
      <c r="R130" s="534" t="str">
        <f t="shared" si="12"/>
        <v>3005</v>
      </c>
      <c r="S130" s="534" t="str">
        <f t="shared" si="13"/>
        <v>政治2つ折り極小</v>
      </c>
      <c r="T130" s="538" t="str">
        <f t="shared" si="4"/>
        <v>30</v>
      </c>
      <c r="U130" s="538" t="str">
        <f t="shared" si="5"/>
        <v>05</v>
      </c>
      <c r="V130" s="471" t="s">
        <v>1136</v>
      </c>
      <c r="Y130" s="472">
        <f t="shared" si="6"/>
        <v>7.35</v>
      </c>
      <c r="Z130" s="540">
        <f t="shared" si="7"/>
        <v>0.57999999999999996</v>
      </c>
      <c r="AA130" s="471">
        <v>0</v>
      </c>
    </row>
    <row r="131" spans="1:27">
      <c r="A131" s="451" t="str">
        <f>CONCATENATE(VLOOKUP(B131,★営業所!$A$1:$B$5,2,FALSE),VLOOKUP(D131,★サイズ表記!$D$4:$E$55,2,FALSE),VLOOKUP(F131,★折込地区!$A$1:$B$11,2,FALSE))</f>
        <v>T3006Yng</v>
      </c>
      <c r="B131" s="457" t="s">
        <v>275</v>
      </c>
      <c r="C131" s="452" t="str">
        <f>VLOOKUP(B131,★営業所!$A$1:$B$5,2,FALSE)</f>
        <v>T</v>
      </c>
      <c r="D131" s="465" t="s">
        <v>974</v>
      </c>
      <c r="E131" s="452" t="str">
        <f>VLOOKUP(D131,★サイズ表記!$D$4:$E$55,2,FALSE)</f>
        <v>3006</v>
      </c>
      <c r="F131" s="457" t="s">
        <v>1603</v>
      </c>
      <c r="G131" s="452" t="str">
        <f>VLOOKUP(F131,★折込地区!$A$1:$B$11,2,FALSE)</f>
        <v>Yng</v>
      </c>
      <c r="H131" s="453">
        <f>INDEX(★サイズ表記!$I$4:$Q$55, MATCH(E131,★サイズ表記!$E$4:$E$55,0), MATCH(G131,★サイズ表記!$I$3:$R$3,0))</f>
        <v>4.7</v>
      </c>
      <c r="K131" s="471" t="str">
        <f t="shared" si="14"/>
        <v>T3006Yng</v>
      </c>
      <c r="L131" s="471" t="str">
        <f t="shared" si="15"/>
        <v>政治B4厚紙</v>
      </c>
      <c r="P131" s="533" t="s">
        <v>1324</v>
      </c>
      <c r="Q131" s="533" t="s">
        <v>1325</v>
      </c>
      <c r="R131" s="534" t="str">
        <f t="shared" si="12"/>
        <v>3006</v>
      </c>
      <c r="S131" s="534" t="str">
        <f t="shared" si="13"/>
        <v>政治B4厚紙</v>
      </c>
      <c r="T131" s="538" t="str">
        <f t="shared" si="4"/>
        <v>30</v>
      </c>
      <c r="U131" s="538" t="str">
        <f t="shared" si="5"/>
        <v>06</v>
      </c>
      <c r="V131" s="471" t="s">
        <v>1136</v>
      </c>
      <c r="Y131" s="472">
        <f t="shared" si="6"/>
        <v>4.7</v>
      </c>
      <c r="Z131" s="540">
        <f t="shared" si="7"/>
        <v>0.37</v>
      </c>
      <c r="AA131" s="471">
        <v>0</v>
      </c>
    </row>
    <row r="132" spans="1:27">
      <c r="A132" s="451" t="str">
        <f>CONCATENATE(VLOOKUP(B132,★営業所!$A$1:$B$5,2,FALSE),VLOOKUP(D132,★サイズ表記!$D$4:$E$55,2,FALSE),VLOOKUP(F132,★折込地区!$A$1:$B$11,2,FALSE))</f>
        <v>T3007Yng</v>
      </c>
      <c r="B132" s="457" t="s">
        <v>275</v>
      </c>
      <c r="C132" s="452" t="str">
        <f>VLOOKUP(B132,★営業所!$A$1:$B$5,2,FALSE)</f>
        <v>T</v>
      </c>
      <c r="D132" s="465" t="s">
        <v>1362</v>
      </c>
      <c r="E132" s="452" t="str">
        <f>VLOOKUP(D132,★サイズ表記!$D$4:$E$55,2,FALSE)</f>
        <v>3007</v>
      </c>
      <c r="F132" s="457" t="s">
        <v>1603</v>
      </c>
      <c r="G132" s="452" t="str">
        <f>VLOOKUP(F132,★折込地区!$A$1:$B$11,2,FALSE)</f>
        <v>Yng</v>
      </c>
      <c r="H132" s="453">
        <f>INDEX(★サイズ表記!$I$4:$Q$55, MATCH(E132,★サイズ表記!$E$4:$E$55,0), MATCH(G132,★サイズ表記!$I$3:$R$3,0))</f>
        <v>10.050000000000001</v>
      </c>
      <c r="K132" s="471" t="str">
        <f t="shared" si="14"/>
        <v>T3007Yng</v>
      </c>
      <c r="L132" s="471" t="str">
        <f t="shared" si="15"/>
        <v>政治タブ6P</v>
      </c>
      <c r="P132" s="533" t="s">
        <v>1324</v>
      </c>
      <c r="Q132" s="533" t="s">
        <v>1325</v>
      </c>
      <c r="R132" s="534" t="str">
        <f t="shared" si="12"/>
        <v>3007</v>
      </c>
      <c r="S132" s="534" t="str">
        <f t="shared" si="13"/>
        <v>政治タブ6P</v>
      </c>
      <c r="T132" s="538" t="str">
        <f t="shared" si="4"/>
        <v>30</v>
      </c>
      <c r="U132" s="538" t="str">
        <f t="shared" si="5"/>
        <v>07</v>
      </c>
      <c r="V132" s="471" t="s">
        <v>1136</v>
      </c>
      <c r="Y132" s="472">
        <f t="shared" si="6"/>
        <v>10.050000000000001</v>
      </c>
      <c r="Z132" s="540">
        <f t="shared" si="7"/>
        <v>0.8</v>
      </c>
      <c r="AA132" s="471">
        <v>0</v>
      </c>
    </row>
    <row r="133" spans="1:27">
      <c r="A133" s="451" t="str">
        <f>CONCATENATE(VLOOKUP(B133,★営業所!$A$1:$B$5,2,FALSE),VLOOKUP(D133,★サイズ表記!$D$4:$E$55,2,FALSE),VLOOKUP(F133,★折込地区!$A$1:$B$11,2,FALSE))</f>
        <v>T3008Yng</v>
      </c>
      <c r="B133" s="457" t="s">
        <v>275</v>
      </c>
      <c r="C133" s="452" t="str">
        <f>VLOOKUP(B133,★営業所!$A$1:$B$5,2,FALSE)</f>
        <v>T</v>
      </c>
      <c r="D133" s="465" t="s">
        <v>1363</v>
      </c>
      <c r="E133" s="452" t="str">
        <f>VLOOKUP(D133,★サイズ表記!$D$4:$E$55,2,FALSE)</f>
        <v>3008</v>
      </c>
      <c r="F133" s="457" t="s">
        <v>1603</v>
      </c>
      <c r="G133" s="452" t="str">
        <f>VLOOKUP(F133,★折込地区!$A$1:$B$11,2,FALSE)</f>
        <v>Yng</v>
      </c>
      <c r="H133" s="453">
        <f>INDEX(★サイズ表記!$I$4:$Q$55, MATCH(E133,★サイズ表記!$E$4:$E$55,0), MATCH(G133,★サイズ表記!$I$3:$R$3,0))</f>
        <v>10.5</v>
      </c>
      <c r="K133" s="471" t="str">
        <f t="shared" si="14"/>
        <v>T3008Yng</v>
      </c>
      <c r="L133" s="471" t="str">
        <f t="shared" si="15"/>
        <v>政治タブ8P</v>
      </c>
      <c r="P133" s="533" t="s">
        <v>1324</v>
      </c>
      <c r="Q133" s="533" t="s">
        <v>1325</v>
      </c>
      <c r="R133" s="534" t="str">
        <f t="shared" si="12"/>
        <v>3008</v>
      </c>
      <c r="S133" s="534" t="str">
        <f t="shared" si="13"/>
        <v>政治タブ8P</v>
      </c>
      <c r="T133" s="538" t="str">
        <f t="shared" si="4"/>
        <v>30</v>
      </c>
      <c r="U133" s="538" t="str">
        <f t="shared" si="5"/>
        <v>08</v>
      </c>
      <c r="V133" s="471" t="s">
        <v>1136</v>
      </c>
      <c r="Y133" s="472">
        <f t="shared" si="6"/>
        <v>10.5</v>
      </c>
      <c r="Z133" s="540">
        <f t="shared" si="7"/>
        <v>0.84</v>
      </c>
      <c r="AA133" s="471">
        <v>0</v>
      </c>
    </row>
    <row r="134" spans="1:27">
      <c r="A134" s="451" t="str">
        <f>CONCATENATE(VLOOKUP(B134,★営業所!$A$1:$B$5,2,FALSE),VLOOKUP(D134,★サイズ表記!$D$4:$E$55,2,FALSE),VLOOKUP(F134,★折込地区!$A$1:$B$11,2,FALSE))</f>
        <v>T3009Yng</v>
      </c>
      <c r="B134" s="457" t="s">
        <v>275</v>
      </c>
      <c r="C134" s="452" t="str">
        <f>VLOOKUP(B134,★営業所!$A$1:$B$5,2,FALSE)</f>
        <v>T</v>
      </c>
      <c r="D134" s="465" t="s">
        <v>1361</v>
      </c>
      <c r="E134" s="452" t="str">
        <f>VLOOKUP(D134,★サイズ表記!$D$4:$E$55,2,FALSE)</f>
        <v>3009</v>
      </c>
      <c r="F134" s="457" t="s">
        <v>1603</v>
      </c>
      <c r="G134" s="452" t="str">
        <f>VLOOKUP(F134,★折込地区!$A$1:$B$11,2,FALSE)</f>
        <v>Yng</v>
      </c>
      <c r="H134" s="453">
        <f>INDEX(★サイズ表記!$I$4:$Q$55, MATCH(E134,★サイズ表記!$E$4:$E$55,0), MATCH(G134,★サイズ表記!$I$3:$R$3,0))</f>
        <v>16.350000000000001</v>
      </c>
      <c r="K134" s="471" t="str">
        <f t="shared" si="14"/>
        <v>T3009Yng</v>
      </c>
      <c r="L134" s="471" t="str">
        <f t="shared" si="15"/>
        <v>政治タブ12P</v>
      </c>
      <c r="P134" s="533" t="s">
        <v>1324</v>
      </c>
      <c r="Q134" s="533" t="s">
        <v>1325</v>
      </c>
      <c r="R134" s="534" t="str">
        <f t="shared" si="12"/>
        <v>3009</v>
      </c>
      <c r="S134" s="534" t="str">
        <f t="shared" si="13"/>
        <v>政治タブ12P</v>
      </c>
      <c r="T134" s="538" t="str">
        <f t="shared" si="4"/>
        <v>30</v>
      </c>
      <c r="U134" s="538" t="str">
        <f t="shared" si="5"/>
        <v>09</v>
      </c>
      <c r="V134" s="471" t="s">
        <v>1136</v>
      </c>
      <c r="Y134" s="472">
        <f t="shared" si="6"/>
        <v>16.350000000000001</v>
      </c>
      <c r="Z134" s="540">
        <f t="shared" si="7"/>
        <v>1.3</v>
      </c>
      <c r="AA134" s="471">
        <v>0</v>
      </c>
    </row>
    <row r="135" spans="1:27">
      <c r="A135" s="451" t="str">
        <f>CONCATENATE(VLOOKUP(B135,★営業所!$A$1:$B$5,2,FALSE),VLOOKUP(D135,★サイズ表記!$D$4:$E$55,2,FALSE),VLOOKUP(F135,★折込地区!$A$1:$B$11,2,FALSE))</f>
        <v>T4001Yng</v>
      </c>
      <c r="B135" s="457" t="s">
        <v>275</v>
      </c>
      <c r="C135" s="452" t="str">
        <f>VLOOKUP(B135,★営業所!$A$1:$B$5,2,FALSE)</f>
        <v>T</v>
      </c>
      <c r="D135" s="465" t="s">
        <v>1358</v>
      </c>
      <c r="E135" s="452" t="str">
        <f>VLOOKUP(D135,★サイズ表記!$D$4:$E$55,2,FALSE)</f>
        <v>4001</v>
      </c>
      <c r="F135" s="457" t="s">
        <v>1603</v>
      </c>
      <c r="G135" s="452" t="str">
        <f>VLOOKUP(F135,★折込地区!$A$1:$B$11,2,FALSE)</f>
        <v>Yng</v>
      </c>
      <c r="H135" s="453">
        <f>INDEX(★サイズ表記!$I$4:$Q$55, MATCH(E135,★サイズ表記!$E$4:$E$55,0), MATCH(G135,★サイズ表記!$I$3:$R$3,0))</f>
        <v>6.7</v>
      </c>
      <c r="K135" s="471" t="str">
        <f t="shared" si="14"/>
        <v>T4001Yng</v>
      </c>
      <c r="L135" s="471" t="str">
        <f t="shared" si="15"/>
        <v>タブ6P</v>
      </c>
      <c r="P135" s="533" t="s">
        <v>1324</v>
      </c>
      <c r="Q135" s="533" t="s">
        <v>1325</v>
      </c>
      <c r="R135" s="534" t="str">
        <f t="shared" si="12"/>
        <v>4001</v>
      </c>
      <c r="S135" s="534" t="str">
        <f t="shared" si="13"/>
        <v>タブ6P</v>
      </c>
      <c r="T135" s="538" t="str">
        <f t="shared" si="4"/>
        <v>40</v>
      </c>
      <c r="U135" s="538" t="str">
        <f t="shared" si="5"/>
        <v>01</v>
      </c>
      <c r="V135" s="471" t="s">
        <v>1136</v>
      </c>
      <c r="Y135" s="472">
        <f t="shared" si="6"/>
        <v>6.7</v>
      </c>
      <c r="Z135" s="540">
        <f t="shared" si="7"/>
        <v>0.53</v>
      </c>
      <c r="AA135" s="471">
        <v>0</v>
      </c>
    </row>
    <row r="136" spans="1:27">
      <c r="A136" s="451" t="str">
        <f>CONCATENATE(VLOOKUP(B136,★営業所!$A$1:$B$5,2,FALSE),VLOOKUP(D136,★サイズ表記!$D$4:$E$55,2,FALSE),VLOOKUP(F136,★折込地区!$A$1:$B$11,2,FALSE))</f>
        <v>T4002Yng</v>
      </c>
      <c r="B136" s="457" t="s">
        <v>275</v>
      </c>
      <c r="C136" s="452" t="str">
        <f>VLOOKUP(B136,★営業所!$A$1:$B$5,2,FALSE)</f>
        <v>T</v>
      </c>
      <c r="D136" s="465" t="s">
        <v>1359</v>
      </c>
      <c r="E136" s="452" t="str">
        <f>VLOOKUP(D136,★サイズ表記!$D$4:$E$55,2,FALSE)</f>
        <v>4002</v>
      </c>
      <c r="F136" s="457" t="s">
        <v>1603</v>
      </c>
      <c r="G136" s="452" t="str">
        <f>VLOOKUP(F136,★折込地区!$A$1:$B$11,2,FALSE)</f>
        <v>Yng</v>
      </c>
      <c r="H136" s="453">
        <f>INDEX(★サイズ表記!$I$4:$Q$55, MATCH(E136,★サイズ表記!$E$4:$E$55,0), MATCH(G136,★サイズ表記!$I$3:$R$3,0))</f>
        <v>7</v>
      </c>
      <c r="K136" s="471" t="str">
        <f t="shared" si="14"/>
        <v>T4002Yng</v>
      </c>
      <c r="L136" s="471" t="str">
        <f t="shared" si="15"/>
        <v>タブ8P</v>
      </c>
      <c r="P136" s="533" t="s">
        <v>1324</v>
      </c>
      <c r="Q136" s="533" t="s">
        <v>1325</v>
      </c>
      <c r="R136" s="534" t="str">
        <f t="shared" si="12"/>
        <v>4002</v>
      </c>
      <c r="S136" s="534" t="str">
        <f t="shared" si="13"/>
        <v>タブ8P</v>
      </c>
      <c r="T136" s="538" t="str">
        <f t="shared" si="4"/>
        <v>40</v>
      </c>
      <c r="U136" s="538" t="str">
        <f t="shared" si="5"/>
        <v>02</v>
      </c>
      <c r="V136" s="471" t="s">
        <v>1136</v>
      </c>
      <c r="Y136" s="472">
        <f t="shared" si="6"/>
        <v>7</v>
      </c>
      <c r="Z136" s="540">
        <f t="shared" si="7"/>
        <v>0.56000000000000005</v>
      </c>
      <c r="AA136" s="471">
        <v>0</v>
      </c>
    </row>
    <row r="137" spans="1:27">
      <c r="A137" s="451" t="str">
        <f>CONCATENATE(VLOOKUP(B137,★営業所!$A$1:$B$5,2,FALSE),VLOOKUP(D137,★サイズ表記!$D$4:$E$55,2,FALSE),VLOOKUP(F137,★折込地区!$A$1:$B$11,2,FALSE))</f>
        <v>T4003Yng</v>
      </c>
      <c r="B137" s="457" t="s">
        <v>275</v>
      </c>
      <c r="C137" s="452" t="str">
        <f>VLOOKUP(B137,★営業所!$A$1:$B$5,2,FALSE)</f>
        <v>T</v>
      </c>
      <c r="D137" s="465" t="s">
        <v>1360</v>
      </c>
      <c r="E137" s="452" t="str">
        <f>VLOOKUP(D137,★サイズ表記!$D$4:$E$55,2,FALSE)</f>
        <v>4003</v>
      </c>
      <c r="F137" s="457" t="s">
        <v>1603</v>
      </c>
      <c r="G137" s="452" t="str">
        <f>VLOOKUP(F137,★折込地区!$A$1:$B$11,2,FALSE)</f>
        <v>Yng</v>
      </c>
      <c r="H137" s="453">
        <f>INDEX(★サイズ表記!$I$4:$Q$55, MATCH(E137,★サイズ表記!$E$4:$E$55,0), MATCH(G137,★サイズ表記!$I$3:$R$3,0))</f>
        <v>8</v>
      </c>
      <c r="K137" s="471" t="str">
        <f t="shared" si="14"/>
        <v>T4003Yng</v>
      </c>
      <c r="L137" s="471" t="str">
        <f t="shared" si="15"/>
        <v>タブ8Pホチキス止め</v>
      </c>
      <c r="P137" s="533" t="s">
        <v>1324</v>
      </c>
      <c r="Q137" s="533" t="s">
        <v>1325</v>
      </c>
      <c r="R137" s="534" t="str">
        <f t="shared" si="12"/>
        <v>4003</v>
      </c>
      <c r="S137" s="534" t="str">
        <f t="shared" si="13"/>
        <v>タブ8Pホチキス止め</v>
      </c>
      <c r="T137" s="538" t="str">
        <f t="shared" si="4"/>
        <v>40</v>
      </c>
      <c r="U137" s="538" t="str">
        <f t="shared" si="5"/>
        <v>03</v>
      </c>
      <c r="V137" s="471" t="s">
        <v>1136</v>
      </c>
      <c r="Y137" s="472">
        <f t="shared" si="6"/>
        <v>8</v>
      </c>
      <c r="Z137" s="540">
        <f t="shared" si="7"/>
        <v>0.64</v>
      </c>
      <c r="AA137" s="471">
        <v>0</v>
      </c>
    </row>
    <row r="138" spans="1:27">
      <c r="A138" s="451" t="str">
        <f>CONCATENATE(VLOOKUP(B138,★営業所!$A$1:$B$5,2,FALSE),VLOOKUP(D138,★サイズ表記!$D$4:$E$55,2,FALSE),VLOOKUP(F138,★折込地区!$A$1:$B$11,2,FALSE))</f>
        <v>T4004Yng</v>
      </c>
      <c r="B138" s="457" t="s">
        <v>275</v>
      </c>
      <c r="C138" s="452" t="str">
        <f>VLOOKUP(B138,★営業所!$A$1:$B$5,2,FALSE)</f>
        <v>T</v>
      </c>
      <c r="D138" s="465" t="s">
        <v>1350</v>
      </c>
      <c r="E138" s="452" t="str">
        <f>VLOOKUP(D138,★サイズ表記!$D$4:$E$55,2,FALSE)</f>
        <v>4004</v>
      </c>
      <c r="F138" s="457" t="s">
        <v>1603</v>
      </c>
      <c r="G138" s="452" t="str">
        <f>VLOOKUP(F138,★折込地区!$A$1:$B$11,2,FALSE)</f>
        <v>Yng</v>
      </c>
      <c r="H138" s="453">
        <f>INDEX(★サイズ表記!$I$4:$Q$55, MATCH(E138,★サイズ表記!$E$4:$E$55,0), MATCH(G138,★サイズ表記!$I$3:$R$3,0))</f>
        <v>9.8000000000000007</v>
      </c>
      <c r="K138" s="471" t="str">
        <f t="shared" si="14"/>
        <v>T4004Yng</v>
      </c>
      <c r="L138" s="471" t="str">
        <f t="shared" si="15"/>
        <v>タブ10P</v>
      </c>
      <c r="P138" s="533" t="s">
        <v>1324</v>
      </c>
      <c r="Q138" s="533" t="s">
        <v>1325</v>
      </c>
      <c r="R138" s="534" t="str">
        <f t="shared" si="12"/>
        <v>4004</v>
      </c>
      <c r="S138" s="534" t="str">
        <f t="shared" si="13"/>
        <v>タブ10P</v>
      </c>
      <c r="T138" s="538" t="str">
        <f t="shared" si="4"/>
        <v>40</v>
      </c>
      <c r="U138" s="538" t="str">
        <f t="shared" si="5"/>
        <v>04</v>
      </c>
      <c r="V138" s="471" t="s">
        <v>1136</v>
      </c>
      <c r="Y138" s="472">
        <f t="shared" si="6"/>
        <v>9.8000000000000007</v>
      </c>
      <c r="Z138" s="540">
        <f t="shared" si="7"/>
        <v>0.78</v>
      </c>
      <c r="AA138" s="471">
        <v>0</v>
      </c>
    </row>
    <row r="139" spans="1:27">
      <c r="A139" s="451" t="str">
        <f>CONCATENATE(VLOOKUP(B139,★営業所!$A$1:$B$5,2,FALSE),VLOOKUP(D139,★サイズ表記!$D$4:$E$55,2,FALSE),VLOOKUP(F139,★折込地区!$A$1:$B$11,2,FALSE))</f>
        <v>T4005Yng</v>
      </c>
      <c r="B139" s="457" t="s">
        <v>275</v>
      </c>
      <c r="C139" s="452" t="str">
        <f>VLOOKUP(B139,★営業所!$A$1:$B$5,2,FALSE)</f>
        <v>T</v>
      </c>
      <c r="D139" s="465" t="s">
        <v>1351</v>
      </c>
      <c r="E139" s="452" t="str">
        <f>VLOOKUP(D139,★サイズ表記!$D$4:$E$55,2,FALSE)</f>
        <v>4005</v>
      </c>
      <c r="F139" s="457" t="s">
        <v>1603</v>
      </c>
      <c r="G139" s="452" t="str">
        <f>VLOOKUP(F139,★折込地区!$A$1:$B$11,2,FALSE)</f>
        <v>Yng</v>
      </c>
      <c r="H139" s="453">
        <f>INDEX(★サイズ表記!$I$4:$Q$55, MATCH(E139,★サイズ表記!$E$4:$E$55,0), MATCH(G139,★サイズ表記!$I$3:$R$3,0))</f>
        <v>10.9</v>
      </c>
      <c r="K139" s="471" t="str">
        <f t="shared" si="14"/>
        <v>T4005Yng</v>
      </c>
      <c r="L139" s="471" t="str">
        <f t="shared" si="15"/>
        <v>タブ12P</v>
      </c>
      <c r="P139" s="533" t="s">
        <v>1324</v>
      </c>
      <c r="Q139" s="533" t="s">
        <v>1325</v>
      </c>
      <c r="R139" s="534" t="str">
        <f t="shared" si="12"/>
        <v>4005</v>
      </c>
      <c r="S139" s="534" t="str">
        <f t="shared" si="13"/>
        <v>タブ12P</v>
      </c>
      <c r="T139" s="538" t="str">
        <f t="shared" si="4"/>
        <v>40</v>
      </c>
      <c r="U139" s="538" t="str">
        <f t="shared" si="5"/>
        <v>05</v>
      </c>
      <c r="V139" s="471" t="s">
        <v>1136</v>
      </c>
      <c r="Y139" s="472">
        <f t="shared" si="6"/>
        <v>10.9</v>
      </c>
      <c r="Z139" s="540">
        <f t="shared" si="7"/>
        <v>0.87</v>
      </c>
      <c r="AA139" s="471">
        <v>0</v>
      </c>
    </row>
    <row r="140" spans="1:27">
      <c r="A140" s="451" t="str">
        <f>CONCATENATE(VLOOKUP(B140,★営業所!$A$1:$B$5,2,FALSE),VLOOKUP(D140,★サイズ表記!$D$4:$E$55,2,FALSE),VLOOKUP(F140,★折込地区!$A$1:$B$11,2,FALSE))</f>
        <v>T4006Yng</v>
      </c>
      <c r="B140" s="457" t="s">
        <v>275</v>
      </c>
      <c r="C140" s="452" t="str">
        <f>VLOOKUP(B140,★営業所!$A$1:$B$5,2,FALSE)</f>
        <v>T</v>
      </c>
      <c r="D140" s="465" t="s">
        <v>1352</v>
      </c>
      <c r="E140" s="452" t="str">
        <f>VLOOKUP(D140,★サイズ表記!$D$4:$E$55,2,FALSE)</f>
        <v>4006</v>
      </c>
      <c r="F140" s="457" t="s">
        <v>1603</v>
      </c>
      <c r="G140" s="452" t="str">
        <f>VLOOKUP(F140,★折込地区!$A$1:$B$11,2,FALSE)</f>
        <v>Yng</v>
      </c>
      <c r="H140" s="453">
        <f>INDEX(★サイズ表記!$I$4:$Q$55, MATCH(E140,★サイズ表記!$E$4:$E$55,0), MATCH(G140,★サイズ表記!$I$3:$R$3,0))</f>
        <v>13.7</v>
      </c>
      <c r="K140" s="471" t="str">
        <f t="shared" si="14"/>
        <v>T4006Yng</v>
      </c>
      <c r="L140" s="471" t="str">
        <f t="shared" si="15"/>
        <v>タブ14P</v>
      </c>
      <c r="P140" s="533" t="s">
        <v>1324</v>
      </c>
      <c r="Q140" s="533" t="s">
        <v>1325</v>
      </c>
      <c r="R140" s="534" t="str">
        <f t="shared" si="12"/>
        <v>4006</v>
      </c>
      <c r="S140" s="534" t="str">
        <f t="shared" si="13"/>
        <v>タブ14P</v>
      </c>
      <c r="T140" s="538" t="str">
        <f t="shared" si="4"/>
        <v>40</v>
      </c>
      <c r="U140" s="538" t="str">
        <f t="shared" si="5"/>
        <v>06</v>
      </c>
      <c r="V140" s="471" t="s">
        <v>1136</v>
      </c>
      <c r="Y140" s="472">
        <f t="shared" si="6"/>
        <v>13.7</v>
      </c>
      <c r="Z140" s="540">
        <f t="shared" si="7"/>
        <v>1.0900000000000001</v>
      </c>
      <c r="AA140" s="471">
        <v>0</v>
      </c>
    </row>
    <row r="141" spans="1:27">
      <c r="A141" s="451" t="str">
        <f>CONCATENATE(VLOOKUP(B141,★営業所!$A$1:$B$5,2,FALSE),VLOOKUP(D141,★サイズ表記!$D$4:$E$55,2,FALSE),VLOOKUP(F141,★折込地区!$A$1:$B$11,2,FALSE))</f>
        <v>T4007Yng</v>
      </c>
      <c r="B141" s="457" t="s">
        <v>275</v>
      </c>
      <c r="C141" s="452" t="str">
        <f>VLOOKUP(B141,★営業所!$A$1:$B$5,2,FALSE)</f>
        <v>T</v>
      </c>
      <c r="D141" s="465" t="s">
        <v>1353</v>
      </c>
      <c r="E141" s="452" t="str">
        <f>VLOOKUP(D141,★サイズ表記!$D$4:$E$55,2,FALSE)</f>
        <v>4007</v>
      </c>
      <c r="F141" s="457" t="s">
        <v>1603</v>
      </c>
      <c r="G141" s="452" t="str">
        <f>VLOOKUP(F141,★折込地区!$A$1:$B$11,2,FALSE)</f>
        <v>Yng</v>
      </c>
      <c r="H141" s="453">
        <f>INDEX(★サイズ表記!$I$4:$Q$55, MATCH(E141,★サイズ表記!$E$4:$E$55,0), MATCH(G141,★サイズ表記!$I$3:$R$3,0))</f>
        <v>15</v>
      </c>
      <c r="K141" s="471" t="str">
        <f t="shared" si="14"/>
        <v>T4007Yng</v>
      </c>
      <c r="L141" s="471" t="str">
        <f t="shared" si="15"/>
        <v>タブ16P</v>
      </c>
      <c r="P141" s="533" t="s">
        <v>1324</v>
      </c>
      <c r="Q141" s="533" t="s">
        <v>1325</v>
      </c>
      <c r="R141" s="534" t="str">
        <f t="shared" si="12"/>
        <v>4007</v>
      </c>
      <c r="S141" s="534" t="str">
        <f t="shared" si="13"/>
        <v>タブ16P</v>
      </c>
      <c r="T141" s="538" t="str">
        <f t="shared" si="4"/>
        <v>40</v>
      </c>
      <c r="U141" s="538" t="str">
        <f t="shared" si="5"/>
        <v>07</v>
      </c>
      <c r="V141" s="471" t="s">
        <v>1136</v>
      </c>
      <c r="Y141" s="472">
        <f t="shared" si="6"/>
        <v>15</v>
      </c>
      <c r="Z141" s="540">
        <f t="shared" si="7"/>
        <v>1.2</v>
      </c>
      <c r="AA141" s="471">
        <v>0</v>
      </c>
    </row>
    <row r="142" spans="1:27">
      <c r="A142" s="451" t="str">
        <f>CONCATENATE(VLOOKUP(B142,★営業所!$A$1:$B$5,2,FALSE),VLOOKUP(D142,★サイズ表記!$D$4:$E$55,2,FALSE),VLOOKUP(F142,★折込地区!$A$1:$B$11,2,FALSE))</f>
        <v>T4008Yng</v>
      </c>
      <c r="B142" s="457" t="s">
        <v>275</v>
      </c>
      <c r="C142" s="452" t="str">
        <f>VLOOKUP(B142,★営業所!$A$1:$B$5,2,FALSE)</f>
        <v>T</v>
      </c>
      <c r="D142" s="465" t="s">
        <v>1355</v>
      </c>
      <c r="E142" s="452" t="str">
        <f>VLOOKUP(D142,★サイズ表記!$D$4:$E$55,2,FALSE)</f>
        <v>4008</v>
      </c>
      <c r="F142" s="457" t="s">
        <v>1603</v>
      </c>
      <c r="G142" s="452" t="str">
        <f>VLOOKUP(F142,★折込地区!$A$1:$B$11,2,FALSE)</f>
        <v>Yng</v>
      </c>
      <c r="H142" s="453">
        <f>INDEX(★サイズ表記!$I$4:$Q$55, MATCH(E142,★サイズ表記!$E$4:$E$55,0), MATCH(G142,★サイズ表記!$I$3:$R$3,0))</f>
        <v>17.8</v>
      </c>
      <c r="K142" s="471" t="str">
        <f t="shared" si="14"/>
        <v>T4008Yng</v>
      </c>
      <c r="L142" s="471" t="str">
        <f t="shared" si="15"/>
        <v>タブ18P</v>
      </c>
      <c r="P142" s="533" t="s">
        <v>1324</v>
      </c>
      <c r="Q142" s="533" t="s">
        <v>1325</v>
      </c>
      <c r="R142" s="534" t="str">
        <f t="shared" si="12"/>
        <v>4008</v>
      </c>
      <c r="S142" s="534" t="str">
        <f t="shared" si="13"/>
        <v>タブ18P</v>
      </c>
      <c r="T142" s="538" t="str">
        <f t="shared" si="4"/>
        <v>40</v>
      </c>
      <c r="U142" s="538" t="str">
        <f t="shared" si="5"/>
        <v>08</v>
      </c>
      <c r="V142" s="471" t="s">
        <v>1136</v>
      </c>
      <c r="Y142" s="472">
        <f t="shared" si="6"/>
        <v>17.8</v>
      </c>
      <c r="Z142" s="540">
        <f t="shared" si="7"/>
        <v>1.42</v>
      </c>
      <c r="AA142" s="471">
        <v>0</v>
      </c>
    </row>
    <row r="143" spans="1:27">
      <c r="A143" s="451" t="str">
        <f>CONCATENATE(VLOOKUP(B143,★営業所!$A$1:$B$5,2,FALSE),VLOOKUP(D143,★サイズ表記!$D$4:$E$55,2,FALSE),VLOOKUP(F143,★折込地区!$A$1:$B$11,2,FALSE))</f>
        <v>T4009Yng</v>
      </c>
      <c r="B143" s="457" t="s">
        <v>275</v>
      </c>
      <c r="C143" s="452" t="str">
        <f>VLOOKUP(B143,★営業所!$A$1:$B$5,2,FALSE)</f>
        <v>T</v>
      </c>
      <c r="D143" s="465" t="s">
        <v>1356</v>
      </c>
      <c r="E143" s="452" t="str">
        <f>VLOOKUP(D143,★サイズ表記!$D$4:$E$55,2,FALSE)</f>
        <v>4009</v>
      </c>
      <c r="F143" s="457" t="s">
        <v>1603</v>
      </c>
      <c r="G143" s="452" t="str">
        <f>VLOOKUP(F143,★折込地区!$A$1:$B$11,2,FALSE)</f>
        <v>Yng</v>
      </c>
      <c r="H143" s="453">
        <f>INDEX(★サイズ表記!$I$4:$Q$55, MATCH(E143,★サイズ表記!$E$4:$E$55,0), MATCH(G143,★サイズ表記!$I$3:$R$3,0))</f>
        <v>18.899999999999999</v>
      </c>
      <c r="K143" s="471" t="str">
        <f t="shared" si="14"/>
        <v>T4009Yng</v>
      </c>
      <c r="L143" s="471" t="str">
        <f t="shared" si="15"/>
        <v>タブ20P</v>
      </c>
      <c r="P143" s="533" t="s">
        <v>1324</v>
      </c>
      <c r="Q143" s="533" t="s">
        <v>1325</v>
      </c>
      <c r="R143" s="534" t="str">
        <f t="shared" si="12"/>
        <v>4009</v>
      </c>
      <c r="S143" s="534" t="str">
        <f t="shared" si="13"/>
        <v>タブ20P</v>
      </c>
      <c r="T143" s="538" t="str">
        <f t="shared" si="4"/>
        <v>40</v>
      </c>
      <c r="U143" s="538" t="str">
        <f t="shared" si="5"/>
        <v>09</v>
      </c>
      <c r="V143" s="471" t="s">
        <v>1136</v>
      </c>
      <c r="Y143" s="472">
        <f t="shared" si="6"/>
        <v>18.899999999999999</v>
      </c>
      <c r="Z143" s="540">
        <f t="shared" si="7"/>
        <v>1.51</v>
      </c>
      <c r="AA143" s="471">
        <v>0</v>
      </c>
    </row>
    <row r="144" spans="1:27">
      <c r="A144" s="451" t="str">
        <f>CONCATENATE(VLOOKUP(B144,★営業所!$A$1:$B$5,2,FALSE),VLOOKUP(D144,★サイズ表記!$D$4:$E$55,2,FALSE),VLOOKUP(F144,★折込地区!$A$1:$B$11,2,FALSE))</f>
        <v>T4010Yng</v>
      </c>
      <c r="B144" s="457" t="s">
        <v>275</v>
      </c>
      <c r="C144" s="452" t="str">
        <f>VLOOKUP(B144,★営業所!$A$1:$B$5,2,FALSE)</f>
        <v>T</v>
      </c>
      <c r="D144" s="465" t="s">
        <v>1354</v>
      </c>
      <c r="E144" s="452" t="str">
        <f>VLOOKUP(D144,★サイズ表記!$D$4:$E$55,2,FALSE)</f>
        <v>4010</v>
      </c>
      <c r="F144" s="457" t="s">
        <v>1603</v>
      </c>
      <c r="G144" s="452" t="str">
        <f>VLOOKUP(F144,★折込地区!$A$1:$B$11,2,FALSE)</f>
        <v>Yng</v>
      </c>
      <c r="H144" s="453">
        <f>INDEX(★サイズ表記!$I$4:$Q$55, MATCH(E144,★サイズ表記!$E$4:$E$55,0), MATCH(G144,★サイズ表記!$I$3:$R$3,0))</f>
        <v>16</v>
      </c>
      <c r="K144" s="471" t="str">
        <f t="shared" si="14"/>
        <v>T4010Yng</v>
      </c>
      <c r="L144" s="471" t="str">
        <f t="shared" si="15"/>
        <v>タブ16Pホチキス止め</v>
      </c>
      <c r="P144" s="533" t="s">
        <v>1324</v>
      </c>
      <c r="Q144" s="533" t="s">
        <v>1325</v>
      </c>
      <c r="R144" s="534" t="str">
        <f t="shared" si="12"/>
        <v>4010</v>
      </c>
      <c r="S144" s="534" t="str">
        <f t="shared" si="13"/>
        <v>タブ16Pホチキス止め</v>
      </c>
      <c r="T144" s="538" t="str">
        <f t="shared" si="4"/>
        <v>40</v>
      </c>
      <c r="U144" s="538" t="str">
        <f t="shared" si="5"/>
        <v>10</v>
      </c>
      <c r="V144" s="471" t="s">
        <v>1136</v>
      </c>
      <c r="Y144" s="472">
        <f t="shared" si="6"/>
        <v>16</v>
      </c>
      <c r="Z144" s="540">
        <f t="shared" si="7"/>
        <v>1.28</v>
      </c>
      <c r="AA144" s="471">
        <v>0</v>
      </c>
    </row>
    <row r="145" spans="1:27">
      <c r="A145" s="451" t="str">
        <f>CONCATENATE(VLOOKUP(B145,★営業所!$A$1:$B$5,2,FALSE),VLOOKUP(D145,★サイズ表記!$D$4:$E$55,2,FALSE),VLOOKUP(F145,★折込地区!$A$1:$B$11,2,FALSE))</f>
        <v>T4011Yng</v>
      </c>
      <c r="B145" s="457" t="s">
        <v>275</v>
      </c>
      <c r="C145" s="452" t="str">
        <f>VLOOKUP(B145,★営業所!$A$1:$B$5,2,FALSE)</f>
        <v>T</v>
      </c>
      <c r="D145" s="465" t="s">
        <v>1357</v>
      </c>
      <c r="E145" s="452" t="str">
        <f>VLOOKUP(D145,★サイズ表記!$D$4:$E$55,2,FALSE)</f>
        <v>4011</v>
      </c>
      <c r="F145" s="457" t="s">
        <v>1603</v>
      </c>
      <c r="G145" s="452" t="str">
        <f>VLOOKUP(F145,★折込地区!$A$1:$B$11,2,FALSE)</f>
        <v>Yng</v>
      </c>
      <c r="H145" s="453">
        <f>INDEX(★サイズ表記!$I$4:$Q$55, MATCH(E145,★サイズ表記!$E$4:$E$55,0), MATCH(G145,★サイズ表記!$I$3:$R$3,0))</f>
        <v>0</v>
      </c>
      <c r="K145" s="471" t="str">
        <f t="shared" si="14"/>
        <v>T4011Yng</v>
      </c>
      <c r="L145" s="471" t="str">
        <f t="shared" si="15"/>
        <v>タブ40P</v>
      </c>
      <c r="P145" s="533" t="s">
        <v>1324</v>
      </c>
      <c r="Q145" s="533" t="s">
        <v>1325</v>
      </c>
      <c r="R145" s="534" t="str">
        <f t="shared" si="12"/>
        <v>4011</v>
      </c>
      <c r="S145" s="534" t="str">
        <f t="shared" si="13"/>
        <v>タブ40P</v>
      </c>
      <c r="T145" s="538" t="str">
        <f t="shared" si="4"/>
        <v>40</v>
      </c>
      <c r="U145" s="538" t="str">
        <f t="shared" si="5"/>
        <v>11</v>
      </c>
      <c r="V145" s="471" t="s">
        <v>1136</v>
      </c>
      <c r="Y145" s="472">
        <f t="shared" si="6"/>
        <v>0</v>
      </c>
      <c r="Z145" s="540">
        <f t="shared" si="7"/>
        <v>0</v>
      </c>
      <c r="AA145" s="471">
        <v>0</v>
      </c>
    </row>
    <row r="146" spans="1:27">
      <c r="A146" s="451" t="str">
        <f>CONCATENATE(VLOOKUP(B146,★営業所!$A$1:$B$5,2,FALSE),VLOOKUP(D146,★サイズ表記!$D$4:$E$55,2,FALSE),VLOOKUP(F146,★折込地区!$A$1:$B$11,2,FALSE))</f>
        <v>T9001Yng</v>
      </c>
      <c r="B146" s="457" t="s">
        <v>275</v>
      </c>
      <c r="C146" s="452" t="str">
        <f>VLOOKUP(B146,★営業所!$A$1:$B$5,2,FALSE)</f>
        <v>T</v>
      </c>
      <c r="D146" s="465" t="s">
        <v>975</v>
      </c>
      <c r="E146" s="452" t="str">
        <f>VLOOKUP(D146,★サイズ表記!$D$4:$E$55,2,FALSE)</f>
        <v>9001</v>
      </c>
      <c r="F146" s="457" t="s">
        <v>1603</v>
      </c>
      <c r="G146" s="452" t="str">
        <f>VLOOKUP(F146,★折込地区!$A$1:$B$11,2,FALSE)</f>
        <v>Yng</v>
      </c>
      <c r="H146" s="453">
        <f>INDEX(★サイズ表記!$I$4:$Q$55, MATCH(E146,★サイズ表記!$E$4:$E$55,0), MATCH(G146,★サイズ表記!$I$3:$R$3,0))</f>
        <v>7</v>
      </c>
      <c r="K146" s="471" t="str">
        <f t="shared" si="14"/>
        <v>T9001Yng</v>
      </c>
      <c r="L146" s="471" t="str">
        <f t="shared" si="15"/>
        <v>うさぎの耳</v>
      </c>
      <c r="P146" s="533" t="s">
        <v>1324</v>
      </c>
      <c r="Q146" s="533" t="s">
        <v>1325</v>
      </c>
      <c r="R146" s="534" t="str">
        <f t="shared" si="12"/>
        <v>9001</v>
      </c>
      <c r="S146" s="534" t="str">
        <f t="shared" si="13"/>
        <v>うさぎの耳</v>
      </c>
      <c r="T146" s="538" t="str">
        <f t="shared" si="4"/>
        <v>90</v>
      </c>
      <c r="U146" s="538" t="str">
        <f t="shared" si="5"/>
        <v>01</v>
      </c>
      <c r="V146" s="471" t="s">
        <v>1136</v>
      </c>
      <c r="Y146" s="472">
        <f t="shared" si="6"/>
        <v>7</v>
      </c>
      <c r="Z146" s="540">
        <f t="shared" si="7"/>
        <v>0.56000000000000005</v>
      </c>
      <c r="AA146" s="471">
        <v>0</v>
      </c>
    </row>
    <row r="147" spans="1:27">
      <c r="A147" s="451" t="str">
        <f>CONCATENATE(VLOOKUP(B147,★営業所!$A$1:$B$5,2,FALSE),VLOOKUP(D147,★サイズ表記!$D$4:$E$55,2,FALSE),VLOOKUP(F147,★折込地区!$A$1:$B$11,2,FALSE))</f>
        <v>T9002Yng</v>
      </c>
      <c r="B147" s="457" t="s">
        <v>275</v>
      </c>
      <c r="C147" s="452" t="str">
        <f>VLOOKUP(B147,★営業所!$A$1:$B$5,2,FALSE)</f>
        <v>T</v>
      </c>
      <c r="D147" s="465" t="s">
        <v>976</v>
      </c>
      <c r="E147" s="452" t="str">
        <f>VLOOKUP(D147,★サイズ表記!$D$4:$E$55,2,FALSE)</f>
        <v>9002</v>
      </c>
      <c r="F147" s="457" t="s">
        <v>1603</v>
      </c>
      <c r="G147" s="452" t="str">
        <f>VLOOKUP(F147,★折込地区!$A$1:$B$11,2,FALSE)</f>
        <v>Yng</v>
      </c>
      <c r="H147" s="453">
        <f>INDEX(★サイズ表記!$I$4:$Q$55, MATCH(E147,★サイズ表記!$E$4:$E$55,0), MATCH(G147,★サイズ表記!$I$3:$R$3,0))</f>
        <v>5</v>
      </c>
      <c r="K147" s="471" t="str">
        <f t="shared" si="14"/>
        <v>T9002Yng</v>
      </c>
      <c r="L147" s="471" t="str">
        <f t="shared" si="15"/>
        <v>ユーキャン（題字）</v>
      </c>
      <c r="P147" s="533" t="s">
        <v>1324</v>
      </c>
      <c r="Q147" s="533" t="s">
        <v>1325</v>
      </c>
      <c r="R147" s="534" t="str">
        <f t="shared" si="12"/>
        <v>9002</v>
      </c>
      <c r="S147" s="534" t="str">
        <f t="shared" si="13"/>
        <v>ユーキャン（題字）</v>
      </c>
      <c r="T147" s="538" t="str">
        <f t="shared" si="4"/>
        <v>90</v>
      </c>
      <c r="U147" s="538" t="str">
        <f t="shared" si="5"/>
        <v>02</v>
      </c>
      <c r="V147" s="471" t="s">
        <v>1136</v>
      </c>
      <c r="Y147" s="472">
        <f t="shared" si="6"/>
        <v>5</v>
      </c>
      <c r="Z147" s="540">
        <f t="shared" si="7"/>
        <v>0.4</v>
      </c>
      <c r="AA147" s="471">
        <v>0</v>
      </c>
    </row>
    <row r="148" spans="1:27">
      <c r="A148" s="451" t="str">
        <f>CONCATENATE(VLOOKUP(B148,★営業所!$A$1:$B$5,2,FALSE),VLOOKUP(D148,★サイズ表記!$D$4:$E$55,2,FALSE),VLOOKUP(F148,★折込地区!$A$1:$B$11,2,FALSE))</f>
        <v>T9003Yng</v>
      </c>
      <c r="B148" s="457" t="s">
        <v>275</v>
      </c>
      <c r="C148" s="452" t="str">
        <f>VLOOKUP(B148,★営業所!$A$1:$B$5,2,FALSE)</f>
        <v>T</v>
      </c>
      <c r="D148" s="465" t="s">
        <v>977</v>
      </c>
      <c r="E148" s="452" t="str">
        <f>VLOOKUP(D148,★サイズ表記!$D$4:$E$55,2,FALSE)</f>
        <v>9003</v>
      </c>
      <c r="F148" s="457" t="s">
        <v>1603</v>
      </c>
      <c r="G148" s="452" t="str">
        <f>VLOOKUP(F148,★折込地区!$A$1:$B$11,2,FALSE)</f>
        <v>Yng</v>
      </c>
      <c r="H148" s="453">
        <f>INDEX(★サイズ表記!$I$4:$Q$55, MATCH(E148,★サイズ表記!$E$4:$E$55,0), MATCH(G148,★サイズ表記!$I$3:$R$3,0))</f>
        <v>4.9000000000000004</v>
      </c>
      <c r="K148" s="471" t="str">
        <f t="shared" si="14"/>
        <v>T9003Yng</v>
      </c>
      <c r="L148" s="471" t="str">
        <f t="shared" si="15"/>
        <v>横長B3</v>
      </c>
      <c r="P148" s="533" t="s">
        <v>1324</v>
      </c>
      <c r="Q148" s="533" t="s">
        <v>1325</v>
      </c>
      <c r="R148" s="534" t="str">
        <f t="shared" si="12"/>
        <v>9003</v>
      </c>
      <c r="S148" s="534" t="str">
        <f t="shared" si="13"/>
        <v>横長B3</v>
      </c>
      <c r="T148" s="538" t="str">
        <f t="shared" si="4"/>
        <v>90</v>
      </c>
      <c r="U148" s="538" t="str">
        <f t="shared" si="5"/>
        <v>03</v>
      </c>
      <c r="V148" s="471" t="s">
        <v>1136</v>
      </c>
      <c r="Y148" s="472">
        <f t="shared" si="6"/>
        <v>4.9000000000000004</v>
      </c>
      <c r="Z148" s="540">
        <f t="shared" si="7"/>
        <v>0.39</v>
      </c>
      <c r="AA148" s="471">
        <v>0</v>
      </c>
    </row>
    <row r="149" spans="1:27">
      <c r="A149" s="451" t="str">
        <f>CONCATENATE(VLOOKUP(B149,★営業所!$A$1:$B$5,2,FALSE),VLOOKUP(D149,★サイズ表記!$D$4:$E$55,2,FALSE),VLOOKUP(F149,★折込地区!$A$1:$B$11,2,FALSE))</f>
        <v>T9004Yng</v>
      </c>
      <c r="B149" s="457" t="s">
        <v>275</v>
      </c>
      <c r="C149" s="452" t="str">
        <f>VLOOKUP(B149,★営業所!$A$1:$B$5,2,FALSE)</f>
        <v>T</v>
      </c>
      <c r="D149" s="465" t="s">
        <v>978</v>
      </c>
      <c r="E149" s="452" t="str">
        <f>VLOOKUP(D149,★サイズ表記!$D$4:$E$55,2,FALSE)</f>
        <v>9004</v>
      </c>
      <c r="F149" s="457" t="s">
        <v>1603</v>
      </c>
      <c r="G149" s="452" t="str">
        <f>VLOOKUP(F149,★折込地区!$A$1:$B$11,2,FALSE)</f>
        <v>Yng</v>
      </c>
      <c r="H149" s="453">
        <f>INDEX(★サイズ表記!$I$4:$Q$55, MATCH(E149,★サイズ表記!$E$4:$E$55,0), MATCH(G149,★サイズ表記!$I$3:$R$3,0))</f>
        <v>5</v>
      </c>
      <c r="K149" s="471" t="str">
        <f t="shared" si="14"/>
        <v>T9004Yng</v>
      </c>
      <c r="L149" s="471" t="str">
        <f t="shared" si="15"/>
        <v>AD-BAG</v>
      </c>
      <c r="P149" s="533" t="s">
        <v>1324</v>
      </c>
      <c r="Q149" s="533" t="s">
        <v>1325</v>
      </c>
      <c r="R149" s="534" t="str">
        <f t="shared" si="12"/>
        <v>9004</v>
      </c>
      <c r="S149" s="534" t="str">
        <f t="shared" si="13"/>
        <v>AD-BAG</v>
      </c>
      <c r="T149" s="538" t="str">
        <f t="shared" si="4"/>
        <v>90</v>
      </c>
      <c r="U149" s="538" t="str">
        <f t="shared" si="5"/>
        <v>04</v>
      </c>
      <c r="V149" s="471" t="s">
        <v>1136</v>
      </c>
      <c r="Y149" s="472">
        <f t="shared" si="6"/>
        <v>5</v>
      </c>
      <c r="Z149" s="540">
        <f t="shared" si="7"/>
        <v>0.4</v>
      </c>
      <c r="AA149" s="471">
        <v>0</v>
      </c>
    </row>
    <row r="150" spans="1:27">
      <c r="A150" s="451" t="str">
        <f>CONCATENATE(VLOOKUP(B150,★営業所!$A$1:$B$5,2,FALSE),VLOOKUP(D150,★サイズ表記!$D$4:$E$55,2,FALSE),VLOOKUP(F150,★折込地区!$A$1:$B$11,2,FALSE))</f>
        <v>T9005Yng</v>
      </c>
      <c r="B150" s="457" t="s">
        <v>275</v>
      </c>
      <c r="C150" s="452" t="str">
        <f>VLOOKUP(B150,★営業所!$A$1:$B$5,2,FALSE)</f>
        <v>T</v>
      </c>
      <c r="D150" s="465" t="s">
        <v>979</v>
      </c>
      <c r="E150" s="452" t="str">
        <f>VLOOKUP(D150,★サイズ表記!$D$4:$E$55,2,FALSE)</f>
        <v>9005</v>
      </c>
      <c r="F150" s="457" t="s">
        <v>1603</v>
      </c>
      <c r="G150" s="452" t="str">
        <f>VLOOKUP(F150,★折込地区!$A$1:$B$11,2,FALSE)</f>
        <v>Yng</v>
      </c>
      <c r="H150" s="453">
        <f>INDEX(★サイズ表記!$I$4:$Q$55, MATCH(E150,★サイズ表記!$E$4:$E$55,0), MATCH(G150,★サイズ表記!$I$3:$R$3,0))</f>
        <v>5</v>
      </c>
      <c r="K150" s="471" t="str">
        <f t="shared" si="14"/>
        <v>T9005Yng</v>
      </c>
      <c r="L150" s="471" t="str">
        <f t="shared" si="15"/>
        <v>封筒</v>
      </c>
      <c r="P150" s="533" t="s">
        <v>1324</v>
      </c>
      <c r="Q150" s="533" t="s">
        <v>1325</v>
      </c>
      <c r="R150" s="534" t="str">
        <f t="shared" si="12"/>
        <v>9005</v>
      </c>
      <c r="S150" s="534" t="str">
        <f t="shared" si="13"/>
        <v>封筒</v>
      </c>
      <c r="T150" s="538" t="str">
        <f t="shared" si="4"/>
        <v>90</v>
      </c>
      <c r="U150" s="538" t="str">
        <f t="shared" si="5"/>
        <v>05</v>
      </c>
      <c r="V150" s="471" t="s">
        <v>1136</v>
      </c>
      <c r="Y150" s="472">
        <f t="shared" si="6"/>
        <v>5</v>
      </c>
      <c r="Z150" s="540">
        <f t="shared" si="7"/>
        <v>0.4</v>
      </c>
      <c r="AA150" s="471">
        <v>0</v>
      </c>
    </row>
    <row r="151" spans="1:27">
      <c r="A151" s="451" t="str">
        <f>CONCATENATE(VLOOKUP(B151,★営業所!$A$1:$B$5,2,FALSE),VLOOKUP(D151,★サイズ表記!$D$4:$E$55,2,FALSE),VLOOKUP(F151,★折込地区!$A$1:$B$11,2,FALSE))</f>
        <v>T9006Yng</v>
      </c>
      <c r="B151" s="457" t="s">
        <v>275</v>
      </c>
      <c r="C151" s="452" t="str">
        <f>VLOOKUP(B151,★営業所!$A$1:$B$5,2,FALSE)</f>
        <v>T</v>
      </c>
      <c r="D151" s="465" t="s">
        <v>980</v>
      </c>
      <c r="E151" s="452" t="str">
        <f>VLOOKUP(D151,★サイズ表記!$D$4:$E$55,2,FALSE)</f>
        <v>9006</v>
      </c>
      <c r="F151" s="457" t="s">
        <v>1603</v>
      </c>
      <c r="G151" s="452" t="str">
        <f>VLOOKUP(F151,★折込地区!$A$1:$B$11,2,FALSE)</f>
        <v>Yng</v>
      </c>
      <c r="H151" s="453">
        <f>INDEX(★サイズ表記!$I$4:$Q$55, MATCH(E151,★サイズ表記!$E$4:$E$55,0), MATCH(G151,★サイズ表記!$I$3:$R$3,0))</f>
        <v>3.9</v>
      </c>
      <c r="K151" s="471" t="str">
        <f t="shared" si="14"/>
        <v>T9006Yng</v>
      </c>
      <c r="L151" s="471" t="str">
        <f t="shared" si="15"/>
        <v>圧着</v>
      </c>
      <c r="P151" s="533" t="s">
        <v>1324</v>
      </c>
      <c r="Q151" s="533" t="s">
        <v>1325</v>
      </c>
      <c r="R151" s="534" t="str">
        <f t="shared" si="12"/>
        <v>9006</v>
      </c>
      <c r="S151" s="534" t="str">
        <f t="shared" si="13"/>
        <v>圧着</v>
      </c>
      <c r="T151" s="538" t="str">
        <f t="shared" si="4"/>
        <v>90</v>
      </c>
      <c r="U151" s="538" t="str">
        <f t="shared" si="5"/>
        <v>06</v>
      </c>
      <c r="V151" s="471" t="s">
        <v>1136</v>
      </c>
      <c r="Y151" s="472">
        <f t="shared" si="6"/>
        <v>3.9</v>
      </c>
      <c r="Z151" s="540">
        <f t="shared" si="7"/>
        <v>0.31</v>
      </c>
      <c r="AA151" s="471">
        <v>0</v>
      </c>
    </row>
    <row r="152" spans="1:27">
      <c r="A152" s="451" t="str">
        <f>CONCATENATE(VLOOKUP(B152,★営業所!$A$1:$B$5,2,FALSE),VLOOKUP(D152,★サイズ表記!$D$4:$E$55,2,FALSE),VLOOKUP(F152,★折込地区!$A$1:$B$11,2,FALSE))</f>
        <v>T9007Yng</v>
      </c>
      <c r="B152" s="457" t="s">
        <v>275</v>
      </c>
      <c r="C152" s="452" t="str">
        <f>VLOOKUP(B152,★営業所!$A$1:$B$5,2,FALSE)</f>
        <v>T</v>
      </c>
      <c r="D152" s="465" t="s">
        <v>981</v>
      </c>
      <c r="E152" s="452" t="str">
        <f>VLOOKUP(D152,★サイズ表記!$D$4:$E$55,2,FALSE)</f>
        <v>9007</v>
      </c>
      <c r="F152" s="457" t="s">
        <v>1603</v>
      </c>
      <c r="G152" s="452" t="str">
        <f>VLOOKUP(F152,★折込地区!$A$1:$B$11,2,FALSE)</f>
        <v>Yng</v>
      </c>
      <c r="H152" s="453">
        <f>INDEX(★サイズ表記!$I$4:$Q$55, MATCH(E152,★サイズ表記!$E$4:$E$55,0), MATCH(G152,★サイズ表記!$I$3:$R$3,0))</f>
        <v>4.4000000000000004</v>
      </c>
      <c r="K152" s="471" t="str">
        <f t="shared" si="14"/>
        <v>T9007Yng</v>
      </c>
      <c r="L152" s="471" t="str">
        <f t="shared" si="15"/>
        <v>圧着厚紙</v>
      </c>
      <c r="P152" s="533" t="s">
        <v>1324</v>
      </c>
      <c r="Q152" s="533" t="s">
        <v>1325</v>
      </c>
      <c r="R152" s="534" t="str">
        <f t="shared" si="12"/>
        <v>9007</v>
      </c>
      <c r="S152" s="534" t="str">
        <f t="shared" si="13"/>
        <v>圧着厚紙</v>
      </c>
      <c r="T152" s="538" t="str">
        <f t="shared" si="4"/>
        <v>90</v>
      </c>
      <c r="U152" s="538" t="str">
        <f t="shared" si="5"/>
        <v>07</v>
      </c>
      <c r="V152" s="471" t="s">
        <v>1136</v>
      </c>
      <c r="Y152" s="472">
        <f t="shared" si="6"/>
        <v>4.4000000000000004</v>
      </c>
      <c r="Z152" s="540">
        <f t="shared" si="7"/>
        <v>0.35</v>
      </c>
      <c r="AA152" s="471">
        <v>0</v>
      </c>
    </row>
    <row r="153" spans="1:27">
      <c r="A153" s="451" t="str">
        <f>CONCATENATE(VLOOKUP(B153,★営業所!$A$1:$B$5,2,FALSE),VLOOKUP(D153,★サイズ表記!$D$4:$E$55,2,FALSE),VLOOKUP(F153,★折込地区!$A$1:$B$11,2,FALSE))</f>
        <v>T1001Hha</v>
      </c>
      <c r="B153" s="457" t="s">
        <v>275</v>
      </c>
      <c r="C153" s="452" t="str">
        <f>VLOOKUP(B153,★営業所!$A$1:$B$5,2,FALSE)</f>
        <v>T</v>
      </c>
      <c r="D153" s="465" t="s">
        <v>948</v>
      </c>
      <c r="E153" s="452" t="str">
        <f>VLOOKUP(D153,★サイズ表記!$D$4:$E$55,2,FALSE)</f>
        <v>1001</v>
      </c>
      <c r="F153" s="457" t="s">
        <v>158</v>
      </c>
      <c r="G153" s="452" t="str">
        <f>VLOOKUP(F153,★折込地区!$A$1:$B$11,2,FALSE)</f>
        <v>Hha</v>
      </c>
      <c r="H153" s="453">
        <f>INDEX(★サイズ表記!$I$4:$Q$55, MATCH(E153,★サイズ表記!$E$4:$E$55,0), MATCH(G153,★サイズ表記!$I$3:$R$3,0))</f>
        <v>3</v>
      </c>
      <c r="K153" s="471" t="str">
        <f t="shared" si="0"/>
        <v>T1001Hha</v>
      </c>
      <c r="L153" s="471" t="str">
        <f t="shared" si="1"/>
        <v>B4（折り無し）</v>
      </c>
      <c r="P153" s="533" t="s">
        <v>1324</v>
      </c>
      <c r="Q153" s="533" t="s">
        <v>1325</v>
      </c>
      <c r="R153" s="534" t="str">
        <f t="shared" si="2"/>
        <v>1001</v>
      </c>
      <c r="S153" s="534" t="str">
        <f t="shared" si="3"/>
        <v>B4（折り無し）</v>
      </c>
      <c r="T153" s="538" t="str">
        <f t="shared" si="4"/>
        <v>10</v>
      </c>
      <c r="U153" s="538" t="str">
        <f t="shared" si="5"/>
        <v>01</v>
      </c>
      <c r="V153" s="471" t="s">
        <v>1136</v>
      </c>
      <c r="Y153" s="472">
        <f t="shared" si="6"/>
        <v>3</v>
      </c>
      <c r="Z153" s="540">
        <f t="shared" si="7"/>
        <v>0.24</v>
      </c>
      <c r="AA153" s="471">
        <v>0</v>
      </c>
    </row>
    <row r="154" spans="1:27">
      <c r="A154" s="451" t="str">
        <f>CONCATENATE(VLOOKUP(B154,★営業所!$A$1:$B$5,2,FALSE),VLOOKUP(D154,★サイズ表記!$D$4:$E$55,2,FALSE),VLOOKUP(F154,★折込地区!$A$1:$B$11,2,FALSE))</f>
        <v>T1002Hha</v>
      </c>
      <c r="B154" s="457" t="s">
        <v>275</v>
      </c>
      <c r="C154" s="452" t="str">
        <f>VLOOKUP(B154,★営業所!$A$1:$B$5,2,FALSE)</f>
        <v>T</v>
      </c>
      <c r="D154" s="465" t="s">
        <v>950</v>
      </c>
      <c r="E154" s="452" t="str">
        <f>VLOOKUP(D154,★サイズ表記!$D$4:$E$55,2,FALSE)</f>
        <v>1002</v>
      </c>
      <c r="F154" s="457" t="s">
        <v>158</v>
      </c>
      <c r="G154" s="452" t="str">
        <f>VLOOKUP(F154,★折込地区!$A$1:$B$11,2,FALSE)</f>
        <v>Hha</v>
      </c>
      <c r="H154" s="453">
        <f>INDEX(★サイズ表記!$I$4:$Q$55, MATCH(E154,★サイズ表記!$E$4:$E$55,0), MATCH(G154,★サイズ表記!$I$3:$R$3,0))</f>
        <v>4</v>
      </c>
      <c r="K154" s="471" t="str">
        <f t="shared" si="0"/>
        <v>T1002Hha</v>
      </c>
      <c r="L154" s="471" t="str">
        <f t="shared" si="1"/>
        <v>B3（2つ折り）</v>
      </c>
      <c r="P154" s="533" t="s">
        <v>1324</v>
      </c>
      <c r="Q154" s="533" t="s">
        <v>1325</v>
      </c>
      <c r="R154" s="534" t="str">
        <f t="shared" si="2"/>
        <v>1002</v>
      </c>
      <c r="S154" s="534" t="str">
        <f t="shared" si="3"/>
        <v>B3（2つ折り）</v>
      </c>
      <c r="T154" s="538" t="str">
        <f t="shared" si="4"/>
        <v>10</v>
      </c>
      <c r="U154" s="538" t="str">
        <f t="shared" si="5"/>
        <v>02</v>
      </c>
      <c r="V154" s="471" t="s">
        <v>1136</v>
      </c>
      <c r="Y154" s="472">
        <f t="shared" si="6"/>
        <v>4</v>
      </c>
      <c r="Z154" s="540">
        <f t="shared" si="7"/>
        <v>0.32</v>
      </c>
      <c r="AA154" s="471">
        <v>0</v>
      </c>
    </row>
    <row r="155" spans="1:27">
      <c r="A155" s="451" t="str">
        <f>CONCATENATE(VLOOKUP(B155,★営業所!$A$1:$B$5,2,FALSE),VLOOKUP(D155,★サイズ表記!$D$4:$E$55,2,FALSE),VLOOKUP(F155,★折込地区!$A$1:$B$11,2,FALSE))</f>
        <v>T1003Hha</v>
      </c>
      <c r="B155" s="457" t="s">
        <v>275</v>
      </c>
      <c r="C155" s="452" t="str">
        <f>VLOOKUP(B155,★営業所!$A$1:$B$5,2,FALSE)</f>
        <v>T</v>
      </c>
      <c r="D155" s="465" t="s">
        <v>951</v>
      </c>
      <c r="E155" s="452" t="str">
        <f>VLOOKUP(D155,★サイズ表記!$D$4:$E$55,2,FALSE)</f>
        <v>1003</v>
      </c>
      <c r="F155" s="457" t="s">
        <v>158</v>
      </c>
      <c r="G155" s="452" t="str">
        <f>VLOOKUP(F155,★折込地区!$A$1:$B$11,2,FALSE)</f>
        <v>Hha</v>
      </c>
      <c r="H155" s="453">
        <f>INDEX(★サイズ表記!$I$4:$Q$55, MATCH(E155,★サイズ表記!$E$4:$E$55,0), MATCH(G155,★サイズ表記!$I$3:$R$3,0))</f>
        <v>0</v>
      </c>
      <c r="K155" s="471" t="str">
        <f t="shared" si="0"/>
        <v>T1003Hha</v>
      </c>
      <c r="L155" s="471" t="str">
        <f t="shared" si="1"/>
        <v>3つ折り</v>
      </c>
      <c r="P155" s="533" t="s">
        <v>1324</v>
      </c>
      <c r="Q155" s="533" t="s">
        <v>1325</v>
      </c>
      <c r="R155" s="534" t="str">
        <f t="shared" si="2"/>
        <v>1003</v>
      </c>
      <c r="S155" s="534" t="str">
        <f t="shared" si="3"/>
        <v>3つ折り</v>
      </c>
      <c r="T155" s="538" t="str">
        <f t="shared" si="4"/>
        <v>10</v>
      </c>
      <c r="U155" s="538" t="str">
        <f t="shared" si="5"/>
        <v>03</v>
      </c>
      <c r="V155" s="471" t="s">
        <v>1136</v>
      </c>
      <c r="Y155" s="472">
        <f t="shared" si="6"/>
        <v>0</v>
      </c>
      <c r="Z155" s="540">
        <f t="shared" si="7"/>
        <v>0</v>
      </c>
      <c r="AA155" s="471">
        <v>0</v>
      </c>
    </row>
    <row r="156" spans="1:27">
      <c r="A156" s="451" t="str">
        <f>CONCATENATE(VLOOKUP(B156,★営業所!$A$1:$B$5,2,FALSE),VLOOKUP(D156,★サイズ表記!$D$4:$E$55,2,FALSE),VLOOKUP(F156,★折込地区!$A$1:$B$11,2,FALSE))</f>
        <v>T1004Hha</v>
      </c>
      <c r="B156" s="457" t="s">
        <v>275</v>
      </c>
      <c r="C156" s="452" t="str">
        <f>VLOOKUP(B156,★営業所!$A$1:$B$5,2,FALSE)</f>
        <v>T</v>
      </c>
      <c r="D156" s="465" t="s">
        <v>947</v>
      </c>
      <c r="E156" s="452" t="str">
        <f>VLOOKUP(D156,★サイズ表記!$D$4:$E$55,2,FALSE)</f>
        <v>1004</v>
      </c>
      <c r="F156" s="457" t="s">
        <v>158</v>
      </c>
      <c r="G156" s="452" t="str">
        <f>VLOOKUP(F156,★折込地区!$A$1:$B$11,2,FALSE)</f>
        <v>Hha</v>
      </c>
      <c r="H156" s="453">
        <f>INDEX(★サイズ表記!$I$4:$Q$55, MATCH(E156,★サイズ表記!$E$4:$E$55,0), MATCH(G156,★サイズ表記!$I$3:$R$3,0))</f>
        <v>0</v>
      </c>
      <c r="K156" s="471" t="str">
        <f t="shared" si="0"/>
        <v>T1004Hha</v>
      </c>
      <c r="L156" s="471" t="str">
        <f t="shared" si="1"/>
        <v>観音折</v>
      </c>
      <c r="P156" s="533" t="s">
        <v>1324</v>
      </c>
      <c r="Q156" s="533" t="s">
        <v>1325</v>
      </c>
      <c r="R156" s="534" t="str">
        <f t="shared" si="2"/>
        <v>1004</v>
      </c>
      <c r="S156" s="534" t="str">
        <f t="shared" si="3"/>
        <v>観音折</v>
      </c>
      <c r="T156" s="538" t="str">
        <f t="shared" si="4"/>
        <v>10</v>
      </c>
      <c r="U156" s="538" t="str">
        <f t="shared" si="5"/>
        <v>04</v>
      </c>
      <c r="V156" s="471" t="s">
        <v>1136</v>
      </c>
      <c r="Y156" s="472">
        <f t="shared" si="6"/>
        <v>0</v>
      </c>
      <c r="Z156" s="540">
        <f t="shared" si="7"/>
        <v>0</v>
      </c>
      <c r="AA156" s="471">
        <v>0</v>
      </c>
    </row>
    <row r="157" spans="1:27">
      <c r="A157" s="451" t="str">
        <f>CONCATENATE(VLOOKUP(B157,★営業所!$A$1:$B$5,2,FALSE),VLOOKUP(D157,★サイズ表記!$D$4:$E$55,2,FALSE),VLOOKUP(F157,★折込地区!$A$1:$B$11,2,FALSE))</f>
        <v>T1005Hha</v>
      </c>
      <c r="B157" s="457" t="s">
        <v>275</v>
      </c>
      <c r="C157" s="452" t="str">
        <f>VLOOKUP(B157,★営業所!$A$1:$B$5,2,FALSE)</f>
        <v>T</v>
      </c>
      <c r="D157" s="465" t="s">
        <v>952</v>
      </c>
      <c r="E157" s="452" t="str">
        <f>VLOOKUP(D157,★サイズ表記!$D$4:$E$55,2,FALSE)</f>
        <v>1005</v>
      </c>
      <c r="F157" s="457" t="s">
        <v>158</v>
      </c>
      <c r="G157" s="452" t="str">
        <f>VLOOKUP(F157,★折込地区!$A$1:$B$11,2,FALSE)</f>
        <v>Hha</v>
      </c>
      <c r="H157" s="453">
        <f>INDEX(★サイズ表記!$I$4:$Q$55, MATCH(E157,★サイズ表記!$E$4:$E$55,0), MATCH(G157,★サイズ表記!$I$3:$R$3,0))</f>
        <v>6</v>
      </c>
      <c r="K157" s="471" t="str">
        <f t="shared" si="0"/>
        <v>T1005Hha</v>
      </c>
      <c r="L157" s="471" t="str">
        <f t="shared" si="1"/>
        <v>B2（4つ折り）</v>
      </c>
      <c r="P157" s="533" t="s">
        <v>1324</v>
      </c>
      <c r="Q157" s="533" t="s">
        <v>1325</v>
      </c>
      <c r="R157" s="534" t="str">
        <f t="shared" si="2"/>
        <v>1005</v>
      </c>
      <c r="S157" s="534" t="str">
        <f t="shared" si="3"/>
        <v>B2（4つ折り）</v>
      </c>
      <c r="T157" s="538" t="str">
        <f t="shared" si="4"/>
        <v>10</v>
      </c>
      <c r="U157" s="538" t="str">
        <f t="shared" si="5"/>
        <v>05</v>
      </c>
      <c r="V157" s="471" t="s">
        <v>1136</v>
      </c>
      <c r="Y157" s="472">
        <f t="shared" si="6"/>
        <v>6</v>
      </c>
      <c r="Z157" s="540">
        <f t="shared" si="7"/>
        <v>0.48</v>
      </c>
      <c r="AA157" s="471">
        <v>0</v>
      </c>
    </row>
    <row r="158" spans="1:27">
      <c r="A158" s="451" t="str">
        <f>CONCATENATE(VLOOKUP(B158,★営業所!$A$1:$B$5,2,FALSE),VLOOKUP(D158,★サイズ表記!$D$4:$E$55,2,FALSE),VLOOKUP(F158,★折込地区!$A$1:$B$11,2,FALSE))</f>
        <v>T1006Hha</v>
      </c>
      <c r="B158" s="457" t="s">
        <v>275</v>
      </c>
      <c r="C158" s="452" t="str">
        <f>VLOOKUP(B158,★営業所!$A$1:$B$5,2,FALSE)</f>
        <v>T</v>
      </c>
      <c r="D158" s="465" t="s">
        <v>955</v>
      </c>
      <c r="E158" s="452" t="str">
        <f>VLOOKUP(D158,★サイズ表記!$D$4:$E$55,2,FALSE)</f>
        <v>1006</v>
      </c>
      <c r="F158" s="457" t="s">
        <v>158</v>
      </c>
      <c r="G158" s="452" t="str">
        <f>VLOOKUP(F158,★折込地区!$A$1:$B$11,2,FALSE)</f>
        <v>Hha</v>
      </c>
      <c r="H158" s="453">
        <f>INDEX(★サイズ表記!$I$4:$Q$55, MATCH(E158,★サイズ表記!$E$4:$E$55,0), MATCH(G158,★サイズ表記!$I$3:$R$3,0))</f>
        <v>12</v>
      </c>
      <c r="K158" s="471" t="str">
        <f t="shared" si="0"/>
        <v>T1006Hha</v>
      </c>
      <c r="L158" s="471" t="str">
        <f t="shared" si="1"/>
        <v>B1（8折り）</v>
      </c>
      <c r="P158" s="533" t="s">
        <v>1324</v>
      </c>
      <c r="Q158" s="533" t="s">
        <v>1325</v>
      </c>
      <c r="R158" s="534" t="str">
        <f t="shared" si="2"/>
        <v>1006</v>
      </c>
      <c r="S158" s="534" t="str">
        <f t="shared" si="3"/>
        <v>B1（8折り）</v>
      </c>
      <c r="T158" s="538" t="str">
        <f t="shared" si="4"/>
        <v>10</v>
      </c>
      <c r="U158" s="538" t="str">
        <f t="shared" si="5"/>
        <v>06</v>
      </c>
      <c r="V158" s="471" t="s">
        <v>1136</v>
      </c>
      <c r="Y158" s="472">
        <f t="shared" si="6"/>
        <v>12</v>
      </c>
      <c r="Z158" s="540">
        <f t="shared" si="7"/>
        <v>0.96</v>
      </c>
      <c r="AA158" s="471">
        <v>0</v>
      </c>
    </row>
    <row r="159" spans="1:27">
      <c r="A159" s="451" t="str">
        <f>CONCATENATE(VLOOKUP(B159,★営業所!$A$1:$B$5,2,FALSE),VLOOKUP(D159,★サイズ表記!$D$4:$E$55,2,FALSE),VLOOKUP(F159,★折込地区!$A$1:$B$11,2,FALSE))</f>
        <v>T1007Hha</v>
      </c>
      <c r="B159" s="457" t="s">
        <v>275</v>
      </c>
      <c r="C159" s="452" t="str">
        <f>VLOOKUP(B159,★営業所!$A$1:$B$5,2,FALSE)</f>
        <v>T</v>
      </c>
      <c r="D159" s="465" t="s">
        <v>956</v>
      </c>
      <c r="E159" s="452" t="str">
        <f>VLOOKUP(D159,★サイズ表記!$D$4:$E$55,2,FALSE)</f>
        <v>1007</v>
      </c>
      <c r="F159" s="457" t="s">
        <v>158</v>
      </c>
      <c r="G159" s="452" t="str">
        <f>VLOOKUP(F159,★折込地区!$A$1:$B$11,2,FALSE)</f>
        <v>Hha</v>
      </c>
      <c r="H159" s="453">
        <f>INDEX(★サイズ表記!$I$4:$Q$55, MATCH(E159,★サイズ表記!$E$4:$E$55,0), MATCH(G159,★サイズ表記!$I$3:$R$3,0))</f>
        <v>0</v>
      </c>
      <c r="K159" s="471" t="str">
        <f t="shared" si="0"/>
        <v>T1007Hha</v>
      </c>
      <c r="L159" s="471" t="str">
        <f t="shared" si="1"/>
        <v>B4厚紙</v>
      </c>
      <c r="P159" s="533" t="s">
        <v>1324</v>
      </c>
      <c r="Q159" s="533" t="s">
        <v>1325</v>
      </c>
      <c r="R159" s="534" t="str">
        <f t="shared" si="2"/>
        <v>1007</v>
      </c>
      <c r="S159" s="534" t="str">
        <f t="shared" si="3"/>
        <v>B4厚紙</v>
      </c>
      <c r="T159" s="538" t="str">
        <f t="shared" si="4"/>
        <v>10</v>
      </c>
      <c r="U159" s="538" t="str">
        <f t="shared" si="5"/>
        <v>07</v>
      </c>
      <c r="V159" s="471" t="s">
        <v>1136</v>
      </c>
      <c r="Y159" s="472">
        <f t="shared" si="6"/>
        <v>0</v>
      </c>
      <c r="Z159" s="540">
        <f t="shared" si="7"/>
        <v>0</v>
      </c>
      <c r="AA159" s="471">
        <v>0</v>
      </c>
    </row>
    <row r="160" spans="1:27">
      <c r="A160" s="451" t="str">
        <f>CONCATENATE(VLOOKUP(B160,★営業所!$A$1:$B$5,2,FALSE),VLOOKUP(D160,★サイズ表記!$D$4:$E$55,2,FALSE),VLOOKUP(F160,★折込地区!$A$1:$B$11,2,FALSE))</f>
        <v>T1008Hha</v>
      </c>
      <c r="B160" s="457" t="s">
        <v>275</v>
      </c>
      <c r="C160" s="452" t="str">
        <f>VLOOKUP(B160,★営業所!$A$1:$B$5,2,FALSE)</f>
        <v>T</v>
      </c>
      <c r="D160" s="465" t="s">
        <v>957</v>
      </c>
      <c r="E160" s="452" t="str">
        <f>VLOOKUP(D160,★サイズ表記!$D$4:$E$55,2,FALSE)</f>
        <v>1008</v>
      </c>
      <c r="F160" s="457" t="s">
        <v>158</v>
      </c>
      <c r="G160" s="452" t="str">
        <f>VLOOKUP(F160,★折込地区!$A$1:$B$11,2,FALSE)</f>
        <v>Hha</v>
      </c>
      <c r="H160" s="453">
        <f>INDEX(★サイズ表記!$I$4:$Q$55, MATCH(E160,★サイズ表記!$E$4:$E$55,0), MATCH(G160,★サイズ表記!$I$3:$R$3,0))</f>
        <v>0</v>
      </c>
      <c r="K160" s="471" t="str">
        <f t="shared" si="0"/>
        <v>T1008Hha</v>
      </c>
      <c r="L160" s="471" t="str">
        <f t="shared" si="1"/>
        <v>B3厚紙</v>
      </c>
      <c r="P160" s="533" t="s">
        <v>1324</v>
      </c>
      <c r="Q160" s="533" t="s">
        <v>1325</v>
      </c>
      <c r="R160" s="534" t="str">
        <f t="shared" si="2"/>
        <v>1008</v>
      </c>
      <c r="S160" s="534" t="str">
        <f t="shared" si="3"/>
        <v>B3厚紙</v>
      </c>
      <c r="T160" s="538" t="str">
        <f t="shared" si="4"/>
        <v>10</v>
      </c>
      <c r="U160" s="538" t="str">
        <f t="shared" si="5"/>
        <v>08</v>
      </c>
      <c r="V160" s="471" t="s">
        <v>1136</v>
      </c>
      <c r="Y160" s="472">
        <f t="shared" si="6"/>
        <v>0</v>
      </c>
      <c r="Z160" s="540">
        <f t="shared" si="7"/>
        <v>0</v>
      </c>
      <c r="AA160" s="471">
        <v>0</v>
      </c>
    </row>
    <row r="161" spans="1:27">
      <c r="A161" s="451" t="str">
        <f>CONCATENATE(VLOOKUP(B161,★営業所!$A$1:$B$5,2,FALSE),VLOOKUP(D161,★サイズ表記!$D$4:$E$55,2,FALSE),VLOOKUP(F161,★折込地区!$A$1:$B$11,2,FALSE))</f>
        <v>T1009Hha</v>
      </c>
      <c r="B161" s="457" t="s">
        <v>275</v>
      </c>
      <c r="C161" s="452" t="str">
        <f>VLOOKUP(B161,★営業所!$A$1:$B$5,2,FALSE)</f>
        <v>T</v>
      </c>
      <c r="D161" s="465" t="s">
        <v>958</v>
      </c>
      <c r="E161" s="452" t="str">
        <f>VLOOKUP(D161,★サイズ表記!$D$4:$E$55,2,FALSE)</f>
        <v>1009</v>
      </c>
      <c r="F161" s="457" t="s">
        <v>158</v>
      </c>
      <c r="G161" s="452" t="str">
        <f>VLOOKUP(F161,★折込地区!$A$1:$B$11,2,FALSE)</f>
        <v>Hha</v>
      </c>
      <c r="H161" s="453">
        <f>INDEX(★サイズ表記!$I$4:$Q$55, MATCH(E161,★サイズ表記!$E$4:$E$55,0), MATCH(G161,★サイズ表記!$I$3:$R$3,0))</f>
        <v>0</v>
      </c>
      <c r="K161" s="471" t="str">
        <f t="shared" si="0"/>
        <v>T1009Hha</v>
      </c>
      <c r="L161" s="471" t="str">
        <f t="shared" si="1"/>
        <v>B2厚紙</v>
      </c>
      <c r="P161" s="533" t="s">
        <v>1324</v>
      </c>
      <c r="Q161" s="533" t="s">
        <v>1325</v>
      </c>
      <c r="R161" s="534" t="str">
        <f t="shared" si="2"/>
        <v>1009</v>
      </c>
      <c r="S161" s="534" t="str">
        <f t="shared" si="3"/>
        <v>B2厚紙</v>
      </c>
      <c r="T161" s="538" t="str">
        <f t="shared" si="4"/>
        <v>10</v>
      </c>
      <c r="U161" s="538" t="str">
        <f t="shared" si="5"/>
        <v>09</v>
      </c>
      <c r="V161" s="471" t="s">
        <v>1136</v>
      </c>
      <c r="Y161" s="472">
        <f t="shared" si="6"/>
        <v>0</v>
      </c>
      <c r="Z161" s="540">
        <f t="shared" si="7"/>
        <v>0</v>
      </c>
      <c r="AA161" s="471">
        <v>0</v>
      </c>
    </row>
    <row r="162" spans="1:27">
      <c r="A162" s="451" t="str">
        <f>CONCATENATE(VLOOKUP(B162,★営業所!$A$1:$B$5,2,FALSE),VLOOKUP(D162,★サイズ表記!$D$4:$E$55,2,FALSE),VLOOKUP(F162,★折込地区!$A$1:$B$11,2,FALSE))</f>
        <v>T1010Hha</v>
      </c>
      <c r="B162" s="457" t="s">
        <v>275</v>
      </c>
      <c r="C162" s="452" t="str">
        <f>VLOOKUP(B162,★営業所!$A$1:$B$5,2,FALSE)</f>
        <v>T</v>
      </c>
      <c r="D162" s="465" t="s">
        <v>959</v>
      </c>
      <c r="E162" s="452" t="str">
        <f>VLOOKUP(D162,★サイズ表記!$D$4:$E$55,2,FALSE)</f>
        <v>1010</v>
      </c>
      <c r="F162" s="457" t="s">
        <v>158</v>
      </c>
      <c r="G162" s="452" t="str">
        <f>VLOOKUP(F162,★折込地区!$A$1:$B$11,2,FALSE)</f>
        <v>Hha</v>
      </c>
      <c r="H162" s="453">
        <f>INDEX(★サイズ表記!$I$4:$Q$55, MATCH(E162,★サイズ表記!$E$4:$E$55,0), MATCH(G162,★サイズ表記!$I$3:$R$3,0))</f>
        <v>0</v>
      </c>
      <c r="K162" s="471" t="str">
        <f t="shared" si="0"/>
        <v>T1010Hha</v>
      </c>
      <c r="L162" s="471" t="str">
        <f t="shared" si="1"/>
        <v>B4以下変形</v>
      </c>
      <c r="P162" s="533" t="s">
        <v>1324</v>
      </c>
      <c r="Q162" s="533" t="s">
        <v>1325</v>
      </c>
      <c r="R162" s="534" t="str">
        <f t="shared" si="2"/>
        <v>1010</v>
      </c>
      <c r="S162" s="534" t="str">
        <f t="shared" si="3"/>
        <v>B4以下変形</v>
      </c>
      <c r="T162" s="538" t="str">
        <f t="shared" si="4"/>
        <v>10</v>
      </c>
      <c r="U162" s="538" t="str">
        <f t="shared" si="5"/>
        <v>10</v>
      </c>
      <c r="V162" s="471" t="s">
        <v>1136</v>
      </c>
      <c r="Y162" s="472">
        <f t="shared" si="6"/>
        <v>0</v>
      </c>
      <c r="Z162" s="540">
        <f t="shared" si="7"/>
        <v>0</v>
      </c>
      <c r="AA162" s="471">
        <v>0</v>
      </c>
    </row>
    <row r="163" spans="1:27">
      <c r="A163" s="451" t="str">
        <f>CONCATENATE(VLOOKUP(B163,★営業所!$A$1:$B$5,2,FALSE),VLOOKUP(D163,★サイズ表記!$D$4:$E$55,2,FALSE),VLOOKUP(F163,★折込地区!$A$1:$B$11,2,FALSE))</f>
        <v>T1011Hha</v>
      </c>
      <c r="B163" s="457" t="s">
        <v>275</v>
      </c>
      <c r="C163" s="452" t="str">
        <f>VLOOKUP(B163,★営業所!$A$1:$B$5,2,FALSE)</f>
        <v>T</v>
      </c>
      <c r="D163" s="465" t="s">
        <v>960</v>
      </c>
      <c r="E163" s="452" t="str">
        <f>VLOOKUP(D163,★サイズ表記!$D$4:$E$55,2,FALSE)</f>
        <v>1011</v>
      </c>
      <c r="F163" s="457" t="s">
        <v>158</v>
      </c>
      <c r="G163" s="452" t="str">
        <f>VLOOKUP(F163,★折込地区!$A$1:$B$11,2,FALSE)</f>
        <v>Hha</v>
      </c>
      <c r="H163" s="453">
        <f>INDEX(★サイズ表記!$I$4:$Q$55, MATCH(E163,★サイズ表記!$E$4:$E$55,0), MATCH(G163,★サイズ表記!$I$3:$R$3,0))</f>
        <v>0</v>
      </c>
      <c r="K163" s="471" t="str">
        <f t="shared" si="0"/>
        <v>T1011Hha</v>
      </c>
      <c r="L163" s="471" t="str">
        <f t="shared" si="1"/>
        <v>B4シール付き</v>
      </c>
      <c r="P163" s="533" t="s">
        <v>1324</v>
      </c>
      <c r="Q163" s="533" t="s">
        <v>1325</v>
      </c>
      <c r="R163" s="534" t="str">
        <f t="shared" si="2"/>
        <v>1011</v>
      </c>
      <c r="S163" s="534" t="str">
        <f t="shared" si="3"/>
        <v>B4シール付き</v>
      </c>
      <c r="T163" s="538" t="str">
        <f t="shared" si="4"/>
        <v>10</v>
      </c>
      <c r="U163" s="538" t="str">
        <f t="shared" si="5"/>
        <v>11</v>
      </c>
      <c r="V163" s="471" t="s">
        <v>1136</v>
      </c>
      <c r="Y163" s="472">
        <f t="shared" si="6"/>
        <v>0</v>
      </c>
      <c r="Z163" s="540">
        <f t="shared" si="7"/>
        <v>0</v>
      </c>
      <c r="AA163" s="471">
        <v>0</v>
      </c>
    </row>
    <row r="164" spans="1:27">
      <c r="A164" s="451" t="str">
        <f>CONCATENATE(VLOOKUP(B164,★営業所!$A$1:$B$5,2,FALSE),VLOOKUP(D164,★サイズ表記!$D$4:$E$55,2,FALSE),VLOOKUP(F164,★折込地区!$A$1:$B$11,2,FALSE))</f>
        <v>T1012Hha</v>
      </c>
      <c r="B164" s="457" t="s">
        <v>275</v>
      </c>
      <c r="C164" s="452" t="str">
        <f>VLOOKUP(B164,★営業所!$A$1:$B$5,2,FALSE)</f>
        <v>T</v>
      </c>
      <c r="D164" s="465" t="s">
        <v>961</v>
      </c>
      <c r="E164" s="452" t="str">
        <f>VLOOKUP(D164,★サイズ表記!$D$4:$E$55,2,FALSE)</f>
        <v>1012</v>
      </c>
      <c r="F164" s="457" t="s">
        <v>158</v>
      </c>
      <c r="G164" s="452" t="str">
        <f>VLOOKUP(F164,★折込地区!$A$1:$B$11,2,FALSE)</f>
        <v>Hha</v>
      </c>
      <c r="H164" s="453">
        <f>INDEX(★サイズ表記!$I$4:$Q$55, MATCH(E164,★サイズ表記!$E$4:$E$55,0), MATCH(G164,★サイズ表記!$I$3:$R$3,0))</f>
        <v>0</v>
      </c>
      <c r="K164" s="471" t="str">
        <f t="shared" si="0"/>
        <v>T1012Hha</v>
      </c>
      <c r="L164" s="471" t="str">
        <f t="shared" si="1"/>
        <v>B3シール付き</v>
      </c>
      <c r="P164" s="533" t="s">
        <v>1324</v>
      </c>
      <c r="Q164" s="533" t="s">
        <v>1325</v>
      </c>
      <c r="R164" s="534" t="str">
        <f t="shared" si="2"/>
        <v>1012</v>
      </c>
      <c r="S164" s="534" t="str">
        <f t="shared" si="3"/>
        <v>B3シール付き</v>
      </c>
      <c r="T164" s="538" t="str">
        <f t="shared" si="4"/>
        <v>10</v>
      </c>
      <c r="U164" s="538" t="str">
        <f t="shared" si="5"/>
        <v>12</v>
      </c>
      <c r="V164" s="471" t="s">
        <v>1136</v>
      </c>
      <c r="Y164" s="472">
        <f t="shared" si="6"/>
        <v>0</v>
      </c>
      <c r="Z164" s="540">
        <f t="shared" si="7"/>
        <v>0</v>
      </c>
      <c r="AA164" s="471">
        <v>0</v>
      </c>
    </row>
    <row r="165" spans="1:27">
      <c r="A165" s="451" t="str">
        <f>CONCATENATE(VLOOKUP(B165,★営業所!$A$1:$B$5,2,FALSE),VLOOKUP(D165,★サイズ表記!$D$4:$E$55,2,FALSE),VLOOKUP(F165,★折込地区!$A$1:$B$11,2,FALSE))</f>
        <v>T1013Hha</v>
      </c>
      <c r="B165" s="457" t="s">
        <v>275</v>
      </c>
      <c r="C165" s="452" t="str">
        <f>VLOOKUP(B165,★営業所!$A$1:$B$5,2,FALSE)</f>
        <v>T</v>
      </c>
      <c r="D165" s="465" t="s">
        <v>962</v>
      </c>
      <c r="E165" s="452" t="str">
        <f>VLOOKUP(D165,★サイズ表記!$D$4:$E$55,2,FALSE)</f>
        <v>1013</v>
      </c>
      <c r="F165" s="457" t="s">
        <v>158</v>
      </c>
      <c r="G165" s="452" t="str">
        <f>VLOOKUP(F165,★折込地区!$A$1:$B$11,2,FALSE)</f>
        <v>Hha</v>
      </c>
      <c r="H165" s="453">
        <f>INDEX(★サイズ表記!$I$4:$Q$55, MATCH(E165,★サイズ表記!$E$4:$E$55,0), MATCH(G165,★サイズ表記!$I$3:$R$3,0))</f>
        <v>0</v>
      </c>
      <c r="K165" s="471" t="str">
        <f t="shared" si="0"/>
        <v>T1013Hha</v>
      </c>
      <c r="L165" s="471" t="str">
        <f t="shared" si="1"/>
        <v>B4スクラッチ付き</v>
      </c>
      <c r="P165" s="533" t="s">
        <v>1324</v>
      </c>
      <c r="Q165" s="533" t="s">
        <v>1325</v>
      </c>
      <c r="R165" s="534" t="str">
        <f t="shared" si="2"/>
        <v>1013</v>
      </c>
      <c r="S165" s="534" t="str">
        <f t="shared" si="3"/>
        <v>B4スクラッチ付き</v>
      </c>
      <c r="T165" s="538" t="str">
        <f t="shared" si="4"/>
        <v>10</v>
      </c>
      <c r="U165" s="538" t="str">
        <f t="shared" si="5"/>
        <v>13</v>
      </c>
      <c r="V165" s="471" t="s">
        <v>1136</v>
      </c>
      <c r="Y165" s="472">
        <f t="shared" si="6"/>
        <v>0</v>
      </c>
      <c r="Z165" s="540">
        <f t="shared" si="7"/>
        <v>0</v>
      </c>
      <c r="AA165" s="471">
        <v>0</v>
      </c>
    </row>
    <row r="166" spans="1:27">
      <c r="A166" s="451" t="str">
        <f>CONCATENATE(VLOOKUP(B166,★営業所!$A$1:$B$5,2,FALSE),VLOOKUP(D166,★サイズ表記!$D$4:$E$55,2,FALSE),VLOOKUP(F166,★折込地区!$A$1:$B$11,2,FALSE))</f>
        <v>T2001Hha</v>
      </c>
      <c r="B166" s="457" t="s">
        <v>275</v>
      </c>
      <c r="C166" s="452" t="str">
        <f>VLOOKUP(B166,★営業所!$A$1:$B$5,2,FALSE)</f>
        <v>T</v>
      </c>
      <c r="D166" s="465" t="s">
        <v>963</v>
      </c>
      <c r="E166" s="452" t="str">
        <f>VLOOKUP(D166,★サイズ表記!$D$4:$E$55,2,FALSE)</f>
        <v>2001</v>
      </c>
      <c r="F166" s="457" t="s">
        <v>158</v>
      </c>
      <c r="G166" s="452" t="str">
        <f>VLOOKUP(F166,★折込地区!$A$1:$B$11,2,FALSE)</f>
        <v>Hha</v>
      </c>
      <c r="H166" s="453">
        <f>INDEX(★サイズ表記!$I$4:$Q$55, MATCH(E166,★サイズ表記!$E$4:$E$55,0), MATCH(G166,★サイズ表記!$I$3:$R$3,0))</f>
        <v>4.5</v>
      </c>
      <c r="K166" s="471" t="str">
        <f t="shared" si="0"/>
        <v>T2001Hha</v>
      </c>
      <c r="L166" s="471" t="str">
        <f t="shared" si="1"/>
        <v>連合B4</v>
      </c>
      <c r="P166" s="533" t="s">
        <v>1324</v>
      </c>
      <c r="Q166" s="533" t="s">
        <v>1325</v>
      </c>
      <c r="R166" s="534" t="str">
        <f t="shared" si="2"/>
        <v>2001</v>
      </c>
      <c r="S166" s="534" t="str">
        <f t="shared" si="3"/>
        <v>連合B4</v>
      </c>
      <c r="T166" s="538" t="str">
        <f t="shared" si="4"/>
        <v>20</v>
      </c>
      <c r="U166" s="538" t="str">
        <f t="shared" si="5"/>
        <v>01</v>
      </c>
      <c r="V166" s="471" t="s">
        <v>1136</v>
      </c>
      <c r="Y166" s="472">
        <f t="shared" si="6"/>
        <v>4.5</v>
      </c>
      <c r="Z166" s="540">
        <f t="shared" si="7"/>
        <v>0.36</v>
      </c>
      <c r="AA166" s="471">
        <v>0</v>
      </c>
    </row>
    <row r="167" spans="1:27">
      <c r="A167" s="451" t="str">
        <f>CONCATENATE(VLOOKUP(B167,★営業所!$A$1:$B$5,2,FALSE),VLOOKUP(D167,★サイズ表記!$D$4:$E$55,2,FALSE),VLOOKUP(F167,★折込地区!$A$1:$B$11,2,FALSE))</f>
        <v>T2002Hha</v>
      </c>
      <c r="B167" s="457" t="s">
        <v>275</v>
      </c>
      <c r="C167" s="452" t="str">
        <f>VLOOKUP(B167,★営業所!$A$1:$B$5,2,FALSE)</f>
        <v>T</v>
      </c>
      <c r="D167" s="465" t="s">
        <v>964</v>
      </c>
      <c r="E167" s="452" t="str">
        <f>VLOOKUP(D167,★サイズ表記!$D$4:$E$55,2,FALSE)</f>
        <v>2002</v>
      </c>
      <c r="F167" s="457" t="s">
        <v>158</v>
      </c>
      <c r="G167" s="452" t="str">
        <f>VLOOKUP(F167,★折込地区!$A$1:$B$11,2,FALSE)</f>
        <v>Hha</v>
      </c>
      <c r="H167" s="453">
        <f>INDEX(★サイズ表記!$I$4:$Q$55, MATCH(E167,★サイズ表記!$E$4:$E$55,0), MATCH(G167,★サイズ表記!$I$3:$R$3,0))</f>
        <v>6</v>
      </c>
      <c r="K167" s="471" t="str">
        <f t="shared" si="0"/>
        <v>T2002Hha</v>
      </c>
      <c r="L167" s="471" t="str">
        <f t="shared" si="1"/>
        <v>連合B3</v>
      </c>
      <c r="P167" s="533" t="s">
        <v>1324</v>
      </c>
      <c r="Q167" s="533" t="s">
        <v>1325</v>
      </c>
      <c r="R167" s="534" t="str">
        <f t="shared" si="2"/>
        <v>2002</v>
      </c>
      <c r="S167" s="534" t="str">
        <f t="shared" si="3"/>
        <v>連合B3</v>
      </c>
      <c r="T167" s="538" t="str">
        <f t="shared" si="4"/>
        <v>20</v>
      </c>
      <c r="U167" s="538" t="str">
        <f t="shared" si="5"/>
        <v>02</v>
      </c>
      <c r="V167" s="471" t="s">
        <v>1136</v>
      </c>
      <c r="Y167" s="472">
        <f t="shared" si="6"/>
        <v>6</v>
      </c>
      <c r="Z167" s="540">
        <f t="shared" si="7"/>
        <v>0.48</v>
      </c>
      <c r="AA167" s="471">
        <v>0</v>
      </c>
    </row>
    <row r="168" spans="1:27">
      <c r="A168" s="451" t="str">
        <f>CONCATENATE(VLOOKUP(B168,★営業所!$A$1:$B$5,2,FALSE),VLOOKUP(D168,★サイズ表記!$D$4:$E$55,2,FALSE),VLOOKUP(F168,★折込地区!$A$1:$B$11,2,FALSE))</f>
        <v>T2003Hha</v>
      </c>
      <c r="B168" s="457" t="s">
        <v>275</v>
      </c>
      <c r="C168" s="452" t="str">
        <f>VLOOKUP(B168,★営業所!$A$1:$B$5,2,FALSE)</f>
        <v>T</v>
      </c>
      <c r="D168" s="465" t="s">
        <v>965</v>
      </c>
      <c r="E168" s="452" t="str">
        <f>VLOOKUP(D168,★サイズ表記!$D$4:$E$55,2,FALSE)</f>
        <v>2003</v>
      </c>
      <c r="F168" s="457" t="s">
        <v>158</v>
      </c>
      <c r="G168" s="452" t="str">
        <f>VLOOKUP(F168,★折込地区!$A$1:$B$11,2,FALSE)</f>
        <v>Hha</v>
      </c>
      <c r="H168" s="453">
        <f>INDEX(★サイズ表記!$I$4:$Q$55, MATCH(E168,★サイズ表記!$E$4:$E$55,0), MATCH(G168,★サイズ表記!$I$3:$R$3,0))</f>
        <v>9</v>
      </c>
      <c r="K168" s="471" t="str">
        <f t="shared" ref="K168:K231" si="16">A168</f>
        <v>T2003Hha</v>
      </c>
      <c r="L168" s="471" t="str">
        <f t="shared" ref="L168:L231" si="17">D168</f>
        <v>連合B2</v>
      </c>
      <c r="P168" s="533" t="s">
        <v>1324</v>
      </c>
      <c r="Q168" s="533" t="s">
        <v>1325</v>
      </c>
      <c r="R168" s="534" t="str">
        <f t="shared" si="2"/>
        <v>2003</v>
      </c>
      <c r="S168" s="534" t="str">
        <f t="shared" si="3"/>
        <v>連合B2</v>
      </c>
      <c r="T168" s="538" t="str">
        <f t="shared" si="4"/>
        <v>20</v>
      </c>
      <c r="U168" s="538" t="str">
        <f t="shared" si="5"/>
        <v>03</v>
      </c>
      <c r="V168" s="471" t="s">
        <v>1136</v>
      </c>
      <c r="Y168" s="472">
        <f t="shared" si="6"/>
        <v>9</v>
      </c>
      <c r="Z168" s="540">
        <f t="shared" si="7"/>
        <v>0.72</v>
      </c>
      <c r="AA168" s="471">
        <v>0</v>
      </c>
    </row>
    <row r="169" spans="1:27">
      <c r="A169" s="451" t="str">
        <f>CONCATENATE(VLOOKUP(B169,★営業所!$A$1:$B$5,2,FALSE),VLOOKUP(D169,★サイズ表記!$D$4:$E$55,2,FALSE),VLOOKUP(F169,★折込地区!$A$1:$B$11,2,FALSE))</f>
        <v>T2004Hha</v>
      </c>
      <c r="B169" s="457" t="s">
        <v>275</v>
      </c>
      <c r="C169" s="452" t="str">
        <f>VLOOKUP(B169,★営業所!$A$1:$B$5,2,FALSE)</f>
        <v>T</v>
      </c>
      <c r="D169" s="465" t="s">
        <v>966</v>
      </c>
      <c r="E169" s="452" t="str">
        <f>VLOOKUP(D169,★サイズ表記!$D$4:$E$55,2,FALSE)</f>
        <v>2004</v>
      </c>
      <c r="F169" s="457" t="s">
        <v>158</v>
      </c>
      <c r="G169" s="452" t="str">
        <f>VLOOKUP(F169,★折込地区!$A$1:$B$11,2,FALSE)</f>
        <v>Hha</v>
      </c>
      <c r="H169" s="453">
        <f>INDEX(★サイズ表記!$I$4:$Q$55, MATCH(E169,★サイズ表記!$E$4:$E$55,0), MATCH(G169,★サイズ表記!$I$3:$R$3,0))</f>
        <v>0</v>
      </c>
      <c r="K169" s="471" t="str">
        <f t="shared" si="16"/>
        <v>T2004Hha</v>
      </c>
      <c r="L169" s="471" t="str">
        <f t="shared" si="17"/>
        <v>連合3つ折り</v>
      </c>
      <c r="P169" s="533" t="s">
        <v>1324</v>
      </c>
      <c r="Q169" s="533" t="s">
        <v>1325</v>
      </c>
      <c r="R169" s="534" t="str">
        <f t="shared" ref="R169:R232" si="18">E169</f>
        <v>2004</v>
      </c>
      <c r="S169" s="534" t="str">
        <f t="shared" ref="S169:S232" si="19">L169</f>
        <v>連合3つ折り</v>
      </c>
      <c r="T169" s="538" t="str">
        <f t="shared" ref="T169:T232" si="20">LEFT($E169,2)</f>
        <v>20</v>
      </c>
      <c r="U169" s="538" t="str">
        <f t="shared" ref="U169:U232" si="21">RIGHT($E169,2)</f>
        <v>04</v>
      </c>
      <c r="V169" s="471" t="s">
        <v>1136</v>
      </c>
      <c r="Y169" s="472">
        <f t="shared" ref="Y169:Y232" si="22">$H169</f>
        <v>0</v>
      </c>
      <c r="Z169" s="540">
        <f t="shared" ref="Z169:Z232" si="23">ROUNDDOWN($H169*8/100,2)</f>
        <v>0</v>
      </c>
      <c r="AA169" s="471">
        <v>0</v>
      </c>
    </row>
    <row r="170" spans="1:27">
      <c r="A170" s="451" t="str">
        <f>CONCATENATE(VLOOKUP(B170,★営業所!$A$1:$B$5,2,FALSE),VLOOKUP(D170,★サイズ表記!$D$4:$E$55,2,FALSE),VLOOKUP(F170,★折込地区!$A$1:$B$11,2,FALSE))</f>
        <v>T2005Hha</v>
      </c>
      <c r="B170" s="457" t="s">
        <v>275</v>
      </c>
      <c r="C170" s="452" t="str">
        <f>VLOOKUP(B170,★営業所!$A$1:$B$5,2,FALSE)</f>
        <v>T</v>
      </c>
      <c r="D170" s="465" t="s">
        <v>967</v>
      </c>
      <c r="E170" s="452" t="str">
        <f>VLOOKUP(D170,★サイズ表記!$D$4:$E$55,2,FALSE)</f>
        <v>2005</v>
      </c>
      <c r="F170" s="457" t="s">
        <v>158</v>
      </c>
      <c r="G170" s="452" t="str">
        <f>VLOOKUP(F170,★折込地区!$A$1:$B$11,2,FALSE)</f>
        <v>Hha</v>
      </c>
      <c r="H170" s="453">
        <f>INDEX(★サイズ表記!$I$4:$Q$55, MATCH(E170,★サイズ表記!$E$4:$E$55,0), MATCH(G170,★サイズ表記!$I$3:$R$3,0))</f>
        <v>0</v>
      </c>
      <c r="K170" s="471" t="str">
        <f t="shared" si="16"/>
        <v>T2005Hha</v>
      </c>
      <c r="L170" s="471" t="str">
        <f t="shared" si="17"/>
        <v>連合B4厚紙</v>
      </c>
      <c r="P170" s="533" t="s">
        <v>1324</v>
      </c>
      <c r="Q170" s="533" t="s">
        <v>1325</v>
      </c>
      <c r="R170" s="534" t="str">
        <f t="shared" si="18"/>
        <v>2005</v>
      </c>
      <c r="S170" s="534" t="str">
        <f t="shared" si="19"/>
        <v>連合B4厚紙</v>
      </c>
      <c r="T170" s="538" t="str">
        <f t="shared" si="20"/>
        <v>20</v>
      </c>
      <c r="U170" s="538" t="str">
        <f t="shared" si="21"/>
        <v>05</v>
      </c>
      <c r="V170" s="471" t="s">
        <v>1136</v>
      </c>
      <c r="Y170" s="472">
        <f t="shared" si="22"/>
        <v>0</v>
      </c>
      <c r="Z170" s="540">
        <f t="shared" si="23"/>
        <v>0</v>
      </c>
      <c r="AA170" s="471">
        <v>0</v>
      </c>
    </row>
    <row r="171" spans="1:27">
      <c r="A171" s="451" t="str">
        <f>CONCATENATE(VLOOKUP(B171,★営業所!$A$1:$B$5,2,FALSE),VLOOKUP(D171,★サイズ表記!$D$4:$E$55,2,FALSE),VLOOKUP(F171,★折込地区!$A$1:$B$11,2,FALSE))</f>
        <v>T2006Hha</v>
      </c>
      <c r="B171" s="457" t="s">
        <v>275</v>
      </c>
      <c r="C171" s="452" t="str">
        <f>VLOOKUP(B171,★営業所!$A$1:$B$5,2,FALSE)</f>
        <v>T</v>
      </c>
      <c r="D171" s="465" t="s">
        <v>968</v>
      </c>
      <c r="E171" s="452" t="str">
        <f>VLOOKUP(D171,★サイズ表記!$D$4:$E$55,2,FALSE)</f>
        <v>2006</v>
      </c>
      <c r="F171" s="457" t="s">
        <v>158</v>
      </c>
      <c r="G171" s="452" t="str">
        <f>VLOOKUP(F171,★折込地区!$A$1:$B$11,2,FALSE)</f>
        <v>Hha</v>
      </c>
      <c r="H171" s="453">
        <f>INDEX(★サイズ表記!$I$4:$Q$55, MATCH(E171,★サイズ表記!$E$4:$E$55,0), MATCH(G171,★サイズ表記!$I$3:$R$3,0))</f>
        <v>0</v>
      </c>
      <c r="K171" s="471" t="str">
        <f t="shared" si="16"/>
        <v>T2006Hha</v>
      </c>
      <c r="L171" s="471" t="str">
        <f t="shared" si="17"/>
        <v>連合2つ折り極小</v>
      </c>
      <c r="P171" s="533" t="s">
        <v>1324</v>
      </c>
      <c r="Q171" s="533" t="s">
        <v>1325</v>
      </c>
      <c r="R171" s="534" t="str">
        <f t="shared" si="18"/>
        <v>2006</v>
      </c>
      <c r="S171" s="534" t="str">
        <f t="shared" si="19"/>
        <v>連合2つ折り極小</v>
      </c>
      <c r="T171" s="538" t="str">
        <f t="shared" si="20"/>
        <v>20</v>
      </c>
      <c r="U171" s="538" t="str">
        <f t="shared" si="21"/>
        <v>06</v>
      </c>
      <c r="V171" s="471" t="s">
        <v>1136</v>
      </c>
      <c r="Y171" s="472">
        <f t="shared" si="22"/>
        <v>0</v>
      </c>
      <c r="Z171" s="540">
        <f t="shared" si="23"/>
        <v>0</v>
      </c>
      <c r="AA171" s="471">
        <v>0</v>
      </c>
    </row>
    <row r="172" spans="1:27">
      <c r="A172" s="451" t="str">
        <f>CONCATENATE(VLOOKUP(B172,★営業所!$A$1:$B$5,2,FALSE),VLOOKUP(D172,★サイズ表記!$D$4:$E$55,2,FALSE),VLOOKUP(F172,★折込地区!$A$1:$B$11,2,FALSE))</f>
        <v>T2007Hha</v>
      </c>
      <c r="B172" s="457" t="s">
        <v>275</v>
      </c>
      <c r="C172" s="452" t="str">
        <f>VLOOKUP(B172,★営業所!$A$1:$B$5,2,FALSE)</f>
        <v>T</v>
      </c>
      <c r="D172" s="465" t="s">
        <v>1365</v>
      </c>
      <c r="E172" s="452" t="str">
        <f>VLOOKUP(D172,★サイズ表記!$D$4:$E$55,2,FALSE)</f>
        <v>2007</v>
      </c>
      <c r="F172" s="457" t="s">
        <v>158</v>
      </c>
      <c r="G172" s="452" t="str">
        <f>VLOOKUP(F172,★折込地区!$A$1:$B$11,2,FALSE)</f>
        <v>Hha</v>
      </c>
      <c r="H172" s="453">
        <f>INDEX(★サイズ表記!$I$4:$Q$55, MATCH(E172,★サイズ表記!$E$4:$E$55,0), MATCH(G172,★サイズ表記!$I$3:$R$3,0))</f>
        <v>0</v>
      </c>
      <c r="K172" s="471" t="str">
        <f t="shared" si="16"/>
        <v>T2007Hha</v>
      </c>
      <c r="L172" s="471" t="str">
        <f t="shared" si="17"/>
        <v>連合タブ6P</v>
      </c>
      <c r="P172" s="533" t="s">
        <v>1324</v>
      </c>
      <c r="Q172" s="533" t="s">
        <v>1325</v>
      </c>
      <c r="R172" s="534" t="str">
        <f t="shared" si="18"/>
        <v>2007</v>
      </c>
      <c r="S172" s="534" t="str">
        <f t="shared" si="19"/>
        <v>連合タブ6P</v>
      </c>
      <c r="T172" s="538" t="str">
        <f t="shared" si="20"/>
        <v>20</v>
      </c>
      <c r="U172" s="538" t="str">
        <f t="shared" si="21"/>
        <v>07</v>
      </c>
      <c r="V172" s="471" t="s">
        <v>1136</v>
      </c>
      <c r="Y172" s="472">
        <f t="shared" si="22"/>
        <v>0</v>
      </c>
      <c r="Z172" s="540">
        <f t="shared" si="23"/>
        <v>0</v>
      </c>
      <c r="AA172" s="471">
        <v>0</v>
      </c>
    </row>
    <row r="173" spans="1:27">
      <c r="A173" s="451" t="str">
        <f>CONCATENATE(VLOOKUP(B173,★営業所!$A$1:$B$5,2,FALSE),VLOOKUP(D173,★サイズ表記!$D$4:$E$55,2,FALSE),VLOOKUP(F173,★折込地区!$A$1:$B$11,2,FALSE))</f>
        <v>T2008Hha</v>
      </c>
      <c r="B173" s="457" t="s">
        <v>275</v>
      </c>
      <c r="C173" s="452" t="str">
        <f>VLOOKUP(B173,★営業所!$A$1:$B$5,2,FALSE)</f>
        <v>T</v>
      </c>
      <c r="D173" s="465" t="s">
        <v>1366</v>
      </c>
      <c r="E173" s="452" t="str">
        <f>VLOOKUP(D173,★サイズ表記!$D$4:$E$55,2,FALSE)</f>
        <v>2008</v>
      </c>
      <c r="F173" s="457" t="s">
        <v>158</v>
      </c>
      <c r="G173" s="452" t="str">
        <f>VLOOKUP(F173,★折込地区!$A$1:$B$11,2,FALSE)</f>
        <v>Hha</v>
      </c>
      <c r="H173" s="453">
        <f>INDEX(★サイズ表記!$I$4:$Q$55, MATCH(E173,★サイズ表記!$E$4:$E$55,0), MATCH(G173,★サイズ表記!$I$3:$R$3,0))</f>
        <v>0</v>
      </c>
      <c r="K173" s="471" t="str">
        <f t="shared" si="16"/>
        <v>T2008Hha</v>
      </c>
      <c r="L173" s="471" t="str">
        <f t="shared" si="17"/>
        <v>連合タブ8P</v>
      </c>
      <c r="P173" s="533" t="s">
        <v>1324</v>
      </c>
      <c r="Q173" s="533" t="s">
        <v>1325</v>
      </c>
      <c r="R173" s="534" t="str">
        <f t="shared" si="18"/>
        <v>2008</v>
      </c>
      <c r="S173" s="534" t="str">
        <f t="shared" si="19"/>
        <v>連合タブ8P</v>
      </c>
      <c r="T173" s="538" t="str">
        <f t="shared" si="20"/>
        <v>20</v>
      </c>
      <c r="U173" s="538" t="str">
        <f t="shared" si="21"/>
        <v>08</v>
      </c>
      <c r="V173" s="471" t="s">
        <v>1136</v>
      </c>
      <c r="Y173" s="472">
        <f t="shared" si="22"/>
        <v>0</v>
      </c>
      <c r="Z173" s="540">
        <f t="shared" si="23"/>
        <v>0</v>
      </c>
      <c r="AA173" s="471">
        <v>0</v>
      </c>
    </row>
    <row r="174" spans="1:27">
      <c r="A174" s="451" t="str">
        <f>CONCATENATE(VLOOKUP(B174,★営業所!$A$1:$B$5,2,FALSE),VLOOKUP(D174,★サイズ表記!$D$4:$E$55,2,FALSE),VLOOKUP(F174,★折込地区!$A$1:$B$11,2,FALSE))</f>
        <v>T2009Hha</v>
      </c>
      <c r="B174" s="457" t="s">
        <v>275</v>
      </c>
      <c r="C174" s="452" t="str">
        <f>VLOOKUP(B174,★営業所!$A$1:$B$5,2,FALSE)</f>
        <v>T</v>
      </c>
      <c r="D174" s="465" t="s">
        <v>1364</v>
      </c>
      <c r="E174" s="452" t="str">
        <f>VLOOKUP(D174,★サイズ表記!$D$4:$E$55,2,FALSE)</f>
        <v>2009</v>
      </c>
      <c r="F174" s="457" t="s">
        <v>158</v>
      </c>
      <c r="G174" s="452" t="str">
        <f>VLOOKUP(F174,★折込地区!$A$1:$B$11,2,FALSE)</f>
        <v>Hha</v>
      </c>
      <c r="H174" s="453">
        <f>INDEX(★サイズ表記!$I$4:$Q$55, MATCH(E174,★サイズ表記!$E$4:$E$55,0), MATCH(G174,★サイズ表記!$I$3:$R$3,0))</f>
        <v>0</v>
      </c>
      <c r="K174" s="471" t="str">
        <f t="shared" si="16"/>
        <v>T2009Hha</v>
      </c>
      <c r="L174" s="471" t="str">
        <f t="shared" si="17"/>
        <v>連合タブ12P</v>
      </c>
      <c r="P174" s="533" t="s">
        <v>1324</v>
      </c>
      <c r="Q174" s="533" t="s">
        <v>1325</v>
      </c>
      <c r="R174" s="534" t="str">
        <f t="shared" si="18"/>
        <v>2009</v>
      </c>
      <c r="S174" s="534" t="str">
        <f t="shared" si="19"/>
        <v>連合タブ12P</v>
      </c>
      <c r="T174" s="538" t="str">
        <f t="shared" si="20"/>
        <v>20</v>
      </c>
      <c r="U174" s="538" t="str">
        <f t="shared" si="21"/>
        <v>09</v>
      </c>
      <c r="V174" s="471" t="s">
        <v>1136</v>
      </c>
      <c r="Y174" s="472">
        <f t="shared" si="22"/>
        <v>0</v>
      </c>
      <c r="Z174" s="540">
        <f t="shared" si="23"/>
        <v>0</v>
      </c>
      <c r="AA174" s="471">
        <v>0</v>
      </c>
    </row>
    <row r="175" spans="1:27">
      <c r="A175" s="451" t="str">
        <f>CONCATENATE(VLOOKUP(B175,★営業所!$A$1:$B$5,2,FALSE),VLOOKUP(D175,★サイズ表記!$D$4:$E$55,2,FALSE),VLOOKUP(F175,★折込地区!$A$1:$B$11,2,FALSE))</f>
        <v>T3001Hha</v>
      </c>
      <c r="B175" s="457" t="s">
        <v>275</v>
      </c>
      <c r="C175" s="452" t="str">
        <f>VLOOKUP(B175,★営業所!$A$1:$B$5,2,FALSE)</f>
        <v>T</v>
      </c>
      <c r="D175" s="465" t="s">
        <v>969</v>
      </c>
      <c r="E175" s="452" t="str">
        <f>VLOOKUP(D175,★サイズ表記!$D$4:$E$55,2,FALSE)</f>
        <v>3001</v>
      </c>
      <c r="F175" s="457" t="s">
        <v>158</v>
      </c>
      <c r="G175" s="452" t="str">
        <f>VLOOKUP(F175,★折込地区!$A$1:$B$11,2,FALSE)</f>
        <v>Hha</v>
      </c>
      <c r="H175" s="453">
        <f>INDEX(★サイズ表記!$I$4:$Q$55, MATCH(E175,★サイズ表記!$E$4:$E$55,0), MATCH(G175,★サイズ表記!$I$3:$R$3,0))</f>
        <v>4.5</v>
      </c>
      <c r="K175" s="471" t="str">
        <f t="shared" si="16"/>
        <v>T3001Hha</v>
      </c>
      <c r="L175" s="471" t="str">
        <f t="shared" si="17"/>
        <v>政治B4</v>
      </c>
      <c r="P175" s="533" t="s">
        <v>1324</v>
      </c>
      <c r="Q175" s="533" t="s">
        <v>1325</v>
      </c>
      <c r="R175" s="534" t="str">
        <f t="shared" si="18"/>
        <v>3001</v>
      </c>
      <c r="S175" s="534" t="str">
        <f t="shared" si="19"/>
        <v>政治B4</v>
      </c>
      <c r="T175" s="538" t="str">
        <f t="shared" si="20"/>
        <v>30</v>
      </c>
      <c r="U175" s="538" t="str">
        <f t="shared" si="21"/>
        <v>01</v>
      </c>
      <c r="V175" s="471" t="s">
        <v>1136</v>
      </c>
      <c r="Y175" s="472">
        <f t="shared" si="22"/>
        <v>4.5</v>
      </c>
      <c r="Z175" s="540">
        <f t="shared" si="23"/>
        <v>0.36</v>
      </c>
      <c r="AA175" s="471">
        <v>0</v>
      </c>
    </row>
    <row r="176" spans="1:27">
      <c r="A176" s="451" t="str">
        <f>CONCATENATE(VLOOKUP(B176,★営業所!$A$1:$B$5,2,FALSE),VLOOKUP(D176,★サイズ表記!$D$4:$E$55,2,FALSE),VLOOKUP(F176,★折込地区!$A$1:$B$11,2,FALSE))</f>
        <v>T3002Hha</v>
      </c>
      <c r="B176" s="457" t="s">
        <v>275</v>
      </c>
      <c r="C176" s="452" t="str">
        <f>VLOOKUP(B176,★営業所!$A$1:$B$5,2,FALSE)</f>
        <v>T</v>
      </c>
      <c r="D176" s="465" t="s">
        <v>970</v>
      </c>
      <c r="E176" s="452" t="str">
        <f>VLOOKUP(D176,★サイズ表記!$D$4:$E$55,2,FALSE)</f>
        <v>3002</v>
      </c>
      <c r="F176" s="457" t="s">
        <v>158</v>
      </c>
      <c r="G176" s="452" t="str">
        <f>VLOOKUP(F176,★折込地区!$A$1:$B$11,2,FALSE)</f>
        <v>Hha</v>
      </c>
      <c r="H176" s="453">
        <f>INDEX(★サイズ表記!$I$4:$Q$55, MATCH(E176,★サイズ表記!$E$4:$E$55,0), MATCH(G176,★サイズ表記!$I$3:$R$3,0))</f>
        <v>6</v>
      </c>
      <c r="K176" s="471" t="str">
        <f t="shared" si="16"/>
        <v>T3002Hha</v>
      </c>
      <c r="L176" s="471" t="str">
        <f t="shared" si="17"/>
        <v>政治B3</v>
      </c>
      <c r="P176" s="533" t="s">
        <v>1324</v>
      </c>
      <c r="Q176" s="533" t="s">
        <v>1325</v>
      </c>
      <c r="R176" s="534" t="str">
        <f t="shared" si="18"/>
        <v>3002</v>
      </c>
      <c r="S176" s="534" t="str">
        <f t="shared" si="19"/>
        <v>政治B3</v>
      </c>
      <c r="T176" s="538" t="str">
        <f t="shared" si="20"/>
        <v>30</v>
      </c>
      <c r="U176" s="538" t="str">
        <f t="shared" si="21"/>
        <v>02</v>
      </c>
      <c r="V176" s="471" t="s">
        <v>1136</v>
      </c>
      <c r="Y176" s="472">
        <f t="shared" si="22"/>
        <v>6</v>
      </c>
      <c r="Z176" s="540">
        <f t="shared" si="23"/>
        <v>0.48</v>
      </c>
      <c r="AA176" s="471">
        <v>0</v>
      </c>
    </row>
    <row r="177" spans="1:27">
      <c r="A177" s="451" t="str">
        <f>CONCATENATE(VLOOKUP(B177,★営業所!$A$1:$B$5,2,FALSE),VLOOKUP(D177,★サイズ表記!$D$4:$E$55,2,FALSE),VLOOKUP(F177,★折込地区!$A$1:$B$11,2,FALSE))</f>
        <v>T3003Hha</v>
      </c>
      <c r="B177" s="457" t="s">
        <v>275</v>
      </c>
      <c r="C177" s="452" t="str">
        <f>VLOOKUP(B177,★営業所!$A$1:$B$5,2,FALSE)</f>
        <v>T</v>
      </c>
      <c r="D177" s="465" t="s">
        <v>971</v>
      </c>
      <c r="E177" s="452" t="str">
        <f>VLOOKUP(D177,★サイズ表記!$D$4:$E$55,2,FALSE)</f>
        <v>3003</v>
      </c>
      <c r="F177" s="457" t="s">
        <v>158</v>
      </c>
      <c r="G177" s="452" t="str">
        <f>VLOOKUP(F177,★折込地区!$A$1:$B$11,2,FALSE)</f>
        <v>Hha</v>
      </c>
      <c r="H177" s="453">
        <f>INDEX(★サイズ表記!$I$4:$Q$55, MATCH(E177,★サイズ表記!$E$4:$E$55,0), MATCH(G177,★サイズ表記!$I$3:$R$3,0))</f>
        <v>9</v>
      </c>
      <c r="K177" s="471" t="str">
        <f t="shared" si="16"/>
        <v>T3003Hha</v>
      </c>
      <c r="L177" s="471" t="str">
        <f t="shared" si="17"/>
        <v>政治B2</v>
      </c>
      <c r="P177" s="533" t="s">
        <v>1324</v>
      </c>
      <c r="Q177" s="533" t="s">
        <v>1325</v>
      </c>
      <c r="R177" s="534" t="str">
        <f t="shared" si="18"/>
        <v>3003</v>
      </c>
      <c r="S177" s="534" t="str">
        <f t="shared" si="19"/>
        <v>政治B2</v>
      </c>
      <c r="T177" s="538" t="str">
        <f t="shared" si="20"/>
        <v>30</v>
      </c>
      <c r="U177" s="538" t="str">
        <f t="shared" si="21"/>
        <v>03</v>
      </c>
      <c r="V177" s="471" t="s">
        <v>1136</v>
      </c>
      <c r="Y177" s="472">
        <f t="shared" si="22"/>
        <v>9</v>
      </c>
      <c r="Z177" s="540">
        <f t="shared" si="23"/>
        <v>0.72</v>
      </c>
      <c r="AA177" s="471">
        <v>0</v>
      </c>
    </row>
    <row r="178" spans="1:27">
      <c r="A178" s="451" t="str">
        <f>CONCATENATE(VLOOKUP(B178,★営業所!$A$1:$B$5,2,FALSE),VLOOKUP(D178,★サイズ表記!$D$4:$E$55,2,FALSE),VLOOKUP(F178,★折込地区!$A$1:$B$11,2,FALSE))</f>
        <v>T3004Hha</v>
      </c>
      <c r="B178" s="457" t="s">
        <v>275</v>
      </c>
      <c r="C178" s="452" t="str">
        <f>VLOOKUP(B178,★営業所!$A$1:$B$5,2,FALSE)</f>
        <v>T</v>
      </c>
      <c r="D178" s="465" t="s">
        <v>972</v>
      </c>
      <c r="E178" s="452" t="str">
        <f>VLOOKUP(D178,★サイズ表記!$D$4:$E$55,2,FALSE)</f>
        <v>3004</v>
      </c>
      <c r="F178" s="457" t="s">
        <v>158</v>
      </c>
      <c r="G178" s="452" t="str">
        <f>VLOOKUP(F178,★折込地区!$A$1:$B$11,2,FALSE)</f>
        <v>Hha</v>
      </c>
      <c r="H178" s="453">
        <f>INDEX(★サイズ表記!$I$4:$Q$55, MATCH(E178,★サイズ表記!$E$4:$E$55,0), MATCH(G178,★サイズ表記!$I$3:$R$3,0))</f>
        <v>0</v>
      </c>
      <c r="K178" s="471" t="str">
        <f t="shared" si="16"/>
        <v>T3004Hha</v>
      </c>
      <c r="L178" s="471" t="str">
        <f t="shared" si="17"/>
        <v>政治3つ折り</v>
      </c>
      <c r="P178" s="533" t="s">
        <v>1324</v>
      </c>
      <c r="Q178" s="533" t="s">
        <v>1325</v>
      </c>
      <c r="R178" s="534" t="str">
        <f t="shared" si="18"/>
        <v>3004</v>
      </c>
      <c r="S178" s="534" t="str">
        <f t="shared" si="19"/>
        <v>政治3つ折り</v>
      </c>
      <c r="T178" s="538" t="str">
        <f t="shared" si="20"/>
        <v>30</v>
      </c>
      <c r="U178" s="538" t="str">
        <f t="shared" si="21"/>
        <v>04</v>
      </c>
      <c r="V178" s="471" t="s">
        <v>1136</v>
      </c>
      <c r="Y178" s="472">
        <f t="shared" si="22"/>
        <v>0</v>
      </c>
      <c r="Z178" s="540">
        <f t="shared" si="23"/>
        <v>0</v>
      </c>
      <c r="AA178" s="471">
        <v>0</v>
      </c>
    </row>
    <row r="179" spans="1:27">
      <c r="A179" s="451" t="str">
        <f>CONCATENATE(VLOOKUP(B179,★営業所!$A$1:$B$5,2,FALSE),VLOOKUP(D179,★サイズ表記!$D$4:$E$55,2,FALSE),VLOOKUP(F179,★折込地区!$A$1:$B$11,2,FALSE))</f>
        <v>T3005Hha</v>
      </c>
      <c r="B179" s="457" t="s">
        <v>275</v>
      </c>
      <c r="C179" s="452" t="str">
        <f>VLOOKUP(B179,★営業所!$A$1:$B$5,2,FALSE)</f>
        <v>T</v>
      </c>
      <c r="D179" s="465" t="s">
        <v>973</v>
      </c>
      <c r="E179" s="452" t="str">
        <f>VLOOKUP(D179,★サイズ表記!$D$4:$E$55,2,FALSE)</f>
        <v>3005</v>
      </c>
      <c r="F179" s="457" t="s">
        <v>158</v>
      </c>
      <c r="G179" s="452" t="str">
        <f>VLOOKUP(F179,★折込地区!$A$1:$B$11,2,FALSE)</f>
        <v>Hha</v>
      </c>
      <c r="H179" s="453">
        <f>INDEX(★サイズ表記!$I$4:$Q$55, MATCH(E179,★サイズ表記!$E$4:$E$55,0), MATCH(G179,★サイズ表記!$I$3:$R$3,0))</f>
        <v>0</v>
      </c>
      <c r="K179" s="471" t="str">
        <f t="shared" si="16"/>
        <v>T3005Hha</v>
      </c>
      <c r="L179" s="471" t="str">
        <f t="shared" si="17"/>
        <v>政治2つ折り極小</v>
      </c>
      <c r="P179" s="533" t="s">
        <v>1324</v>
      </c>
      <c r="Q179" s="533" t="s">
        <v>1325</v>
      </c>
      <c r="R179" s="534" t="str">
        <f t="shared" si="18"/>
        <v>3005</v>
      </c>
      <c r="S179" s="534" t="str">
        <f t="shared" si="19"/>
        <v>政治2つ折り極小</v>
      </c>
      <c r="T179" s="538" t="str">
        <f t="shared" si="20"/>
        <v>30</v>
      </c>
      <c r="U179" s="538" t="str">
        <f t="shared" si="21"/>
        <v>05</v>
      </c>
      <c r="V179" s="471" t="s">
        <v>1136</v>
      </c>
      <c r="Y179" s="472">
        <f t="shared" si="22"/>
        <v>0</v>
      </c>
      <c r="Z179" s="540">
        <f t="shared" si="23"/>
        <v>0</v>
      </c>
      <c r="AA179" s="471">
        <v>0</v>
      </c>
    </row>
    <row r="180" spans="1:27">
      <c r="A180" s="451" t="str">
        <f>CONCATENATE(VLOOKUP(B180,★営業所!$A$1:$B$5,2,FALSE),VLOOKUP(D180,★サイズ表記!$D$4:$E$55,2,FALSE),VLOOKUP(F180,★折込地区!$A$1:$B$11,2,FALSE))</f>
        <v>T3006Hha</v>
      </c>
      <c r="B180" s="457" t="s">
        <v>275</v>
      </c>
      <c r="C180" s="452" t="str">
        <f>VLOOKUP(B180,★営業所!$A$1:$B$5,2,FALSE)</f>
        <v>T</v>
      </c>
      <c r="D180" s="465" t="s">
        <v>974</v>
      </c>
      <c r="E180" s="452" t="str">
        <f>VLOOKUP(D180,★サイズ表記!$D$4:$E$55,2,FALSE)</f>
        <v>3006</v>
      </c>
      <c r="F180" s="457" t="s">
        <v>158</v>
      </c>
      <c r="G180" s="452" t="str">
        <f>VLOOKUP(F180,★折込地区!$A$1:$B$11,2,FALSE)</f>
        <v>Hha</v>
      </c>
      <c r="H180" s="453">
        <f>INDEX(★サイズ表記!$I$4:$Q$55, MATCH(E180,★サイズ表記!$E$4:$E$55,0), MATCH(G180,★サイズ表記!$I$3:$R$3,0))</f>
        <v>0</v>
      </c>
      <c r="K180" s="471" t="str">
        <f t="shared" si="16"/>
        <v>T3006Hha</v>
      </c>
      <c r="L180" s="471" t="str">
        <f t="shared" si="17"/>
        <v>政治B4厚紙</v>
      </c>
      <c r="P180" s="533" t="s">
        <v>1324</v>
      </c>
      <c r="Q180" s="533" t="s">
        <v>1325</v>
      </c>
      <c r="R180" s="534" t="str">
        <f t="shared" si="18"/>
        <v>3006</v>
      </c>
      <c r="S180" s="534" t="str">
        <f t="shared" si="19"/>
        <v>政治B4厚紙</v>
      </c>
      <c r="T180" s="538" t="str">
        <f t="shared" si="20"/>
        <v>30</v>
      </c>
      <c r="U180" s="538" t="str">
        <f t="shared" si="21"/>
        <v>06</v>
      </c>
      <c r="V180" s="471" t="s">
        <v>1136</v>
      </c>
      <c r="Y180" s="472">
        <f t="shared" si="22"/>
        <v>0</v>
      </c>
      <c r="Z180" s="540">
        <f t="shared" si="23"/>
        <v>0</v>
      </c>
      <c r="AA180" s="471">
        <v>0</v>
      </c>
    </row>
    <row r="181" spans="1:27">
      <c r="A181" s="451" t="str">
        <f>CONCATENATE(VLOOKUP(B181,★営業所!$A$1:$B$5,2,FALSE),VLOOKUP(D181,★サイズ表記!$D$4:$E$55,2,FALSE),VLOOKUP(F181,★折込地区!$A$1:$B$11,2,FALSE))</f>
        <v>T3007Hha</v>
      </c>
      <c r="B181" s="457" t="s">
        <v>275</v>
      </c>
      <c r="C181" s="452" t="str">
        <f>VLOOKUP(B181,★営業所!$A$1:$B$5,2,FALSE)</f>
        <v>T</v>
      </c>
      <c r="D181" s="465" t="s">
        <v>1362</v>
      </c>
      <c r="E181" s="452" t="str">
        <f>VLOOKUP(D181,★サイズ表記!$D$4:$E$55,2,FALSE)</f>
        <v>3007</v>
      </c>
      <c r="F181" s="457" t="s">
        <v>158</v>
      </c>
      <c r="G181" s="452" t="str">
        <f>VLOOKUP(F181,★折込地区!$A$1:$B$11,2,FALSE)</f>
        <v>Hha</v>
      </c>
      <c r="H181" s="453">
        <f>INDEX(★サイズ表記!$I$4:$Q$55, MATCH(E181,★サイズ表記!$E$4:$E$55,0), MATCH(G181,★サイズ表記!$I$3:$R$3,0))</f>
        <v>0</v>
      </c>
      <c r="K181" s="471" t="str">
        <f t="shared" si="16"/>
        <v>T3007Hha</v>
      </c>
      <c r="L181" s="471" t="str">
        <f t="shared" si="17"/>
        <v>政治タブ6P</v>
      </c>
      <c r="P181" s="533" t="s">
        <v>1324</v>
      </c>
      <c r="Q181" s="533" t="s">
        <v>1325</v>
      </c>
      <c r="R181" s="534" t="str">
        <f t="shared" si="18"/>
        <v>3007</v>
      </c>
      <c r="S181" s="534" t="str">
        <f t="shared" si="19"/>
        <v>政治タブ6P</v>
      </c>
      <c r="T181" s="538" t="str">
        <f t="shared" si="20"/>
        <v>30</v>
      </c>
      <c r="U181" s="538" t="str">
        <f t="shared" si="21"/>
        <v>07</v>
      </c>
      <c r="V181" s="471" t="s">
        <v>1136</v>
      </c>
      <c r="Y181" s="472">
        <f t="shared" si="22"/>
        <v>0</v>
      </c>
      <c r="Z181" s="540">
        <f t="shared" si="23"/>
        <v>0</v>
      </c>
      <c r="AA181" s="471">
        <v>0</v>
      </c>
    </row>
    <row r="182" spans="1:27">
      <c r="A182" s="451" t="str">
        <f>CONCATENATE(VLOOKUP(B182,★営業所!$A$1:$B$5,2,FALSE),VLOOKUP(D182,★サイズ表記!$D$4:$E$55,2,FALSE),VLOOKUP(F182,★折込地区!$A$1:$B$11,2,FALSE))</f>
        <v>T3008Hha</v>
      </c>
      <c r="B182" s="457" t="s">
        <v>275</v>
      </c>
      <c r="C182" s="452" t="str">
        <f>VLOOKUP(B182,★営業所!$A$1:$B$5,2,FALSE)</f>
        <v>T</v>
      </c>
      <c r="D182" s="465" t="s">
        <v>1363</v>
      </c>
      <c r="E182" s="452" t="str">
        <f>VLOOKUP(D182,★サイズ表記!$D$4:$E$55,2,FALSE)</f>
        <v>3008</v>
      </c>
      <c r="F182" s="457" t="s">
        <v>158</v>
      </c>
      <c r="G182" s="452" t="str">
        <f>VLOOKUP(F182,★折込地区!$A$1:$B$11,2,FALSE)</f>
        <v>Hha</v>
      </c>
      <c r="H182" s="453">
        <f>INDEX(★サイズ表記!$I$4:$Q$55, MATCH(E182,★サイズ表記!$E$4:$E$55,0), MATCH(G182,★サイズ表記!$I$3:$R$3,0))</f>
        <v>0</v>
      </c>
      <c r="K182" s="471" t="str">
        <f t="shared" si="16"/>
        <v>T3008Hha</v>
      </c>
      <c r="L182" s="471" t="str">
        <f t="shared" si="17"/>
        <v>政治タブ8P</v>
      </c>
      <c r="P182" s="533" t="s">
        <v>1324</v>
      </c>
      <c r="Q182" s="533" t="s">
        <v>1325</v>
      </c>
      <c r="R182" s="534" t="str">
        <f t="shared" si="18"/>
        <v>3008</v>
      </c>
      <c r="S182" s="534" t="str">
        <f t="shared" si="19"/>
        <v>政治タブ8P</v>
      </c>
      <c r="T182" s="538" t="str">
        <f t="shared" si="20"/>
        <v>30</v>
      </c>
      <c r="U182" s="538" t="str">
        <f t="shared" si="21"/>
        <v>08</v>
      </c>
      <c r="V182" s="471" t="s">
        <v>1136</v>
      </c>
      <c r="Y182" s="472">
        <f t="shared" si="22"/>
        <v>0</v>
      </c>
      <c r="Z182" s="540">
        <f t="shared" si="23"/>
        <v>0</v>
      </c>
      <c r="AA182" s="471">
        <v>0</v>
      </c>
    </row>
    <row r="183" spans="1:27">
      <c r="A183" s="451" t="str">
        <f>CONCATENATE(VLOOKUP(B183,★営業所!$A$1:$B$5,2,FALSE),VLOOKUP(D183,★サイズ表記!$D$4:$E$55,2,FALSE),VLOOKUP(F183,★折込地区!$A$1:$B$11,2,FALSE))</f>
        <v>T3009Hha</v>
      </c>
      <c r="B183" s="457" t="s">
        <v>275</v>
      </c>
      <c r="C183" s="452" t="str">
        <f>VLOOKUP(B183,★営業所!$A$1:$B$5,2,FALSE)</f>
        <v>T</v>
      </c>
      <c r="D183" s="465" t="s">
        <v>1361</v>
      </c>
      <c r="E183" s="452" t="str">
        <f>VLOOKUP(D183,★サイズ表記!$D$4:$E$55,2,FALSE)</f>
        <v>3009</v>
      </c>
      <c r="F183" s="457" t="s">
        <v>158</v>
      </c>
      <c r="G183" s="452" t="str">
        <f>VLOOKUP(F183,★折込地区!$A$1:$B$11,2,FALSE)</f>
        <v>Hha</v>
      </c>
      <c r="H183" s="453">
        <f>INDEX(★サイズ表記!$I$4:$Q$55, MATCH(E183,★サイズ表記!$E$4:$E$55,0), MATCH(G183,★サイズ表記!$I$3:$R$3,0))</f>
        <v>0</v>
      </c>
      <c r="K183" s="471" t="str">
        <f t="shared" si="16"/>
        <v>T3009Hha</v>
      </c>
      <c r="L183" s="471" t="str">
        <f t="shared" si="17"/>
        <v>政治タブ12P</v>
      </c>
      <c r="P183" s="533" t="s">
        <v>1324</v>
      </c>
      <c r="Q183" s="533" t="s">
        <v>1325</v>
      </c>
      <c r="R183" s="534" t="str">
        <f t="shared" si="18"/>
        <v>3009</v>
      </c>
      <c r="S183" s="534" t="str">
        <f t="shared" si="19"/>
        <v>政治タブ12P</v>
      </c>
      <c r="T183" s="538" t="str">
        <f t="shared" si="20"/>
        <v>30</v>
      </c>
      <c r="U183" s="538" t="str">
        <f t="shared" si="21"/>
        <v>09</v>
      </c>
      <c r="V183" s="471" t="s">
        <v>1136</v>
      </c>
      <c r="Y183" s="472">
        <f t="shared" si="22"/>
        <v>0</v>
      </c>
      <c r="Z183" s="540">
        <f t="shared" si="23"/>
        <v>0</v>
      </c>
      <c r="AA183" s="471">
        <v>0</v>
      </c>
    </row>
    <row r="184" spans="1:27">
      <c r="A184" s="451" t="str">
        <f>CONCATENATE(VLOOKUP(B184,★営業所!$A$1:$B$5,2,FALSE),VLOOKUP(D184,★サイズ表記!$D$4:$E$55,2,FALSE),VLOOKUP(F184,★折込地区!$A$1:$B$11,2,FALSE))</f>
        <v>T4001Hha</v>
      </c>
      <c r="B184" s="457" t="s">
        <v>275</v>
      </c>
      <c r="C184" s="452" t="str">
        <f>VLOOKUP(B184,★営業所!$A$1:$B$5,2,FALSE)</f>
        <v>T</v>
      </c>
      <c r="D184" s="465" t="s">
        <v>1358</v>
      </c>
      <c r="E184" s="452" t="str">
        <f>VLOOKUP(D184,★サイズ表記!$D$4:$E$55,2,FALSE)</f>
        <v>4001</v>
      </c>
      <c r="F184" s="457" t="s">
        <v>158</v>
      </c>
      <c r="G184" s="452" t="str">
        <f>VLOOKUP(F184,★折込地区!$A$1:$B$11,2,FALSE)</f>
        <v>Hha</v>
      </c>
      <c r="H184" s="453">
        <f>INDEX(★サイズ表記!$I$4:$Q$55, MATCH(E184,★サイズ表記!$E$4:$E$55,0), MATCH(G184,★サイズ表記!$I$3:$R$3,0))</f>
        <v>0</v>
      </c>
      <c r="K184" s="471" t="str">
        <f t="shared" si="16"/>
        <v>T4001Hha</v>
      </c>
      <c r="L184" s="471" t="str">
        <f t="shared" si="17"/>
        <v>タブ6P</v>
      </c>
      <c r="P184" s="533" t="s">
        <v>1324</v>
      </c>
      <c r="Q184" s="533" t="s">
        <v>1325</v>
      </c>
      <c r="R184" s="534" t="str">
        <f t="shared" si="18"/>
        <v>4001</v>
      </c>
      <c r="S184" s="534" t="str">
        <f t="shared" si="19"/>
        <v>タブ6P</v>
      </c>
      <c r="T184" s="538" t="str">
        <f t="shared" si="20"/>
        <v>40</v>
      </c>
      <c r="U184" s="538" t="str">
        <f t="shared" si="21"/>
        <v>01</v>
      </c>
      <c r="V184" s="471" t="s">
        <v>1136</v>
      </c>
      <c r="Y184" s="472">
        <f t="shared" si="22"/>
        <v>0</v>
      </c>
      <c r="Z184" s="540">
        <f t="shared" si="23"/>
        <v>0</v>
      </c>
      <c r="AA184" s="471">
        <v>0</v>
      </c>
    </row>
    <row r="185" spans="1:27">
      <c r="A185" s="451" t="str">
        <f>CONCATENATE(VLOOKUP(B185,★営業所!$A$1:$B$5,2,FALSE),VLOOKUP(D185,★サイズ表記!$D$4:$E$55,2,FALSE),VLOOKUP(F185,★折込地区!$A$1:$B$11,2,FALSE))</f>
        <v>T4002Hha</v>
      </c>
      <c r="B185" s="457" t="s">
        <v>275</v>
      </c>
      <c r="C185" s="452" t="str">
        <f>VLOOKUP(B185,★営業所!$A$1:$B$5,2,FALSE)</f>
        <v>T</v>
      </c>
      <c r="D185" s="465" t="s">
        <v>1359</v>
      </c>
      <c r="E185" s="452" t="str">
        <f>VLOOKUP(D185,★サイズ表記!$D$4:$E$55,2,FALSE)</f>
        <v>4002</v>
      </c>
      <c r="F185" s="457" t="s">
        <v>158</v>
      </c>
      <c r="G185" s="452" t="str">
        <f>VLOOKUP(F185,★折込地区!$A$1:$B$11,2,FALSE)</f>
        <v>Hha</v>
      </c>
      <c r="H185" s="453">
        <f>INDEX(★サイズ表記!$I$4:$Q$55, MATCH(E185,★サイズ表記!$E$4:$E$55,0), MATCH(G185,★サイズ表記!$I$3:$R$3,0))</f>
        <v>0</v>
      </c>
      <c r="K185" s="471" t="str">
        <f t="shared" si="16"/>
        <v>T4002Hha</v>
      </c>
      <c r="L185" s="471" t="str">
        <f t="shared" si="17"/>
        <v>タブ8P</v>
      </c>
      <c r="P185" s="533" t="s">
        <v>1324</v>
      </c>
      <c r="Q185" s="533" t="s">
        <v>1325</v>
      </c>
      <c r="R185" s="534" t="str">
        <f t="shared" si="18"/>
        <v>4002</v>
      </c>
      <c r="S185" s="534" t="str">
        <f t="shared" si="19"/>
        <v>タブ8P</v>
      </c>
      <c r="T185" s="538" t="str">
        <f t="shared" si="20"/>
        <v>40</v>
      </c>
      <c r="U185" s="538" t="str">
        <f t="shared" si="21"/>
        <v>02</v>
      </c>
      <c r="V185" s="471" t="s">
        <v>1136</v>
      </c>
      <c r="Y185" s="472">
        <f t="shared" si="22"/>
        <v>0</v>
      </c>
      <c r="Z185" s="540">
        <f t="shared" si="23"/>
        <v>0</v>
      </c>
      <c r="AA185" s="471">
        <v>0</v>
      </c>
    </row>
    <row r="186" spans="1:27">
      <c r="A186" s="451" t="str">
        <f>CONCATENATE(VLOOKUP(B186,★営業所!$A$1:$B$5,2,FALSE),VLOOKUP(D186,★サイズ表記!$D$4:$E$55,2,FALSE),VLOOKUP(F186,★折込地区!$A$1:$B$11,2,FALSE))</f>
        <v>T4003Hha</v>
      </c>
      <c r="B186" s="457" t="s">
        <v>275</v>
      </c>
      <c r="C186" s="452" t="str">
        <f>VLOOKUP(B186,★営業所!$A$1:$B$5,2,FALSE)</f>
        <v>T</v>
      </c>
      <c r="D186" s="465" t="s">
        <v>1360</v>
      </c>
      <c r="E186" s="452" t="str">
        <f>VLOOKUP(D186,★サイズ表記!$D$4:$E$55,2,FALSE)</f>
        <v>4003</v>
      </c>
      <c r="F186" s="457" t="s">
        <v>158</v>
      </c>
      <c r="G186" s="452" t="str">
        <f>VLOOKUP(F186,★折込地区!$A$1:$B$11,2,FALSE)</f>
        <v>Hha</v>
      </c>
      <c r="H186" s="453">
        <f>INDEX(★サイズ表記!$I$4:$Q$55, MATCH(E186,★サイズ表記!$E$4:$E$55,0), MATCH(G186,★サイズ表記!$I$3:$R$3,0))</f>
        <v>0</v>
      </c>
      <c r="K186" s="471" t="str">
        <f t="shared" si="16"/>
        <v>T4003Hha</v>
      </c>
      <c r="L186" s="471" t="str">
        <f t="shared" si="17"/>
        <v>タブ8Pホチキス止め</v>
      </c>
      <c r="P186" s="533" t="s">
        <v>1324</v>
      </c>
      <c r="Q186" s="533" t="s">
        <v>1325</v>
      </c>
      <c r="R186" s="534" t="str">
        <f t="shared" si="18"/>
        <v>4003</v>
      </c>
      <c r="S186" s="534" t="str">
        <f t="shared" si="19"/>
        <v>タブ8Pホチキス止め</v>
      </c>
      <c r="T186" s="538" t="str">
        <f t="shared" si="20"/>
        <v>40</v>
      </c>
      <c r="U186" s="538" t="str">
        <f t="shared" si="21"/>
        <v>03</v>
      </c>
      <c r="V186" s="471" t="s">
        <v>1136</v>
      </c>
      <c r="Y186" s="472">
        <f t="shared" si="22"/>
        <v>0</v>
      </c>
      <c r="Z186" s="540">
        <f t="shared" si="23"/>
        <v>0</v>
      </c>
      <c r="AA186" s="471">
        <v>0</v>
      </c>
    </row>
    <row r="187" spans="1:27">
      <c r="A187" s="451" t="str">
        <f>CONCATENATE(VLOOKUP(B187,★営業所!$A$1:$B$5,2,FALSE),VLOOKUP(D187,★サイズ表記!$D$4:$E$55,2,FALSE),VLOOKUP(F187,★折込地区!$A$1:$B$11,2,FALSE))</f>
        <v>T4004Hha</v>
      </c>
      <c r="B187" s="457" t="s">
        <v>275</v>
      </c>
      <c r="C187" s="452" t="str">
        <f>VLOOKUP(B187,★営業所!$A$1:$B$5,2,FALSE)</f>
        <v>T</v>
      </c>
      <c r="D187" s="465" t="s">
        <v>1350</v>
      </c>
      <c r="E187" s="452" t="str">
        <f>VLOOKUP(D187,★サイズ表記!$D$4:$E$55,2,FALSE)</f>
        <v>4004</v>
      </c>
      <c r="F187" s="457" t="s">
        <v>158</v>
      </c>
      <c r="G187" s="452" t="str">
        <f>VLOOKUP(F187,★折込地区!$A$1:$B$11,2,FALSE)</f>
        <v>Hha</v>
      </c>
      <c r="H187" s="453">
        <f>INDEX(★サイズ表記!$I$4:$Q$55, MATCH(E187,★サイズ表記!$E$4:$E$55,0), MATCH(G187,★サイズ表記!$I$3:$R$3,0))</f>
        <v>0</v>
      </c>
      <c r="K187" s="471" t="str">
        <f t="shared" si="16"/>
        <v>T4004Hha</v>
      </c>
      <c r="L187" s="471" t="str">
        <f t="shared" si="17"/>
        <v>タブ10P</v>
      </c>
      <c r="P187" s="533" t="s">
        <v>1324</v>
      </c>
      <c r="Q187" s="533" t="s">
        <v>1325</v>
      </c>
      <c r="R187" s="534" t="str">
        <f t="shared" si="18"/>
        <v>4004</v>
      </c>
      <c r="S187" s="534" t="str">
        <f t="shared" si="19"/>
        <v>タブ10P</v>
      </c>
      <c r="T187" s="538" t="str">
        <f t="shared" si="20"/>
        <v>40</v>
      </c>
      <c r="U187" s="538" t="str">
        <f t="shared" si="21"/>
        <v>04</v>
      </c>
      <c r="V187" s="471" t="s">
        <v>1136</v>
      </c>
      <c r="Y187" s="472">
        <f t="shared" si="22"/>
        <v>0</v>
      </c>
      <c r="Z187" s="540">
        <f t="shared" si="23"/>
        <v>0</v>
      </c>
      <c r="AA187" s="471">
        <v>0</v>
      </c>
    </row>
    <row r="188" spans="1:27">
      <c r="A188" s="451" t="str">
        <f>CONCATENATE(VLOOKUP(B188,★営業所!$A$1:$B$5,2,FALSE),VLOOKUP(D188,★サイズ表記!$D$4:$E$55,2,FALSE),VLOOKUP(F188,★折込地区!$A$1:$B$11,2,FALSE))</f>
        <v>T4005Hha</v>
      </c>
      <c r="B188" s="457" t="s">
        <v>275</v>
      </c>
      <c r="C188" s="452" t="str">
        <f>VLOOKUP(B188,★営業所!$A$1:$B$5,2,FALSE)</f>
        <v>T</v>
      </c>
      <c r="D188" s="465" t="s">
        <v>1351</v>
      </c>
      <c r="E188" s="452" t="str">
        <f>VLOOKUP(D188,★サイズ表記!$D$4:$E$55,2,FALSE)</f>
        <v>4005</v>
      </c>
      <c r="F188" s="457" t="s">
        <v>158</v>
      </c>
      <c r="G188" s="452" t="str">
        <f>VLOOKUP(F188,★折込地区!$A$1:$B$11,2,FALSE)</f>
        <v>Hha</v>
      </c>
      <c r="H188" s="453">
        <f>INDEX(★サイズ表記!$I$4:$Q$55, MATCH(E188,★サイズ表記!$E$4:$E$55,0), MATCH(G188,★サイズ表記!$I$3:$R$3,0))</f>
        <v>0</v>
      </c>
      <c r="K188" s="471" t="str">
        <f t="shared" si="16"/>
        <v>T4005Hha</v>
      </c>
      <c r="L188" s="471" t="str">
        <f t="shared" si="17"/>
        <v>タブ12P</v>
      </c>
      <c r="P188" s="533" t="s">
        <v>1324</v>
      </c>
      <c r="Q188" s="533" t="s">
        <v>1325</v>
      </c>
      <c r="R188" s="534" t="str">
        <f t="shared" si="18"/>
        <v>4005</v>
      </c>
      <c r="S188" s="534" t="str">
        <f t="shared" si="19"/>
        <v>タブ12P</v>
      </c>
      <c r="T188" s="538" t="str">
        <f t="shared" si="20"/>
        <v>40</v>
      </c>
      <c r="U188" s="538" t="str">
        <f t="shared" si="21"/>
        <v>05</v>
      </c>
      <c r="V188" s="471" t="s">
        <v>1136</v>
      </c>
      <c r="Y188" s="472">
        <f t="shared" si="22"/>
        <v>0</v>
      </c>
      <c r="Z188" s="540">
        <f t="shared" si="23"/>
        <v>0</v>
      </c>
      <c r="AA188" s="471">
        <v>0</v>
      </c>
    </row>
    <row r="189" spans="1:27">
      <c r="A189" s="451" t="str">
        <f>CONCATENATE(VLOOKUP(B189,★営業所!$A$1:$B$5,2,FALSE),VLOOKUP(D189,★サイズ表記!$D$4:$E$55,2,FALSE),VLOOKUP(F189,★折込地区!$A$1:$B$11,2,FALSE))</f>
        <v>T4006Hha</v>
      </c>
      <c r="B189" s="457" t="s">
        <v>275</v>
      </c>
      <c r="C189" s="452" t="str">
        <f>VLOOKUP(B189,★営業所!$A$1:$B$5,2,FALSE)</f>
        <v>T</v>
      </c>
      <c r="D189" s="465" t="s">
        <v>1352</v>
      </c>
      <c r="E189" s="452" t="str">
        <f>VLOOKUP(D189,★サイズ表記!$D$4:$E$55,2,FALSE)</f>
        <v>4006</v>
      </c>
      <c r="F189" s="457" t="s">
        <v>158</v>
      </c>
      <c r="G189" s="452" t="str">
        <f>VLOOKUP(F189,★折込地区!$A$1:$B$11,2,FALSE)</f>
        <v>Hha</v>
      </c>
      <c r="H189" s="453">
        <f>INDEX(★サイズ表記!$I$4:$Q$55, MATCH(E189,★サイズ表記!$E$4:$E$55,0), MATCH(G189,★サイズ表記!$I$3:$R$3,0))</f>
        <v>0</v>
      </c>
      <c r="K189" s="471" t="str">
        <f t="shared" si="16"/>
        <v>T4006Hha</v>
      </c>
      <c r="L189" s="471" t="str">
        <f t="shared" si="17"/>
        <v>タブ14P</v>
      </c>
      <c r="P189" s="533" t="s">
        <v>1324</v>
      </c>
      <c r="Q189" s="533" t="s">
        <v>1325</v>
      </c>
      <c r="R189" s="534" t="str">
        <f t="shared" si="18"/>
        <v>4006</v>
      </c>
      <c r="S189" s="534" t="str">
        <f t="shared" si="19"/>
        <v>タブ14P</v>
      </c>
      <c r="T189" s="538" t="str">
        <f t="shared" si="20"/>
        <v>40</v>
      </c>
      <c r="U189" s="538" t="str">
        <f t="shared" si="21"/>
        <v>06</v>
      </c>
      <c r="V189" s="471" t="s">
        <v>1136</v>
      </c>
      <c r="Y189" s="472">
        <f t="shared" si="22"/>
        <v>0</v>
      </c>
      <c r="Z189" s="540">
        <f t="shared" si="23"/>
        <v>0</v>
      </c>
      <c r="AA189" s="471">
        <v>0</v>
      </c>
    </row>
    <row r="190" spans="1:27">
      <c r="A190" s="451" t="str">
        <f>CONCATENATE(VLOOKUP(B190,★営業所!$A$1:$B$5,2,FALSE),VLOOKUP(D190,★サイズ表記!$D$4:$E$55,2,FALSE),VLOOKUP(F190,★折込地区!$A$1:$B$11,2,FALSE))</f>
        <v>T4007Hha</v>
      </c>
      <c r="B190" s="457" t="s">
        <v>275</v>
      </c>
      <c r="C190" s="452" t="str">
        <f>VLOOKUP(B190,★営業所!$A$1:$B$5,2,FALSE)</f>
        <v>T</v>
      </c>
      <c r="D190" s="465" t="s">
        <v>1353</v>
      </c>
      <c r="E190" s="452" t="str">
        <f>VLOOKUP(D190,★サイズ表記!$D$4:$E$55,2,FALSE)</f>
        <v>4007</v>
      </c>
      <c r="F190" s="457" t="s">
        <v>158</v>
      </c>
      <c r="G190" s="452" t="str">
        <f>VLOOKUP(F190,★折込地区!$A$1:$B$11,2,FALSE)</f>
        <v>Hha</v>
      </c>
      <c r="H190" s="453">
        <f>INDEX(★サイズ表記!$I$4:$Q$55, MATCH(E190,★サイズ表記!$E$4:$E$55,0), MATCH(G190,★サイズ表記!$I$3:$R$3,0))</f>
        <v>0</v>
      </c>
      <c r="K190" s="471" t="str">
        <f t="shared" si="16"/>
        <v>T4007Hha</v>
      </c>
      <c r="L190" s="471" t="str">
        <f t="shared" si="17"/>
        <v>タブ16P</v>
      </c>
      <c r="P190" s="533" t="s">
        <v>1324</v>
      </c>
      <c r="Q190" s="533" t="s">
        <v>1325</v>
      </c>
      <c r="R190" s="534" t="str">
        <f t="shared" si="18"/>
        <v>4007</v>
      </c>
      <c r="S190" s="534" t="str">
        <f t="shared" si="19"/>
        <v>タブ16P</v>
      </c>
      <c r="T190" s="538" t="str">
        <f t="shared" si="20"/>
        <v>40</v>
      </c>
      <c r="U190" s="538" t="str">
        <f t="shared" si="21"/>
        <v>07</v>
      </c>
      <c r="V190" s="471" t="s">
        <v>1136</v>
      </c>
      <c r="Y190" s="472">
        <f t="shared" si="22"/>
        <v>0</v>
      </c>
      <c r="Z190" s="540">
        <f t="shared" si="23"/>
        <v>0</v>
      </c>
      <c r="AA190" s="471">
        <v>0</v>
      </c>
    </row>
    <row r="191" spans="1:27">
      <c r="A191" s="451" t="str">
        <f>CONCATENATE(VLOOKUP(B191,★営業所!$A$1:$B$5,2,FALSE),VLOOKUP(D191,★サイズ表記!$D$4:$E$55,2,FALSE),VLOOKUP(F191,★折込地区!$A$1:$B$11,2,FALSE))</f>
        <v>T4008Hha</v>
      </c>
      <c r="B191" s="457" t="s">
        <v>275</v>
      </c>
      <c r="C191" s="452" t="str">
        <f>VLOOKUP(B191,★営業所!$A$1:$B$5,2,FALSE)</f>
        <v>T</v>
      </c>
      <c r="D191" s="465" t="s">
        <v>1355</v>
      </c>
      <c r="E191" s="452" t="str">
        <f>VLOOKUP(D191,★サイズ表記!$D$4:$E$55,2,FALSE)</f>
        <v>4008</v>
      </c>
      <c r="F191" s="457" t="s">
        <v>158</v>
      </c>
      <c r="G191" s="452" t="str">
        <f>VLOOKUP(F191,★折込地区!$A$1:$B$11,2,FALSE)</f>
        <v>Hha</v>
      </c>
      <c r="H191" s="453">
        <f>INDEX(★サイズ表記!$I$4:$Q$55, MATCH(E191,★サイズ表記!$E$4:$E$55,0), MATCH(G191,★サイズ表記!$I$3:$R$3,0))</f>
        <v>0</v>
      </c>
      <c r="K191" s="471" t="str">
        <f t="shared" si="16"/>
        <v>T4008Hha</v>
      </c>
      <c r="L191" s="471" t="str">
        <f t="shared" si="17"/>
        <v>タブ18P</v>
      </c>
      <c r="P191" s="533" t="s">
        <v>1324</v>
      </c>
      <c r="Q191" s="533" t="s">
        <v>1325</v>
      </c>
      <c r="R191" s="534" t="str">
        <f t="shared" si="18"/>
        <v>4008</v>
      </c>
      <c r="S191" s="534" t="str">
        <f t="shared" si="19"/>
        <v>タブ18P</v>
      </c>
      <c r="T191" s="538" t="str">
        <f t="shared" si="20"/>
        <v>40</v>
      </c>
      <c r="U191" s="538" t="str">
        <f t="shared" si="21"/>
        <v>08</v>
      </c>
      <c r="V191" s="471" t="s">
        <v>1136</v>
      </c>
      <c r="Y191" s="472">
        <f t="shared" si="22"/>
        <v>0</v>
      </c>
      <c r="Z191" s="540">
        <f t="shared" si="23"/>
        <v>0</v>
      </c>
      <c r="AA191" s="471">
        <v>0</v>
      </c>
    </row>
    <row r="192" spans="1:27">
      <c r="A192" s="451" t="str">
        <f>CONCATENATE(VLOOKUP(B192,★営業所!$A$1:$B$5,2,FALSE),VLOOKUP(D192,★サイズ表記!$D$4:$E$55,2,FALSE),VLOOKUP(F192,★折込地区!$A$1:$B$11,2,FALSE))</f>
        <v>T4009Hha</v>
      </c>
      <c r="B192" s="457" t="s">
        <v>275</v>
      </c>
      <c r="C192" s="452" t="str">
        <f>VLOOKUP(B192,★営業所!$A$1:$B$5,2,FALSE)</f>
        <v>T</v>
      </c>
      <c r="D192" s="465" t="s">
        <v>1356</v>
      </c>
      <c r="E192" s="452" t="str">
        <f>VLOOKUP(D192,★サイズ表記!$D$4:$E$55,2,FALSE)</f>
        <v>4009</v>
      </c>
      <c r="F192" s="457" t="s">
        <v>158</v>
      </c>
      <c r="G192" s="452" t="str">
        <f>VLOOKUP(F192,★折込地区!$A$1:$B$11,2,FALSE)</f>
        <v>Hha</v>
      </c>
      <c r="H192" s="453">
        <f>INDEX(★サイズ表記!$I$4:$Q$55, MATCH(E192,★サイズ表記!$E$4:$E$55,0), MATCH(G192,★サイズ表記!$I$3:$R$3,0))</f>
        <v>0</v>
      </c>
      <c r="K192" s="471" t="str">
        <f t="shared" si="16"/>
        <v>T4009Hha</v>
      </c>
      <c r="L192" s="471" t="str">
        <f t="shared" si="17"/>
        <v>タブ20P</v>
      </c>
      <c r="P192" s="533" t="s">
        <v>1324</v>
      </c>
      <c r="Q192" s="533" t="s">
        <v>1325</v>
      </c>
      <c r="R192" s="534" t="str">
        <f t="shared" si="18"/>
        <v>4009</v>
      </c>
      <c r="S192" s="534" t="str">
        <f t="shared" si="19"/>
        <v>タブ20P</v>
      </c>
      <c r="T192" s="538" t="str">
        <f t="shared" si="20"/>
        <v>40</v>
      </c>
      <c r="U192" s="538" t="str">
        <f t="shared" si="21"/>
        <v>09</v>
      </c>
      <c r="V192" s="471" t="s">
        <v>1136</v>
      </c>
      <c r="Y192" s="472">
        <f t="shared" si="22"/>
        <v>0</v>
      </c>
      <c r="Z192" s="540">
        <f t="shared" si="23"/>
        <v>0</v>
      </c>
      <c r="AA192" s="471">
        <v>0</v>
      </c>
    </row>
    <row r="193" spans="1:27">
      <c r="A193" s="451" t="str">
        <f>CONCATENATE(VLOOKUP(B193,★営業所!$A$1:$B$5,2,FALSE),VLOOKUP(D193,★サイズ表記!$D$4:$E$55,2,FALSE),VLOOKUP(F193,★折込地区!$A$1:$B$11,2,FALSE))</f>
        <v>T4010Hha</v>
      </c>
      <c r="B193" s="457" t="s">
        <v>275</v>
      </c>
      <c r="C193" s="452" t="str">
        <f>VLOOKUP(B193,★営業所!$A$1:$B$5,2,FALSE)</f>
        <v>T</v>
      </c>
      <c r="D193" s="465" t="s">
        <v>1354</v>
      </c>
      <c r="E193" s="452" t="str">
        <f>VLOOKUP(D193,★サイズ表記!$D$4:$E$55,2,FALSE)</f>
        <v>4010</v>
      </c>
      <c r="F193" s="457" t="s">
        <v>158</v>
      </c>
      <c r="G193" s="452" t="str">
        <f>VLOOKUP(F193,★折込地区!$A$1:$B$11,2,FALSE)</f>
        <v>Hha</v>
      </c>
      <c r="H193" s="453">
        <f>INDEX(★サイズ表記!$I$4:$Q$55, MATCH(E193,★サイズ表記!$E$4:$E$55,0), MATCH(G193,★サイズ表記!$I$3:$R$3,0))</f>
        <v>0</v>
      </c>
      <c r="K193" s="471" t="str">
        <f t="shared" si="16"/>
        <v>T4010Hha</v>
      </c>
      <c r="L193" s="471" t="str">
        <f t="shared" si="17"/>
        <v>タブ16Pホチキス止め</v>
      </c>
      <c r="P193" s="533" t="s">
        <v>1324</v>
      </c>
      <c r="Q193" s="533" t="s">
        <v>1325</v>
      </c>
      <c r="R193" s="534" t="str">
        <f t="shared" si="18"/>
        <v>4010</v>
      </c>
      <c r="S193" s="534" t="str">
        <f t="shared" si="19"/>
        <v>タブ16Pホチキス止め</v>
      </c>
      <c r="T193" s="538" t="str">
        <f t="shared" si="20"/>
        <v>40</v>
      </c>
      <c r="U193" s="538" t="str">
        <f t="shared" si="21"/>
        <v>10</v>
      </c>
      <c r="V193" s="471" t="s">
        <v>1136</v>
      </c>
      <c r="Y193" s="472">
        <f t="shared" si="22"/>
        <v>0</v>
      </c>
      <c r="Z193" s="540">
        <f t="shared" si="23"/>
        <v>0</v>
      </c>
      <c r="AA193" s="471">
        <v>0</v>
      </c>
    </row>
    <row r="194" spans="1:27">
      <c r="A194" s="451" t="str">
        <f>CONCATENATE(VLOOKUP(B194,★営業所!$A$1:$B$5,2,FALSE),VLOOKUP(D194,★サイズ表記!$D$4:$E$55,2,FALSE),VLOOKUP(F194,★折込地区!$A$1:$B$11,2,FALSE))</f>
        <v>T4011Hha</v>
      </c>
      <c r="B194" s="457" t="s">
        <v>275</v>
      </c>
      <c r="C194" s="452" t="str">
        <f>VLOOKUP(B194,★営業所!$A$1:$B$5,2,FALSE)</f>
        <v>T</v>
      </c>
      <c r="D194" s="465" t="s">
        <v>1357</v>
      </c>
      <c r="E194" s="452" t="str">
        <f>VLOOKUP(D194,★サイズ表記!$D$4:$E$55,2,FALSE)</f>
        <v>4011</v>
      </c>
      <c r="F194" s="457" t="s">
        <v>158</v>
      </c>
      <c r="G194" s="452" t="str">
        <f>VLOOKUP(F194,★折込地区!$A$1:$B$11,2,FALSE)</f>
        <v>Hha</v>
      </c>
      <c r="H194" s="453">
        <f>INDEX(★サイズ表記!$I$4:$Q$55, MATCH(E194,★サイズ表記!$E$4:$E$55,0), MATCH(G194,★サイズ表記!$I$3:$R$3,0))</f>
        <v>0</v>
      </c>
      <c r="K194" s="471" t="str">
        <f t="shared" si="16"/>
        <v>T4011Hha</v>
      </c>
      <c r="L194" s="471" t="str">
        <f t="shared" si="17"/>
        <v>タブ40P</v>
      </c>
      <c r="P194" s="533" t="s">
        <v>1324</v>
      </c>
      <c r="Q194" s="533" t="s">
        <v>1325</v>
      </c>
      <c r="R194" s="534" t="str">
        <f t="shared" si="18"/>
        <v>4011</v>
      </c>
      <c r="S194" s="534" t="str">
        <f t="shared" si="19"/>
        <v>タブ40P</v>
      </c>
      <c r="T194" s="538" t="str">
        <f t="shared" si="20"/>
        <v>40</v>
      </c>
      <c r="U194" s="538" t="str">
        <f t="shared" si="21"/>
        <v>11</v>
      </c>
      <c r="V194" s="471" t="s">
        <v>1136</v>
      </c>
      <c r="Y194" s="472">
        <f t="shared" si="22"/>
        <v>0</v>
      </c>
      <c r="Z194" s="540">
        <f t="shared" si="23"/>
        <v>0</v>
      </c>
      <c r="AA194" s="471">
        <v>0</v>
      </c>
    </row>
    <row r="195" spans="1:27">
      <c r="A195" s="451" t="str">
        <f>CONCATENATE(VLOOKUP(B195,★営業所!$A$1:$B$5,2,FALSE),VLOOKUP(D195,★サイズ表記!$D$4:$E$55,2,FALSE),VLOOKUP(F195,★折込地区!$A$1:$B$11,2,FALSE))</f>
        <v>T9001Hha</v>
      </c>
      <c r="B195" s="457" t="s">
        <v>275</v>
      </c>
      <c r="C195" s="452" t="str">
        <f>VLOOKUP(B195,★営業所!$A$1:$B$5,2,FALSE)</f>
        <v>T</v>
      </c>
      <c r="D195" s="465" t="s">
        <v>975</v>
      </c>
      <c r="E195" s="452" t="str">
        <f>VLOOKUP(D195,★サイズ表記!$D$4:$E$55,2,FALSE)</f>
        <v>9001</v>
      </c>
      <c r="F195" s="457" t="s">
        <v>158</v>
      </c>
      <c r="G195" s="452" t="str">
        <f>VLOOKUP(F195,★折込地区!$A$1:$B$11,2,FALSE)</f>
        <v>Hha</v>
      </c>
      <c r="H195" s="453">
        <f>INDEX(★サイズ表記!$I$4:$Q$55, MATCH(E195,★サイズ表記!$E$4:$E$55,0), MATCH(G195,★サイズ表記!$I$3:$R$3,0))</f>
        <v>7</v>
      </c>
      <c r="K195" s="471" t="str">
        <f t="shared" si="16"/>
        <v>T9001Hha</v>
      </c>
      <c r="L195" s="471" t="str">
        <f t="shared" si="17"/>
        <v>うさぎの耳</v>
      </c>
      <c r="P195" s="533" t="s">
        <v>1324</v>
      </c>
      <c r="Q195" s="533" t="s">
        <v>1325</v>
      </c>
      <c r="R195" s="534" t="str">
        <f t="shared" si="18"/>
        <v>9001</v>
      </c>
      <c r="S195" s="534" t="str">
        <f t="shared" si="19"/>
        <v>うさぎの耳</v>
      </c>
      <c r="T195" s="538" t="str">
        <f t="shared" si="20"/>
        <v>90</v>
      </c>
      <c r="U195" s="538" t="str">
        <f t="shared" si="21"/>
        <v>01</v>
      </c>
      <c r="V195" s="471" t="s">
        <v>1136</v>
      </c>
      <c r="Y195" s="472">
        <f t="shared" si="22"/>
        <v>7</v>
      </c>
      <c r="Z195" s="540">
        <f t="shared" si="23"/>
        <v>0.56000000000000005</v>
      </c>
      <c r="AA195" s="471">
        <v>0</v>
      </c>
    </row>
    <row r="196" spans="1:27">
      <c r="A196" s="451" t="str">
        <f>CONCATENATE(VLOOKUP(B196,★営業所!$A$1:$B$5,2,FALSE),VLOOKUP(D196,★サイズ表記!$D$4:$E$55,2,FALSE),VLOOKUP(F196,★折込地区!$A$1:$B$11,2,FALSE))</f>
        <v>T9002Hha</v>
      </c>
      <c r="B196" s="457" t="s">
        <v>275</v>
      </c>
      <c r="C196" s="452" t="str">
        <f>VLOOKUP(B196,★営業所!$A$1:$B$5,2,FALSE)</f>
        <v>T</v>
      </c>
      <c r="D196" s="465" t="s">
        <v>976</v>
      </c>
      <c r="E196" s="452" t="str">
        <f>VLOOKUP(D196,★サイズ表記!$D$4:$E$55,2,FALSE)</f>
        <v>9002</v>
      </c>
      <c r="F196" s="457" t="s">
        <v>158</v>
      </c>
      <c r="G196" s="452" t="str">
        <f>VLOOKUP(F196,★折込地区!$A$1:$B$11,2,FALSE)</f>
        <v>Hha</v>
      </c>
      <c r="H196" s="453">
        <f>INDEX(★サイズ表記!$I$4:$Q$55, MATCH(E196,★サイズ表記!$E$4:$E$55,0), MATCH(G196,★サイズ表記!$I$3:$R$3,0))</f>
        <v>5</v>
      </c>
      <c r="K196" s="471" t="str">
        <f t="shared" si="16"/>
        <v>T9002Hha</v>
      </c>
      <c r="L196" s="471" t="str">
        <f t="shared" si="17"/>
        <v>ユーキャン（題字）</v>
      </c>
      <c r="P196" s="533" t="s">
        <v>1324</v>
      </c>
      <c r="Q196" s="533" t="s">
        <v>1325</v>
      </c>
      <c r="R196" s="534" t="str">
        <f t="shared" si="18"/>
        <v>9002</v>
      </c>
      <c r="S196" s="534" t="str">
        <f t="shared" si="19"/>
        <v>ユーキャン（題字）</v>
      </c>
      <c r="T196" s="538" t="str">
        <f t="shared" si="20"/>
        <v>90</v>
      </c>
      <c r="U196" s="538" t="str">
        <f t="shared" si="21"/>
        <v>02</v>
      </c>
      <c r="V196" s="471" t="s">
        <v>1136</v>
      </c>
      <c r="Y196" s="472">
        <f t="shared" si="22"/>
        <v>5</v>
      </c>
      <c r="Z196" s="540">
        <f t="shared" si="23"/>
        <v>0.4</v>
      </c>
      <c r="AA196" s="471">
        <v>0</v>
      </c>
    </row>
    <row r="197" spans="1:27">
      <c r="A197" s="451" t="str">
        <f>CONCATENATE(VLOOKUP(B197,★営業所!$A$1:$B$5,2,FALSE),VLOOKUP(D197,★サイズ表記!$D$4:$E$55,2,FALSE),VLOOKUP(F197,★折込地区!$A$1:$B$11,2,FALSE))</f>
        <v>T9003Hha</v>
      </c>
      <c r="B197" s="457" t="s">
        <v>275</v>
      </c>
      <c r="C197" s="452" t="str">
        <f>VLOOKUP(B197,★営業所!$A$1:$B$5,2,FALSE)</f>
        <v>T</v>
      </c>
      <c r="D197" s="465" t="s">
        <v>977</v>
      </c>
      <c r="E197" s="452" t="str">
        <f>VLOOKUP(D197,★サイズ表記!$D$4:$E$55,2,FALSE)</f>
        <v>9003</v>
      </c>
      <c r="F197" s="457" t="s">
        <v>158</v>
      </c>
      <c r="G197" s="452" t="str">
        <f>VLOOKUP(F197,★折込地区!$A$1:$B$11,2,FALSE)</f>
        <v>Hha</v>
      </c>
      <c r="H197" s="453">
        <f>INDEX(★サイズ表記!$I$4:$Q$55, MATCH(E197,★サイズ表記!$E$4:$E$55,0), MATCH(G197,★サイズ表記!$I$3:$R$3,0))</f>
        <v>0</v>
      </c>
      <c r="K197" s="471" t="str">
        <f t="shared" si="16"/>
        <v>T9003Hha</v>
      </c>
      <c r="L197" s="471" t="str">
        <f t="shared" si="17"/>
        <v>横長B3</v>
      </c>
      <c r="P197" s="533" t="s">
        <v>1324</v>
      </c>
      <c r="Q197" s="533" t="s">
        <v>1325</v>
      </c>
      <c r="R197" s="534" t="str">
        <f t="shared" si="18"/>
        <v>9003</v>
      </c>
      <c r="S197" s="534" t="str">
        <f t="shared" si="19"/>
        <v>横長B3</v>
      </c>
      <c r="T197" s="538" t="str">
        <f t="shared" si="20"/>
        <v>90</v>
      </c>
      <c r="U197" s="538" t="str">
        <f t="shared" si="21"/>
        <v>03</v>
      </c>
      <c r="V197" s="471" t="s">
        <v>1136</v>
      </c>
      <c r="Y197" s="472">
        <f t="shared" si="22"/>
        <v>0</v>
      </c>
      <c r="Z197" s="540">
        <f t="shared" si="23"/>
        <v>0</v>
      </c>
      <c r="AA197" s="471">
        <v>0</v>
      </c>
    </row>
    <row r="198" spans="1:27">
      <c r="A198" s="451" t="str">
        <f>CONCATENATE(VLOOKUP(B198,★営業所!$A$1:$B$5,2,FALSE),VLOOKUP(D198,★サイズ表記!$D$4:$E$55,2,FALSE),VLOOKUP(F198,★折込地区!$A$1:$B$11,2,FALSE))</f>
        <v>T9004Hha</v>
      </c>
      <c r="B198" s="457" t="s">
        <v>275</v>
      </c>
      <c r="C198" s="452" t="str">
        <f>VLOOKUP(B198,★営業所!$A$1:$B$5,2,FALSE)</f>
        <v>T</v>
      </c>
      <c r="D198" s="465" t="s">
        <v>978</v>
      </c>
      <c r="E198" s="452" t="str">
        <f>VLOOKUP(D198,★サイズ表記!$D$4:$E$55,2,FALSE)</f>
        <v>9004</v>
      </c>
      <c r="F198" s="457" t="s">
        <v>158</v>
      </c>
      <c r="G198" s="452" t="str">
        <f>VLOOKUP(F198,★折込地区!$A$1:$B$11,2,FALSE)</f>
        <v>Hha</v>
      </c>
      <c r="H198" s="453">
        <f>INDEX(★サイズ表記!$I$4:$Q$55, MATCH(E198,★サイズ表記!$E$4:$E$55,0), MATCH(G198,★サイズ表記!$I$3:$R$3,0))</f>
        <v>0</v>
      </c>
      <c r="K198" s="471" t="str">
        <f t="shared" si="16"/>
        <v>T9004Hha</v>
      </c>
      <c r="L198" s="471" t="str">
        <f t="shared" si="17"/>
        <v>AD-BAG</v>
      </c>
      <c r="P198" s="533" t="s">
        <v>1324</v>
      </c>
      <c r="Q198" s="533" t="s">
        <v>1325</v>
      </c>
      <c r="R198" s="534" t="str">
        <f t="shared" si="18"/>
        <v>9004</v>
      </c>
      <c r="S198" s="534" t="str">
        <f t="shared" si="19"/>
        <v>AD-BAG</v>
      </c>
      <c r="T198" s="538" t="str">
        <f t="shared" si="20"/>
        <v>90</v>
      </c>
      <c r="U198" s="538" t="str">
        <f t="shared" si="21"/>
        <v>04</v>
      </c>
      <c r="V198" s="471" t="s">
        <v>1136</v>
      </c>
      <c r="Y198" s="472">
        <f t="shared" si="22"/>
        <v>0</v>
      </c>
      <c r="Z198" s="540">
        <f t="shared" si="23"/>
        <v>0</v>
      </c>
      <c r="AA198" s="471">
        <v>0</v>
      </c>
    </row>
    <row r="199" spans="1:27">
      <c r="A199" s="451" t="str">
        <f>CONCATENATE(VLOOKUP(B199,★営業所!$A$1:$B$5,2,FALSE),VLOOKUP(D199,★サイズ表記!$D$4:$E$55,2,FALSE),VLOOKUP(F199,★折込地区!$A$1:$B$11,2,FALSE))</f>
        <v>T9005Hha</v>
      </c>
      <c r="B199" s="457" t="s">
        <v>275</v>
      </c>
      <c r="C199" s="452" t="str">
        <f>VLOOKUP(B199,★営業所!$A$1:$B$5,2,FALSE)</f>
        <v>T</v>
      </c>
      <c r="D199" s="465" t="s">
        <v>979</v>
      </c>
      <c r="E199" s="452" t="str">
        <f>VLOOKUP(D199,★サイズ表記!$D$4:$E$55,2,FALSE)</f>
        <v>9005</v>
      </c>
      <c r="F199" s="457" t="s">
        <v>158</v>
      </c>
      <c r="G199" s="452" t="str">
        <f>VLOOKUP(F199,★折込地区!$A$1:$B$11,2,FALSE)</f>
        <v>Hha</v>
      </c>
      <c r="H199" s="453">
        <f>INDEX(★サイズ表記!$I$4:$Q$55, MATCH(E199,★サイズ表記!$E$4:$E$55,0), MATCH(G199,★サイズ表記!$I$3:$R$3,0))</f>
        <v>0</v>
      </c>
      <c r="K199" s="471" t="str">
        <f t="shared" si="16"/>
        <v>T9005Hha</v>
      </c>
      <c r="L199" s="471" t="str">
        <f t="shared" si="17"/>
        <v>封筒</v>
      </c>
      <c r="P199" s="533" t="s">
        <v>1324</v>
      </c>
      <c r="Q199" s="533" t="s">
        <v>1325</v>
      </c>
      <c r="R199" s="534" t="str">
        <f t="shared" si="18"/>
        <v>9005</v>
      </c>
      <c r="S199" s="534" t="str">
        <f t="shared" si="19"/>
        <v>封筒</v>
      </c>
      <c r="T199" s="538" t="str">
        <f t="shared" si="20"/>
        <v>90</v>
      </c>
      <c r="U199" s="538" t="str">
        <f t="shared" si="21"/>
        <v>05</v>
      </c>
      <c r="V199" s="471" t="s">
        <v>1136</v>
      </c>
      <c r="Y199" s="472">
        <f t="shared" si="22"/>
        <v>0</v>
      </c>
      <c r="Z199" s="540">
        <f t="shared" si="23"/>
        <v>0</v>
      </c>
      <c r="AA199" s="471">
        <v>0</v>
      </c>
    </row>
    <row r="200" spans="1:27">
      <c r="A200" s="451" t="str">
        <f>CONCATENATE(VLOOKUP(B200,★営業所!$A$1:$B$5,2,FALSE),VLOOKUP(D200,★サイズ表記!$D$4:$E$55,2,FALSE),VLOOKUP(F200,★折込地区!$A$1:$B$11,2,FALSE))</f>
        <v>T9006Hha</v>
      </c>
      <c r="B200" s="457" t="s">
        <v>275</v>
      </c>
      <c r="C200" s="452" t="str">
        <f>VLOOKUP(B200,★営業所!$A$1:$B$5,2,FALSE)</f>
        <v>T</v>
      </c>
      <c r="D200" s="465" t="s">
        <v>980</v>
      </c>
      <c r="E200" s="452" t="str">
        <f>VLOOKUP(D200,★サイズ表記!$D$4:$E$55,2,FALSE)</f>
        <v>9006</v>
      </c>
      <c r="F200" s="457" t="s">
        <v>158</v>
      </c>
      <c r="G200" s="452" t="str">
        <f>VLOOKUP(F200,★折込地区!$A$1:$B$11,2,FALSE)</f>
        <v>Hha</v>
      </c>
      <c r="H200" s="453">
        <f>INDEX(★サイズ表記!$I$4:$Q$55, MATCH(E200,★サイズ表記!$E$4:$E$55,0), MATCH(G200,★サイズ表記!$I$3:$R$3,0))</f>
        <v>0</v>
      </c>
      <c r="K200" s="471" t="str">
        <f t="shared" si="16"/>
        <v>T9006Hha</v>
      </c>
      <c r="L200" s="471" t="str">
        <f t="shared" si="17"/>
        <v>圧着</v>
      </c>
      <c r="P200" s="533" t="s">
        <v>1324</v>
      </c>
      <c r="Q200" s="533" t="s">
        <v>1325</v>
      </c>
      <c r="R200" s="534" t="str">
        <f t="shared" si="18"/>
        <v>9006</v>
      </c>
      <c r="S200" s="534" t="str">
        <f t="shared" si="19"/>
        <v>圧着</v>
      </c>
      <c r="T200" s="538" t="str">
        <f t="shared" si="20"/>
        <v>90</v>
      </c>
      <c r="U200" s="538" t="str">
        <f t="shared" si="21"/>
        <v>06</v>
      </c>
      <c r="V200" s="471" t="s">
        <v>1136</v>
      </c>
      <c r="Y200" s="472">
        <f t="shared" si="22"/>
        <v>0</v>
      </c>
      <c r="Z200" s="540">
        <f t="shared" si="23"/>
        <v>0</v>
      </c>
      <c r="AA200" s="471">
        <v>0</v>
      </c>
    </row>
    <row r="201" spans="1:27">
      <c r="A201" s="451" t="str">
        <f>CONCATENATE(VLOOKUP(B201,★営業所!$A$1:$B$5,2,FALSE),VLOOKUP(D201,★サイズ表記!$D$4:$E$55,2,FALSE),VLOOKUP(F201,★折込地区!$A$1:$B$11,2,FALSE))</f>
        <v>T9007Hha</v>
      </c>
      <c r="B201" s="457" t="s">
        <v>275</v>
      </c>
      <c r="C201" s="452" t="str">
        <f>VLOOKUP(B201,★営業所!$A$1:$B$5,2,FALSE)</f>
        <v>T</v>
      </c>
      <c r="D201" s="465" t="s">
        <v>981</v>
      </c>
      <c r="E201" s="452" t="str">
        <f>VLOOKUP(D201,★サイズ表記!$D$4:$E$55,2,FALSE)</f>
        <v>9007</v>
      </c>
      <c r="F201" s="457" t="s">
        <v>158</v>
      </c>
      <c r="G201" s="452" t="str">
        <f>VLOOKUP(F201,★折込地区!$A$1:$B$11,2,FALSE)</f>
        <v>Hha</v>
      </c>
      <c r="H201" s="453">
        <f>INDEX(★サイズ表記!$I$4:$Q$55, MATCH(E201,★サイズ表記!$E$4:$E$55,0), MATCH(G201,★サイズ表記!$I$3:$R$3,0))</f>
        <v>0</v>
      </c>
      <c r="K201" s="471" t="str">
        <f t="shared" si="16"/>
        <v>T9007Hha</v>
      </c>
      <c r="L201" s="471" t="str">
        <f t="shared" si="17"/>
        <v>圧着厚紙</v>
      </c>
      <c r="P201" s="533" t="s">
        <v>1324</v>
      </c>
      <c r="Q201" s="533" t="s">
        <v>1325</v>
      </c>
      <c r="R201" s="534" t="str">
        <f t="shared" si="18"/>
        <v>9007</v>
      </c>
      <c r="S201" s="534" t="str">
        <f t="shared" si="19"/>
        <v>圧着厚紙</v>
      </c>
      <c r="T201" s="538" t="str">
        <f t="shared" si="20"/>
        <v>90</v>
      </c>
      <c r="U201" s="538" t="str">
        <f t="shared" si="21"/>
        <v>07</v>
      </c>
      <c r="V201" s="471" t="s">
        <v>1136</v>
      </c>
      <c r="Y201" s="472">
        <f t="shared" si="22"/>
        <v>0</v>
      </c>
      <c r="Z201" s="540">
        <f t="shared" si="23"/>
        <v>0</v>
      </c>
      <c r="AA201" s="471">
        <v>0</v>
      </c>
    </row>
    <row r="202" spans="1:27">
      <c r="A202" s="451" t="str">
        <f>CONCATENATE(VLOOKUP(B202,★営業所!$A$1:$B$5,2,FALSE),VLOOKUP(D202,★サイズ表記!$D$4:$E$55,2,FALSE),VLOOKUP(F202,★折込地区!$A$1:$B$11,2,FALSE))</f>
        <v>T1001Hmm</v>
      </c>
      <c r="B202" s="457" t="s">
        <v>275</v>
      </c>
      <c r="C202" s="452" t="str">
        <f>VLOOKUP(B202,★営業所!$A$1:$B$5,2,FALSE)</f>
        <v>T</v>
      </c>
      <c r="D202" s="465" t="s">
        <v>948</v>
      </c>
      <c r="E202" s="452" t="str">
        <f>VLOOKUP(D202,★サイズ表記!$D$4:$E$55,2,FALSE)</f>
        <v>1001</v>
      </c>
      <c r="F202" s="457" t="s">
        <v>857</v>
      </c>
      <c r="G202" s="452" t="str">
        <f>VLOOKUP(F202,★折込地区!$A$1:$B$11,2,FALSE)</f>
        <v>Hmm</v>
      </c>
      <c r="H202" s="453">
        <f>INDEX(★サイズ表記!$I$4:$Q$55, MATCH(E202,★サイズ表記!$E$4:$E$55,0), MATCH(G202,★サイズ表記!$I$3:$R$3,0))</f>
        <v>3</v>
      </c>
      <c r="K202" s="471" t="str">
        <f t="shared" si="16"/>
        <v>T1001Hmm</v>
      </c>
      <c r="L202" s="471" t="str">
        <f t="shared" si="17"/>
        <v>B4（折り無し）</v>
      </c>
      <c r="P202" s="533" t="s">
        <v>1324</v>
      </c>
      <c r="Q202" s="533" t="s">
        <v>1325</v>
      </c>
      <c r="R202" s="534" t="str">
        <f t="shared" si="18"/>
        <v>1001</v>
      </c>
      <c r="S202" s="534" t="str">
        <f t="shared" si="19"/>
        <v>B4（折り無し）</v>
      </c>
      <c r="T202" s="538" t="str">
        <f t="shared" si="20"/>
        <v>10</v>
      </c>
      <c r="U202" s="538" t="str">
        <f t="shared" si="21"/>
        <v>01</v>
      </c>
      <c r="V202" s="471" t="s">
        <v>1136</v>
      </c>
      <c r="Y202" s="472">
        <f t="shared" si="22"/>
        <v>3</v>
      </c>
      <c r="Z202" s="540">
        <f t="shared" si="23"/>
        <v>0.24</v>
      </c>
      <c r="AA202" s="471">
        <v>0</v>
      </c>
    </row>
    <row r="203" spans="1:27">
      <c r="A203" s="451" t="str">
        <f>CONCATENATE(VLOOKUP(B203,★営業所!$A$1:$B$5,2,FALSE),VLOOKUP(D203,★サイズ表記!$D$4:$E$55,2,FALSE),VLOOKUP(F203,★折込地区!$A$1:$B$11,2,FALSE))</f>
        <v>T1002Hmm</v>
      </c>
      <c r="B203" s="457" t="s">
        <v>275</v>
      </c>
      <c r="C203" s="452" t="str">
        <f>VLOOKUP(B203,★営業所!$A$1:$B$5,2,FALSE)</f>
        <v>T</v>
      </c>
      <c r="D203" s="465" t="s">
        <v>950</v>
      </c>
      <c r="E203" s="452" t="str">
        <f>VLOOKUP(D203,★サイズ表記!$D$4:$E$55,2,FALSE)</f>
        <v>1002</v>
      </c>
      <c r="F203" s="457" t="s">
        <v>857</v>
      </c>
      <c r="G203" s="452" t="str">
        <f>VLOOKUP(F203,★折込地区!$A$1:$B$11,2,FALSE)</f>
        <v>Hmm</v>
      </c>
      <c r="H203" s="453">
        <f>INDEX(★サイズ表記!$I$4:$Q$55, MATCH(E203,★サイズ表記!$E$4:$E$55,0), MATCH(G203,★サイズ表記!$I$3:$R$3,0))</f>
        <v>5</v>
      </c>
      <c r="K203" s="471" t="str">
        <f t="shared" si="16"/>
        <v>T1002Hmm</v>
      </c>
      <c r="L203" s="471" t="str">
        <f t="shared" si="17"/>
        <v>B3（2つ折り）</v>
      </c>
      <c r="P203" s="533" t="s">
        <v>1324</v>
      </c>
      <c r="Q203" s="533" t="s">
        <v>1325</v>
      </c>
      <c r="R203" s="534" t="str">
        <f t="shared" si="18"/>
        <v>1002</v>
      </c>
      <c r="S203" s="534" t="str">
        <f t="shared" si="19"/>
        <v>B3（2つ折り）</v>
      </c>
      <c r="T203" s="538" t="str">
        <f t="shared" si="20"/>
        <v>10</v>
      </c>
      <c r="U203" s="538" t="str">
        <f t="shared" si="21"/>
        <v>02</v>
      </c>
      <c r="V203" s="471" t="s">
        <v>1136</v>
      </c>
      <c r="Y203" s="472">
        <f t="shared" si="22"/>
        <v>5</v>
      </c>
      <c r="Z203" s="540">
        <f t="shared" si="23"/>
        <v>0.4</v>
      </c>
      <c r="AA203" s="471">
        <v>0</v>
      </c>
    </row>
    <row r="204" spans="1:27">
      <c r="A204" s="451" t="str">
        <f>CONCATENATE(VLOOKUP(B204,★営業所!$A$1:$B$5,2,FALSE),VLOOKUP(D204,★サイズ表記!$D$4:$E$55,2,FALSE),VLOOKUP(F204,★折込地区!$A$1:$B$11,2,FALSE))</f>
        <v>T1003Hmm</v>
      </c>
      <c r="B204" s="457" t="s">
        <v>275</v>
      </c>
      <c r="C204" s="452" t="str">
        <f>VLOOKUP(B204,★営業所!$A$1:$B$5,2,FALSE)</f>
        <v>T</v>
      </c>
      <c r="D204" s="465" t="s">
        <v>951</v>
      </c>
      <c r="E204" s="452" t="str">
        <f>VLOOKUP(D204,★サイズ表記!$D$4:$E$55,2,FALSE)</f>
        <v>1003</v>
      </c>
      <c r="F204" s="457" t="s">
        <v>857</v>
      </c>
      <c r="G204" s="452" t="str">
        <f>VLOOKUP(F204,★折込地区!$A$1:$B$11,2,FALSE)</f>
        <v>Hmm</v>
      </c>
      <c r="H204" s="453">
        <f>INDEX(★サイズ表記!$I$4:$Q$55, MATCH(E204,★サイズ表記!$E$4:$E$55,0), MATCH(G204,★サイズ表記!$I$3:$R$3,0))</f>
        <v>0</v>
      </c>
      <c r="K204" s="471" t="str">
        <f t="shared" si="16"/>
        <v>T1003Hmm</v>
      </c>
      <c r="L204" s="471" t="str">
        <f t="shared" si="17"/>
        <v>3つ折り</v>
      </c>
      <c r="P204" s="533" t="s">
        <v>1324</v>
      </c>
      <c r="Q204" s="533" t="s">
        <v>1325</v>
      </c>
      <c r="R204" s="534" t="str">
        <f t="shared" si="18"/>
        <v>1003</v>
      </c>
      <c r="S204" s="534" t="str">
        <f t="shared" si="19"/>
        <v>3つ折り</v>
      </c>
      <c r="T204" s="538" t="str">
        <f t="shared" si="20"/>
        <v>10</v>
      </c>
      <c r="U204" s="538" t="str">
        <f t="shared" si="21"/>
        <v>03</v>
      </c>
      <c r="V204" s="471" t="s">
        <v>1136</v>
      </c>
      <c r="Y204" s="472">
        <f t="shared" si="22"/>
        <v>0</v>
      </c>
      <c r="Z204" s="540">
        <f t="shared" si="23"/>
        <v>0</v>
      </c>
      <c r="AA204" s="471">
        <v>0</v>
      </c>
    </row>
    <row r="205" spans="1:27">
      <c r="A205" s="451" t="str">
        <f>CONCATENATE(VLOOKUP(B205,★営業所!$A$1:$B$5,2,FALSE),VLOOKUP(D205,★サイズ表記!$D$4:$E$55,2,FALSE),VLOOKUP(F205,★折込地区!$A$1:$B$11,2,FALSE))</f>
        <v>T1004Hmm</v>
      </c>
      <c r="B205" s="457" t="s">
        <v>275</v>
      </c>
      <c r="C205" s="452" t="str">
        <f>VLOOKUP(B205,★営業所!$A$1:$B$5,2,FALSE)</f>
        <v>T</v>
      </c>
      <c r="D205" s="465" t="s">
        <v>947</v>
      </c>
      <c r="E205" s="452" t="str">
        <f>VLOOKUP(D205,★サイズ表記!$D$4:$E$55,2,FALSE)</f>
        <v>1004</v>
      </c>
      <c r="F205" s="457" t="s">
        <v>857</v>
      </c>
      <c r="G205" s="452" t="str">
        <f>VLOOKUP(F205,★折込地区!$A$1:$B$11,2,FALSE)</f>
        <v>Hmm</v>
      </c>
      <c r="H205" s="453">
        <f>INDEX(★サイズ表記!$I$4:$Q$55, MATCH(E205,★サイズ表記!$E$4:$E$55,0), MATCH(G205,★サイズ表記!$I$3:$R$3,0))</f>
        <v>0</v>
      </c>
      <c r="K205" s="471" t="str">
        <f t="shared" si="16"/>
        <v>T1004Hmm</v>
      </c>
      <c r="L205" s="471" t="str">
        <f t="shared" si="17"/>
        <v>観音折</v>
      </c>
      <c r="P205" s="533" t="s">
        <v>1324</v>
      </c>
      <c r="Q205" s="533" t="s">
        <v>1325</v>
      </c>
      <c r="R205" s="534" t="str">
        <f t="shared" si="18"/>
        <v>1004</v>
      </c>
      <c r="S205" s="534" t="str">
        <f t="shared" si="19"/>
        <v>観音折</v>
      </c>
      <c r="T205" s="538" t="str">
        <f t="shared" si="20"/>
        <v>10</v>
      </c>
      <c r="U205" s="538" t="str">
        <f t="shared" si="21"/>
        <v>04</v>
      </c>
      <c r="V205" s="471" t="s">
        <v>1136</v>
      </c>
      <c r="Y205" s="472">
        <f t="shared" si="22"/>
        <v>0</v>
      </c>
      <c r="Z205" s="540">
        <f t="shared" si="23"/>
        <v>0</v>
      </c>
      <c r="AA205" s="471">
        <v>0</v>
      </c>
    </row>
    <row r="206" spans="1:27">
      <c r="A206" s="451" t="str">
        <f>CONCATENATE(VLOOKUP(B206,★営業所!$A$1:$B$5,2,FALSE),VLOOKUP(D206,★サイズ表記!$D$4:$E$55,2,FALSE),VLOOKUP(F206,★折込地区!$A$1:$B$11,2,FALSE))</f>
        <v>T1005Hmm</v>
      </c>
      <c r="B206" s="457" t="s">
        <v>275</v>
      </c>
      <c r="C206" s="452" t="str">
        <f>VLOOKUP(B206,★営業所!$A$1:$B$5,2,FALSE)</f>
        <v>T</v>
      </c>
      <c r="D206" s="465" t="s">
        <v>952</v>
      </c>
      <c r="E206" s="452" t="str">
        <f>VLOOKUP(D206,★サイズ表記!$D$4:$E$55,2,FALSE)</f>
        <v>1005</v>
      </c>
      <c r="F206" s="457" t="s">
        <v>857</v>
      </c>
      <c r="G206" s="452" t="str">
        <f>VLOOKUP(F206,★折込地区!$A$1:$B$11,2,FALSE)</f>
        <v>Hmm</v>
      </c>
      <c r="H206" s="453">
        <f>INDEX(★サイズ表記!$I$4:$Q$55, MATCH(E206,★サイズ表記!$E$4:$E$55,0), MATCH(G206,★サイズ表記!$I$3:$R$3,0))</f>
        <v>8</v>
      </c>
      <c r="K206" s="471" t="str">
        <f t="shared" si="16"/>
        <v>T1005Hmm</v>
      </c>
      <c r="L206" s="471" t="str">
        <f t="shared" si="17"/>
        <v>B2（4つ折り）</v>
      </c>
      <c r="P206" s="533" t="s">
        <v>1324</v>
      </c>
      <c r="Q206" s="533" t="s">
        <v>1325</v>
      </c>
      <c r="R206" s="534" t="str">
        <f t="shared" si="18"/>
        <v>1005</v>
      </c>
      <c r="S206" s="534" t="str">
        <f t="shared" si="19"/>
        <v>B2（4つ折り）</v>
      </c>
      <c r="T206" s="538" t="str">
        <f t="shared" si="20"/>
        <v>10</v>
      </c>
      <c r="U206" s="538" t="str">
        <f t="shared" si="21"/>
        <v>05</v>
      </c>
      <c r="V206" s="471" t="s">
        <v>1136</v>
      </c>
      <c r="Y206" s="472">
        <f t="shared" si="22"/>
        <v>8</v>
      </c>
      <c r="Z206" s="540">
        <f t="shared" si="23"/>
        <v>0.64</v>
      </c>
      <c r="AA206" s="471">
        <v>0</v>
      </c>
    </row>
    <row r="207" spans="1:27">
      <c r="A207" s="451" t="str">
        <f>CONCATENATE(VLOOKUP(B207,★営業所!$A$1:$B$5,2,FALSE),VLOOKUP(D207,★サイズ表記!$D$4:$E$55,2,FALSE),VLOOKUP(F207,★折込地区!$A$1:$B$11,2,FALSE))</f>
        <v>T1006Hmm</v>
      </c>
      <c r="B207" s="457" t="s">
        <v>275</v>
      </c>
      <c r="C207" s="452" t="str">
        <f>VLOOKUP(B207,★営業所!$A$1:$B$5,2,FALSE)</f>
        <v>T</v>
      </c>
      <c r="D207" s="465" t="s">
        <v>955</v>
      </c>
      <c r="E207" s="452" t="str">
        <f>VLOOKUP(D207,★サイズ表記!$D$4:$E$55,2,FALSE)</f>
        <v>1006</v>
      </c>
      <c r="F207" s="457" t="s">
        <v>857</v>
      </c>
      <c r="G207" s="452" t="str">
        <f>VLOOKUP(F207,★折込地区!$A$1:$B$11,2,FALSE)</f>
        <v>Hmm</v>
      </c>
      <c r="H207" s="453">
        <f>INDEX(★サイズ表記!$I$4:$Q$55, MATCH(E207,★サイズ表記!$E$4:$E$55,0), MATCH(G207,★サイズ表記!$I$3:$R$3,0))</f>
        <v>16</v>
      </c>
      <c r="K207" s="471" t="str">
        <f t="shared" si="16"/>
        <v>T1006Hmm</v>
      </c>
      <c r="L207" s="471" t="str">
        <f t="shared" si="17"/>
        <v>B1（8折り）</v>
      </c>
      <c r="P207" s="533" t="s">
        <v>1324</v>
      </c>
      <c r="Q207" s="533" t="s">
        <v>1325</v>
      </c>
      <c r="R207" s="534" t="str">
        <f t="shared" si="18"/>
        <v>1006</v>
      </c>
      <c r="S207" s="534" t="str">
        <f t="shared" si="19"/>
        <v>B1（8折り）</v>
      </c>
      <c r="T207" s="538" t="str">
        <f t="shared" si="20"/>
        <v>10</v>
      </c>
      <c r="U207" s="538" t="str">
        <f t="shared" si="21"/>
        <v>06</v>
      </c>
      <c r="V207" s="471" t="s">
        <v>1136</v>
      </c>
      <c r="Y207" s="472">
        <f t="shared" si="22"/>
        <v>16</v>
      </c>
      <c r="Z207" s="540">
        <f t="shared" si="23"/>
        <v>1.28</v>
      </c>
      <c r="AA207" s="471">
        <v>0</v>
      </c>
    </row>
    <row r="208" spans="1:27">
      <c r="A208" s="451" t="str">
        <f>CONCATENATE(VLOOKUP(B208,★営業所!$A$1:$B$5,2,FALSE),VLOOKUP(D208,★サイズ表記!$D$4:$E$55,2,FALSE),VLOOKUP(F208,★折込地区!$A$1:$B$11,2,FALSE))</f>
        <v>T1007Hmm</v>
      </c>
      <c r="B208" s="457" t="s">
        <v>275</v>
      </c>
      <c r="C208" s="452" t="str">
        <f>VLOOKUP(B208,★営業所!$A$1:$B$5,2,FALSE)</f>
        <v>T</v>
      </c>
      <c r="D208" s="465" t="s">
        <v>956</v>
      </c>
      <c r="E208" s="452" t="str">
        <f>VLOOKUP(D208,★サイズ表記!$D$4:$E$55,2,FALSE)</f>
        <v>1007</v>
      </c>
      <c r="F208" s="457" t="s">
        <v>857</v>
      </c>
      <c r="G208" s="452" t="str">
        <f>VLOOKUP(F208,★折込地区!$A$1:$B$11,2,FALSE)</f>
        <v>Hmm</v>
      </c>
      <c r="H208" s="453">
        <f>INDEX(★サイズ表記!$I$4:$Q$55, MATCH(E208,★サイズ表記!$E$4:$E$55,0), MATCH(G208,★サイズ表記!$I$3:$R$3,0))</f>
        <v>0</v>
      </c>
      <c r="K208" s="471" t="str">
        <f t="shared" si="16"/>
        <v>T1007Hmm</v>
      </c>
      <c r="L208" s="471" t="str">
        <f t="shared" si="17"/>
        <v>B4厚紙</v>
      </c>
      <c r="P208" s="533" t="s">
        <v>1324</v>
      </c>
      <c r="Q208" s="533" t="s">
        <v>1325</v>
      </c>
      <c r="R208" s="534" t="str">
        <f t="shared" si="18"/>
        <v>1007</v>
      </c>
      <c r="S208" s="534" t="str">
        <f t="shared" si="19"/>
        <v>B4厚紙</v>
      </c>
      <c r="T208" s="538" t="str">
        <f t="shared" si="20"/>
        <v>10</v>
      </c>
      <c r="U208" s="538" t="str">
        <f t="shared" si="21"/>
        <v>07</v>
      </c>
      <c r="V208" s="471" t="s">
        <v>1136</v>
      </c>
      <c r="Y208" s="472">
        <f t="shared" si="22"/>
        <v>0</v>
      </c>
      <c r="Z208" s="540">
        <f t="shared" si="23"/>
        <v>0</v>
      </c>
      <c r="AA208" s="471">
        <v>0</v>
      </c>
    </row>
    <row r="209" spans="1:27">
      <c r="A209" s="451" t="str">
        <f>CONCATENATE(VLOOKUP(B209,★営業所!$A$1:$B$5,2,FALSE),VLOOKUP(D209,★サイズ表記!$D$4:$E$55,2,FALSE),VLOOKUP(F209,★折込地区!$A$1:$B$11,2,FALSE))</f>
        <v>T1008Hmm</v>
      </c>
      <c r="B209" s="457" t="s">
        <v>275</v>
      </c>
      <c r="C209" s="452" t="str">
        <f>VLOOKUP(B209,★営業所!$A$1:$B$5,2,FALSE)</f>
        <v>T</v>
      </c>
      <c r="D209" s="465" t="s">
        <v>957</v>
      </c>
      <c r="E209" s="452" t="str">
        <f>VLOOKUP(D209,★サイズ表記!$D$4:$E$55,2,FALSE)</f>
        <v>1008</v>
      </c>
      <c r="F209" s="457" t="s">
        <v>857</v>
      </c>
      <c r="G209" s="452" t="str">
        <f>VLOOKUP(F209,★折込地区!$A$1:$B$11,2,FALSE)</f>
        <v>Hmm</v>
      </c>
      <c r="H209" s="453">
        <f>INDEX(★サイズ表記!$I$4:$Q$55, MATCH(E209,★サイズ表記!$E$4:$E$55,0), MATCH(G209,★サイズ表記!$I$3:$R$3,0))</f>
        <v>0</v>
      </c>
      <c r="K209" s="471" t="str">
        <f t="shared" si="16"/>
        <v>T1008Hmm</v>
      </c>
      <c r="L209" s="471" t="str">
        <f t="shared" si="17"/>
        <v>B3厚紙</v>
      </c>
      <c r="P209" s="533" t="s">
        <v>1324</v>
      </c>
      <c r="Q209" s="533" t="s">
        <v>1325</v>
      </c>
      <c r="R209" s="534" t="str">
        <f t="shared" si="18"/>
        <v>1008</v>
      </c>
      <c r="S209" s="534" t="str">
        <f t="shared" si="19"/>
        <v>B3厚紙</v>
      </c>
      <c r="T209" s="538" t="str">
        <f t="shared" si="20"/>
        <v>10</v>
      </c>
      <c r="U209" s="538" t="str">
        <f t="shared" si="21"/>
        <v>08</v>
      </c>
      <c r="V209" s="471" t="s">
        <v>1136</v>
      </c>
      <c r="Y209" s="472">
        <f t="shared" si="22"/>
        <v>0</v>
      </c>
      <c r="Z209" s="540">
        <f t="shared" si="23"/>
        <v>0</v>
      </c>
      <c r="AA209" s="471">
        <v>0</v>
      </c>
    </row>
    <row r="210" spans="1:27">
      <c r="A210" s="451" t="str">
        <f>CONCATENATE(VLOOKUP(B210,★営業所!$A$1:$B$5,2,FALSE),VLOOKUP(D210,★サイズ表記!$D$4:$E$55,2,FALSE),VLOOKUP(F210,★折込地区!$A$1:$B$11,2,FALSE))</f>
        <v>T1009Hmm</v>
      </c>
      <c r="B210" s="457" t="s">
        <v>275</v>
      </c>
      <c r="C210" s="452" t="str">
        <f>VLOOKUP(B210,★営業所!$A$1:$B$5,2,FALSE)</f>
        <v>T</v>
      </c>
      <c r="D210" s="465" t="s">
        <v>958</v>
      </c>
      <c r="E210" s="452" t="str">
        <f>VLOOKUP(D210,★サイズ表記!$D$4:$E$55,2,FALSE)</f>
        <v>1009</v>
      </c>
      <c r="F210" s="457" t="s">
        <v>857</v>
      </c>
      <c r="G210" s="452" t="str">
        <f>VLOOKUP(F210,★折込地区!$A$1:$B$11,2,FALSE)</f>
        <v>Hmm</v>
      </c>
      <c r="H210" s="453">
        <f>INDEX(★サイズ表記!$I$4:$Q$55, MATCH(E210,★サイズ表記!$E$4:$E$55,0), MATCH(G210,★サイズ表記!$I$3:$R$3,0))</f>
        <v>0</v>
      </c>
      <c r="K210" s="471" t="str">
        <f t="shared" si="16"/>
        <v>T1009Hmm</v>
      </c>
      <c r="L210" s="471" t="str">
        <f t="shared" si="17"/>
        <v>B2厚紙</v>
      </c>
      <c r="P210" s="533" t="s">
        <v>1324</v>
      </c>
      <c r="Q210" s="533" t="s">
        <v>1325</v>
      </c>
      <c r="R210" s="534" t="str">
        <f t="shared" si="18"/>
        <v>1009</v>
      </c>
      <c r="S210" s="534" t="str">
        <f t="shared" si="19"/>
        <v>B2厚紙</v>
      </c>
      <c r="T210" s="538" t="str">
        <f t="shared" si="20"/>
        <v>10</v>
      </c>
      <c r="U210" s="538" t="str">
        <f t="shared" si="21"/>
        <v>09</v>
      </c>
      <c r="V210" s="471" t="s">
        <v>1136</v>
      </c>
      <c r="Y210" s="472">
        <f t="shared" si="22"/>
        <v>0</v>
      </c>
      <c r="Z210" s="540">
        <f t="shared" si="23"/>
        <v>0</v>
      </c>
      <c r="AA210" s="471">
        <v>0</v>
      </c>
    </row>
    <row r="211" spans="1:27">
      <c r="A211" s="451" t="str">
        <f>CONCATENATE(VLOOKUP(B211,★営業所!$A$1:$B$5,2,FALSE),VLOOKUP(D211,★サイズ表記!$D$4:$E$55,2,FALSE),VLOOKUP(F211,★折込地区!$A$1:$B$11,2,FALSE))</f>
        <v>T1010Hmm</v>
      </c>
      <c r="B211" s="457" t="s">
        <v>275</v>
      </c>
      <c r="C211" s="452" t="str">
        <f>VLOOKUP(B211,★営業所!$A$1:$B$5,2,FALSE)</f>
        <v>T</v>
      </c>
      <c r="D211" s="465" t="s">
        <v>959</v>
      </c>
      <c r="E211" s="452" t="str">
        <f>VLOOKUP(D211,★サイズ表記!$D$4:$E$55,2,FALSE)</f>
        <v>1010</v>
      </c>
      <c r="F211" s="457" t="s">
        <v>857</v>
      </c>
      <c r="G211" s="452" t="str">
        <f>VLOOKUP(F211,★折込地区!$A$1:$B$11,2,FALSE)</f>
        <v>Hmm</v>
      </c>
      <c r="H211" s="453">
        <f>INDEX(★サイズ表記!$I$4:$Q$55, MATCH(E211,★サイズ表記!$E$4:$E$55,0), MATCH(G211,★サイズ表記!$I$3:$R$3,0))</f>
        <v>0</v>
      </c>
      <c r="K211" s="471" t="str">
        <f t="shared" si="16"/>
        <v>T1010Hmm</v>
      </c>
      <c r="L211" s="471" t="str">
        <f t="shared" si="17"/>
        <v>B4以下変形</v>
      </c>
      <c r="P211" s="533" t="s">
        <v>1324</v>
      </c>
      <c r="Q211" s="533" t="s">
        <v>1325</v>
      </c>
      <c r="R211" s="534" t="str">
        <f t="shared" si="18"/>
        <v>1010</v>
      </c>
      <c r="S211" s="534" t="str">
        <f t="shared" si="19"/>
        <v>B4以下変形</v>
      </c>
      <c r="T211" s="538" t="str">
        <f t="shared" si="20"/>
        <v>10</v>
      </c>
      <c r="U211" s="538" t="str">
        <f t="shared" si="21"/>
        <v>10</v>
      </c>
      <c r="V211" s="471" t="s">
        <v>1136</v>
      </c>
      <c r="Y211" s="472">
        <f t="shared" si="22"/>
        <v>0</v>
      </c>
      <c r="Z211" s="540">
        <f t="shared" si="23"/>
        <v>0</v>
      </c>
      <c r="AA211" s="471">
        <v>0</v>
      </c>
    </row>
    <row r="212" spans="1:27">
      <c r="A212" s="451" t="str">
        <f>CONCATENATE(VLOOKUP(B212,★営業所!$A$1:$B$5,2,FALSE),VLOOKUP(D212,★サイズ表記!$D$4:$E$55,2,FALSE),VLOOKUP(F212,★折込地区!$A$1:$B$11,2,FALSE))</f>
        <v>T1011Hmm</v>
      </c>
      <c r="B212" s="457" t="s">
        <v>275</v>
      </c>
      <c r="C212" s="452" t="str">
        <f>VLOOKUP(B212,★営業所!$A$1:$B$5,2,FALSE)</f>
        <v>T</v>
      </c>
      <c r="D212" s="465" t="s">
        <v>960</v>
      </c>
      <c r="E212" s="452" t="str">
        <f>VLOOKUP(D212,★サイズ表記!$D$4:$E$55,2,FALSE)</f>
        <v>1011</v>
      </c>
      <c r="F212" s="457" t="s">
        <v>857</v>
      </c>
      <c r="G212" s="452" t="str">
        <f>VLOOKUP(F212,★折込地区!$A$1:$B$11,2,FALSE)</f>
        <v>Hmm</v>
      </c>
      <c r="H212" s="453">
        <f>INDEX(★サイズ表記!$I$4:$Q$55, MATCH(E212,★サイズ表記!$E$4:$E$55,0), MATCH(G212,★サイズ表記!$I$3:$R$3,0))</f>
        <v>0</v>
      </c>
      <c r="K212" s="471" t="str">
        <f t="shared" si="16"/>
        <v>T1011Hmm</v>
      </c>
      <c r="L212" s="471" t="str">
        <f t="shared" si="17"/>
        <v>B4シール付き</v>
      </c>
      <c r="P212" s="533" t="s">
        <v>1324</v>
      </c>
      <c r="Q212" s="533" t="s">
        <v>1325</v>
      </c>
      <c r="R212" s="534" t="str">
        <f t="shared" si="18"/>
        <v>1011</v>
      </c>
      <c r="S212" s="534" t="str">
        <f t="shared" si="19"/>
        <v>B4シール付き</v>
      </c>
      <c r="T212" s="538" t="str">
        <f t="shared" si="20"/>
        <v>10</v>
      </c>
      <c r="U212" s="538" t="str">
        <f t="shared" si="21"/>
        <v>11</v>
      </c>
      <c r="V212" s="471" t="s">
        <v>1136</v>
      </c>
      <c r="Y212" s="472">
        <f t="shared" si="22"/>
        <v>0</v>
      </c>
      <c r="Z212" s="540">
        <f t="shared" si="23"/>
        <v>0</v>
      </c>
      <c r="AA212" s="471">
        <v>0</v>
      </c>
    </row>
    <row r="213" spans="1:27">
      <c r="A213" s="451" t="str">
        <f>CONCATENATE(VLOOKUP(B213,★営業所!$A$1:$B$5,2,FALSE),VLOOKUP(D213,★サイズ表記!$D$4:$E$55,2,FALSE),VLOOKUP(F213,★折込地区!$A$1:$B$11,2,FALSE))</f>
        <v>T1012Hmm</v>
      </c>
      <c r="B213" s="457" t="s">
        <v>275</v>
      </c>
      <c r="C213" s="452" t="str">
        <f>VLOOKUP(B213,★営業所!$A$1:$B$5,2,FALSE)</f>
        <v>T</v>
      </c>
      <c r="D213" s="465" t="s">
        <v>961</v>
      </c>
      <c r="E213" s="452" t="str">
        <f>VLOOKUP(D213,★サイズ表記!$D$4:$E$55,2,FALSE)</f>
        <v>1012</v>
      </c>
      <c r="F213" s="457" t="s">
        <v>857</v>
      </c>
      <c r="G213" s="452" t="str">
        <f>VLOOKUP(F213,★折込地区!$A$1:$B$11,2,FALSE)</f>
        <v>Hmm</v>
      </c>
      <c r="H213" s="453">
        <f>INDEX(★サイズ表記!$I$4:$Q$55, MATCH(E213,★サイズ表記!$E$4:$E$55,0), MATCH(G213,★サイズ表記!$I$3:$R$3,0))</f>
        <v>0</v>
      </c>
      <c r="K213" s="471" t="str">
        <f t="shared" si="16"/>
        <v>T1012Hmm</v>
      </c>
      <c r="L213" s="471" t="str">
        <f t="shared" si="17"/>
        <v>B3シール付き</v>
      </c>
      <c r="P213" s="533" t="s">
        <v>1324</v>
      </c>
      <c r="Q213" s="533" t="s">
        <v>1325</v>
      </c>
      <c r="R213" s="534" t="str">
        <f t="shared" si="18"/>
        <v>1012</v>
      </c>
      <c r="S213" s="534" t="str">
        <f t="shared" si="19"/>
        <v>B3シール付き</v>
      </c>
      <c r="T213" s="538" t="str">
        <f t="shared" si="20"/>
        <v>10</v>
      </c>
      <c r="U213" s="538" t="str">
        <f t="shared" si="21"/>
        <v>12</v>
      </c>
      <c r="V213" s="471" t="s">
        <v>1136</v>
      </c>
      <c r="Y213" s="472">
        <f t="shared" si="22"/>
        <v>0</v>
      </c>
      <c r="Z213" s="540">
        <f t="shared" si="23"/>
        <v>0</v>
      </c>
      <c r="AA213" s="471">
        <v>0</v>
      </c>
    </row>
    <row r="214" spans="1:27">
      <c r="A214" s="451" t="str">
        <f>CONCATENATE(VLOOKUP(B214,★営業所!$A$1:$B$5,2,FALSE),VLOOKUP(D214,★サイズ表記!$D$4:$E$55,2,FALSE),VLOOKUP(F214,★折込地区!$A$1:$B$11,2,FALSE))</f>
        <v>T1013Hmm</v>
      </c>
      <c r="B214" s="457" t="s">
        <v>275</v>
      </c>
      <c r="C214" s="452" t="str">
        <f>VLOOKUP(B214,★営業所!$A$1:$B$5,2,FALSE)</f>
        <v>T</v>
      </c>
      <c r="D214" s="465" t="s">
        <v>962</v>
      </c>
      <c r="E214" s="452" t="str">
        <f>VLOOKUP(D214,★サイズ表記!$D$4:$E$55,2,FALSE)</f>
        <v>1013</v>
      </c>
      <c r="F214" s="457" t="s">
        <v>857</v>
      </c>
      <c r="G214" s="452" t="str">
        <f>VLOOKUP(F214,★折込地区!$A$1:$B$11,2,FALSE)</f>
        <v>Hmm</v>
      </c>
      <c r="H214" s="453">
        <f>INDEX(★サイズ表記!$I$4:$Q$55, MATCH(E214,★サイズ表記!$E$4:$E$55,0), MATCH(G214,★サイズ表記!$I$3:$R$3,0))</f>
        <v>0</v>
      </c>
      <c r="K214" s="471" t="str">
        <f t="shared" si="16"/>
        <v>T1013Hmm</v>
      </c>
      <c r="L214" s="471" t="str">
        <f t="shared" si="17"/>
        <v>B4スクラッチ付き</v>
      </c>
      <c r="P214" s="533" t="s">
        <v>1324</v>
      </c>
      <c r="Q214" s="533" t="s">
        <v>1325</v>
      </c>
      <c r="R214" s="534" t="str">
        <f t="shared" si="18"/>
        <v>1013</v>
      </c>
      <c r="S214" s="534" t="str">
        <f t="shared" si="19"/>
        <v>B4スクラッチ付き</v>
      </c>
      <c r="T214" s="538" t="str">
        <f t="shared" si="20"/>
        <v>10</v>
      </c>
      <c r="U214" s="538" t="str">
        <f t="shared" si="21"/>
        <v>13</v>
      </c>
      <c r="V214" s="471" t="s">
        <v>1136</v>
      </c>
      <c r="Y214" s="472">
        <f t="shared" si="22"/>
        <v>0</v>
      </c>
      <c r="Z214" s="540">
        <f t="shared" si="23"/>
        <v>0</v>
      </c>
      <c r="AA214" s="471">
        <v>0</v>
      </c>
    </row>
    <row r="215" spans="1:27">
      <c r="A215" s="451" t="str">
        <f>CONCATENATE(VLOOKUP(B215,★営業所!$A$1:$B$5,2,FALSE),VLOOKUP(D215,★サイズ表記!$D$4:$E$55,2,FALSE),VLOOKUP(F215,★折込地区!$A$1:$B$11,2,FALSE))</f>
        <v>T2001Hmm</v>
      </c>
      <c r="B215" s="457" t="s">
        <v>275</v>
      </c>
      <c r="C215" s="452" t="str">
        <f>VLOOKUP(B215,★営業所!$A$1:$B$5,2,FALSE)</f>
        <v>T</v>
      </c>
      <c r="D215" s="465" t="s">
        <v>963</v>
      </c>
      <c r="E215" s="452" t="str">
        <f>VLOOKUP(D215,★サイズ表記!$D$4:$E$55,2,FALSE)</f>
        <v>2001</v>
      </c>
      <c r="F215" s="457" t="s">
        <v>857</v>
      </c>
      <c r="G215" s="452" t="str">
        <f>VLOOKUP(F215,★折込地区!$A$1:$B$11,2,FALSE)</f>
        <v>Hmm</v>
      </c>
      <c r="H215" s="453">
        <f>INDEX(★サイズ表記!$I$4:$Q$55, MATCH(E215,★サイズ表記!$E$4:$E$55,0), MATCH(G215,★サイズ表記!$I$3:$R$3,0))</f>
        <v>4.5</v>
      </c>
      <c r="K215" s="471" t="str">
        <f t="shared" si="16"/>
        <v>T2001Hmm</v>
      </c>
      <c r="L215" s="471" t="str">
        <f t="shared" si="17"/>
        <v>連合B4</v>
      </c>
      <c r="P215" s="533" t="s">
        <v>1324</v>
      </c>
      <c r="Q215" s="533" t="s">
        <v>1325</v>
      </c>
      <c r="R215" s="534" t="str">
        <f t="shared" si="18"/>
        <v>2001</v>
      </c>
      <c r="S215" s="534" t="str">
        <f t="shared" si="19"/>
        <v>連合B4</v>
      </c>
      <c r="T215" s="538" t="str">
        <f t="shared" si="20"/>
        <v>20</v>
      </c>
      <c r="U215" s="538" t="str">
        <f t="shared" si="21"/>
        <v>01</v>
      </c>
      <c r="V215" s="471" t="s">
        <v>1136</v>
      </c>
      <c r="Y215" s="472">
        <f t="shared" si="22"/>
        <v>4.5</v>
      </c>
      <c r="Z215" s="540">
        <f t="shared" si="23"/>
        <v>0.36</v>
      </c>
      <c r="AA215" s="471">
        <v>0</v>
      </c>
    </row>
    <row r="216" spans="1:27">
      <c r="A216" s="451" t="str">
        <f>CONCATENATE(VLOOKUP(B216,★営業所!$A$1:$B$5,2,FALSE),VLOOKUP(D216,★サイズ表記!$D$4:$E$55,2,FALSE),VLOOKUP(F216,★折込地区!$A$1:$B$11,2,FALSE))</f>
        <v>T2002Hmm</v>
      </c>
      <c r="B216" s="457" t="s">
        <v>275</v>
      </c>
      <c r="C216" s="452" t="str">
        <f>VLOOKUP(B216,★営業所!$A$1:$B$5,2,FALSE)</f>
        <v>T</v>
      </c>
      <c r="D216" s="465" t="s">
        <v>964</v>
      </c>
      <c r="E216" s="452" t="str">
        <f>VLOOKUP(D216,★サイズ表記!$D$4:$E$55,2,FALSE)</f>
        <v>2002</v>
      </c>
      <c r="F216" s="457" t="s">
        <v>857</v>
      </c>
      <c r="G216" s="452" t="str">
        <f>VLOOKUP(F216,★折込地区!$A$1:$B$11,2,FALSE)</f>
        <v>Hmm</v>
      </c>
      <c r="H216" s="453">
        <f>INDEX(★サイズ表記!$I$4:$Q$55, MATCH(E216,★サイズ表記!$E$4:$E$55,0), MATCH(G216,★サイズ表記!$I$3:$R$3,0))</f>
        <v>7.5</v>
      </c>
      <c r="K216" s="471" t="str">
        <f t="shared" si="16"/>
        <v>T2002Hmm</v>
      </c>
      <c r="L216" s="471" t="str">
        <f t="shared" si="17"/>
        <v>連合B3</v>
      </c>
      <c r="P216" s="533" t="s">
        <v>1324</v>
      </c>
      <c r="Q216" s="533" t="s">
        <v>1325</v>
      </c>
      <c r="R216" s="534" t="str">
        <f t="shared" si="18"/>
        <v>2002</v>
      </c>
      <c r="S216" s="534" t="str">
        <f t="shared" si="19"/>
        <v>連合B3</v>
      </c>
      <c r="T216" s="538" t="str">
        <f t="shared" si="20"/>
        <v>20</v>
      </c>
      <c r="U216" s="538" t="str">
        <f t="shared" si="21"/>
        <v>02</v>
      </c>
      <c r="V216" s="471" t="s">
        <v>1136</v>
      </c>
      <c r="Y216" s="472">
        <f t="shared" si="22"/>
        <v>7.5</v>
      </c>
      <c r="Z216" s="540">
        <f t="shared" si="23"/>
        <v>0.6</v>
      </c>
      <c r="AA216" s="471">
        <v>0</v>
      </c>
    </row>
    <row r="217" spans="1:27">
      <c r="A217" s="451" t="str">
        <f>CONCATENATE(VLOOKUP(B217,★営業所!$A$1:$B$5,2,FALSE),VLOOKUP(D217,★サイズ表記!$D$4:$E$55,2,FALSE),VLOOKUP(F217,★折込地区!$A$1:$B$11,2,FALSE))</f>
        <v>T2003Hmm</v>
      </c>
      <c r="B217" s="457" t="s">
        <v>275</v>
      </c>
      <c r="C217" s="452" t="str">
        <f>VLOOKUP(B217,★営業所!$A$1:$B$5,2,FALSE)</f>
        <v>T</v>
      </c>
      <c r="D217" s="465" t="s">
        <v>965</v>
      </c>
      <c r="E217" s="452" t="str">
        <f>VLOOKUP(D217,★サイズ表記!$D$4:$E$55,2,FALSE)</f>
        <v>2003</v>
      </c>
      <c r="F217" s="457" t="s">
        <v>857</v>
      </c>
      <c r="G217" s="452" t="str">
        <f>VLOOKUP(F217,★折込地区!$A$1:$B$11,2,FALSE)</f>
        <v>Hmm</v>
      </c>
      <c r="H217" s="453">
        <f>INDEX(★サイズ表記!$I$4:$Q$55, MATCH(E217,★サイズ表記!$E$4:$E$55,0), MATCH(G217,★サイズ表記!$I$3:$R$3,0))</f>
        <v>12</v>
      </c>
      <c r="K217" s="471" t="str">
        <f t="shared" si="16"/>
        <v>T2003Hmm</v>
      </c>
      <c r="L217" s="471" t="str">
        <f t="shared" si="17"/>
        <v>連合B2</v>
      </c>
      <c r="P217" s="533" t="s">
        <v>1324</v>
      </c>
      <c r="Q217" s="533" t="s">
        <v>1325</v>
      </c>
      <c r="R217" s="534" t="str">
        <f t="shared" si="18"/>
        <v>2003</v>
      </c>
      <c r="S217" s="534" t="str">
        <f t="shared" si="19"/>
        <v>連合B2</v>
      </c>
      <c r="T217" s="538" t="str">
        <f t="shared" si="20"/>
        <v>20</v>
      </c>
      <c r="U217" s="538" t="str">
        <f t="shared" si="21"/>
        <v>03</v>
      </c>
      <c r="V217" s="471" t="s">
        <v>1136</v>
      </c>
      <c r="Y217" s="472">
        <f t="shared" si="22"/>
        <v>12</v>
      </c>
      <c r="Z217" s="540">
        <f t="shared" si="23"/>
        <v>0.96</v>
      </c>
      <c r="AA217" s="471">
        <v>0</v>
      </c>
    </row>
    <row r="218" spans="1:27">
      <c r="A218" s="451" t="str">
        <f>CONCATENATE(VLOOKUP(B218,★営業所!$A$1:$B$5,2,FALSE),VLOOKUP(D218,★サイズ表記!$D$4:$E$55,2,FALSE),VLOOKUP(F218,★折込地区!$A$1:$B$11,2,FALSE))</f>
        <v>T2004Hmm</v>
      </c>
      <c r="B218" s="457" t="s">
        <v>275</v>
      </c>
      <c r="C218" s="452" t="str">
        <f>VLOOKUP(B218,★営業所!$A$1:$B$5,2,FALSE)</f>
        <v>T</v>
      </c>
      <c r="D218" s="465" t="s">
        <v>966</v>
      </c>
      <c r="E218" s="452" t="str">
        <f>VLOOKUP(D218,★サイズ表記!$D$4:$E$55,2,FALSE)</f>
        <v>2004</v>
      </c>
      <c r="F218" s="457" t="s">
        <v>857</v>
      </c>
      <c r="G218" s="452" t="str">
        <f>VLOOKUP(F218,★折込地区!$A$1:$B$11,2,FALSE)</f>
        <v>Hmm</v>
      </c>
      <c r="H218" s="453">
        <f>INDEX(★サイズ表記!$I$4:$Q$55, MATCH(E218,★サイズ表記!$E$4:$E$55,0), MATCH(G218,★サイズ表記!$I$3:$R$3,0))</f>
        <v>0</v>
      </c>
      <c r="K218" s="471" t="str">
        <f t="shared" si="16"/>
        <v>T2004Hmm</v>
      </c>
      <c r="L218" s="471" t="str">
        <f t="shared" si="17"/>
        <v>連合3つ折り</v>
      </c>
      <c r="P218" s="533" t="s">
        <v>1324</v>
      </c>
      <c r="Q218" s="533" t="s">
        <v>1325</v>
      </c>
      <c r="R218" s="534" t="str">
        <f t="shared" si="18"/>
        <v>2004</v>
      </c>
      <c r="S218" s="534" t="str">
        <f t="shared" si="19"/>
        <v>連合3つ折り</v>
      </c>
      <c r="T218" s="538" t="str">
        <f t="shared" si="20"/>
        <v>20</v>
      </c>
      <c r="U218" s="538" t="str">
        <f t="shared" si="21"/>
        <v>04</v>
      </c>
      <c r="V218" s="471" t="s">
        <v>1136</v>
      </c>
      <c r="Y218" s="472">
        <f t="shared" si="22"/>
        <v>0</v>
      </c>
      <c r="Z218" s="540">
        <f t="shared" si="23"/>
        <v>0</v>
      </c>
      <c r="AA218" s="471">
        <v>0</v>
      </c>
    </row>
    <row r="219" spans="1:27">
      <c r="A219" s="451" t="str">
        <f>CONCATENATE(VLOOKUP(B219,★営業所!$A$1:$B$5,2,FALSE),VLOOKUP(D219,★サイズ表記!$D$4:$E$55,2,FALSE),VLOOKUP(F219,★折込地区!$A$1:$B$11,2,FALSE))</f>
        <v>T2005Hmm</v>
      </c>
      <c r="B219" s="457" t="s">
        <v>275</v>
      </c>
      <c r="C219" s="452" t="str">
        <f>VLOOKUP(B219,★営業所!$A$1:$B$5,2,FALSE)</f>
        <v>T</v>
      </c>
      <c r="D219" s="465" t="s">
        <v>967</v>
      </c>
      <c r="E219" s="452" t="str">
        <f>VLOOKUP(D219,★サイズ表記!$D$4:$E$55,2,FALSE)</f>
        <v>2005</v>
      </c>
      <c r="F219" s="457" t="s">
        <v>857</v>
      </c>
      <c r="G219" s="452" t="str">
        <f>VLOOKUP(F219,★折込地区!$A$1:$B$11,2,FALSE)</f>
        <v>Hmm</v>
      </c>
      <c r="H219" s="453">
        <f>INDEX(★サイズ表記!$I$4:$Q$55, MATCH(E219,★サイズ表記!$E$4:$E$55,0), MATCH(G219,★サイズ表記!$I$3:$R$3,0))</f>
        <v>0</v>
      </c>
      <c r="K219" s="471" t="str">
        <f t="shared" si="16"/>
        <v>T2005Hmm</v>
      </c>
      <c r="L219" s="471" t="str">
        <f t="shared" si="17"/>
        <v>連合B4厚紙</v>
      </c>
      <c r="P219" s="533" t="s">
        <v>1324</v>
      </c>
      <c r="Q219" s="533" t="s">
        <v>1325</v>
      </c>
      <c r="R219" s="534" t="str">
        <f t="shared" si="18"/>
        <v>2005</v>
      </c>
      <c r="S219" s="534" t="str">
        <f t="shared" si="19"/>
        <v>連合B4厚紙</v>
      </c>
      <c r="T219" s="538" t="str">
        <f t="shared" si="20"/>
        <v>20</v>
      </c>
      <c r="U219" s="538" t="str">
        <f t="shared" si="21"/>
        <v>05</v>
      </c>
      <c r="V219" s="471" t="s">
        <v>1136</v>
      </c>
      <c r="Y219" s="472">
        <f t="shared" si="22"/>
        <v>0</v>
      </c>
      <c r="Z219" s="540">
        <f t="shared" si="23"/>
        <v>0</v>
      </c>
      <c r="AA219" s="471">
        <v>0</v>
      </c>
    </row>
    <row r="220" spans="1:27">
      <c r="A220" s="451" t="str">
        <f>CONCATENATE(VLOOKUP(B220,★営業所!$A$1:$B$5,2,FALSE),VLOOKUP(D220,★サイズ表記!$D$4:$E$55,2,FALSE),VLOOKUP(F220,★折込地区!$A$1:$B$11,2,FALSE))</f>
        <v>T2006Hmm</v>
      </c>
      <c r="B220" s="457" t="s">
        <v>275</v>
      </c>
      <c r="C220" s="452" t="str">
        <f>VLOOKUP(B220,★営業所!$A$1:$B$5,2,FALSE)</f>
        <v>T</v>
      </c>
      <c r="D220" s="465" t="s">
        <v>968</v>
      </c>
      <c r="E220" s="452" t="str">
        <f>VLOOKUP(D220,★サイズ表記!$D$4:$E$55,2,FALSE)</f>
        <v>2006</v>
      </c>
      <c r="F220" s="457" t="s">
        <v>857</v>
      </c>
      <c r="G220" s="452" t="str">
        <f>VLOOKUP(F220,★折込地区!$A$1:$B$11,2,FALSE)</f>
        <v>Hmm</v>
      </c>
      <c r="H220" s="453">
        <f>INDEX(★サイズ表記!$I$4:$Q$55, MATCH(E220,★サイズ表記!$E$4:$E$55,0), MATCH(G220,★サイズ表記!$I$3:$R$3,0))</f>
        <v>0</v>
      </c>
      <c r="K220" s="471" t="str">
        <f t="shared" si="16"/>
        <v>T2006Hmm</v>
      </c>
      <c r="L220" s="471" t="str">
        <f t="shared" si="17"/>
        <v>連合2つ折り極小</v>
      </c>
      <c r="P220" s="533" t="s">
        <v>1324</v>
      </c>
      <c r="Q220" s="533" t="s">
        <v>1325</v>
      </c>
      <c r="R220" s="534" t="str">
        <f t="shared" si="18"/>
        <v>2006</v>
      </c>
      <c r="S220" s="534" t="str">
        <f t="shared" si="19"/>
        <v>連合2つ折り極小</v>
      </c>
      <c r="T220" s="538" t="str">
        <f t="shared" si="20"/>
        <v>20</v>
      </c>
      <c r="U220" s="538" t="str">
        <f t="shared" si="21"/>
        <v>06</v>
      </c>
      <c r="V220" s="471" t="s">
        <v>1136</v>
      </c>
      <c r="Y220" s="472">
        <f t="shared" si="22"/>
        <v>0</v>
      </c>
      <c r="Z220" s="540">
        <f t="shared" si="23"/>
        <v>0</v>
      </c>
      <c r="AA220" s="471">
        <v>0</v>
      </c>
    </row>
    <row r="221" spans="1:27">
      <c r="A221" s="451" t="str">
        <f>CONCATENATE(VLOOKUP(B221,★営業所!$A$1:$B$5,2,FALSE),VLOOKUP(D221,★サイズ表記!$D$4:$E$55,2,FALSE),VLOOKUP(F221,★折込地区!$A$1:$B$11,2,FALSE))</f>
        <v>T2007Hmm</v>
      </c>
      <c r="B221" s="457" t="s">
        <v>275</v>
      </c>
      <c r="C221" s="452" t="str">
        <f>VLOOKUP(B221,★営業所!$A$1:$B$5,2,FALSE)</f>
        <v>T</v>
      </c>
      <c r="D221" s="465" t="s">
        <v>1365</v>
      </c>
      <c r="E221" s="452" t="str">
        <f>VLOOKUP(D221,★サイズ表記!$D$4:$E$55,2,FALSE)</f>
        <v>2007</v>
      </c>
      <c r="F221" s="457" t="s">
        <v>857</v>
      </c>
      <c r="G221" s="452" t="str">
        <f>VLOOKUP(F221,★折込地区!$A$1:$B$11,2,FALSE)</f>
        <v>Hmm</v>
      </c>
      <c r="H221" s="453">
        <f>INDEX(★サイズ表記!$I$4:$Q$55, MATCH(E221,★サイズ表記!$E$4:$E$55,0), MATCH(G221,★サイズ表記!$I$3:$R$3,0))</f>
        <v>0</v>
      </c>
      <c r="K221" s="471" t="str">
        <f t="shared" si="16"/>
        <v>T2007Hmm</v>
      </c>
      <c r="L221" s="471" t="str">
        <f t="shared" si="17"/>
        <v>連合タブ6P</v>
      </c>
      <c r="P221" s="533" t="s">
        <v>1324</v>
      </c>
      <c r="Q221" s="533" t="s">
        <v>1325</v>
      </c>
      <c r="R221" s="534" t="str">
        <f t="shared" si="18"/>
        <v>2007</v>
      </c>
      <c r="S221" s="534" t="str">
        <f t="shared" si="19"/>
        <v>連合タブ6P</v>
      </c>
      <c r="T221" s="538" t="str">
        <f t="shared" si="20"/>
        <v>20</v>
      </c>
      <c r="U221" s="538" t="str">
        <f t="shared" si="21"/>
        <v>07</v>
      </c>
      <c r="V221" s="471" t="s">
        <v>1136</v>
      </c>
      <c r="Y221" s="472">
        <f t="shared" si="22"/>
        <v>0</v>
      </c>
      <c r="Z221" s="540">
        <f t="shared" si="23"/>
        <v>0</v>
      </c>
      <c r="AA221" s="471">
        <v>0</v>
      </c>
    </row>
    <row r="222" spans="1:27">
      <c r="A222" s="451" t="str">
        <f>CONCATENATE(VLOOKUP(B222,★営業所!$A$1:$B$5,2,FALSE),VLOOKUP(D222,★サイズ表記!$D$4:$E$55,2,FALSE),VLOOKUP(F222,★折込地区!$A$1:$B$11,2,FALSE))</f>
        <v>T2008Hmm</v>
      </c>
      <c r="B222" s="457" t="s">
        <v>275</v>
      </c>
      <c r="C222" s="452" t="str">
        <f>VLOOKUP(B222,★営業所!$A$1:$B$5,2,FALSE)</f>
        <v>T</v>
      </c>
      <c r="D222" s="465" t="s">
        <v>1366</v>
      </c>
      <c r="E222" s="452" t="str">
        <f>VLOOKUP(D222,★サイズ表記!$D$4:$E$55,2,FALSE)</f>
        <v>2008</v>
      </c>
      <c r="F222" s="457" t="s">
        <v>857</v>
      </c>
      <c r="G222" s="452" t="str">
        <f>VLOOKUP(F222,★折込地区!$A$1:$B$11,2,FALSE)</f>
        <v>Hmm</v>
      </c>
      <c r="H222" s="453">
        <f>INDEX(★サイズ表記!$I$4:$Q$55, MATCH(E222,★サイズ表記!$E$4:$E$55,0), MATCH(G222,★サイズ表記!$I$3:$R$3,0))</f>
        <v>0</v>
      </c>
      <c r="K222" s="471" t="str">
        <f t="shared" si="16"/>
        <v>T2008Hmm</v>
      </c>
      <c r="L222" s="471" t="str">
        <f t="shared" si="17"/>
        <v>連合タブ8P</v>
      </c>
      <c r="P222" s="533" t="s">
        <v>1324</v>
      </c>
      <c r="Q222" s="533" t="s">
        <v>1325</v>
      </c>
      <c r="R222" s="534" t="str">
        <f t="shared" si="18"/>
        <v>2008</v>
      </c>
      <c r="S222" s="534" t="str">
        <f t="shared" si="19"/>
        <v>連合タブ8P</v>
      </c>
      <c r="T222" s="538" t="str">
        <f t="shared" si="20"/>
        <v>20</v>
      </c>
      <c r="U222" s="538" t="str">
        <f t="shared" si="21"/>
        <v>08</v>
      </c>
      <c r="V222" s="471" t="s">
        <v>1136</v>
      </c>
      <c r="Y222" s="472">
        <f t="shared" si="22"/>
        <v>0</v>
      </c>
      <c r="Z222" s="540">
        <f t="shared" si="23"/>
        <v>0</v>
      </c>
      <c r="AA222" s="471">
        <v>0</v>
      </c>
    </row>
    <row r="223" spans="1:27">
      <c r="A223" s="451" t="str">
        <f>CONCATENATE(VLOOKUP(B223,★営業所!$A$1:$B$5,2,FALSE),VLOOKUP(D223,★サイズ表記!$D$4:$E$55,2,FALSE),VLOOKUP(F223,★折込地区!$A$1:$B$11,2,FALSE))</f>
        <v>T2009Hmm</v>
      </c>
      <c r="B223" s="457" t="s">
        <v>275</v>
      </c>
      <c r="C223" s="452" t="str">
        <f>VLOOKUP(B223,★営業所!$A$1:$B$5,2,FALSE)</f>
        <v>T</v>
      </c>
      <c r="D223" s="465" t="s">
        <v>1364</v>
      </c>
      <c r="E223" s="452" t="str">
        <f>VLOOKUP(D223,★サイズ表記!$D$4:$E$55,2,FALSE)</f>
        <v>2009</v>
      </c>
      <c r="F223" s="457" t="s">
        <v>857</v>
      </c>
      <c r="G223" s="452" t="str">
        <f>VLOOKUP(F223,★折込地区!$A$1:$B$11,2,FALSE)</f>
        <v>Hmm</v>
      </c>
      <c r="H223" s="453">
        <f>INDEX(★サイズ表記!$I$4:$Q$55, MATCH(E223,★サイズ表記!$E$4:$E$55,0), MATCH(G223,★サイズ表記!$I$3:$R$3,0))</f>
        <v>0</v>
      </c>
      <c r="K223" s="471" t="str">
        <f t="shared" si="16"/>
        <v>T2009Hmm</v>
      </c>
      <c r="L223" s="471" t="str">
        <f t="shared" si="17"/>
        <v>連合タブ12P</v>
      </c>
      <c r="P223" s="533" t="s">
        <v>1324</v>
      </c>
      <c r="Q223" s="533" t="s">
        <v>1325</v>
      </c>
      <c r="R223" s="534" t="str">
        <f t="shared" si="18"/>
        <v>2009</v>
      </c>
      <c r="S223" s="534" t="str">
        <f t="shared" si="19"/>
        <v>連合タブ12P</v>
      </c>
      <c r="T223" s="538" t="str">
        <f t="shared" si="20"/>
        <v>20</v>
      </c>
      <c r="U223" s="538" t="str">
        <f t="shared" si="21"/>
        <v>09</v>
      </c>
      <c r="V223" s="471" t="s">
        <v>1136</v>
      </c>
      <c r="Y223" s="472">
        <f t="shared" si="22"/>
        <v>0</v>
      </c>
      <c r="Z223" s="540">
        <f t="shared" si="23"/>
        <v>0</v>
      </c>
      <c r="AA223" s="471">
        <v>0</v>
      </c>
    </row>
    <row r="224" spans="1:27">
      <c r="A224" s="451" t="str">
        <f>CONCATENATE(VLOOKUP(B224,★営業所!$A$1:$B$5,2,FALSE),VLOOKUP(D224,★サイズ表記!$D$4:$E$55,2,FALSE),VLOOKUP(F224,★折込地区!$A$1:$B$11,2,FALSE))</f>
        <v>T3001Hmm</v>
      </c>
      <c r="B224" s="457" t="s">
        <v>275</v>
      </c>
      <c r="C224" s="452" t="str">
        <f>VLOOKUP(B224,★営業所!$A$1:$B$5,2,FALSE)</f>
        <v>T</v>
      </c>
      <c r="D224" s="465" t="s">
        <v>969</v>
      </c>
      <c r="E224" s="452" t="str">
        <f>VLOOKUP(D224,★サイズ表記!$D$4:$E$55,2,FALSE)</f>
        <v>3001</v>
      </c>
      <c r="F224" s="457" t="s">
        <v>857</v>
      </c>
      <c r="G224" s="452" t="str">
        <f>VLOOKUP(F224,★折込地区!$A$1:$B$11,2,FALSE)</f>
        <v>Hmm</v>
      </c>
      <c r="H224" s="453">
        <f>INDEX(★サイズ表記!$I$4:$Q$55, MATCH(E224,★サイズ表記!$E$4:$E$55,0), MATCH(G224,★サイズ表記!$I$3:$R$3,0))</f>
        <v>4.5</v>
      </c>
      <c r="K224" s="471" t="str">
        <f t="shared" si="16"/>
        <v>T3001Hmm</v>
      </c>
      <c r="L224" s="471" t="str">
        <f t="shared" si="17"/>
        <v>政治B4</v>
      </c>
      <c r="P224" s="533" t="s">
        <v>1324</v>
      </c>
      <c r="Q224" s="533" t="s">
        <v>1325</v>
      </c>
      <c r="R224" s="534" t="str">
        <f t="shared" si="18"/>
        <v>3001</v>
      </c>
      <c r="S224" s="534" t="str">
        <f t="shared" si="19"/>
        <v>政治B4</v>
      </c>
      <c r="T224" s="538" t="str">
        <f t="shared" si="20"/>
        <v>30</v>
      </c>
      <c r="U224" s="538" t="str">
        <f t="shared" si="21"/>
        <v>01</v>
      </c>
      <c r="V224" s="471" t="s">
        <v>1136</v>
      </c>
      <c r="Y224" s="472">
        <f t="shared" si="22"/>
        <v>4.5</v>
      </c>
      <c r="Z224" s="540">
        <f t="shared" si="23"/>
        <v>0.36</v>
      </c>
      <c r="AA224" s="471">
        <v>0</v>
      </c>
    </row>
    <row r="225" spans="1:27">
      <c r="A225" s="451" t="str">
        <f>CONCATENATE(VLOOKUP(B225,★営業所!$A$1:$B$5,2,FALSE),VLOOKUP(D225,★サイズ表記!$D$4:$E$55,2,FALSE),VLOOKUP(F225,★折込地区!$A$1:$B$11,2,FALSE))</f>
        <v>T3002Hmm</v>
      </c>
      <c r="B225" s="457" t="s">
        <v>275</v>
      </c>
      <c r="C225" s="452" t="str">
        <f>VLOOKUP(B225,★営業所!$A$1:$B$5,2,FALSE)</f>
        <v>T</v>
      </c>
      <c r="D225" s="465" t="s">
        <v>970</v>
      </c>
      <c r="E225" s="452" t="str">
        <f>VLOOKUP(D225,★サイズ表記!$D$4:$E$55,2,FALSE)</f>
        <v>3002</v>
      </c>
      <c r="F225" s="457" t="s">
        <v>857</v>
      </c>
      <c r="G225" s="452" t="str">
        <f>VLOOKUP(F225,★折込地区!$A$1:$B$11,2,FALSE)</f>
        <v>Hmm</v>
      </c>
      <c r="H225" s="453">
        <f>INDEX(★サイズ表記!$I$4:$Q$55, MATCH(E225,★サイズ表記!$E$4:$E$55,0), MATCH(G225,★サイズ表記!$I$3:$R$3,0))</f>
        <v>7.5</v>
      </c>
      <c r="K225" s="471" t="str">
        <f t="shared" si="16"/>
        <v>T3002Hmm</v>
      </c>
      <c r="L225" s="471" t="str">
        <f t="shared" si="17"/>
        <v>政治B3</v>
      </c>
      <c r="P225" s="533" t="s">
        <v>1324</v>
      </c>
      <c r="Q225" s="533" t="s">
        <v>1325</v>
      </c>
      <c r="R225" s="534" t="str">
        <f t="shared" si="18"/>
        <v>3002</v>
      </c>
      <c r="S225" s="534" t="str">
        <f t="shared" si="19"/>
        <v>政治B3</v>
      </c>
      <c r="T225" s="538" t="str">
        <f t="shared" si="20"/>
        <v>30</v>
      </c>
      <c r="U225" s="538" t="str">
        <f t="shared" si="21"/>
        <v>02</v>
      </c>
      <c r="V225" s="471" t="s">
        <v>1136</v>
      </c>
      <c r="Y225" s="472">
        <f t="shared" si="22"/>
        <v>7.5</v>
      </c>
      <c r="Z225" s="540">
        <f t="shared" si="23"/>
        <v>0.6</v>
      </c>
      <c r="AA225" s="471">
        <v>0</v>
      </c>
    </row>
    <row r="226" spans="1:27">
      <c r="A226" s="451" t="str">
        <f>CONCATENATE(VLOOKUP(B226,★営業所!$A$1:$B$5,2,FALSE),VLOOKUP(D226,★サイズ表記!$D$4:$E$55,2,FALSE),VLOOKUP(F226,★折込地区!$A$1:$B$11,2,FALSE))</f>
        <v>T3003Hmm</v>
      </c>
      <c r="B226" s="457" t="s">
        <v>275</v>
      </c>
      <c r="C226" s="452" t="str">
        <f>VLOOKUP(B226,★営業所!$A$1:$B$5,2,FALSE)</f>
        <v>T</v>
      </c>
      <c r="D226" s="465" t="s">
        <v>971</v>
      </c>
      <c r="E226" s="452" t="str">
        <f>VLOOKUP(D226,★サイズ表記!$D$4:$E$55,2,FALSE)</f>
        <v>3003</v>
      </c>
      <c r="F226" s="457" t="s">
        <v>857</v>
      </c>
      <c r="G226" s="452" t="str">
        <f>VLOOKUP(F226,★折込地区!$A$1:$B$11,2,FALSE)</f>
        <v>Hmm</v>
      </c>
      <c r="H226" s="453">
        <f>INDEX(★サイズ表記!$I$4:$Q$55, MATCH(E226,★サイズ表記!$E$4:$E$55,0), MATCH(G226,★サイズ表記!$I$3:$R$3,0))</f>
        <v>12</v>
      </c>
      <c r="K226" s="471" t="str">
        <f t="shared" si="16"/>
        <v>T3003Hmm</v>
      </c>
      <c r="L226" s="471" t="str">
        <f t="shared" si="17"/>
        <v>政治B2</v>
      </c>
      <c r="P226" s="533" t="s">
        <v>1324</v>
      </c>
      <c r="Q226" s="533" t="s">
        <v>1325</v>
      </c>
      <c r="R226" s="534" t="str">
        <f t="shared" si="18"/>
        <v>3003</v>
      </c>
      <c r="S226" s="534" t="str">
        <f t="shared" si="19"/>
        <v>政治B2</v>
      </c>
      <c r="T226" s="538" t="str">
        <f t="shared" si="20"/>
        <v>30</v>
      </c>
      <c r="U226" s="538" t="str">
        <f t="shared" si="21"/>
        <v>03</v>
      </c>
      <c r="V226" s="471" t="s">
        <v>1136</v>
      </c>
      <c r="Y226" s="472">
        <f t="shared" si="22"/>
        <v>12</v>
      </c>
      <c r="Z226" s="540">
        <f t="shared" si="23"/>
        <v>0.96</v>
      </c>
      <c r="AA226" s="471">
        <v>0</v>
      </c>
    </row>
    <row r="227" spans="1:27">
      <c r="A227" s="451" t="str">
        <f>CONCATENATE(VLOOKUP(B227,★営業所!$A$1:$B$5,2,FALSE),VLOOKUP(D227,★サイズ表記!$D$4:$E$55,2,FALSE),VLOOKUP(F227,★折込地区!$A$1:$B$11,2,FALSE))</f>
        <v>T3004Hmm</v>
      </c>
      <c r="B227" s="457" t="s">
        <v>275</v>
      </c>
      <c r="C227" s="452" t="str">
        <f>VLOOKUP(B227,★営業所!$A$1:$B$5,2,FALSE)</f>
        <v>T</v>
      </c>
      <c r="D227" s="465" t="s">
        <v>972</v>
      </c>
      <c r="E227" s="452" t="str">
        <f>VLOOKUP(D227,★サイズ表記!$D$4:$E$55,2,FALSE)</f>
        <v>3004</v>
      </c>
      <c r="F227" s="457" t="s">
        <v>857</v>
      </c>
      <c r="G227" s="452" t="str">
        <f>VLOOKUP(F227,★折込地区!$A$1:$B$11,2,FALSE)</f>
        <v>Hmm</v>
      </c>
      <c r="H227" s="453">
        <f>INDEX(★サイズ表記!$I$4:$Q$55, MATCH(E227,★サイズ表記!$E$4:$E$55,0), MATCH(G227,★サイズ表記!$I$3:$R$3,0))</f>
        <v>0</v>
      </c>
      <c r="K227" s="471" t="str">
        <f t="shared" si="16"/>
        <v>T3004Hmm</v>
      </c>
      <c r="L227" s="471" t="str">
        <f t="shared" si="17"/>
        <v>政治3つ折り</v>
      </c>
      <c r="P227" s="533" t="s">
        <v>1324</v>
      </c>
      <c r="Q227" s="533" t="s">
        <v>1325</v>
      </c>
      <c r="R227" s="534" t="str">
        <f t="shared" si="18"/>
        <v>3004</v>
      </c>
      <c r="S227" s="534" t="str">
        <f t="shared" si="19"/>
        <v>政治3つ折り</v>
      </c>
      <c r="T227" s="538" t="str">
        <f t="shared" si="20"/>
        <v>30</v>
      </c>
      <c r="U227" s="538" t="str">
        <f t="shared" si="21"/>
        <v>04</v>
      </c>
      <c r="V227" s="471" t="s">
        <v>1136</v>
      </c>
      <c r="Y227" s="472">
        <f t="shared" si="22"/>
        <v>0</v>
      </c>
      <c r="Z227" s="540">
        <f t="shared" si="23"/>
        <v>0</v>
      </c>
      <c r="AA227" s="471">
        <v>0</v>
      </c>
    </row>
    <row r="228" spans="1:27">
      <c r="A228" s="451" t="str">
        <f>CONCATENATE(VLOOKUP(B228,★営業所!$A$1:$B$5,2,FALSE),VLOOKUP(D228,★サイズ表記!$D$4:$E$55,2,FALSE),VLOOKUP(F228,★折込地区!$A$1:$B$11,2,FALSE))</f>
        <v>T3005Hmm</v>
      </c>
      <c r="B228" s="457" t="s">
        <v>275</v>
      </c>
      <c r="C228" s="452" t="str">
        <f>VLOOKUP(B228,★営業所!$A$1:$B$5,2,FALSE)</f>
        <v>T</v>
      </c>
      <c r="D228" s="465" t="s">
        <v>973</v>
      </c>
      <c r="E228" s="452" t="str">
        <f>VLOOKUP(D228,★サイズ表記!$D$4:$E$55,2,FALSE)</f>
        <v>3005</v>
      </c>
      <c r="F228" s="457" t="s">
        <v>857</v>
      </c>
      <c r="G228" s="452" t="str">
        <f>VLOOKUP(F228,★折込地区!$A$1:$B$11,2,FALSE)</f>
        <v>Hmm</v>
      </c>
      <c r="H228" s="453">
        <f>INDEX(★サイズ表記!$I$4:$Q$55, MATCH(E228,★サイズ表記!$E$4:$E$55,0), MATCH(G228,★サイズ表記!$I$3:$R$3,0))</f>
        <v>0</v>
      </c>
      <c r="K228" s="471" t="str">
        <f t="shared" si="16"/>
        <v>T3005Hmm</v>
      </c>
      <c r="L228" s="471" t="str">
        <f t="shared" si="17"/>
        <v>政治2つ折り極小</v>
      </c>
      <c r="P228" s="533" t="s">
        <v>1324</v>
      </c>
      <c r="Q228" s="533" t="s">
        <v>1325</v>
      </c>
      <c r="R228" s="534" t="str">
        <f t="shared" si="18"/>
        <v>3005</v>
      </c>
      <c r="S228" s="534" t="str">
        <f t="shared" si="19"/>
        <v>政治2つ折り極小</v>
      </c>
      <c r="T228" s="538" t="str">
        <f t="shared" si="20"/>
        <v>30</v>
      </c>
      <c r="U228" s="538" t="str">
        <f t="shared" si="21"/>
        <v>05</v>
      </c>
      <c r="V228" s="471" t="s">
        <v>1136</v>
      </c>
      <c r="Y228" s="472">
        <f t="shared" si="22"/>
        <v>0</v>
      </c>
      <c r="Z228" s="540">
        <f t="shared" si="23"/>
        <v>0</v>
      </c>
      <c r="AA228" s="471">
        <v>0</v>
      </c>
    </row>
    <row r="229" spans="1:27">
      <c r="A229" s="451" t="str">
        <f>CONCATENATE(VLOOKUP(B229,★営業所!$A$1:$B$5,2,FALSE),VLOOKUP(D229,★サイズ表記!$D$4:$E$55,2,FALSE),VLOOKUP(F229,★折込地区!$A$1:$B$11,2,FALSE))</f>
        <v>T3006Hmm</v>
      </c>
      <c r="B229" s="457" t="s">
        <v>275</v>
      </c>
      <c r="C229" s="452" t="str">
        <f>VLOOKUP(B229,★営業所!$A$1:$B$5,2,FALSE)</f>
        <v>T</v>
      </c>
      <c r="D229" s="465" t="s">
        <v>974</v>
      </c>
      <c r="E229" s="452" t="str">
        <f>VLOOKUP(D229,★サイズ表記!$D$4:$E$55,2,FALSE)</f>
        <v>3006</v>
      </c>
      <c r="F229" s="457" t="s">
        <v>857</v>
      </c>
      <c r="G229" s="452" t="str">
        <f>VLOOKUP(F229,★折込地区!$A$1:$B$11,2,FALSE)</f>
        <v>Hmm</v>
      </c>
      <c r="H229" s="453">
        <f>INDEX(★サイズ表記!$I$4:$Q$55, MATCH(E229,★サイズ表記!$E$4:$E$55,0), MATCH(G229,★サイズ表記!$I$3:$R$3,0))</f>
        <v>0</v>
      </c>
      <c r="K229" s="471" t="str">
        <f t="shared" si="16"/>
        <v>T3006Hmm</v>
      </c>
      <c r="L229" s="471" t="str">
        <f t="shared" si="17"/>
        <v>政治B4厚紙</v>
      </c>
      <c r="P229" s="533" t="s">
        <v>1324</v>
      </c>
      <c r="Q229" s="533" t="s">
        <v>1325</v>
      </c>
      <c r="R229" s="534" t="str">
        <f t="shared" si="18"/>
        <v>3006</v>
      </c>
      <c r="S229" s="534" t="str">
        <f t="shared" si="19"/>
        <v>政治B4厚紙</v>
      </c>
      <c r="T229" s="538" t="str">
        <f t="shared" si="20"/>
        <v>30</v>
      </c>
      <c r="U229" s="538" t="str">
        <f t="shared" si="21"/>
        <v>06</v>
      </c>
      <c r="V229" s="471" t="s">
        <v>1136</v>
      </c>
      <c r="Y229" s="472">
        <f t="shared" si="22"/>
        <v>0</v>
      </c>
      <c r="Z229" s="540">
        <f t="shared" si="23"/>
        <v>0</v>
      </c>
      <c r="AA229" s="471">
        <v>0</v>
      </c>
    </row>
    <row r="230" spans="1:27">
      <c r="A230" s="451" t="str">
        <f>CONCATENATE(VLOOKUP(B230,★営業所!$A$1:$B$5,2,FALSE),VLOOKUP(D230,★サイズ表記!$D$4:$E$55,2,FALSE),VLOOKUP(F230,★折込地区!$A$1:$B$11,2,FALSE))</f>
        <v>T3007Hmm</v>
      </c>
      <c r="B230" s="457" t="s">
        <v>275</v>
      </c>
      <c r="C230" s="452" t="str">
        <f>VLOOKUP(B230,★営業所!$A$1:$B$5,2,FALSE)</f>
        <v>T</v>
      </c>
      <c r="D230" s="465" t="s">
        <v>1362</v>
      </c>
      <c r="E230" s="452" t="str">
        <f>VLOOKUP(D230,★サイズ表記!$D$4:$E$55,2,FALSE)</f>
        <v>3007</v>
      </c>
      <c r="F230" s="457" t="s">
        <v>857</v>
      </c>
      <c r="G230" s="452" t="str">
        <f>VLOOKUP(F230,★折込地区!$A$1:$B$11,2,FALSE)</f>
        <v>Hmm</v>
      </c>
      <c r="H230" s="453">
        <f>INDEX(★サイズ表記!$I$4:$Q$55, MATCH(E230,★サイズ表記!$E$4:$E$55,0), MATCH(G230,★サイズ表記!$I$3:$R$3,0))</f>
        <v>0</v>
      </c>
      <c r="K230" s="471" t="str">
        <f t="shared" si="16"/>
        <v>T3007Hmm</v>
      </c>
      <c r="L230" s="471" t="str">
        <f t="shared" si="17"/>
        <v>政治タブ6P</v>
      </c>
      <c r="P230" s="533" t="s">
        <v>1324</v>
      </c>
      <c r="Q230" s="533" t="s">
        <v>1325</v>
      </c>
      <c r="R230" s="534" t="str">
        <f t="shared" si="18"/>
        <v>3007</v>
      </c>
      <c r="S230" s="534" t="str">
        <f t="shared" si="19"/>
        <v>政治タブ6P</v>
      </c>
      <c r="T230" s="538" t="str">
        <f t="shared" si="20"/>
        <v>30</v>
      </c>
      <c r="U230" s="538" t="str">
        <f t="shared" si="21"/>
        <v>07</v>
      </c>
      <c r="V230" s="471" t="s">
        <v>1136</v>
      </c>
      <c r="Y230" s="472">
        <f t="shared" si="22"/>
        <v>0</v>
      </c>
      <c r="Z230" s="540">
        <f t="shared" si="23"/>
        <v>0</v>
      </c>
      <c r="AA230" s="471">
        <v>0</v>
      </c>
    </row>
    <row r="231" spans="1:27">
      <c r="A231" s="451" t="str">
        <f>CONCATENATE(VLOOKUP(B231,★営業所!$A$1:$B$5,2,FALSE),VLOOKUP(D231,★サイズ表記!$D$4:$E$55,2,FALSE),VLOOKUP(F231,★折込地区!$A$1:$B$11,2,FALSE))</f>
        <v>T3008Hmm</v>
      </c>
      <c r="B231" s="457" t="s">
        <v>275</v>
      </c>
      <c r="C231" s="452" t="str">
        <f>VLOOKUP(B231,★営業所!$A$1:$B$5,2,FALSE)</f>
        <v>T</v>
      </c>
      <c r="D231" s="465" t="s">
        <v>1363</v>
      </c>
      <c r="E231" s="452" t="str">
        <f>VLOOKUP(D231,★サイズ表記!$D$4:$E$55,2,FALSE)</f>
        <v>3008</v>
      </c>
      <c r="F231" s="457" t="s">
        <v>857</v>
      </c>
      <c r="G231" s="452" t="str">
        <f>VLOOKUP(F231,★折込地区!$A$1:$B$11,2,FALSE)</f>
        <v>Hmm</v>
      </c>
      <c r="H231" s="453">
        <f>INDEX(★サイズ表記!$I$4:$Q$55, MATCH(E231,★サイズ表記!$E$4:$E$55,0), MATCH(G231,★サイズ表記!$I$3:$R$3,0))</f>
        <v>0</v>
      </c>
      <c r="K231" s="471" t="str">
        <f t="shared" si="16"/>
        <v>T3008Hmm</v>
      </c>
      <c r="L231" s="471" t="str">
        <f t="shared" si="17"/>
        <v>政治タブ8P</v>
      </c>
      <c r="P231" s="533" t="s">
        <v>1324</v>
      </c>
      <c r="Q231" s="533" t="s">
        <v>1325</v>
      </c>
      <c r="R231" s="534" t="str">
        <f t="shared" si="18"/>
        <v>3008</v>
      </c>
      <c r="S231" s="534" t="str">
        <f t="shared" si="19"/>
        <v>政治タブ8P</v>
      </c>
      <c r="T231" s="538" t="str">
        <f t="shared" si="20"/>
        <v>30</v>
      </c>
      <c r="U231" s="538" t="str">
        <f t="shared" si="21"/>
        <v>08</v>
      </c>
      <c r="V231" s="471" t="s">
        <v>1136</v>
      </c>
      <c r="Y231" s="472">
        <f t="shared" si="22"/>
        <v>0</v>
      </c>
      <c r="Z231" s="540">
        <f t="shared" si="23"/>
        <v>0</v>
      </c>
      <c r="AA231" s="471">
        <v>0</v>
      </c>
    </row>
    <row r="232" spans="1:27">
      <c r="A232" s="451" t="str">
        <f>CONCATENATE(VLOOKUP(B232,★営業所!$A$1:$B$5,2,FALSE),VLOOKUP(D232,★サイズ表記!$D$4:$E$55,2,FALSE),VLOOKUP(F232,★折込地区!$A$1:$B$11,2,FALSE))</f>
        <v>T3009Hmm</v>
      </c>
      <c r="B232" s="457" t="s">
        <v>275</v>
      </c>
      <c r="C232" s="452" t="str">
        <f>VLOOKUP(B232,★営業所!$A$1:$B$5,2,FALSE)</f>
        <v>T</v>
      </c>
      <c r="D232" s="465" t="s">
        <v>1361</v>
      </c>
      <c r="E232" s="452" t="str">
        <f>VLOOKUP(D232,★サイズ表記!$D$4:$E$55,2,FALSE)</f>
        <v>3009</v>
      </c>
      <c r="F232" s="457" t="s">
        <v>857</v>
      </c>
      <c r="G232" s="452" t="str">
        <f>VLOOKUP(F232,★折込地区!$A$1:$B$11,2,FALSE)</f>
        <v>Hmm</v>
      </c>
      <c r="H232" s="453">
        <f>INDEX(★サイズ表記!$I$4:$Q$55, MATCH(E232,★サイズ表記!$E$4:$E$55,0), MATCH(G232,★サイズ表記!$I$3:$R$3,0))</f>
        <v>0</v>
      </c>
      <c r="K232" s="471" t="str">
        <f t="shared" ref="K232:K295" si="24">A232</f>
        <v>T3009Hmm</v>
      </c>
      <c r="L232" s="471" t="str">
        <f t="shared" ref="L232:L295" si="25">D232</f>
        <v>政治タブ12P</v>
      </c>
      <c r="P232" s="533" t="s">
        <v>1324</v>
      </c>
      <c r="Q232" s="533" t="s">
        <v>1325</v>
      </c>
      <c r="R232" s="534" t="str">
        <f t="shared" si="18"/>
        <v>3009</v>
      </c>
      <c r="S232" s="534" t="str">
        <f t="shared" si="19"/>
        <v>政治タブ12P</v>
      </c>
      <c r="T232" s="538" t="str">
        <f t="shared" si="20"/>
        <v>30</v>
      </c>
      <c r="U232" s="538" t="str">
        <f t="shared" si="21"/>
        <v>09</v>
      </c>
      <c r="V232" s="471" t="s">
        <v>1136</v>
      </c>
      <c r="Y232" s="472">
        <f t="shared" si="22"/>
        <v>0</v>
      </c>
      <c r="Z232" s="540">
        <f t="shared" si="23"/>
        <v>0</v>
      </c>
      <c r="AA232" s="471">
        <v>0</v>
      </c>
    </row>
    <row r="233" spans="1:27">
      <c r="A233" s="451" t="str">
        <f>CONCATENATE(VLOOKUP(B233,★営業所!$A$1:$B$5,2,FALSE),VLOOKUP(D233,★サイズ表記!$D$4:$E$55,2,FALSE),VLOOKUP(F233,★折込地区!$A$1:$B$11,2,FALSE))</f>
        <v>T4001Hmm</v>
      </c>
      <c r="B233" s="457" t="s">
        <v>275</v>
      </c>
      <c r="C233" s="452" t="str">
        <f>VLOOKUP(B233,★営業所!$A$1:$B$5,2,FALSE)</f>
        <v>T</v>
      </c>
      <c r="D233" s="465" t="s">
        <v>1358</v>
      </c>
      <c r="E233" s="452" t="str">
        <f>VLOOKUP(D233,★サイズ表記!$D$4:$E$55,2,FALSE)</f>
        <v>4001</v>
      </c>
      <c r="F233" s="457" t="s">
        <v>857</v>
      </c>
      <c r="G233" s="452" t="str">
        <f>VLOOKUP(F233,★折込地区!$A$1:$B$11,2,FALSE)</f>
        <v>Hmm</v>
      </c>
      <c r="H233" s="453">
        <f>INDEX(★サイズ表記!$I$4:$Q$55, MATCH(E233,★サイズ表記!$E$4:$E$55,0), MATCH(G233,★サイズ表記!$I$3:$R$3,0))</f>
        <v>0</v>
      </c>
      <c r="K233" s="471" t="str">
        <f t="shared" si="24"/>
        <v>T4001Hmm</v>
      </c>
      <c r="L233" s="471" t="str">
        <f t="shared" si="25"/>
        <v>タブ6P</v>
      </c>
      <c r="P233" s="533" t="s">
        <v>1324</v>
      </c>
      <c r="Q233" s="533" t="s">
        <v>1325</v>
      </c>
      <c r="R233" s="534" t="str">
        <f t="shared" ref="R233:R296" si="26">E233</f>
        <v>4001</v>
      </c>
      <c r="S233" s="534" t="str">
        <f t="shared" ref="S233:S296" si="27">L233</f>
        <v>タブ6P</v>
      </c>
      <c r="T233" s="538" t="str">
        <f t="shared" ref="T233:T296" si="28">LEFT($E233,2)</f>
        <v>40</v>
      </c>
      <c r="U233" s="538" t="str">
        <f t="shared" ref="U233:U296" si="29">RIGHT($E233,2)</f>
        <v>01</v>
      </c>
      <c r="V233" s="471" t="s">
        <v>1136</v>
      </c>
      <c r="Y233" s="472">
        <f t="shared" ref="Y233:Y296" si="30">$H233</f>
        <v>0</v>
      </c>
      <c r="Z233" s="540">
        <f t="shared" ref="Z233:Z296" si="31">ROUNDDOWN($H233*8/100,2)</f>
        <v>0</v>
      </c>
      <c r="AA233" s="471">
        <v>0</v>
      </c>
    </row>
    <row r="234" spans="1:27">
      <c r="A234" s="451" t="str">
        <f>CONCATENATE(VLOOKUP(B234,★営業所!$A$1:$B$5,2,FALSE),VLOOKUP(D234,★サイズ表記!$D$4:$E$55,2,FALSE),VLOOKUP(F234,★折込地区!$A$1:$B$11,2,FALSE))</f>
        <v>T4002Hmm</v>
      </c>
      <c r="B234" s="457" t="s">
        <v>275</v>
      </c>
      <c r="C234" s="452" t="str">
        <f>VLOOKUP(B234,★営業所!$A$1:$B$5,2,FALSE)</f>
        <v>T</v>
      </c>
      <c r="D234" s="465" t="s">
        <v>1359</v>
      </c>
      <c r="E234" s="452" t="str">
        <f>VLOOKUP(D234,★サイズ表記!$D$4:$E$55,2,FALSE)</f>
        <v>4002</v>
      </c>
      <c r="F234" s="457" t="s">
        <v>857</v>
      </c>
      <c r="G234" s="452" t="str">
        <f>VLOOKUP(F234,★折込地区!$A$1:$B$11,2,FALSE)</f>
        <v>Hmm</v>
      </c>
      <c r="H234" s="453">
        <f>INDEX(★サイズ表記!$I$4:$Q$55, MATCH(E234,★サイズ表記!$E$4:$E$55,0), MATCH(G234,★サイズ表記!$I$3:$R$3,0))</f>
        <v>0</v>
      </c>
      <c r="K234" s="471" t="str">
        <f t="shared" si="24"/>
        <v>T4002Hmm</v>
      </c>
      <c r="L234" s="471" t="str">
        <f t="shared" si="25"/>
        <v>タブ8P</v>
      </c>
      <c r="P234" s="533" t="s">
        <v>1324</v>
      </c>
      <c r="Q234" s="533" t="s">
        <v>1325</v>
      </c>
      <c r="R234" s="534" t="str">
        <f t="shared" si="26"/>
        <v>4002</v>
      </c>
      <c r="S234" s="534" t="str">
        <f t="shared" si="27"/>
        <v>タブ8P</v>
      </c>
      <c r="T234" s="538" t="str">
        <f t="shared" si="28"/>
        <v>40</v>
      </c>
      <c r="U234" s="538" t="str">
        <f t="shared" si="29"/>
        <v>02</v>
      </c>
      <c r="V234" s="471" t="s">
        <v>1136</v>
      </c>
      <c r="Y234" s="472">
        <f t="shared" si="30"/>
        <v>0</v>
      </c>
      <c r="Z234" s="540">
        <f t="shared" si="31"/>
        <v>0</v>
      </c>
      <c r="AA234" s="471">
        <v>0</v>
      </c>
    </row>
    <row r="235" spans="1:27">
      <c r="A235" s="451" t="str">
        <f>CONCATENATE(VLOOKUP(B235,★営業所!$A$1:$B$5,2,FALSE),VLOOKUP(D235,★サイズ表記!$D$4:$E$55,2,FALSE),VLOOKUP(F235,★折込地区!$A$1:$B$11,2,FALSE))</f>
        <v>T4003Hmm</v>
      </c>
      <c r="B235" s="457" t="s">
        <v>275</v>
      </c>
      <c r="C235" s="452" t="str">
        <f>VLOOKUP(B235,★営業所!$A$1:$B$5,2,FALSE)</f>
        <v>T</v>
      </c>
      <c r="D235" s="465" t="s">
        <v>1360</v>
      </c>
      <c r="E235" s="452" t="str">
        <f>VLOOKUP(D235,★サイズ表記!$D$4:$E$55,2,FALSE)</f>
        <v>4003</v>
      </c>
      <c r="F235" s="457" t="s">
        <v>857</v>
      </c>
      <c r="G235" s="452" t="str">
        <f>VLOOKUP(F235,★折込地区!$A$1:$B$11,2,FALSE)</f>
        <v>Hmm</v>
      </c>
      <c r="H235" s="453">
        <f>INDEX(★サイズ表記!$I$4:$Q$55, MATCH(E235,★サイズ表記!$E$4:$E$55,0), MATCH(G235,★サイズ表記!$I$3:$R$3,0))</f>
        <v>0</v>
      </c>
      <c r="K235" s="471" t="str">
        <f t="shared" si="24"/>
        <v>T4003Hmm</v>
      </c>
      <c r="L235" s="471" t="str">
        <f t="shared" si="25"/>
        <v>タブ8Pホチキス止め</v>
      </c>
      <c r="P235" s="533" t="s">
        <v>1324</v>
      </c>
      <c r="Q235" s="533" t="s">
        <v>1325</v>
      </c>
      <c r="R235" s="534" t="str">
        <f t="shared" si="26"/>
        <v>4003</v>
      </c>
      <c r="S235" s="534" t="str">
        <f t="shared" si="27"/>
        <v>タブ8Pホチキス止め</v>
      </c>
      <c r="T235" s="538" t="str">
        <f t="shared" si="28"/>
        <v>40</v>
      </c>
      <c r="U235" s="538" t="str">
        <f t="shared" si="29"/>
        <v>03</v>
      </c>
      <c r="V235" s="471" t="s">
        <v>1136</v>
      </c>
      <c r="Y235" s="472">
        <f t="shared" si="30"/>
        <v>0</v>
      </c>
      <c r="Z235" s="540">
        <f t="shared" si="31"/>
        <v>0</v>
      </c>
      <c r="AA235" s="471">
        <v>0</v>
      </c>
    </row>
    <row r="236" spans="1:27">
      <c r="A236" s="451" t="str">
        <f>CONCATENATE(VLOOKUP(B236,★営業所!$A$1:$B$5,2,FALSE),VLOOKUP(D236,★サイズ表記!$D$4:$E$55,2,FALSE),VLOOKUP(F236,★折込地区!$A$1:$B$11,2,FALSE))</f>
        <v>T4004Hmm</v>
      </c>
      <c r="B236" s="457" t="s">
        <v>275</v>
      </c>
      <c r="C236" s="452" t="str">
        <f>VLOOKUP(B236,★営業所!$A$1:$B$5,2,FALSE)</f>
        <v>T</v>
      </c>
      <c r="D236" s="465" t="s">
        <v>1350</v>
      </c>
      <c r="E236" s="452" t="str">
        <f>VLOOKUP(D236,★サイズ表記!$D$4:$E$55,2,FALSE)</f>
        <v>4004</v>
      </c>
      <c r="F236" s="457" t="s">
        <v>857</v>
      </c>
      <c r="G236" s="452" t="str">
        <f>VLOOKUP(F236,★折込地区!$A$1:$B$11,2,FALSE)</f>
        <v>Hmm</v>
      </c>
      <c r="H236" s="453">
        <f>INDEX(★サイズ表記!$I$4:$Q$55, MATCH(E236,★サイズ表記!$E$4:$E$55,0), MATCH(G236,★サイズ表記!$I$3:$R$3,0))</f>
        <v>0</v>
      </c>
      <c r="K236" s="471" t="str">
        <f t="shared" si="24"/>
        <v>T4004Hmm</v>
      </c>
      <c r="L236" s="471" t="str">
        <f t="shared" si="25"/>
        <v>タブ10P</v>
      </c>
      <c r="P236" s="533" t="s">
        <v>1324</v>
      </c>
      <c r="Q236" s="533" t="s">
        <v>1325</v>
      </c>
      <c r="R236" s="534" t="str">
        <f t="shared" si="26"/>
        <v>4004</v>
      </c>
      <c r="S236" s="534" t="str">
        <f t="shared" si="27"/>
        <v>タブ10P</v>
      </c>
      <c r="T236" s="538" t="str">
        <f t="shared" si="28"/>
        <v>40</v>
      </c>
      <c r="U236" s="538" t="str">
        <f t="shared" si="29"/>
        <v>04</v>
      </c>
      <c r="V236" s="471" t="s">
        <v>1136</v>
      </c>
      <c r="Y236" s="472">
        <f t="shared" si="30"/>
        <v>0</v>
      </c>
      <c r="Z236" s="540">
        <f t="shared" si="31"/>
        <v>0</v>
      </c>
      <c r="AA236" s="471">
        <v>0</v>
      </c>
    </row>
    <row r="237" spans="1:27">
      <c r="A237" s="451" t="str">
        <f>CONCATENATE(VLOOKUP(B237,★営業所!$A$1:$B$5,2,FALSE),VLOOKUP(D237,★サイズ表記!$D$4:$E$55,2,FALSE),VLOOKUP(F237,★折込地区!$A$1:$B$11,2,FALSE))</f>
        <v>T4005Hmm</v>
      </c>
      <c r="B237" s="457" t="s">
        <v>275</v>
      </c>
      <c r="C237" s="452" t="str">
        <f>VLOOKUP(B237,★営業所!$A$1:$B$5,2,FALSE)</f>
        <v>T</v>
      </c>
      <c r="D237" s="465" t="s">
        <v>1351</v>
      </c>
      <c r="E237" s="452" t="str">
        <f>VLOOKUP(D237,★サイズ表記!$D$4:$E$55,2,FALSE)</f>
        <v>4005</v>
      </c>
      <c r="F237" s="457" t="s">
        <v>857</v>
      </c>
      <c r="G237" s="452" t="str">
        <f>VLOOKUP(F237,★折込地区!$A$1:$B$11,2,FALSE)</f>
        <v>Hmm</v>
      </c>
      <c r="H237" s="453">
        <f>INDEX(★サイズ表記!$I$4:$Q$55, MATCH(E237,★サイズ表記!$E$4:$E$55,0), MATCH(G237,★サイズ表記!$I$3:$R$3,0))</f>
        <v>0</v>
      </c>
      <c r="K237" s="471" t="str">
        <f t="shared" si="24"/>
        <v>T4005Hmm</v>
      </c>
      <c r="L237" s="471" t="str">
        <f t="shared" si="25"/>
        <v>タブ12P</v>
      </c>
      <c r="P237" s="533" t="s">
        <v>1324</v>
      </c>
      <c r="Q237" s="533" t="s">
        <v>1325</v>
      </c>
      <c r="R237" s="534" t="str">
        <f t="shared" si="26"/>
        <v>4005</v>
      </c>
      <c r="S237" s="534" t="str">
        <f t="shared" si="27"/>
        <v>タブ12P</v>
      </c>
      <c r="T237" s="538" t="str">
        <f t="shared" si="28"/>
        <v>40</v>
      </c>
      <c r="U237" s="538" t="str">
        <f t="shared" si="29"/>
        <v>05</v>
      </c>
      <c r="V237" s="471" t="s">
        <v>1136</v>
      </c>
      <c r="Y237" s="472">
        <f t="shared" si="30"/>
        <v>0</v>
      </c>
      <c r="Z237" s="540">
        <f t="shared" si="31"/>
        <v>0</v>
      </c>
      <c r="AA237" s="471">
        <v>0</v>
      </c>
    </row>
    <row r="238" spans="1:27">
      <c r="A238" s="451" t="str">
        <f>CONCATENATE(VLOOKUP(B238,★営業所!$A$1:$B$5,2,FALSE),VLOOKUP(D238,★サイズ表記!$D$4:$E$55,2,FALSE),VLOOKUP(F238,★折込地区!$A$1:$B$11,2,FALSE))</f>
        <v>T4006Hmm</v>
      </c>
      <c r="B238" s="457" t="s">
        <v>275</v>
      </c>
      <c r="C238" s="452" t="str">
        <f>VLOOKUP(B238,★営業所!$A$1:$B$5,2,FALSE)</f>
        <v>T</v>
      </c>
      <c r="D238" s="465" t="s">
        <v>1352</v>
      </c>
      <c r="E238" s="452" t="str">
        <f>VLOOKUP(D238,★サイズ表記!$D$4:$E$55,2,FALSE)</f>
        <v>4006</v>
      </c>
      <c r="F238" s="457" t="s">
        <v>857</v>
      </c>
      <c r="G238" s="452" t="str">
        <f>VLOOKUP(F238,★折込地区!$A$1:$B$11,2,FALSE)</f>
        <v>Hmm</v>
      </c>
      <c r="H238" s="453">
        <f>INDEX(★サイズ表記!$I$4:$Q$55, MATCH(E238,★サイズ表記!$E$4:$E$55,0), MATCH(G238,★サイズ表記!$I$3:$R$3,0))</f>
        <v>0</v>
      </c>
      <c r="K238" s="471" t="str">
        <f t="shared" si="24"/>
        <v>T4006Hmm</v>
      </c>
      <c r="L238" s="471" t="str">
        <f t="shared" si="25"/>
        <v>タブ14P</v>
      </c>
      <c r="P238" s="533" t="s">
        <v>1324</v>
      </c>
      <c r="Q238" s="533" t="s">
        <v>1325</v>
      </c>
      <c r="R238" s="534" t="str">
        <f t="shared" si="26"/>
        <v>4006</v>
      </c>
      <c r="S238" s="534" t="str">
        <f t="shared" si="27"/>
        <v>タブ14P</v>
      </c>
      <c r="T238" s="538" t="str">
        <f t="shared" si="28"/>
        <v>40</v>
      </c>
      <c r="U238" s="538" t="str">
        <f t="shared" si="29"/>
        <v>06</v>
      </c>
      <c r="V238" s="471" t="s">
        <v>1136</v>
      </c>
      <c r="Y238" s="472">
        <f t="shared" si="30"/>
        <v>0</v>
      </c>
      <c r="Z238" s="540">
        <f t="shared" si="31"/>
        <v>0</v>
      </c>
      <c r="AA238" s="471">
        <v>0</v>
      </c>
    </row>
    <row r="239" spans="1:27">
      <c r="A239" s="451" t="str">
        <f>CONCATENATE(VLOOKUP(B239,★営業所!$A$1:$B$5,2,FALSE),VLOOKUP(D239,★サイズ表記!$D$4:$E$55,2,FALSE),VLOOKUP(F239,★折込地区!$A$1:$B$11,2,FALSE))</f>
        <v>T4007Hmm</v>
      </c>
      <c r="B239" s="457" t="s">
        <v>275</v>
      </c>
      <c r="C239" s="452" t="str">
        <f>VLOOKUP(B239,★営業所!$A$1:$B$5,2,FALSE)</f>
        <v>T</v>
      </c>
      <c r="D239" s="465" t="s">
        <v>1353</v>
      </c>
      <c r="E239" s="452" t="str">
        <f>VLOOKUP(D239,★サイズ表記!$D$4:$E$55,2,FALSE)</f>
        <v>4007</v>
      </c>
      <c r="F239" s="457" t="s">
        <v>857</v>
      </c>
      <c r="G239" s="452" t="str">
        <f>VLOOKUP(F239,★折込地区!$A$1:$B$11,2,FALSE)</f>
        <v>Hmm</v>
      </c>
      <c r="H239" s="453">
        <f>INDEX(★サイズ表記!$I$4:$Q$55, MATCH(E239,★サイズ表記!$E$4:$E$55,0), MATCH(G239,★サイズ表記!$I$3:$R$3,0))</f>
        <v>0</v>
      </c>
      <c r="K239" s="471" t="str">
        <f t="shared" si="24"/>
        <v>T4007Hmm</v>
      </c>
      <c r="L239" s="471" t="str">
        <f t="shared" si="25"/>
        <v>タブ16P</v>
      </c>
      <c r="P239" s="533" t="s">
        <v>1324</v>
      </c>
      <c r="Q239" s="533" t="s">
        <v>1325</v>
      </c>
      <c r="R239" s="534" t="str">
        <f t="shared" si="26"/>
        <v>4007</v>
      </c>
      <c r="S239" s="534" t="str">
        <f t="shared" si="27"/>
        <v>タブ16P</v>
      </c>
      <c r="T239" s="538" t="str">
        <f t="shared" si="28"/>
        <v>40</v>
      </c>
      <c r="U239" s="538" t="str">
        <f t="shared" si="29"/>
        <v>07</v>
      </c>
      <c r="V239" s="471" t="s">
        <v>1136</v>
      </c>
      <c r="Y239" s="472">
        <f t="shared" si="30"/>
        <v>0</v>
      </c>
      <c r="Z239" s="540">
        <f t="shared" si="31"/>
        <v>0</v>
      </c>
      <c r="AA239" s="471">
        <v>0</v>
      </c>
    </row>
    <row r="240" spans="1:27">
      <c r="A240" s="451" t="str">
        <f>CONCATENATE(VLOOKUP(B240,★営業所!$A$1:$B$5,2,FALSE),VLOOKUP(D240,★サイズ表記!$D$4:$E$55,2,FALSE),VLOOKUP(F240,★折込地区!$A$1:$B$11,2,FALSE))</f>
        <v>T4008Hmm</v>
      </c>
      <c r="B240" s="457" t="s">
        <v>275</v>
      </c>
      <c r="C240" s="452" t="str">
        <f>VLOOKUP(B240,★営業所!$A$1:$B$5,2,FALSE)</f>
        <v>T</v>
      </c>
      <c r="D240" s="465" t="s">
        <v>1355</v>
      </c>
      <c r="E240" s="452" t="str">
        <f>VLOOKUP(D240,★サイズ表記!$D$4:$E$55,2,FALSE)</f>
        <v>4008</v>
      </c>
      <c r="F240" s="457" t="s">
        <v>857</v>
      </c>
      <c r="G240" s="452" t="str">
        <f>VLOOKUP(F240,★折込地区!$A$1:$B$11,2,FALSE)</f>
        <v>Hmm</v>
      </c>
      <c r="H240" s="453">
        <f>INDEX(★サイズ表記!$I$4:$Q$55, MATCH(E240,★サイズ表記!$E$4:$E$55,0), MATCH(G240,★サイズ表記!$I$3:$R$3,0))</f>
        <v>0</v>
      </c>
      <c r="K240" s="471" t="str">
        <f t="shared" si="24"/>
        <v>T4008Hmm</v>
      </c>
      <c r="L240" s="471" t="str">
        <f t="shared" si="25"/>
        <v>タブ18P</v>
      </c>
      <c r="P240" s="533" t="s">
        <v>1324</v>
      </c>
      <c r="Q240" s="533" t="s">
        <v>1325</v>
      </c>
      <c r="R240" s="534" t="str">
        <f t="shared" si="26"/>
        <v>4008</v>
      </c>
      <c r="S240" s="534" t="str">
        <f t="shared" si="27"/>
        <v>タブ18P</v>
      </c>
      <c r="T240" s="538" t="str">
        <f t="shared" si="28"/>
        <v>40</v>
      </c>
      <c r="U240" s="538" t="str">
        <f t="shared" si="29"/>
        <v>08</v>
      </c>
      <c r="V240" s="471" t="s">
        <v>1136</v>
      </c>
      <c r="Y240" s="472">
        <f t="shared" si="30"/>
        <v>0</v>
      </c>
      <c r="Z240" s="540">
        <f t="shared" si="31"/>
        <v>0</v>
      </c>
      <c r="AA240" s="471">
        <v>0</v>
      </c>
    </row>
    <row r="241" spans="1:27">
      <c r="A241" s="451" t="str">
        <f>CONCATENATE(VLOOKUP(B241,★営業所!$A$1:$B$5,2,FALSE),VLOOKUP(D241,★サイズ表記!$D$4:$E$55,2,FALSE),VLOOKUP(F241,★折込地区!$A$1:$B$11,2,FALSE))</f>
        <v>T4009Hmm</v>
      </c>
      <c r="B241" s="457" t="s">
        <v>275</v>
      </c>
      <c r="C241" s="452" t="str">
        <f>VLOOKUP(B241,★営業所!$A$1:$B$5,2,FALSE)</f>
        <v>T</v>
      </c>
      <c r="D241" s="465" t="s">
        <v>1356</v>
      </c>
      <c r="E241" s="452" t="str">
        <f>VLOOKUP(D241,★サイズ表記!$D$4:$E$55,2,FALSE)</f>
        <v>4009</v>
      </c>
      <c r="F241" s="457" t="s">
        <v>857</v>
      </c>
      <c r="G241" s="452" t="str">
        <f>VLOOKUP(F241,★折込地区!$A$1:$B$11,2,FALSE)</f>
        <v>Hmm</v>
      </c>
      <c r="H241" s="453">
        <f>INDEX(★サイズ表記!$I$4:$Q$55, MATCH(E241,★サイズ表記!$E$4:$E$55,0), MATCH(G241,★サイズ表記!$I$3:$R$3,0))</f>
        <v>0</v>
      </c>
      <c r="K241" s="471" t="str">
        <f t="shared" si="24"/>
        <v>T4009Hmm</v>
      </c>
      <c r="L241" s="471" t="str">
        <f t="shared" si="25"/>
        <v>タブ20P</v>
      </c>
      <c r="P241" s="533" t="s">
        <v>1324</v>
      </c>
      <c r="Q241" s="533" t="s">
        <v>1325</v>
      </c>
      <c r="R241" s="534" t="str">
        <f t="shared" si="26"/>
        <v>4009</v>
      </c>
      <c r="S241" s="534" t="str">
        <f t="shared" si="27"/>
        <v>タブ20P</v>
      </c>
      <c r="T241" s="538" t="str">
        <f t="shared" si="28"/>
        <v>40</v>
      </c>
      <c r="U241" s="538" t="str">
        <f t="shared" si="29"/>
        <v>09</v>
      </c>
      <c r="V241" s="471" t="s">
        <v>1136</v>
      </c>
      <c r="Y241" s="472">
        <f t="shared" si="30"/>
        <v>0</v>
      </c>
      <c r="Z241" s="540">
        <f t="shared" si="31"/>
        <v>0</v>
      </c>
      <c r="AA241" s="471">
        <v>0</v>
      </c>
    </row>
    <row r="242" spans="1:27">
      <c r="A242" s="451" t="str">
        <f>CONCATENATE(VLOOKUP(B242,★営業所!$A$1:$B$5,2,FALSE),VLOOKUP(D242,★サイズ表記!$D$4:$E$55,2,FALSE),VLOOKUP(F242,★折込地区!$A$1:$B$11,2,FALSE))</f>
        <v>T4010Hmm</v>
      </c>
      <c r="B242" s="457" t="s">
        <v>275</v>
      </c>
      <c r="C242" s="452" t="str">
        <f>VLOOKUP(B242,★営業所!$A$1:$B$5,2,FALSE)</f>
        <v>T</v>
      </c>
      <c r="D242" s="465" t="s">
        <v>1354</v>
      </c>
      <c r="E242" s="452" t="str">
        <f>VLOOKUP(D242,★サイズ表記!$D$4:$E$55,2,FALSE)</f>
        <v>4010</v>
      </c>
      <c r="F242" s="457" t="s">
        <v>857</v>
      </c>
      <c r="G242" s="452" t="str">
        <f>VLOOKUP(F242,★折込地区!$A$1:$B$11,2,FALSE)</f>
        <v>Hmm</v>
      </c>
      <c r="H242" s="453">
        <f>INDEX(★サイズ表記!$I$4:$Q$55, MATCH(E242,★サイズ表記!$E$4:$E$55,0), MATCH(G242,★サイズ表記!$I$3:$R$3,0))</f>
        <v>0</v>
      </c>
      <c r="K242" s="471" t="str">
        <f t="shared" si="24"/>
        <v>T4010Hmm</v>
      </c>
      <c r="L242" s="471" t="str">
        <f t="shared" si="25"/>
        <v>タブ16Pホチキス止め</v>
      </c>
      <c r="P242" s="533" t="s">
        <v>1324</v>
      </c>
      <c r="Q242" s="533" t="s">
        <v>1325</v>
      </c>
      <c r="R242" s="534" t="str">
        <f t="shared" si="26"/>
        <v>4010</v>
      </c>
      <c r="S242" s="534" t="str">
        <f t="shared" si="27"/>
        <v>タブ16Pホチキス止め</v>
      </c>
      <c r="T242" s="538" t="str">
        <f t="shared" si="28"/>
        <v>40</v>
      </c>
      <c r="U242" s="538" t="str">
        <f t="shared" si="29"/>
        <v>10</v>
      </c>
      <c r="V242" s="471" t="s">
        <v>1136</v>
      </c>
      <c r="Y242" s="472">
        <f t="shared" si="30"/>
        <v>0</v>
      </c>
      <c r="Z242" s="540">
        <f t="shared" si="31"/>
        <v>0</v>
      </c>
      <c r="AA242" s="471">
        <v>0</v>
      </c>
    </row>
    <row r="243" spans="1:27">
      <c r="A243" s="451" t="str">
        <f>CONCATENATE(VLOOKUP(B243,★営業所!$A$1:$B$5,2,FALSE),VLOOKUP(D243,★サイズ表記!$D$4:$E$55,2,FALSE),VLOOKUP(F243,★折込地区!$A$1:$B$11,2,FALSE))</f>
        <v>T4011Hmm</v>
      </c>
      <c r="B243" s="457" t="s">
        <v>275</v>
      </c>
      <c r="C243" s="452" t="str">
        <f>VLOOKUP(B243,★営業所!$A$1:$B$5,2,FALSE)</f>
        <v>T</v>
      </c>
      <c r="D243" s="465" t="s">
        <v>1357</v>
      </c>
      <c r="E243" s="452" t="str">
        <f>VLOOKUP(D243,★サイズ表記!$D$4:$E$55,2,FALSE)</f>
        <v>4011</v>
      </c>
      <c r="F243" s="457" t="s">
        <v>857</v>
      </c>
      <c r="G243" s="452" t="str">
        <f>VLOOKUP(F243,★折込地区!$A$1:$B$11,2,FALSE)</f>
        <v>Hmm</v>
      </c>
      <c r="H243" s="453">
        <f>INDEX(★サイズ表記!$I$4:$Q$55, MATCH(E243,★サイズ表記!$E$4:$E$55,0), MATCH(G243,★サイズ表記!$I$3:$R$3,0))</f>
        <v>0</v>
      </c>
      <c r="K243" s="471" t="str">
        <f t="shared" si="24"/>
        <v>T4011Hmm</v>
      </c>
      <c r="L243" s="471" t="str">
        <f t="shared" si="25"/>
        <v>タブ40P</v>
      </c>
      <c r="P243" s="533" t="s">
        <v>1324</v>
      </c>
      <c r="Q243" s="533" t="s">
        <v>1325</v>
      </c>
      <c r="R243" s="534" t="str">
        <f t="shared" si="26"/>
        <v>4011</v>
      </c>
      <c r="S243" s="534" t="str">
        <f t="shared" si="27"/>
        <v>タブ40P</v>
      </c>
      <c r="T243" s="538" t="str">
        <f t="shared" si="28"/>
        <v>40</v>
      </c>
      <c r="U243" s="538" t="str">
        <f t="shared" si="29"/>
        <v>11</v>
      </c>
      <c r="V243" s="471" t="s">
        <v>1136</v>
      </c>
      <c r="Y243" s="472">
        <f t="shared" si="30"/>
        <v>0</v>
      </c>
      <c r="Z243" s="540">
        <f t="shared" si="31"/>
        <v>0</v>
      </c>
      <c r="AA243" s="471">
        <v>0</v>
      </c>
    </row>
    <row r="244" spans="1:27">
      <c r="A244" s="451" t="str">
        <f>CONCATENATE(VLOOKUP(B244,★営業所!$A$1:$B$5,2,FALSE),VLOOKUP(D244,★サイズ表記!$D$4:$E$55,2,FALSE),VLOOKUP(F244,★折込地区!$A$1:$B$11,2,FALSE))</f>
        <v>T9001Hmm</v>
      </c>
      <c r="B244" s="457" t="s">
        <v>275</v>
      </c>
      <c r="C244" s="452" t="str">
        <f>VLOOKUP(B244,★営業所!$A$1:$B$5,2,FALSE)</f>
        <v>T</v>
      </c>
      <c r="D244" s="465" t="s">
        <v>975</v>
      </c>
      <c r="E244" s="452" t="str">
        <f>VLOOKUP(D244,★サイズ表記!$D$4:$E$55,2,FALSE)</f>
        <v>9001</v>
      </c>
      <c r="F244" s="457" t="s">
        <v>857</v>
      </c>
      <c r="G244" s="452" t="str">
        <f>VLOOKUP(F244,★折込地区!$A$1:$B$11,2,FALSE)</f>
        <v>Hmm</v>
      </c>
      <c r="H244" s="453">
        <f>INDEX(★サイズ表記!$I$4:$Q$55, MATCH(E244,★サイズ表記!$E$4:$E$55,0), MATCH(G244,★サイズ表記!$I$3:$R$3,0))</f>
        <v>7</v>
      </c>
      <c r="K244" s="471" t="str">
        <f t="shared" si="24"/>
        <v>T9001Hmm</v>
      </c>
      <c r="L244" s="471" t="str">
        <f t="shared" si="25"/>
        <v>うさぎの耳</v>
      </c>
      <c r="P244" s="533" t="s">
        <v>1324</v>
      </c>
      <c r="Q244" s="533" t="s">
        <v>1325</v>
      </c>
      <c r="R244" s="534" t="str">
        <f t="shared" si="26"/>
        <v>9001</v>
      </c>
      <c r="S244" s="534" t="str">
        <f t="shared" si="27"/>
        <v>うさぎの耳</v>
      </c>
      <c r="T244" s="538" t="str">
        <f t="shared" si="28"/>
        <v>90</v>
      </c>
      <c r="U244" s="538" t="str">
        <f t="shared" si="29"/>
        <v>01</v>
      </c>
      <c r="V244" s="471" t="s">
        <v>1136</v>
      </c>
      <c r="Y244" s="472">
        <f t="shared" si="30"/>
        <v>7</v>
      </c>
      <c r="Z244" s="540">
        <f t="shared" si="31"/>
        <v>0.56000000000000005</v>
      </c>
      <c r="AA244" s="471">
        <v>0</v>
      </c>
    </row>
    <row r="245" spans="1:27">
      <c r="A245" s="451" t="str">
        <f>CONCATENATE(VLOOKUP(B245,★営業所!$A$1:$B$5,2,FALSE),VLOOKUP(D245,★サイズ表記!$D$4:$E$55,2,FALSE),VLOOKUP(F245,★折込地区!$A$1:$B$11,2,FALSE))</f>
        <v>T9002Hmm</v>
      </c>
      <c r="B245" s="457" t="s">
        <v>275</v>
      </c>
      <c r="C245" s="452" t="str">
        <f>VLOOKUP(B245,★営業所!$A$1:$B$5,2,FALSE)</f>
        <v>T</v>
      </c>
      <c r="D245" s="465" t="s">
        <v>976</v>
      </c>
      <c r="E245" s="452" t="str">
        <f>VLOOKUP(D245,★サイズ表記!$D$4:$E$55,2,FALSE)</f>
        <v>9002</v>
      </c>
      <c r="F245" s="457" t="s">
        <v>857</v>
      </c>
      <c r="G245" s="452" t="str">
        <f>VLOOKUP(F245,★折込地区!$A$1:$B$11,2,FALSE)</f>
        <v>Hmm</v>
      </c>
      <c r="H245" s="453">
        <f>INDEX(★サイズ表記!$I$4:$Q$55, MATCH(E245,★サイズ表記!$E$4:$E$55,0), MATCH(G245,★サイズ表記!$I$3:$R$3,0))</f>
        <v>5</v>
      </c>
      <c r="K245" s="471" t="str">
        <f t="shared" si="24"/>
        <v>T9002Hmm</v>
      </c>
      <c r="L245" s="471" t="str">
        <f t="shared" si="25"/>
        <v>ユーキャン（題字）</v>
      </c>
      <c r="P245" s="533" t="s">
        <v>1324</v>
      </c>
      <c r="Q245" s="533" t="s">
        <v>1325</v>
      </c>
      <c r="R245" s="534" t="str">
        <f t="shared" si="26"/>
        <v>9002</v>
      </c>
      <c r="S245" s="534" t="str">
        <f t="shared" si="27"/>
        <v>ユーキャン（題字）</v>
      </c>
      <c r="T245" s="538" t="str">
        <f t="shared" si="28"/>
        <v>90</v>
      </c>
      <c r="U245" s="538" t="str">
        <f t="shared" si="29"/>
        <v>02</v>
      </c>
      <c r="V245" s="471" t="s">
        <v>1136</v>
      </c>
      <c r="Y245" s="472">
        <f t="shared" si="30"/>
        <v>5</v>
      </c>
      <c r="Z245" s="540">
        <f t="shared" si="31"/>
        <v>0.4</v>
      </c>
      <c r="AA245" s="471">
        <v>0</v>
      </c>
    </row>
    <row r="246" spans="1:27">
      <c r="A246" s="451" t="str">
        <f>CONCATENATE(VLOOKUP(B246,★営業所!$A$1:$B$5,2,FALSE),VLOOKUP(D246,★サイズ表記!$D$4:$E$55,2,FALSE),VLOOKUP(F246,★折込地区!$A$1:$B$11,2,FALSE))</f>
        <v>T9003Hmm</v>
      </c>
      <c r="B246" s="457" t="s">
        <v>275</v>
      </c>
      <c r="C246" s="452" t="str">
        <f>VLOOKUP(B246,★営業所!$A$1:$B$5,2,FALSE)</f>
        <v>T</v>
      </c>
      <c r="D246" s="465" t="s">
        <v>977</v>
      </c>
      <c r="E246" s="452" t="str">
        <f>VLOOKUP(D246,★サイズ表記!$D$4:$E$55,2,FALSE)</f>
        <v>9003</v>
      </c>
      <c r="F246" s="457" t="s">
        <v>857</v>
      </c>
      <c r="G246" s="452" t="str">
        <f>VLOOKUP(F246,★折込地区!$A$1:$B$11,2,FALSE)</f>
        <v>Hmm</v>
      </c>
      <c r="H246" s="453">
        <f>INDEX(★サイズ表記!$I$4:$Q$55, MATCH(E246,★サイズ表記!$E$4:$E$55,0), MATCH(G246,★サイズ表記!$I$3:$R$3,0))</f>
        <v>0</v>
      </c>
      <c r="K246" s="471" t="str">
        <f t="shared" si="24"/>
        <v>T9003Hmm</v>
      </c>
      <c r="L246" s="471" t="str">
        <f t="shared" si="25"/>
        <v>横長B3</v>
      </c>
      <c r="P246" s="533" t="s">
        <v>1324</v>
      </c>
      <c r="Q246" s="533" t="s">
        <v>1325</v>
      </c>
      <c r="R246" s="534" t="str">
        <f t="shared" si="26"/>
        <v>9003</v>
      </c>
      <c r="S246" s="534" t="str">
        <f t="shared" si="27"/>
        <v>横長B3</v>
      </c>
      <c r="T246" s="538" t="str">
        <f t="shared" si="28"/>
        <v>90</v>
      </c>
      <c r="U246" s="538" t="str">
        <f t="shared" si="29"/>
        <v>03</v>
      </c>
      <c r="V246" s="471" t="s">
        <v>1136</v>
      </c>
      <c r="Y246" s="472">
        <f t="shared" si="30"/>
        <v>0</v>
      </c>
      <c r="Z246" s="540">
        <f t="shared" si="31"/>
        <v>0</v>
      </c>
      <c r="AA246" s="471">
        <v>0</v>
      </c>
    </row>
    <row r="247" spans="1:27">
      <c r="A247" s="451" t="str">
        <f>CONCATENATE(VLOOKUP(B247,★営業所!$A$1:$B$5,2,FALSE),VLOOKUP(D247,★サイズ表記!$D$4:$E$55,2,FALSE),VLOOKUP(F247,★折込地区!$A$1:$B$11,2,FALSE))</f>
        <v>T9004Hmm</v>
      </c>
      <c r="B247" s="457" t="s">
        <v>275</v>
      </c>
      <c r="C247" s="452" t="str">
        <f>VLOOKUP(B247,★営業所!$A$1:$B$5,2,FALSE)</f>
        <v>T</v>
      </c>
      <c r="D247" s="465" t="s">
        <v>978</v>
      </c>
      <c r="E247" s="452" t="str">
        <f>VLOOKUP(D247,★サイズ表記!$D$4:$E$55,2,FALSE)</f>
        <v>9004</v>
      </c>
      <c r="F247" s="457" t="s">
        <v>857</v>
      </c>
      <c r="G247" s="452" t="str">
        <f>VLOOKUP(F247,★折込地区!$A$1:$B$11,2,FALSE)</f>
        <v>Hmm</v>
      </c>
      <c r="H247" s="453">
        <f>INDEX(★サイズ表記!$I$4:$Q$55, MATCH(E247,★サイズ表記!$E$4:$E$55,0), MATCH(G247,★サイズ表記!$I$3:$R$3,0))</f>
        <v>0</v>
      </c>
      <c r="K247" s="471" t="str">
        <f t="shared" si="24"/>
        <v>T9004Hmm</v>
      </c>
      <c r="L247" s="471" t="str">
        <f t="shared" si="25"/>
        <v>AD-BAG</v>
      </c>
      <c r="P247" s="533" t="s">
        <v>1324</v>
      </c>
      <c r="Q247" s="533" t="s">
        <v>1325</v>
      </c>
      <c r="R247" s="534" t="str">
        <f t="shared" si="26"/>
        <v>9004</v>
      </c>
      <c r="S247" s="534" t="str">
        <f t="shared" si="27"/>
        <v>AD-BAG</v>
      </c>
      <c r="T247" s="538" t="str">
        <f t="shared" si="28"/>
        <v>90</v>
      </c>
      <c r="U247" s="538" t="str">
        <f t="shared" si="29"/>
        <v>04</v>
      </c>
      <c r="V247" s="471" t="s">
        <v>1136</v>
      </c>
      <c r="Y247" s="472">
        <f t="shared" si="30"/>
        <v>0</v>
      </c>
      <c r="Z247" s="540">
        <f t="shared" si="31"/>
        <v>0</v>
      </c>
      <c r="AA247" s="471">
        <v>0</v>
      </c>
    </row>
    <row r="248" spans="1:27">
      <c r="A248" s="451" t="str">
        <f>CONCATENATE(VLOOKUP(B248,★営業所!$A$1:$B$5,2,FALSE),VLOOKUP(D248,★サイズ表記!$D$4:$E$55,2,FALSE),VLOOKUP(F248,★折込地区!$A$1:$B$11,2,FALSE))</f>
        <v>T9005Hmm</v>
      </c>
      <c r="B248" s="457" t="s">
        <v>275</v>
      </c>
      <c r="C248" s="452" t="str">
        <f>VLOOKUP(B248,★営業所!$A$1:$B$5,2,FALSE)</f>
        <v>T</v>
      </c>
      <c r="D248" s="465" t="s">
        <v>979</v>
      </c>
      <c r="E248" s="452" t="str">
        <f>VLOOKUP(D248,★サイズ表記!$D$4:$E$55,2,FALSE)</f>
        <v>9005</v>
      </c>
      <c r="F248" s="457" t="s">
        <v>857</v>
      </c>
      <c r="G248" s="452" t="str">
        <f>VLOOKUP(F248,★折込地区!$A$1:$B$11,2,FALSE)</f>
        <v>Hmm</v>
      </c>
      <c r="H248" s="453">
        <f>INDEX(★サイズ表記!$I$4:$Q$55, MATCH(E248,★サイズ表記!$E$4:$E$55,0), MATCH(G248,★サイズ表記!$I$3:$R$3,0))</f>
        <v>0</v>
      </c>
      <c r="K248" s="471" t="str">
        <f t="shared" si="24"/>
        <v>T9005Hmm</v>
      </c>
      <c r="L248" s="471" t="str">
        <f t="shared" si="25"/>
        <v>封筒</v>
      </c>
      <c r="P248" s="533" t="s">
        <v>1324</v>
      </c>
      <c r="Q248" s="533" t="s">
        <v>1325</v>
      </c>
      <c r="R248" s="534" t="str">
        <f t="shared" si="26"/>
        <v>9005</v>
      </c>
      <c r="S248" s="534" t="str">
        <f t="shared" si="27"/>
        <v>封筒</v>
      </c>
      <c r="T248" s="538" t="str">
        <f t="shared" si="28"/>
        <v>90</v>
      </c>
      <c r="U248" s="538" t="str">
        <f t="shared" si="29"/>
        <v>05</v>
      </c>
      <c r="V248" s="471" t="s">
        <v>1136</v>
      </c>
      <c r="Y248" s="472">
        <f t="shared" si="30"/>
        <v>0</v>
      </c>
      <c r="Z248" s="540">
        <f t="shared" si="31"/>
        <v>0</v>
      </c>
      <c r="AA248" s="471">
        <v>0</v>
      </c>
    </row>
    <row r="249" spans="1:27">
      <c r="A249" s="451" t="str">
        <f>CONCATENATE(VLOOKUP(B249,★営業所!$A$1:$B$5,2,FALSE),VLOOKUP(D249,★サイズ表記!$D$4:$E$55,2,FALSE),VLOOKUP(F249,★折込地区!$A$1:$B$11,2,FALSE))</f>
        <v>T9006Hmm</v>
      </c>
      <c r="B249" s="457" t="s">
        <v>275</v>
      </c>
      <c r="C249" s="452" t="str">
        <f>VLOOKUP(B249,★営業所!$A$1:$B$5,2,FALSE)</f>
        <v>T</v>
      </c>
      <c r="D249" s="465" t="s">
        <v>980</v>
      </c>
      <c r="E249" s="452" t="str">
        <f>VLOOKUP(D249,★サイズ表記!$D$4:$E$55,2,FALSE)</f>
        <v>9006</v>
      </c>
      <c r="F249" s="457" t="s">
        <v>857</v>
      </c>
      <c r="G249" s="452" t="str">
        <f>VLOOKUP(F249,★折込地区!$A$1:$B$11,2,FALSE)</f>
        <v>Hmm</v>
      </c>
      <c r="H249" s="453">
        <f>INDEX(★サイズ表記!$I$4:$Q$55, MATCH(E249,★サイズ表記!$E$4:$E$55,0), MATCH(G249,★サイズ表記!$I$3:$R$3,0))</f>
        <v>0</v>
      </c>
      <c r="K249" s="471" t="str">
        <f t="shared" si="24"/>
        <v>T9006Hmm</v>
      </c>
      <c r="L249" s="471" t="str">
        <f t="shared" si="25"/>
        <v>圧着</v>
      </c>
      <c r="P249" s="533" t="s">
        <v>1324</v>
      </c>
      <c r="Q249" s="533" t="s">
        <v>1325</v>
      </c>
      <c r="R249" s="534" t="str">
        <f t="shared" si="26"/>
        <v>9006</v>
      </c>
      <c r="S249" s="534" t="str">
        <f t="shared" si="27"/>
        <v>圧着</v>
      </c>
      <c r="T249" s="538" t="str">
        <f t="shared" si="28"/>
        <v>90</v>
      </c>
      <c r="U249" s="538" t="str">
        <f t="shared" si="29"/>
        <v>06</v>
      </c>
      <c r="V249" s="471" t="s">
        <v>1136</v>
      </c>
      <c r="Y249" s="472">
        <f t="shared" si="30"/>
        <v>0</v>
      </c>
      <c r="Z249" s="540">
        <f t="shared" si="31"/>
        <v>0</v>
      </c>
      <c r="AA249" s="471">
        <v>0</v>
      </c>
    </row>
    <row r="250" spans="1:27">
      <c r="A250" s="451" t="str">
        <f>CONCATENATE(VLOOKUP(B250,★営業所!$A$1:$B$5,2,FALSE),VLOOKUP(D250,★サイズ表記!$D$4:$E$55,2,FALSE),VLOOKUP(F250,★折込地区!$A$1:$B$11,2,FALSE))</f>
        <v>T9007Hmm</v>
      </c>
      <c r="B250" s="457" t="s">
        <v>275</v>
      </c>
      <c r="C250" s="452" t="str">
        <f>VLOOKUP(B250,★営業所!$A$1:$B$5,2,FALSE)</f>
        <v>T</v>
      </c>
      <c r="D250" s="465" t="s">
        <v>981</v>
      </c>
      <c r="E250" s="452" t="str">
        <f>VLOOKUP(D250,★サイズ表記!$D$4:$E$55,2,FALSE)</f>
        <v>9007</v>
      </c>
      <c r="F250" s="457" t="s">
        <v>857</v>
      </c>
      <c r="G250" s="452" t="str">
        <f>VLOOKUP(F250,★折込地区!$A$1:$B$11,2,FALSE)</f>
        <v>Hmm</v>
      </c>
      <c r="H250" s="453">
        <f>INDEX(★サイズ表記!$I$4:$Q$55, MATCH(E250,★サイズ表記!$E$4:$E$55,0), MATCH(G250,★サイズ表記!$I$3:$R$3,0))</f>
        <v>0</v>
      </c>
      <c r="K250" s="471" t="str">
        <f t="shared" si="24"/>
        <v>T9007Hmm</v>
      </c>
      <c r="L250" s="471" t="str">
        <f t="shared" si="25"/>
        <v>圧着厚紙</v>
      </c>
      <c r="P250" s="533" t="s">
        <v>1324</v>
      </c>
      <c r="Q250" s="533" t="s">
        <v>1325</v>
      </c>
      <c r="R250" s="534" t="str">
        <f t="shared" si="26"/>
        <v>9007</v>
      </c>
      <c r="S250" s="534" t="str">
        <f t="shared" si="27"/>
        <v>圧着厚紙</v>
      </c>
      <c r="T250" s="538" t="str">
        <f t="shared" si="28"/>
        <v>90</v>
      </c>
      <c r="U250" s="538" t="str">
        <f t="shared" si="29"/>
        <v>07</v>
      </c>
      <c r="V250" s="471" t="s">
        <v>1136</v>
      </c>
      <c r="Y250" s="472">
        <f t="shared" si="30"/>
        <v>0</v>
      </c>
      <c r="Z250" s="540">
        <f t="shared" si="31"/>
        <v>0</v>
      </c>
      <c r="AA250" s="471">
        <v>0</v>
      </c>
    </row>
    <row r="251" spans="1:27">
      <c r="A251" s="451" t="str">
        <f>CONCATENATE(VLOOKUP(B251,★営業所!$A$1:$B$5,2,FALSE),VLOOKUP(D251,★サイズ表記!$D$4:$E$55,2,FALSE),VLOOKUP(F251,★折込地区!$A$1:$B$11,2,FALSE))</f>
        <v>T1001Hks</v>
      </c>
      <c r="B251" s="457" t="s">
        <v>275</v>
      </c>
      <c r="C251" s="452" t="str">
        <f>VLOOKUP(B251,★営業所!$A$1:$B$5,2,FALSE)</f>
        <v>T</v>
      </c>
      <c r="D251" s="465" t="s">
        <v>948</v>
      </c>
      <c r="E251" s="452" t="str">
        <f>VLOOKUP(D251,★サイズ表記!$D$4:$E$55,2,FALSE)</f>
        <v>1001</v>
      </c>
      <c r="F251" s="457" t="s">
        <v>38</v>
      </c>
      <c r="G251" s="452" t="str">
        <f>VLOOKUP(F251,★折込地区!$A$1:$B$11,2,FALSE)</f>
        <v>Hks</v>
      </c>
      <c r="H251" s="453">
        <f>INDEX(★サイズ表記!$I$4:$Q$55, MATCH(E251,★サイズ表記!$E$4:$E$55,0), MATCH(G251,★サイズ表記!$I$3:$R$3,0))</f>
        <v>3</v>
      </c>
      <c r="K251" s="471" t="str">
        <f t="shared" si="24"/>
        <v>T1001Hks</v>
      </c>
      <c r="L251" s="471" t="str">
        <f t="shared" si="25"/>
        <v>B4（折り無し）</v>
      </c>
      <c r="P251" s="533" t="s">
        <v>1324</v>
      </c>
      <c r="Q251" s="533" t="s">
        <v>1325</v>
      </c>
      <c r="R251" s="534" t="str">
        <f t="shared" si="26"/>
        <v>1001</v>
      </c>
      <c r="S251" s="534" t="str">
        <f t="shared" si="27"/>
        <v>B4（折り無し）</v>
      </c>
      <c r="T251" s="538" t="str">
        <f t="shared" si="28"/>
        <v>10</v>
      </c>
      <c r="U251" s="538" t="str">
        <f t="shared" si="29"/>
        <v>01</v>
      </c>
      <c r="V251" s="471" t="s">
        <v>1136</v>
      </c>
      <c r="Y251" s="472">
        <f t="shared" si="30"/>
        <v>3</v>
      </c>
      <c r="Z251" s="540">
        <f t="shared" si="31"/>
        <v>0.24</v>
      </c>
      <c r="AA251" s="471">
        <v>0</v>
      </c>
    </row>
    <row r="252" spans="1:27">
      <c r="A252" s="451" t="str">
        <f>CONCATENATE(VLOOKUP(B252,★営業所!$A$1:$B$5,2,FALSE),VLOOKUP(D252,★サイズ表記!$D$4:$E$55,2,FALSE),VLOOKUP(F252,★折込地区!$A$1:$B$11,2,FALSE))</f>
        <v>T1002Hks</v>
      </c>
      <c r="B252" s="457" t="s">
        <v>275</v>
      </c>
      <c r="C252" s="452" t="str">
        <f>VLOOKUP(B252,★営業所!$A$1:$B$5,2,FALSE)</f>
        <v>T</v>
      </c>
      <c r="D252" s="465" t="s">
        <v>950</v>
      </c>
      <c r="E252" s="452" t="str">
        <f>VLOOKUP(D252,★サイズ表記!$D$4:$E$55,2,FALSE)</f>
        <v>1002</v>
      </c>
      <c r="F252" s="457" t="s">
        <v>38</v>
      </c>
      <c r="G252" s="452" t="str">
        <f>VLOOKUP(F252,★折込地区!$A$1:$B$11,2,FALSE)</f>
        <v>Hks</v>
      </c>
      <c r="H252" s="453">
        <f>INDEX(★サイズ表記!$I$4:$Q$55, MATCH(E252,★サイズ表記!$E$4:$E$55,0), MATCH(G252,★サイズ表記!$I$3:$R$3,0))</f>
        <v>6</v>
      </c>
      <c r="K252" s="471" t="str">
        <f t="shared" si="24"/>
        <v>T1002Hks</v>
      </c>
      <c r="L252" s="471" t="str">
        <f t="shared" si="25"/>
        <v>B3（2つ折り）</v>
      </c>
      <c r="P252" s="533" t="s">
        <v>1324</v>
      </c>
      <c r="Q252" s="533" t="s">
        <v>1325</v>
      </c>
      <c r="R252" s="534" t="str">
        <f t="shared" si="26"/>
        <v>1002</v>
      </c>
      <c r="S252" s="534" t="str">
        <f t="shared" si="27"/>
        <v>B3（2つ折り）</v>
      </c>
      <c r="T252" s="538" t="str">
        <f t="shared" si="28"/>
        <v>10</v>
      </c>
      <c r="U252" s="538" t="str">
        <f t="shared" si="29"/>
        <v>02</v>
      </c>
      <c r="V252" s="471" t="s">
        <v>1136</v>
      </c>
      <c r="Y252" s="472">
        <f t="shared" si="30"/>
        <v>6</v>
      </c>
      <c r="Z252" s="540">
        <f t="shared" si="31"/>
        <v>0.48</v>
      </c>
      <c r="AA252" s="471">
        <v>0</v>
      </c>
    </row>
    <row r="253" spans="1:27">
      <c r="A253" s="451" t="str">
        <f>CONCATENATE(VLOOKUP(B253,★営業所!$A$1:$B$5,2,FALSE),VLOOKUP(D253,★サイズ表記!$D$4:$E$55,2,FALSE),VLOOKUP(F253,★折込地区!$A$1:$B$11,2,FALSE))</f>
        <v>T1003Hks</v>
      </c>
      <c r="B253" s="457" t="s">
        <v>275</v>
      </c>
      <c r="C253" s="452" t="str">
        <f>VLOOKUP(B253,★営業所!$A$1:$B$5,2,FALSE)</f>
        <v>T</v>
      </c>
      <c r="D253" s="465" t="s">
        <v>951</v>
      </c>
      <c r="E253" s="452" t="str">
        <f>VLOOKUP(D253,★サイズ表記!$D$4:$E$55,2,FALSE)</f>
        <v>1003</v>
      </c>
      <c r="F253" s="457" t="s">
        <v>38</v>
      </c>
      <c r="G253" s="452" t="str">
        <f>VLOOKUP(F253,★折込地区!$A$1:$B$11,2,FALSE)</f>
        <v>Hks</v>
      </c>
      <c r="H253" s="453">
        <f>INDEX(★サイズ表記!$I$4:$Q$55, MATCH(E253,★サイズ表記!$E$4:$E$55,0), MATCH(G253,★サイズ表記!$I$3:$R$3,0))</f>
        <v>0</v>
      </c>
      <c r="K253" s="471" t="str">
        <f t="shared" si="24"/>
        <v>T1003Hks</v>
      </c>
      <c r="L253" s="471" t="str">
        <f t="shared" si="25"/>
        <v>3つ折り</v>
      </c>
      <c r="P253" s="533" t="s">
        <v>1324</v>
      </c>
      <c r="Q253" s="533" t="s">
        <v>1325</v>
      </c>
      <c r="R253" s="534" t="str">
        <f t="shared" si="26"/>
        <v>1003</v>
      </c>
      <c r="S253" s="534" t="str">
        <f t="shared" si="27"/>
        <v>3つ折り</v>
      </c>
      <c r="T253" s="538" t="str">
        <f t="shared" si="28"/>
        <v>10</v>
      </c>
      <c r="U253" s="538" t="str">
        <f t="shared" si="29"/>
        <v>03</v>
      </c>
      <c r="V253" s="471" t="s">
        <v>1136</v>
      </c>
      <c r="Y253" s="472">
        <f t="shared" si="30"/>
        <v>0</v>
      </c>
      <c r="Z253" s="540">
        <f t="shared" si="31"/>
        <v>0</v>
      </c>
      <c r="AA253" s="471">
        <v>0</v>
      </c>
    </row>
    <row r="254" spans="1:27">
      <c r="A254" s="451" t="str">
        <f>CONCATENATE(VLOOKUP(B254,★営業所!$A$1:$B$5,2,FALSE),VLOOKUP(D254,★サイズ表記!$D$4:$E$55,2,FALSE),VLOOKUP(F254,★折込地区!$A$1:$B$11,2,FALSE))</f>
        <v>T1004Hks</v>
      </c>
      <c r="B254" s="457" t="s">
        <v>275</v>
      </c>
      <c r="C254" s="452" t="str">
        <f>VLOOKUP(B254,★営業所!$A$1:$B$5,2,FALSE)</f>
        <v>T</v>
      </c>
      <c r="D254" s="465" t="s">
        <v>947</v>
      </c>
      <c r="E254" s="452" t="str">
        <f>VLOOKUP(D254,★サイズ表記!$D$4:$E$55,2,FALSE)</f>
        <v>1004</v>
      </c>
      <c r="F254" s="457" t="s">
        <v>38</v>
      </c>
      <c r="G254" s="452" t="str">
        <f>VLOOKUP(F254,★折込地区!$A$1:$B$11,2,FALSE)</f>
        <v>Hks</v>
      </c>
      <c r="H254" s="453">
        <f>INDEX(★サイズ表記!$I$4:$Q$55, MATCH(E254,★サイズ表記!$E$4:$E$55,0), MATCH(G254,★サイズ表記!$I$3:$R$3,0))</f>
        <v>0</v>
      </c>
      <c r="K254" s="471" t="str">
        <f t="shared" si="24"/>
        <v>T1004Hks</v>
      </c>
      <c r="L254" s="471" t="str">
        <f t="shared" si="25"/>
        <v>観音折</v>
      </c>
      <c r="P254" s="533" t="s">
        <v>1324</v>
      </c>
      <c r="Q254" s="533" t="s">
        <v>1325</v>
      </c>
      <c r="R254" s="534" t="str">
        <f t="shared" si="26"/>
        <v>1004</v>
      </c>
      <c r="S254" s="534" t="str">
        <f t="shared" si="27"/>
        <v>観音折</v>
      </c>
      <c r="T254" s="538" t="str">
        <f t="shared" si="28"/>
        <v>10</v>
      </c>
      <c r="U254" s="538" t="str">
        <f t="shared" si="29"/>
        <v>04</v>
      </c>
      <c r="V254" s="471" t="s">
        <v>1136</v>
      </c>
      <c r="Y254" s="472">
        <f t="shared" si="30"/>
        <v>0</v>
      </c>
      <c r="Z254" s="540">
        <f t="shared" si="31"/>
        <v>0</v>
      </c>
      <c r="AA254" s="471">
        <v>0</v>
      </c>
    </row>
    <row r="255" spans="1:27">
      <c r="A255" s="451" t="str">
        <f>CONCATENATE(VLOOKUP(B255,★営業所!$A$1:$B$5,2,FALSE),VLOOKUP(D255,★サイズ表記!$D$4:$E$55,2,FALSE),VLOOKUP(F255,★折込地区!$A$1:$B$11,2,FALSE))</f>
        <v>T1005Hks</v>
      </c>
      <c r="B255" s="457" t="s">
        <v>275</v>
      </c>
      <c r="C255" s="452" t="str">
        <f>VLOOKUP(B255,★営業所!$A$1:$B$5,2,FALSE)</f>
        <v>T</v>
      </c>
      <c r="D255" s="465" t="s">
        <v>952</v>
      </c>
      <c r="E255" s="452" t="str">
        <f>VLOOKUP(D255,★サイズ表記!$D$4:$E$55,2,FALSE)</f>
        <v>1005</v>
      </c>
      <c r="F255" s="457" t="s">
        <v>38</v>
      </c>
      <c r="G255" s="452" t="str">
        <f>VLOOKUP(F255,★折込地区!$A$1:$B$11,2,FALSE)</f>
        <v>Hks</v>
      </c>
      <c r="H255" s="453">
        <f>INDEX(★サイズ表記!$I$4:$Q$55, MATCH(E255,★サイズ表記!$E$4:$E$55,0), MATCH(G255,★サイズ表記!$I$3:$R$3,0))</f>
        <v>10</v>
      </c>
      <c r="K255" s="471" t="str">
        <f t="shared" si="24"/>
        <v>T1005Hks</v>
      </c>
      <c r="L255" s="471" t="str">
        <f t="shared" si="25"/>
        <v>B2（4つ折り）</v>
      </c>
      <c r="P255" s="533" t="s">
        <v>1324</v>
      </c>
      <c r="Q255" s="533" t="s">
        <v>1325</v>
      </c>
      <c r="R255" s="534" t="str">
        <f t="shared" si="26"/>
        <v>1005</v>
      </c>
      <c r="S255" s="534" t="str">
        <f t="shared" si="27"/>
        <v>B2（4つ折り）</v>
      </c>
      <c r="T255" s="538" t="str">
        <f t="shared" si="28"/>
        <v>10</v>
      </c>
      <c r="U255" s="538" t="str">
        <f t="shared" si="29"/>
        <v>05</v>
      </c>
      <c r="V255" s="471" t="s">
        <v>1136</v>
      </c>
      <c r="Y255" s="472">
        <f t="shared" si="30"/>
        <v>10</v>
      </c>
      <c r="Z255" s="540">
        <f t="shared" si="31"/>
        <v>0.8</v>
      </c>
      <c r="AA255" s="471">
        <v>0</v>
      </c>
    </row>
    <row r="256" spans="1:27">
      <c r="A256" s="451" t="str">
        <f>CONCATENATE(VLOOKUP(B256,★営業所!$A$1:$B$5,2,FALSE),VLOOKUP(D256,★サイズ表記!$D$4:$E$55,2,FALSE),VLOOKUP(F256,★折込地区!$A$1:$B$11,2,FALSE))</f>
        <v>T1006Hks</v>
      </c>
      <c r="B256" s="457" t="s">
        <v>275</v>
      </c>
      <c r="C256" s="452" t="str">
        <f>VLOOKUP(B256,★営業所!$A$1:$B$5,2,FALSE)</f>
        <v>T</v>
      </c>
      <c r="D256" s="465" t="s">
        <v>955</v>
      </c>
      <c r="E256" s="452" t="str">
        <f>VLOOKUP(D256,★サイズ表記!$D$4:$E$55,2,FALSE)</f>
        <v>1006</v>
      </c>
      <c r="F256" s="457" t="s">
        <v>38</v>
      </c>
      <c r="G256" s="452" t="str">
        <f>VLOOKUP(F256,★折込地区!$A$1:$B$11,2,FALSE)</f>
        <v>Hks</v>
      </c>
      <c r="H256" s="453">
        <f>INDEX(★サイズ表記!$I$4:$Q$55, MATCH(E256,★サイズ表記!$E$4:$E$55,0), MATCH(G256,★サイズ表記!$I$3:$R$3,0))</f>
        <v>15</v>
      </c>
      <c r="K256" s="471" t="str">
        <f t="shared" si="24"/>
        <v>T1006Hks</v>
      </c>
      <c r="L256" s="471" t="str">
        <f t="shared" si="25"/>
        <v>B1（8折り）</v>
      </c>
      <c r="P256" s="533" t="s">
        <v>1324</v>
      </c>
      <c r="Q256" s="533" t="s">
        <v>1325</v>
      </c>
      <c r="R256" s="534" t="str">
        <f t="shared" si="26"/>
        <v>1006</v>
      </c>
      <c r="S256" s="534" t="str">
        <f t="shared" si="27"/>
        <v>B1（8折り）</v>
      </c>
      <c r="T256" s="538" t="str">
        <f t="shared" si="28"/>
        <v>10</v>
      </c>
      <c r="U256" s="538" t="str">
        <f t="shared" si="29"/>
        <v>06</v>
      </c>
      <c r="V256" s="471" t="s">
        <v>1136</v>
      </c>
      <c r="Y256" s="472">
        <f t="shared" si="30"/>
        <v>15</v>
      </c>
      <c r="Z256" s="540">
        <f t="shared" si="31"/>
        <v>1.2</v>
      </c>
      <c r="AA256" s="471">
        <v>0</v>
      </c>
    </row>
    <row r="257" spans="1:27">
      <c r="A257" s="451" t="str">
        <f>CONCATENATE(VLOOKUP(B257,★営業所!$A$1:$B$5,2,FALSE),VLOOKUP(D257,★サイズ表記!$D$4:$E$55,2,FALSE),VLOOKUP(F257,★折込地区!$A$1:$B$11,2,FALSE))</f>
        <v>T1007Hks</v>
      </c>
      <c r="B257" s="457" t="s">
        <v>275</v>
      </c>
      <c r="C257" s="452" t="str">
        <f>VLOOKUP(B257,★営業所!$A$1:$B$5,2,FALSE)</f>
        <v>T</v>
      </c>
      <c r="D257" s="465" t="s">
        <v>956</v>
      </c>
      <c r="E257" s="452" t="str">
        <f>VLOOKUP(D257,★サイズ表記!$D$4:$E$55,2,FALSE)</f>
        <v>1007</v>
      </c>
      <c r="F257" s="457" t="s">
        <v>38</v>
      </c>
      <c r="G257" s="452" t="str">
        <f>VLOOKUP(F257,★折込地区!$A$1:$B$11,2,FALSE)</f>
        <v>Hks</v>
      </c>
      <c r="H257" s="453">
        <f>INDEX(★サイズ表記!$I$4:$Q$55, MATCH(E257,★サイズ表記!$E$4:$E$55,0), MATCH(G257,★サイズ表記!$I$3:$R$3,0))</f>
        <v>0</v>
      </c>
      <c r="K257" s="471" t="str">
        <f t="shared" si="24"/>
        <v>T1007Hks</v>
      </c>
      <c r="L257" s="471" t="str">
        <f t="shared" si="25"/>
        <v>B4厚紙</v>
      </c>
      <c r="P257" s="533" t="s">
        <v>1324</v>
      </c>
      <c r="Q257" s="533" t="s">
        <v>1325</v>
      </c>
      <c r="R257" s="534" t="str">
        <f t="shared" si="26"/>
        <v>1007</v>
      </c>
      <c r="S257" s="534" t="str">
        <f t="shared" si="27"/>
        <v>B4厚紙</v>
      </c>
      <c r="T257" s="538" t="str">
        <f t="shared" si="28"/>
        <v>10</v>
      </c>
      <c r="U257" s="538" t="str">
        <f t="shared" si="29"/>
        <v>07</v>
      </c>
      <c r="V257" s="471" t="s">
        <v>1136</v>
      </c>
      <c r="Y257" s="472">
        <f t="shared" si="30"/>
        <v>0</v>
      </c>
      <c r="Z257" s="540">
        <f t="shared" si="31"/>
        <v>0</v>
      </c>
      <c r="AA257" s="471">
        <v>0</v>
      </c>
    </row>
    <row r="258" spans="1:27">
      <c r="A258" s="451" t="str">
        <f>CONCATENATE(VLOOKUP(B258,★営業所!$A$1:$B$5,2,FALSE),VLOOKUP(D258,★サイズ表記!$D$4:$E$55,2,FALSE),VLOOKUP(F258,★折込地区!$A$1:$B$11,2,FALSE))</f>
        <v>T1008Hks</v>
      </c>
      <c r="B258" s="457" t="s">
        <v>275</v>
      </c>
      <c r="C258" s="452" t="str">
        <f>VLOOKUP(B258,★営業所!$A$1:$B$5,2,FALSE)</f>
        <v>T</v>
      </c>
      <c r="D258" s="465" t="s">
        <v>957</v>
      </c>
      <c r="E258" s="452" t="str">
        <f>VLOOKUP(D258,★サイズ表記!$D$4:$E$55,2,FALSE)</f>
        <v>1008</v>
      </c>
      <c r="F258" s="457" t="s">
        <v>38</v>
      </c>
      <c r="G258" s="452" t="str">
        <f>VLOOKUP(F258,★折込地区!$A$1:$B$11,2,FALSE)</f>
        <v>Hks</v>
      </c>
      <c r="H258" s="453">
        <f>INDEX(★サイズ表記!$I$4:$Q$55, MATCH(E258,★サイズ表記!$E$4:$E$55,0), MATCH(G258,★サイズ表記!$I$3:$R$3,0))</f>
        <v>0</v>
      </c>
      <c r="K258" s="471" t="str">
        <f t="shared" si="24"/>
        <v>T1008Hks</v>
      </c>
      <c r="L258" s="471" t="str">
        <f t="shared" si="25"/>
        <v>B3厚紙</v>
      </c>
      <c r="P258" s="533" t="s">
        <v>1324</v>
      </c>
      <c r="Q258" s="533" t="s">
        <v>1325</v>
      </c>
      <c r="R258" s="534" t="str">
        <f t="shared" si="26"/>
        <v>1008</v>
      </c>
      <c r="S258" s="534" t="str">
        <f t="shared" si="27"/>
        <v>B3厚紙</v>
      </c>
      <c r="T258" s="538" t="str">
        <f t="shared" si="28"/>
        <v>10</v>
      </c>
      <c r="U258" s="538" t="str">
        <f t="shared" si="29"/>
        <v>08</v>
      </c>
      <c r="V258" s="471" t="s">
        <v>1136</v>
      </c>
      <c r="Y258" s="472">
        <f t="shared" si="30"/>
        <v>0</v>
      </c>
      <c r="Z258" s="540">
        <f t="shared" si="31"/>
        <v>0</v>
      </c>
      <c r="AA258" s="471">
        <v>0</v>
      </c>
    </row>
    <row r="259" spans="1:27">
      <c r="A259" s="451" t="str">
        <f>CONCATENATE(VLOOKUP(B259,★営業所!$A$1:$B$5,2,FALSE),VLOOKUP(D259,★サイズ表記!$D$4:$E$55,2,FALSE),VLOOKUP(F259,★折込地区!$A$1:$B$11,2,FALSE))</f>
        <v>T1009Hks</v>
      </c>
      <c r="B259" s="457" t="s">
        <v>275</v>
      </c>
      <c r="C259" s="452" t="str">
        <f>VLOOKUP(B259,★営業所!$A$1:$B$5,2,FALSE)</f>
        <v>T</v>
      </c>
      <c r="D259" s="465" t="s">
        <v>958</v>
      </c>
      <c r="E259" s="452" t="str">
        <f>VLOOKUP(D259,★サイズ表記!$D$4:$E$55,2,FALSE)</f>
        <v>1009</v>
      </c>
      <c r="F259" s="457" t="s">
        <v>38</v>
      </c>
      <c r="G259" s="452" t="str">
        <f>VLOOKUP(F259,★折込地区!$A$1:$B$11,2,FALSE)</f>
        <v>Hks</v>
      </c>
      <c r="H259" s="453">
        <f>INDEX(★サイズ表記!$I$4:$Q$55, MATCH(E259,★サイズ表記!$E$4:$E$55,0), MATCH(G259,★サイズ表記!$I$3:$R$3,0))</f>
        <v>0</v>
      </c>
      <c r="K259" s="471" t="str">
        <f t="shared" si="24"/>
        <v>T1009Hks</v>
      </c>
      <c r="L259" s="471" t="str">
        <f t="shared" si="25"/>
        <v>B2厚紙</v>
      </c>
      <c r="P259" s="533" t="s">
        <v>1324</v>
      </c>
      <c r="Q259" s="533" t="s">
        <v>1325</v>
      </c>
      <c r="R259" s="534" t="str">
        <f t="shared" si="26"/>
        <v>1009</v>
      </c>
      <c r="S259" s="534" t="str">
        <f t="shared" si="27"/>
        <v>B2厚紙</v>
      </c>
      <c r="T259" s="538" t="str">
        <f t="shared" si="28"/>
        <v>10</v>
      </c>
      <c r="U259" s="538" t="str">
        <f t="shared" si="29"/>
        <v>09</v>
      </c>
      <c r="V259" s="471" t="s">
        <v>1136</v>
      </c>
      <c r="Y259" s="472">
        <f t="shared" si="30"/>
        <v>0</v>
      </c>
      <c r="Z259" s="540">
        <f t="shared" si="31"/>
        <v>0</v>
      </c>
      <c r="AA259" s="471">
        <v>0</v>
      </c>
    </row>
    <row r="260" spans="1:27">
      <c r="A260" s="451" t="str">
        <f>CONCATENATE(VLOOKUP(B260,★営業所!$A$1:$B$5,2,FALSE),VLOOKUP(D260,★サイズ表記!$D$4:$E$55,2,FALSE),VLOOKUP(F260,★折込地区!$A$1:$B$11,2,FALSE))</f>
        <v>T1010Hks</v>
      </c>
      <c r="B260" s="457" t="s">
        <v>275</v>
      </c>
      <c r="C260" s="452" t="str">
        <f>VLOOKUP(B260,★営業所!$A$1:$B$5,2,FALSE)</f>
        <v>T</v>
      </c>
      <c r="D260" s="465" t="s">
        <v>959</v>
      </c>
      <c r="E260" s="452" t="str">
        <f>VLOOKUP(D260,★サイズ表記!$D$4:$E$55,2,FALSE)</f>
        <v>1010</v>
      </c>
      <c r="F260" s="457" t="s">
        <v>38</v>
      </c>
      <c r="G260" s="452" t="str">
        <f>VLOOKUP(F260,★折込地区!$A$1:$B$11,2,FALSE)</f>
        <v>Hks</v>
      </c>
      <c r="H260" s="453">
        <f>INDEX(★サイズ表記!$I$4:$Q$55, MATCH(E260,★サイズ表記!$E$4:$E$55,0), MATCH(G260,★サイズ表記!$I$3:$R$3,0))</f>
        <v>0</v>
      </c>
      <c r="K260" s="471" t="str">
        <f t="shared" si="24"/>
        <v>T1010Hks</v>
      </c>
      <c r="L260" s="471" t="str">
        <f t="shared" si="25"/>
        <v>B4以下変形</v>
      </c>
      <c r="P260" s="533" t="s">
        <v>1324</v>
      </c>
      <c r="Q260" s="533" t="s">
        <v>1325</v>
      </c>
      <c r="R260" s="534" t="str">
        <f t="shared" si="26"/>
        <v>1010</v>
      </c>
      <c r="S260" s="534" t="str">
        <f t="shared" si="27"/>
        <v>B4以下変形</v>
      </c>
      <c r="T260" s="538" t="str">
        <f t="shared" si="28"/>
        <v>10</v>
      </c>
      <c r="U260" s="538" t="str">
        <f t="shared" si="29"/>
        <v>10</v>
      </c>
      <c r="V260" s="471" t="s">
        <v>1136</v>
      </c>
      <c r="Y260" s="472">
        <f t="shared" si="30"/>
        <v>0</v>
      </c>
      <c r="Z260" s="540">
        <f t="shared" si="31"/>
        <v>0</v>
      </c>
      <c r="AA260" s="471">
        <v>0</v>
      </c>
    </row>
    <row r="261" spans="1:27">
      <c r="A261" s="451" t="str">
        <f>CONCATENATE(VLOOKUP(B261,★営業所!$A$1:$B$5,2,FALSE),VLOOKUP(D261,★サイズ表記!$D$4:$E$55,2,FALSE),VLOOKUP(F261,★折込地区!$A$1:$B$11,2,FALSE))</f>
        <v>T1011Hks</v>
      </c>
      <c r="B261" s="457" t="s">
        <v>275</v>
      </c>
      <c r="C261" s="452" t="str">
        <f>VLOOKUP(B261,★営業所!$A$1:$B$5,2,FALSE)</f>
        <v>T</v>
      </c>
      <c r="D261" s="465" t="s">
        <v>960</v>
      </c>
      <c r="E261" s="452" t="str">
        <f>VLOOKUP(D261,★サイズ表記!$D$4:$E$55,2,FALSE)</f>
        <v>1011</v>
      </c>
      <c r="F261" s="457" t="s">
        <v>38</v>
      </c>
      <c r="G261" s="452" t="str">
        <f>VLOOKUP(F261,★折込地区!$A$1:$B$11,2,FALSE)</f>
        <v>Hks</v>
      </c>
      <c r="H261" s="453">
        <f>INDEX(★サイズ表記!$I$4:$Q$55, MATCH(E261,★サイズ表記!$E$4:$E$55,0), MATCH(G261,★サイズ表記!$I$3:$R$3,0))</f>
        <v>0</v>
      </c>
      <c r="K261" s="471" t="str">
        <f t="shared" si="24"/>
        <v>T1011Hks</v>
      </c>
      <c r="L261" s="471" t="str">
        <f t="shared" si="25"/>
        <v>B4シール付き</v>
      </c>
      <c r="P261" s="533" t="s">
        <v>1324</v>
      </c>
      <c r="Q261" s="533" t="s">
        <v>1325</v>
      </c>
      <c r="R261" s="534" t="str">
        <f t="shared" si="26"/>
        <v>1011</v>
      </c>
      <c r="S261" s="534" t="str">
        <f t="shared" si="27"/>
        <v>B4シール付き</v>
      </c>
      <c r="T261" s="538" t="str">
        <f t="shared" si="28"/>
        <v>10</v>
      </c>
      <c r="U261" s="538" t="str">
        <f t="shared" si="29"/>
        <v>11</v>
      </c>
      <c r="V261" s="471" t="s">
        <v>1136</v>
      </c>
      <c r="Y261" s="472">
        <f t="shared" si="30"/>
        <v>0</v>
      </c>
      <c r="Z261" s="540">
        <f t="shared" si="31"/>
        <v>0</v>
      </c>
      <c r="AA261" s="471">
        <v>0</v>
      </c>
    </row>
    <row r="262" spans="1:27">
      <c r="A262" s="451" t="str">
        <f>CONCATENATE(VLOOKUP(B262,★営業所!$A$1:$B$5,2,FALSE),VLOOKUP(D262,★サイズ表記!$D$4:$E$55,2,FALSE),VLOOKUP(F262,★折込地区!$A$1:$B$11,2,FALSE))</f>
        <v>T1012Hks</v>
      </c>
      <c r="B262" s="457" t="s">
        <v>275</v>
      </c>
      <c r="C262" s="452" t="str">
        <f>VLOOKUP(B262,★営業所!$A$1:$B$5,2,FALSE)</f>
        <v>T</v>
      </c>
      <c r="D262" s="465" t="s">
        <v>961</v>
      </c>
      <c r="E262" s="452" t="str">
        <f>VLOOKUP(D262,★サイズ表記!$D$4:$E$55,2,FALSE)</f>
        <v>1012</v>
      </c>
      <c r="F262" s="457" t="s">
        <v>38</v>
      </c>
      <c r="G262" s="452" t="str">
        <f>VLOOKUP(F262,★折込地区!$A$1:$B$11,2,FALSE)</f>
        <v>Hks</v>
      </c>
      <c r="H262" s="453">
        <f>INDEX(★サイズ表記!$I$4:$Q$55, MATCH(E262,★サイズ表記!$E$4:$E$55,0), MATCH(G262,★サイズ表記!$I$3:$R$3,0))</f>
        <v>0</v>
      </c>
      <c r="K262" s="471" t="str">
        <f t="shared" si="24"/>
        <v>T1012Hks</v>
      </c>
      <c r="L262" s="471" t="str">
        <f t="shared" si="25"/>
        <v>B3シール付き</v>
      </c>
      <c r="P262" s="533" t="s">
        <v>1324</v>
      </c>
      <c r="Q262" s="533" t="s">
        <v>1325</v>
      </c>
      <c r="R262" s="534" t="str">
        <f t="shared" si="26"/>
        <v>1012</v>
      </c>
      <c r="S262" s="534" t="str">
        <f t="shared" si="27"/>
        <v>B3シール付き</v>
      </c>
      <c r="T262" s="538" t="str">
        <f t="shared" si="28"/>
        <v>10</v>
      </c>
      <c r="U262" s="538" t="str">
        <f t="shared" si="29"/>
        <v>12</v>
      </c>
      <c r="V262" s="471" t="s">
        <v>1136</v>
      </c>
      <c r="Y262" s="472">
        <f t="shared" si="30"/>
        <v>0</v>
      </c>
      <c r="Z262" s="540">
        <f t="shared" si="31"/>
        <v>0</v>
      </c>
      <c r="AA262" s="471">
        <v>0</v>
      </c>
    </row>
    <row r="263" spans="1:27">
      <c r="A263" s="451" t="str">
        <f>CONCATENATE(VLOOKUP(B263,★営業所!$A$1:$B$5,2,FALSE),VLOOKUP(D263,★サイズ表記!$D$4:$E$55,2,FALSE),VLOOKUP(F263,★折込地区!$A$1:$B$11,2,FALSE))</f>
        <v>T1013Hks</v>
      </c>
      <c r="B263" s="457" t="s">
        <v>275</v>
      </c>
      <c r="C263" s="452" t="str">
        <f>VLOOKUP(B263,★営業所!$A$1:$B$5,2,FALSE)</f>
        <v>T</v>
      </c>
      <c r="D263" s="465" t="s">
        <v>962</v>
      </c>
      <c r="E263" s="452" t="str">
        <f>VLOOKUP(D263,★サイズ表記!$D$4:$E$55,2,FALSE)</f>
        <v>1013</v>
      </c>
      <c r="F263" s="457" t="s">
        <v>38</v>
      </c>
      <c r="G263" s="452" t="str">
        <f>VLOOKUP(F263,★折込地区!$A$1:$B$11,2,FALSE)</f>
        <v>Hks</v>
      </c>
      <c r="H263" s="453">
        <f>INDEX(★サイズ表記!$I$4:$Q$55, MATCH(E263,★サイズ表記!$E$4:$E$55,0), MATCH(G263,★サイズ表記!$I$3:$R$3,0))</f>
        <v>0</v>
      </c>
      <c r="K263" s="471" t="str">
        <f t="shared" si="24"/>
        <v>T1013Hks</v>
      </c>
      <c r="L263" s="471" t="str">
        <f t="shared" si="25"/>
        <v>B4スクラッチ付き</v>
      </c>
      <c r="P263" s="533" t="s">
        <v>1324</v>
      </c>
      <c r="Q263" s="533" t="s">
        <v>1325</v>
      </c>
      <c r="R263" s="534" t="str">
        <f t="shared" si="26"/>
        <v>1013</v>
      </c>
      <c r="S263" s="534" t="str">
        <f t="shared" si="27"/>
        <v>B4スクラッチ付き</v>
      </c>
      <c r="T263" s="538" t="str">
        <f t="shared" si="28"/>
        <v>10</v>
      </c>
      <c r="U263" s="538" t="str">
        <f t="shared" si="29"/>
        <v>13</v>
      </c>
      <c r="V263" s="471" t="s">
        <v>1136</v>
      </c>
      <c r="Y263" s="472">
        <f t="shared" si="30"/>
        <v>0</v>
      </c>
      <c r="Z263" s="540">
        <f t="shared" si="31"/>
        <v>0</v>
      </c>
      <c r="AA263" s="471">
        <v>0</v>
      </c>
    </row>
    <row r="264" spans="1:27">
      <c r="A264" s="451" t="str">
        <f>CONCATENATE(VLOOKUP(B264,★営業所!$A$1:$B$5,2,FALSE),VLOOKUP(D264,★サイズ表記!$D$4:$E$55,2,FALSE),VLOOKUP(F264,★折込地区!$A$1:$B$11,2,FALSE))</f>
        <v>T2001Hks</v>
      </c>
      <c r="B264" s="457" t="s">
        <v>275</v>
      </c>
      <c r="C264" s="452" t="str">
        <f>VLOOKUP(B264,★営業所!$A$1:$B$5,2,FALSE)</f>
        <v>T</v>
      </c>
      <c r="D264" s="465" t="s">
        <v>963</v>
      </c>
      <c r="E264" s="452" t="str">
        <f>VLOOKUP(D264,★サイズ表記!$D$4:$E$55,2,FALSE)</f>
        <v>2001</v>
      </c>
      <c r="F264" s="457" t="s">
        <v>38</v>
      </c>
      <c r="G264" s="452" t="str">
        <f>VLOOKUP(F264,★折込地区!$A$1:$B$11,2,FALSE)</f>
        <v>Hks</v>
      </c>
      <c r="H264" s="453">
        <f>INDEX(★サイズ表記!$I$4:$Q$55, MATCH(E264,★サイズ表記!$E$4:$E$55,0), MATCH(G264,★サイズ表記!$I$3:$R$3,0))</f>
        <v>4.5</v>
      </c>
      <c r="K264" s="471" t="str">
        <f t="shared" si="24"/>
        <v>T2001Hks</v>
      </c>
      <c r="L264" s="471" t="str">
        <f t="shared" si="25"/>
        <v>連合B4</v>
      </c>
      <c r="P264" s="533" t="s">
        <v>1324</v>
      </c>
      <c r="Q264" s="533" t="s">
        <v>1325</v>
      </c>
      <c r="R264" s="534" t="str">
        <f t="shared" si="26"/>
        <v>2001</v>
      </c>
      <c r="S264" s="534" t="str">
        <f t="shared" si="27"/>
        <v>連合B4</v>
      </c>
      <c r="T264" s="538" t="str">
        <f t="shared" si="28"/>
        <v>20</v>
      </c>
      <c r="U264" s="538" t="str">
        <f t="shared" si="29"/>
        <v>01</v>
      </c>
      <c r="V264" s="471" t="s">
        <v>1136</v>
      </c>
      <c r="Y264" s="472">
        <f t="shared" si="30"/>
        <v>4.5</v>
      </c>
      <c r="Z264" s="540">
        <f t="shared" si="31"/>
        <v>0.36</v>
      </c>
      <c r="AA264" s="471">
        <v>0</v>
      </c>
    </row>
    <row r="265" spans="1:27">
      <c r="A265" s="451" t="str">
        <f>CONCATENATE(VLOOKUP(B265,★営業所!$A$1:$B$5,2,FALSE),VLOOKUP(D265,★サイズ表記!$D$4:$E$55,2,FALSE),VLOOKUP(F265,★折込地区!$A$1:$B$11,2,FALSE))</f>
        <v>T2002Hks</v>
      </c>
      <c r="B265" s="457" t="s">
        <v>275</v>
      </c>
      <c r="C265" s="452" t="str">
        <f>VLOOKUP(B265,★営業所!$A$1:$B$5,2,FALSE)</f>
        <v>T</v>
      </c>
      <c r="D265" s="465" t="s">
        <v>964</v>
      </c>
      <c r="E265" s="452" t="str">
        <f>VLOOKUP(D265,★サイズ表記!$D$4:$E$55,2,FALSE)</f>
        <v>2002</v>
      </c>
      <c r="F265" s="457" t="s">
        <v>38</v>
      </c>
      <c r="G265" s="452" t="str">
        <f>VLOOKUP(F265,★折込地区!$A$1:$B$11,2,FALSE)</f>
        <v>Hks</v>
      </c>
      <c r="H265" s="453">
        <f>INDEX(★サイズ表記!$I$4:$Q$55, MATCH(E265,★サイズ表記!$E$4:$E$55,0), MATCH(G265,★サイズ表記!$I$3:$R$3,0))</f>
        <v>9</v>
      </c>
      <c r="K265" s="471" t="str">
        <f t="shared" si="24"/>
        <v>T2002Hks</v>
      </c>
      <c r="L265" s="471" t="str">
        <f t="shared" si="25"/>
        <v>連合B3</v>
      </c>
      <c r="P265" s="533" t="s">
        <v>1324</v>
      </c>
      <c r="Q265" s="533" t="s">
        <v>1325</v>
      </c>
      <c r="R265" s="534" t="str">
        <f t="shared" si="26"/>
        <v>2002</v>
      </c>
      <c r="S265" s="534" t="str">
        <f t="shared" si="27"/>
        <v>連合B3</v>
      </c>
      <c r="T265" s="538" t="str">
        <f t="shared" si="28"/>
        <v>20</v>
      </c>
      <c r="U265" s="538" t="str">
        <f t="shared" si="29"/>
        <v>02</v>
      </c>
      <c r="V265" s="471" t="s">
        <v>1136</v>
      </c>
      <c r="Y265" s="472">
        <f t="shared" si="30"/>
        <v>9</v>
      </c>
      <c r="Z265" s="540">
        <f t="shared" si="31"/>
        <v>0.72</v>
      </c>
      <c r="AA265" s="471">
        <v>0</v>
      </c>
    </row>
    <row r="266" spans="1:27">
      <c r="A266" s="451" t="str">
        <f>CONCATENATE(VLOOKUP(B266,★営業所!$A$1:$B$5,2,FALSE),VLOOKUP(D266,★サイズ表記!$D$4:$E$55,2,FALSE),VLOOKUP(F266,★折込地区!$A$1:$B$11,2,FALSE))</f>
        <v>T2003Hks</v>
      </c>
      <c r="B266" s="457" t="s">
        <v>275</v>
      </c>
      <c r="C266" s="452" t="str">
        <f>VLOOKUP(B266,★営業所!$A$1:$B$5,2,FALSE)</f>
        <v>T</v>
      </c>
      <c r="D266" s="465" t="s">
        <v>965</v>
      </c>
      <c r="E266" s="452" t="str">
        <f>VLOOKUP(D266,★サイズ表記!$D$4:$E$55,2,FALSE)</f>
        <v>2003</v>
      </c>
      <c r="F266" s="457" t="s">
        <v>38</v>
      </c>
      <c r="G266" s="452" t="str">
        <f>VLOOKUP(F266,★折込地区!$A$1:$B$11,2,FALSE)</f>
        <v>Hks</v>
      </c>
      <c r="H266" s="453">
        <f>INDEX(★サイズ表記!$I$4:$Q$55, MATCH(E266,★サイズ表記!$E$4:$E$55,0), MATCH(G266,★サイズ表記!$I$3:$R$3,0))</f>
        <v>15</v>
      </c>
      <c r="K266" s="471" t="str">
        <f t="shared" si="24"/>
        <v>T2003Hks</v>
      </c>
      <c r="L266" s="471" t="str">
        <f t="shared" si="25"/>
        <v>連合B2</v>
      </c>
      <c r="P266" s="533" t="s">
        <v>1324</v>
      </c>
      <c r="Q266" s="533" t="s">
        <v>1325</v>
      </c>
      <c r="R266" s="534" t="str">
        <f t="shared" si="26"/>
        <v>2003</v>
      </c>
      <c r="S266" s="534" t="str">
        <f t="shared" si="27"/>
        <v>連合B2</v>
      </c>
      <c r="T266" s="538" t="str">
        <f t="shared" si="28"/>
        <v>20</v>
      </c>
      <c r="U266" s="538" t="str">
        <f t="shared" si="29"/>
        <v>03</v>
      </c>
      <c r="V266" s="471" t="s">
        <v>1136</v>
      </c>
      <c r="Y266" s="472">
        <f t="shared" si="30"/>
        <v>15</v>
      </c>
      <c r="Z266" s="540">
        <f t="shared" si="31"/>
        <v>1.2</v>
      </c>
      <c r="AA266" s="471">
        <v>0</v>
      </c>
    </row>
    <row r="267" spans="1:27">
      <c r="A267" s="451" t="str">
        <f>CONCATENATE(VLOOKUP(B267,★営業所!$A$1:$B$5,2,FALSE),VLOOKUP(D267,★サイズ表記!$D$4:$E$55,2,FALSE),VLOOKUP(F267,★折込地区!$A$1:$B$11,2,FALSE))</f>
        <v>T2004Hks</v>
      </c>
      <c r="B267" s="457" t="s">
        <v>275</v>
      </c>
      <c r="C267" s="452" t="str">
        <f>VLOOKUP(B267,★営業所!$A$1:$B$5,2,FALSE)</f>
        <v>T</v>
      </c>
      <c r="D267" s="465" t="s">
        <v>966</v>
      </c>
      <c r="E267" s="452" t="str">
        <f>VLOOKUP(D267,★サイズ表記!$D$4:$E$55,2,FALSE)</f>
        <v>2004</v>
      </c>
      <c r="F267" s="457" t="s">
        <v>38</v>
      </c>
      <c r="G267" s="452" t="str">
        <f>VLOOKUP(F267,★折込地区!$A$1:$B$11,2,FALSE)</f>
        <v>Hks</v>
      </c>
      <c r="H267" s="453">
        <f>INDEX(★サイズ表記!$I$4:$Q$55, MATCH(E267,★サイズ表記!$E$4:$E$55,0), MATCH(G267,★サイズ表記!$I$3:$R$3,0))</f>
        <v>0</v>
      </c>
      <c r="K267" s="471" t="str">
        <f t="shared" si="24"/>
        <v>T2004Hks</v>
      </c>
      <c r="L267" s="471" t="str">
        <f t="shared" si="25"/>
        <v>連合3つ折り</v>
      </c>
      <c r="P267" s="533" t="s">
        <v>1324</v>
      </c>
      <c r="Q267" s="533" t="s">
        <v>1325</v>
      </c>
      <c r="R267" s="534" t="str">
        <f t="shared" si="26"/>
        <v>2004</v>
      </c>
      <c r="S267" s="534" t="str">
        <f t="shared" si="27"/>
        <v>連合3つ折り</v>
      </c>
      <c r="T267" s="538" t="str">
        <f t="shared" si="28"/>
        <v>20</v>
      </c>
      <c r="U267" s="538" t="str">
        <f t="shared" si="29"/>
        <v>04</v>
      </c>
      <c r="V267" s="471" t="s">
        <v>1136</v>
      </c>
      <c r="Y267" s="472">
        <f t="shared" si="30"/>
        <v>0</v>
      </c>
      <c r="Z267" s="540">
        <f t="shared" si="31"/>
        <v>0</v>
      </c>
      <c r="AA267" s="471">
        <v>0</v>
      </c>
    </row>
    <row r="268" spans="1:27">
      <c r="A268" s="451" t="str">
        <f>CONCATENATE(VLOOKUP(B268,★営業所!$A$1:$B$5,2,FALSE),VLOOKUP(D268,★サイズ表記!$D$4:$E$55,2,FALSE),VLOOKUP(F268,★折込地区!$A$1:$B$11,2,FALSE))</f>
        <v>T2005Hks</v>
      </c>
      <c r="B268" s="457" t="s">
        <v>275</v>
      </c>
      <c r="C268" s="452" t="str">
        <f>VLOOKUP(B268,★営業所!$A$1:$B$5,2,FALSE)</f>
        <v>T</v>
      </c>
      <c r="D268" s="465" t="s">
        <v>967</v>
      </c>
      <c r="E268" s="452" t="str">
        <f>VLOOKUP(D268,★サイズ表記!$D$4:$E$55,2,FALSE)</f>
        <v>2005</v>
      </c>
      <c r="F268" s="457" t="s">
        <v>38</v>
      </c>
      <c r="G268" s="452" t="str">
        <f>VLOOKUP(F268,★折込地区!$A$1:$B$11,2,FALSE)</f>
        <v>Hks</v>
      </c>
      <c r="H268" s="453">
        <f>INDEX(★サイズ表記!$I$4:$Q$55, MATCH(E268,★サイズ表記!$E$4:$E$55,0), MATCH(G268,★サイズ表記!$I$3:$R$3,0))</f>
        <v>0</v>
      </c>
      <c r="K268" s="471" t="str">
        <f t="shared" si="24"/>
        <v>T2005Hks</v>
      </c>
      <c r="L268" s="471" t="str">
        <f t="shared" si="25"/>
        <v>連合B4厚紙</v>
      </c>
      <c r="P268" s="533" t="s">
        <v>1324</v>
      </c>
      <c r="Q268" s="533" t="s">
        <v>1325</v>
      </c>
      <c r="R268" s="534" t="str">
        <f t="shared" si="26"/>
        <v>2005</v>
      </c>
      <c r="S268" s="534" t="str">
        <f t="shared" si="27"/>
        <v>連合B4厚紙</v>
      </c>
      <c r="T268" s="538" t="str">
        <f t="shared" si="28"/>
        <v>20</v>
      </c>
      <c r="U268" s="538" t="str">
        <f t="shared" si="29"/>
        <v>05</v>
      </c>
      <c r="V268" s="471" t="s">
        <v>1136</v>
      </c>
      <c r="Y268" s="472">
        <f t="shared" si="30"/>
        <v>0</v>
      </c>
      <c r="Z268" s="540">
        <f t="shared" si="31"/>
        <v>0</v>
      </c>
      <c r="AA268" s="471">
        <v>0</v>
      </c>
    </row>
    <row r="269" spans="1:27">
      <c r="A269" s="451" t="str">
        <f>CONCATENATE(VLOOKUP(B269,★営業所!$A$1:$B$5,2,FALSE),VLOOKUP(D269,★サイズ表記!$D$4:$E$55,2,FALSE),VLOOKUP(F269,★折込地区!$A$1:$B$11,2,FALSE))</f>
        <v>T2006Hks</v>
      </c>
      <c r="B269" s="457" t="s">
        <v>275</v>
      </c>
      <c r="C269" s="452" t="str">
        <f>VLOOKUP(B269,★営業所!$A$1:$B$5,2,FALSE)</f>
        <v>T</v>
      </c>
      <c r="D269" s="465" t="s">
        <v>968</v>
      </c>
      <c r="E269" s="452" t="str">
        <f>VLOOKUP(D269,★サイズ表記!$D$4:$E$55,2,FALSE)</f>
        <v>2006</v>
      </c>
      <c r="F269" s="457" t="s">
        <v>38</v>
      </c>
      <c r="G269" s="452" t="str">
        <f>VLOOKUP(F269,★折込地区!$A$1:$B$11,2,FALSE)</f>
        <v>Hks</v>
      </c>
      <c r="H269" s="453">
        <f>INDEX(★サイズ表記!$I$4:$Q$55, MATCH(E269,★サイズ表記!$E$4:$E$55,0), MATCH(G269,★サイズ表記!$I$3:$R$3,0))</f>
        <v>0</v>
      </c>
      <c r="K269" s="471" t="str">
        <f t="shared" si="24"/>
        <v>T2006Hks</v>
      </c>
      <c r="L269" s="471" t="str">
        <f t="shared" si="25"/>
        <v>連合2つ折り極小</v>
      </c>
      <c r="P269" s="533" t="s">
        <v>1324</v>
      </c>
      <c r="Q269" s="533" t="s">
        <v>1325</v>
      </c>
      <c r="R269" s="534" t="str">
        <f t="shared" si="26"/>
        <v>2006</v>
      </c>
      <c r="S269" s="534" t="str">
        <f t="shared" si="27"/>
        <v>連合2つ折り極小</v>
      </c>
      <c r="T269" s="538" t="str">
        <f t="shared" si="28"/>
        <v>20</v>
      </c>
      <c r="U269" s="538" t="str">
        <f t="shared" si="29"/>
        <v>06</v>
      </c>
      <c r="V269" s="471" t="s">
        <v>1136</v>
      </c>
      <c r="Y269" s="472">
        <f t="shared" si="30"/>
        <v>0</v>
      </c>
      <c r="Z269" s="540">
        <f t="shared" si="31"/>
        <v>0</v>
      </c>
      <c r="AA269" s="471">
        <v>0</v>
      </c>
    </row>
    <row r="270" spans="1:27">
      <c r="A270" s="451" t="str">
        <f>CONCATENATE(VLOOKUP(B270,★営業所!$A$1:$B$5,2,FALSE),VLOOKUP(D270,★サイズ表記!$D$4:$E$55,2,FALSE),VLOOKUP(F270,★折込地区!$A$1:$B$11,2,FALSE))</f>
        <v>T2007Hks</v>
      </c>
      <c r="B270" s="457" t="s">
        <v>275</v>
      </c>
      <c r="C270" s="452" t="str">
        <f>VLOOKUP(B270,★営業所!$A$1:$B$5,2,FALSE)</f>
        <v>T</v>
      </c>
      <c r="D270" s="465" t="s">
        <v>1365</v>
      </c>
      <c r="E270" s="452" t="str">
        <f>VLOOKUP(D270,★サイズ表記!$D$4:$E$55,2,FALSE)</f>
        <v>2007</v>
      </c>
      <c r="F270" s="457" t="s">
        <v>38</v>
      </c>
      <c r="G270" s="452" t="str">
        <f>VLOOKUP(F270,★折込地区!$A$1:$B$11,2,FALSE)</f>
        <v>Hks</v>
      </c>
      <c r="H270" s="453">
        <f>INDEX(★サイズ表記!$I$4:$Q$55, MATCH(E270,★サイズ表記!$E$4:$E$55,0), MATCH(G270,★サイズ表記!$I$3:$R$3,0))</f>
        <v>0</v>
      </c>
      <c r="K270" s="471" t="str">
        <f t="shared" si="24"/>
        <v>T2007Hks</v>
      </c>
      <c r="L270" s="471" t="str">
        <f t="shared" si="25"/>
        <v>連合タブ6P</v>
      </c>
      <c r="P270" s="533" t="s">
        <v>1324</v>
      </c>
      <c r="Q270" s="533" t="s">
        <v>1325</v>
      </c>
      <c r="R270" s="534" t="str">
        <f t="shared" si="26"/>
        <v>2007</v>
      </c>
      <c r="S270" s="534" t="str">
        <f t="shared" si="27"/>
        <v>連合タブ6P</v>
      </c>
      <c r="T270" s="538" t="str">
        <f t="shared" si="28"/>
        <v>20</v>
      </c>
      <c r="U270" s="538" t="str">
        <f t="shared" si="29"/>
        <v>07</v>
      </c>
      <c r="V270" s="471" t="s">
        <v>1136</v>
      </c>
      <c r="Y270" s="472">
        <f t="shared" si="30"/>
        <v>0</v>
      </c>
      <c r="Z270" s="540">
        <f t="shared" si="31"/>
        <v>0</v>
      </c>
      <c r="AA270" s="471">
        <v>0</v>
      </c>
    </row>
    <row r="271" spans="1:27">
      <c r="A271" s="451" t="str">
        <f>CONCATENATE(VLOOKUP(B271,★営業所!$A$1:$B$5,2,FALSE),VLOOKUP(D271,★サイズ表記!$D$4:$E$55,2,FALSE),VLOOKUP(F271,★折込地区!$A$1:$B$11,2,FALSE))</f>
        <v>T2008Hks</v>
      </c>
      <c r="B271" s="457" t="s">
        <v>275</v>
      </c>
      <c r="C271" s="452" t="str">
        <f>VLOOKUP(B271,★営業所!$A$1:$B$5,2,FALSE)</f>
        <v>T</v>
      </c>
      <c r="D271" s="465" t="s">
        <v>1366</v>
      </c>
      <c r="E271" s="452" t="str">
        <f>VLOOKUP(D271,★サイズ表記!$D$4:$E$55,2,FALSE)</f>
        <v>2008</v>
      </c>
      <c r="F271" s="457" t="s">
        <v>38</v>
      </c>
      <c r="G271" s="452" t="str">
        <f>VLOOKUP(F271,★折込地区!$A$1:$B$11,2,FALSE)</f>
        <v>Hks</v>
      </c>
      <c r="H271" s="453">
        <f>INDEX(★サイズ表記!$I$4:$Q$55, MATCH(E271,★サイズ表記!$E$4:$E$55,0), MATCH(G271,★サイズ表記!$I$3:$R$3,0))</f>
        <v>0</v>
      </c>
      <c r="K271" s="471" t="str">
        <f t="shared" si="24"/>
        <v>T2008Hks</v>
      </c>
      <c r="L271" s="471" t="str">
        <f t="shared" si="25"/>
        <v>連合タブ8P</v>
      </c>
      <c r="P271" s="533" t="s">
        <v>1324</v>
      </c>
      <c r="Q271" s="533" t="s">
        <v>1325</v>
      </c>
      <c r="R271" s="534" t="str">
        <f t="shared" si="26"/>
        <v>2008</v>
      </c>
      <c r="S271" s="534" t="str">
        <f t="shared" si="27"/>
        <v>連合タブ8P</v>
      </c>
      <c r="T271" s="538" t="str">
        <f t="shared" si="28"/>
        <v>20</v>
      </c>
      <c r="U271" s="538" t="str">
        <f t="shared" si="29"/>
        <v>08</v>
      </c>
      <c r="V271" s="471" t="s">
        <v>1136</v>
      </c>
      <c r="Y271" s="472">
        <f t="shared" si="30"/>
        <v>0</v>
      </c>
      <c r="Z271" s="540">
        <f t="shared" si="31"/>
        <v>0</v>
      </c>
      <c r="AA271" s="471">
        <v>0</v>
      </c>
    </row>
    <row r="272" spans="1:27">
      <c r="A272" s="451" t="str">
        <f>CONCATENATE(VLOOKUP(B272,★営業所!$A$1:$B$5,2,FALSE),VLOOKUP(D272,★サイズ表記!$D$4:$E$55,2,FALSE),VLOOKUP(F272,★折込地区!$A$1:$B$11,2,FALSE))</f>
        <v>T2009Hks</v>
      </c>
      <c r="B272" s="457" t="s">
        <v>275</v>
      </c>
      <c r="C272" s="452" t="str">
        <f>VLOOKUP(B272,★営業所!$A$1:$B$5,2,FALSE)</f>
        <v>T</v>
      </c>
      <c r="D272" s="465" t="s">
        <v>1364</v>
      </c>
      <c r="E272" s="452" t="str">
        <f>VLOOKUP(D272,★サイズ表記!$D$4:$E$55,2,FALSE)</f>
        <v>2009</v>
      </c>
      <c r="F272" s="457" t="s">
        <v>38</v>
      </c>
      <c r="G272" s="452" t="str">
        <f>VLOOKUP(F272,★折込地区!$A$1:$B$11,2,FALSE)</f>
        <v>Hks</v>
      </c>
      <c r="H272" s="453">
        <f>INDEX(★サイズ表記!$I$4:$Q$55, MATCH(E272,★サイズ表記!$E$4:$E$55,0), MATCH(G272,★サイズ表記!$I$3:$R$3,0))</f>
        <v>0</v>
      </c>
      <c r="K272" s="471" t="str">
        <f t="shared" si="24"/>
        <v>T2009Hks</v>
      </c>
      <c r="L272" s="471" t="str">
        <f t="shared" si="25"/>
        <v>連合タブ12P</v>
      </c>
      <c r="P272" s="533" t="s">
        <v>1324</v>
      </c>
      <c r="Q272" s="533" t="s">
        <v>1325</v>
      </c>
      <c r="R272" s="534" t="str">
        <f t="shared" si="26"/>
        <v>2009</v>
      </c>
      <c r="S272" s="534" t="str">
        <f t="shared" si="27"/>
        <v>連合タブ12P</v>
      </c>
      <c r="T272" s="538" t="str">
        <f t="shared" si="28"/>
        <v>20</v>
      </c>
      <c r="U272" s="538" t="str">
        <f t="shared" si="29"/>
        <v>09</v>
      </c>
      <c r="V272" s="471" t="s">
        <v>1136</v>
      </c>
      <c r="Y272" s="472">
        <f t="shared" si="30"/>
        <v>0</v>
      </c>
      <c r="Z272" s="540">
        <f t="shared" si="31"/>
        <v>0</v>
      </c>
      <c r="AA272" s="471">
        <v>0</v>
      </c>
    </row>
    <row r="273" spans="1:27">
      <c r="A273" s="451" t="str">
        <f>CONCATENATE(VLOOKUP(B273,★営業所!$A$1:$B$5,2,FALSE),VLOOKUP(D273,★サイズ表記!$D$4:$E$55,2,FALSE),VLOOKUP(F273,★折込地区!$A$1:$B$11,2,FALSE))</f>
        <v>T3001Hks</v>
      </c>
      <c r="B273" s="457" t="s">
        <v>275</v>
      </c>
      <c r="C273" s="452" t="str">
        <f>VLOOKUP(B273,★営業所!$A$1:$B$5,2,FALSE)</f>
        <v>T</v>
      </c>
      <c r="D273" s="465" t="s">
        <v>969</v>
      </c>
      <c r="E273" s="452" t="str">
        <f>VLOOKUP(D273,★サイズ表記!$D$4:$E$55,2,FALSE)</f>
        <v>3001</v>
      </c>
      <c r="F273" s="457" t="s">
        <v>38</v>
      </c>
      <c r="G273" s="452" t="str">
        <f>VLOOKUP(F273,★折込地区!$A$1:$B$11,2,FALSE)</f>
        <v>Hks</v>
      </c>
      <c r="H273" s="453">
        <f>INDEX(★サイズ表記!$I$4:$Q$55, MATCH(E273,★サイズ表記!$E$4:$E$55,0), MATCH(G273,★サイズ表記!$I$3:$R$3,0))</f>
        <v>4.5</v>
      </c>
      <c r="K273" s="471" t="str">
        <f t="shared" si="24"/>
        <v>T3001Hks</v>
      </c>
      <c r="L273" s="471" t="str">
        <f t="shared" si="25"/>
        <v>政治B4</v>
      </c>
      <c r="P273" s="533" t="s">
        <v>1324</v>
      </c>
      <c r="Q273" s="533" t="s">
        <v>1325</v>
      </c>
      <c r="R273" s="534" t="str">
        <f t="shared" si="26"/>
        <v>3001</v>
      </c>
      <c r="S273" s="534" t="str">
        <f t="shared" si="27"/>
        <v>政治B4</v>
      </c>
      <c r="T273" s="538" t="str">
        <f t="shared" si="28"/>
        <v>30</v>
      </c>
      <c r="U273" s="538" t="str">
        <f t="shared" si="29"/>
        <v>01</v>
      </c>
      <c r="V273" s="471" t="s">
        <v>1136</v>
      </c>
      <c r="Y273" s="472">
        <f t="shared" si="30"/>
        <v>4.5</v>
      </c>
      <c r="Z273" s="540">
        <f t="shared" si="31"/>
        <v>0.36</v>
      </c>
      <c r="AA273" s="471">
        <v>0</v>
      </c>
    </row>
    <row r="274" spans="1:27">
      <c r="A274" s="451" t="str">
        <f>CONCATENATE(VLOOKUP(B274,★営業所!$A$1:$B$5,2,FALSE),VLOOKUP(D274,★サイズ表記!$D$4:$E$55,2,FALSE),VLOOKUP(F274,★折込地区!$A$1:$B$11,2,FALSE))</f>
        <v>T3002Hks</v>
      </c>
      <c r="B274" s="457" t="s">
        <v>275</v>
      </c>
      <c r="C274" s="452" t="str">
        <f>VLOOKUP(B274,★営業所!$A$1:$B$5,2,FALSE)</f>
        <v>T</v>
      </c>
      <c r="D274" s="465" t="s">
        <v>970</v>
      </c>
      <c r="E274" s="452" t="str">
        <f>VLOOKUP(D274,★サイズ表記!$D$4:$E$55,2,FALSE)</f>
        <v>3002</v>
      </c>
      <c r="F274" s="457" t="s">
        <v>38</v>
      </c>
      <c r="G274" s="452" t="str">
        <f>VLOOKUP(F274,★折込地区!$A$1:$B$11,2,FALSE)</f>
        <v>Hks</v>
      </c>
      <c r="H274" s="453">
        <f>INDEX(★サイズ表記!$I$4:$Q$55, MATCH(E274,★サイズ表記!$E$4:$E$55,0), MATCH(G274,★サイズ表記!$I$3:$R$3,0))</f>
        <v>9</v>
      </c>
      <c r="K274" s="471" t="str">
        <f t="shared" si="24"/>
        <v>T3002Hks</v>
      </c>
      <c r="L274" s="471" t="str">
        <f t="shared" si="25"/>
        <v>政治B3</v>
      </c>
      <c r="P274" s="533" t="s">
        <v>1324</v>
      </c>
      <c r="Q274" s="533" t="s">
        <v>1325</v>
      </c>
      <c r="R274" s="534" t="str">
        <f t="shared" si="26"/>
        <v>3002</v>
      </c>
      <c r="S274" s="534" t="str">
        <f t="shared" si="27"/>
        <v>政治B3</v>
      </c>
      <c r="T274" s="538" t="str">
        <f t="shared" si="28"/>
        <v>30</v>
      </c>
      <c r="U274" s="538" t="str">
        <f t="shared" si="29"/>
        <v>02</v>
      </c>
      <c r="V274" s="471" t="s">
        <v>1136</v>
      </c>
      <c r="Y274" s="472">
        <f t="shared" si="30"/>
        <v>9</v>
      </c>
      <c r="Z274" s="540">
        <f t="shared" si="31"/>
        <v>0.72</v>
      </c>
      <c r="AA274" s="471">
        <v>0</v>
      </c>
    </row>
    <row r="275" spans="1:27">
      <c r="A275" s="451" t="str">
        <f>CONCATENATE(VLOOKUP(B275,★営業所!$A$1:$B$5,2,FALSE),VLOOKUP(D275,★サイズ表記!$D$4:$E$55,2,FALSE),VLOOKUP(F275,★折込地区!$A$1:$B$11,2,FALSE))</f>
        <v>T3003Hks</v>
      </c>
      <c r="B275" s="457" t="s">
        <v>275</v>
      </c>
      <c r="C275" s="452" t="str">
        <f>VLOOKUP(B275,★営業所!$A$1:$B$5,2,FALSE)</f>
        <v>T</v>
      </c>
      <c r="D275" s="465" t="s">
        <v>971</v>
      </c>
      <c r="E275" s="452" t="str">
        <f>VLOOKUP(D275,★サイズ表記!$D$4:$E$55,2,FALSE)</f>
        <v>3003</v>
      </c>
      <c r="F275" s="457" t="s">
        <v>38</v>
      </c>
      <c r="G275" s="452" t="str">
        <f>VLOOKUP(F275,★折込地区!$A$1:$B$11,2,FALSE)</f>
        <v>Hks</v>
      </c>
      <c r="H275" s="453">
        <f>INDEX(★サイズ表記!$I$4:$Q$55, MATCH(E275,★サイズ表記!$E$4:$E$55,0), MATCH(G275,★サイズ表記!$I$3:$R$3,0))</f>
        <v>15</v>
      </c>
      <c r="K275" s="471" t="str">
        <f t="shared" si="24"/>
        <v>T3003Hks</v>
      </c>
      <c r="L275" s="471" t="str">
        <f t="shared" si="25"/>
        <v>政治B2</v>
      </c>
      <c r="P275" s="533" t="s">
        <v>1324</v>
      </c>
      <c r="Q275" s="533" t="s">
        <v>1325</v>
      </c>
      <c r="R275" s="534" t="str">
        <f t="shared" si="26"/>
        <v>3003</v>
      </c>
      <c r="S275" s="534" t="str">
        <f t="shared" si="27"/>
        <v>政治B2</v>
      </c>
      <c r="T275" s="538" t="str">
        <f t="shared" si="28"/>
        <v>30</v>
      </c>
      <c r="U275" s="538" t="str">
        <f t="shared" si="29"/>
        <v>03</v>
      </c>
      <c r="V275" s="471" t="s">
        <v>1136</v>
      </c>
      <c r="Y275" s="472">
        <f t="shared" si="30"/>
        <v>15</v>
      </c>
      <c r="Z275" s="540">
        <f t="shared" si="31"/>
        <v>1.2</v>
      </c>
      <c r="AA275" s="471">
        <v>0</v>
      </c>
    </row>
    <row r="276" spans="1:27">
      <c r="A276" s="451" t="str">
        <f>CONCATENATE(VLOOKUP(B276,★営業所!$A$1:$B$5,2,FALSE),VLOOKUP(D276,★サイズ表記!$D$4:$E$55,2,FALSE),VLOOKUP(F276,★折込地区!$A$1:$B$11,2,FALSE))</f>
        <v>T3004Hks</v>
      </c>
      <c r="B276" s="457" t="s">
        <v>275</v>
      </c>
      <c r="C276" s="452" t="str">
        <f>VLOOKUP(B276,★営業所!$A$1:$B$5,2,FALSE)</f>
        <v>T</v>
      </c>
      <c r="D276" s="465" t="s">
        <v>972</v>
      </c>
      <c r="E276" s="452" t="str">
        <f>VLOOKUP(D276,★サイズ表記!$D$4:$E$55,2,FALSE)</f>
        <v>3004</v>
      </c>
      <c r="F276" s="457" t="s">
        <v>38</v>
      </c>
      <c r="G276" s="452" t="str">
        <f>VLOOKUP(F276,★折込地区!$A$1:$B$11,2,FALSE)</f>
        <v>Hks</v>
      </c>
      <c r="H276" s="453">
        <f>INDEX(★サイズ表記!$I$4:$Q$55, MATCH(E276,★サイズ表記!$E$4:$E$55,0), MATCH(G276,★サイズ表記!$I$3:$R$3,0))</f>
        <v>0</v>
      </c>
      <c r="K276" s="471" t="str">
        <f t="shared" si="24"/>
        <v>T3004Hks</v>
      </c>
      <c r="L276" s="471" t="str">
        <f t="shared" si="25"/>
        <v>政治3つ折り</v>
      </c>
      <c r="P276" s="533" t="s">
        <v>1324</v>
      </c>
      <c r="Q276" s="533" t="s">
        <v>1325</v>
      </c>
      <c r="R276" s="534" t="str">
        <f t="shared" si="26"/>
        <v>3004</v>
      </c>
      <c r="S276" s="534" t="str">
        <f t="shared" si="27"/>
        <v>政治3つ折り</v>
      </c>
      <c r="T276" s="538" t="str">
        <f t="shared" si="28"/>
        <v>30</v>
      </c>
      <c r="U276" s="538" t="str">
        <f t="shared" si="29"/>
        <v>04</v>
      </c>
      <c r="V276" s="471" t="s">
        <v>1136</v>
      </c>
      <c r="Y276" s="472">
        <f t="shared" si="30"/>
        <v>0</v>
      </c>
      <c r="Z276" s="540">
        <f t="shared" si="31"/>
        <v>0</v>
      </c>
      <c r="AA276" s="471">
        <v>0</v>
      </c>
    </row>
    <row r="277" spans="1:27">
      <c r="A277" s="451" t="str">
        <f>CONCATENATE(VLOOKUP(B277,★営業所!$A$1:$B$5,2,FALSE),VLOOKUP(D277,★サイズ表記!$D$4:$E$55,2,FALSE),VLOOKUP(F277,★折込地区!$A$1:$B$11,2,FALSE))</f>
        <v>T3005Hks</v>
      </c>
      <c r="B277" s="457" t="s">
        <v>275</v>
      </c>
      <c r="C277" s="452" t="str">
        <f>VLOOKUP(B277,★営業所!$A$1:$B$5,2,FALSE)</f>
        <v>T</v>
      </c>
      <c r="D277" s="465" t="s">
        <v>973</v>
      </c>
      <c r="E277" s="452" t="str">
        <f>VLOOKUP(D277,★サイズ表記!$D$4:$E$55,2,FALSE)</f>
        <v>3005</v>
      </c>
      <c r="F277" s="457" t="s">
        <v>38</v>
      </c>
      <c r="G277" s="452" t="str">
        <f>VLOOKUP(F277,★折込地区!$A$1:$B$11,2,FALSE)</f>
        <v>Hks</v>
      </c>
      <c r="H277" s="453">
        <f>INDEX(★サイズ表記!$I$4:$Q$55, MATCH(E277,★サイズ表記!$E$4:$E$55,0), MATCH(G277,★サイズ表記!$I$3:$R$3,0))</f>
        <v>0</v>
      </c>
      <c r="K277" s="471" t="str">
        <f t="shared" si="24"/>
        <v>T3005Hks</v>
      </c>
      <c r="L277" s="471" t="str">
        <f t="shared" si="25"/>
        <v>政治2つ折り極小</v>
      </c>
      <c r="P277" s="533" t="s">
        <v>1324</v>
      </c>
      <c r="Q277" s="533" t="s">
        <v>1325</v>
      </c>
      <c r="R277" s="534" t="str">
        <f t="shared" si="26"/>
        <v>3005</v>
      </c>
      <c r="S277" s="534" t="str">
        <f t="shared" si="27"/>
        <v>政治2つ折り極小</v>
      </c>
      <c r="T277" s="538" t="str">
        <f t="shared" si="28"/>
        <v>30</v>
      </c>
      <c r="U277" s="538" t="str">
        <f t="shared" si="29"/>
        <v>05</v>
      </c>
      <c r="V277" s="471" t="s">
        <v>1136</v>
      </c>
      <c r="Y277" s="472">
        <f t="shared" si="30"/>
        <v>0</v>
      </c>
      <c r="Z277" s="540">
        <f t="shared" si="31"/>
        <v>0</v>
      </c>
      <c r="AA277" s="471">
        <v>0</v>
      </c>
    </row>
    <row r="278" spans="1:27">
      <c r="A278" s="451" t="str">
        <f>CONCATENATE(VLOOKUP(B278,★営業所!$A$1:$B$5,2,FALSE),VLOOKUP(D278,★サイズ表記!$D$4:$E$55,2,FALSE),VLOOKUP(F278,★折込地区!$A$1:$B$11,2,FALSE))</f>
        <v>T3006Hks</v>
      </c>
      <c r="B278" s="457" t="s">
        <v>275</v>
      </c>
      <c r="C278" s="452" t="str">
        <f>VLOOKUP(B278,★営業所!$A$1:$B$5,2,FALSE)</f>
        <v>T</v>
      </c>
      <c r="D278" s="465" t="s">
        <v>974</v>
      </c>
      <c r="E278" s="452" t="str">
        <f>VLOOKUP(D278,★サイズ表記!$D$4:$E$55,2,FALSE)</f>
        <v>3006</v>
      </c>
      <c r="F278" s="457" t="s">
        <v>38</v>
      </c>
      <c r="G278" s="452" t="str">
        <f>VLOOKUP(F278,★折込地区!$A$1:$B$11,2,FALSE)</f>
        <v>Hks</v>
      </c>
      <c r="H278" s="453">
        <f>INDEX(★サイズ表記!$I$4:$Q$55, MATCH(E278,★サイズ表記!$E$4:$E$55,0), MATCH(G278,★サイズ表記!$I$3:$R$3,0))</f>
        <v>0</v>
      </c>
      <c r="K278" s="471" t="str">
        <f t="shared" si="24"/>
        <v>T3006Hks</v>
      </c>
      <c r="L278" s="471" t="str">
        <f t="shared" si="25"/>
        <v>政治B4厚紙</v>
      </c>
      <c r="P278" s="533" t="s">
        <v>1324</v>
      </c>
      <c r="Q278" s="533" t="s">
        <v>1325</v>
      </c>
      <c r="R278" s="534" t="str">
        <f t="shared" si="26"/>
        <v>3006</v>
      </c>
      <c r="S278" s="534" t="str">
        <f t="shared" si="27"/>
        <v>政治B4厚紙</v>
      </c>
      <c r="T278" s="538" t="str">
        <f t="shared" si="28"/>
        <v>30</v>
      </c>
      <c r="U278" s="538" t="str">
        <f t="shared" si="29"/>
        <v>06</v>
      </c>
      <c r="V278" s="471" t="s">
        <v>1136</v>
      </c>
      <c r="Y278" s="472">
        <f t="shared" si="30"/>
        <v>0</v>
      </c>
      <c r="Z278" s="540">
        <f t="shared" si="31"/>
        <v>0</v>
      </c>
      <c r="AA278" s="471">
        <v>0</v>
      </c>
    </row>
    <row r="279" spans="1:27">
      <c r="A279" s="451" t="str">
        <f>CONCATENATE(VLOOKUP(B279,★営業所!$A$1:$B$5,2,FALSE),VLOOKUP(D279,★サイズ表記!$D$4:$E$55,2,FALSE),VLOOKUP(F279,★折込地区!$A$1:$B$11,2,FALSE))</f>
        <v>T3007Hks</v>
      </c>
      <c r="B279" s="457" t="s">
        <v>275</v>
      </c>
      <c r="C279" s="452" t="str">
        <f>VLOOKUP(B279,★営業所!$A$1:$B$5,2,FALSE)</f>
        <v>T</v>
      </c>
      <c r="D279" s="465" t="s">
        <v>1362</v>
      </c>
      <c r="E279" s="452" t="str">
        <f>VLOOKUP(D279,★サイズ表記!$D$4:$E$55,2,FALSE)</f>
        <v>3007</v>
      </c>
      <c r="F279" s="457" t="s">
        <v>38</v>
      </c>
      <c r="G279" s="452" t="str">
        <f>VLOOKUP(F279,★折込地区!$A$1:$B$11,2,FALSE)</f>
        <v>Hks</v>
      </c>
      <c r="H279" s="453">
        <f>INDEX(★サイズ表記!$I$4:$Q$55, MATCH(E279,★サイズ表記!$E$4:$E$55,0), MATCH(G279,★サイズ表記!$I$3:$R$3,0))</f>
        <v>0</v>
      </c>
      <c r="K279" s="471" t="str">
        <f t="shared" si="24"/>
        <v>T3007Hks</v>
      </c>
      <c r="L279" s="471" t="str">
        <f t="shared" si="25"/>
        <v>政治タブ6P</v>
      </c>
      <c r="P279" s="533" t="s">
        <v>1324</v>
      </c>
      <c r="Q279" s="533" t="s">
        <v>1325</v>
      </c>
      <c r="R279" s="534" t="str">
        <f t="shared" si="26"/>
        <v>3007</v>
      </c>
      <c r="S279" s="534" t="str">
        <f t="shared" si="27"/>
        <v>政治タブ6P</v>
      </c>
      <c r="T279" s="538" t="str">
        <f t="shared" si="28"/>
        <v>30</v>
      </c>
      <c r="U279" s="538" t="str">
        <f t="shared" si="29"/>
        <v>07</v>
      </c>
      <c r="V279" s="471" t="s">
        <v>1136</v>
      </c>
      <c r="Y279" s="472">
        <f t="shared" si="30"/>
        <v>0</v>
      </c>
      <c r="Z279" s="540">
        <f t="shared" si="31"/>
        <v>0</v>
      </c>
      <c r="AA279" s="471">
        <v>0</v>
      </c>
    </row>
    <row r="280" spans="1:27">
      <c r="A280" s="451" t="str">
        <f>CONCATENATE(VLOOKUP(B280,★営業所!$A$1:$B$5,2,FALSE),VLOOKUP(D280,★サイズ表記!$D$4:$E$55,2,FALSE),VLOOKUP(F280,★折込地区!$A$1:$B$11,2,FALSE))</f>
        <v>T3008Hks</v>
      </c>
      <c r="B280" s="457" t="s">
        <v>275</v>
      </c>
      <c r="C280" s="452" t="str">
        <f>VLOOKUP(B280,★営業所!$A$1:$B$5,2,FALSE)</f>
        <v>T</v>
      </c>
      <c r="D280" s="465" t="s">
        <v>1363</v>
      </c>
      <c r="E280" s="452" t="str">
        <f>VLOOKUP(D280,★サイズ表記!$D$4:$E$55,2,FALSE)</f>
        <v>3008</v>
      </c>
      <c r="F280" s="457" t="s">
        <v>38</v>
      </c>
      <c r="G280" s="452" t="str">
        <f>VLOOKUP(F280,★折込地区!$A$1:$B$11,2,FALSE)</f>
        <v>Hks</v>
      </c>
      <c r="H280" s="453">
        <f>INDEX(★サイズ表記!$I$4:$Q$55, MATCH(E280,★サイズ表記!$E$4:$E$55,0), MATCH(G280,★サイズ表記!$I$3:$R$3,0))</f>
        <v>0</v>
      </c>
      <c r="K280" s="471" t="str">
        <f t="shared" si="24"/>
        <v>T3008Hks</v>
      </c>
      <c r="L280" s="471" t="str">
        <f t="shared" si="25"/>
        <v>政治タブ8P</v>
      </c>
      <c r="P280" s="533" t="s">
        <v>1324</v>
      </c>
      <c r="Q280" s="533" t="s">
        <v>1325</v>
      </c>
      <c r="R280" s="534" t="str">
        <f t="shared" si="26"/>
        <v>3008</v>
      </c>
      <c r="S280" s="534" t="str">
        <f t="shared" si="27"/>
        <v>政治タブ8P</v>
      </c>
      <c r="T280" s="538" t="str">
        <f t="shared" si="28"/>
        <v>30</v>
      </c>
      <c r="U280" s="538" t="str">
        <f t="shared" si="29"/>
        <v>08</v>
      </c>
      <c r="V280" s="471" t="s">
        <v>1136</v>
      </c>
      <c r="Y280" s="472">
        <f t="shared" si="30"/>
        <v>0</v>
      </c>
      <c r="Z280" s="540">
        <f t="shared" si="31"/>
        <v>0</v>
      </c>
      <c r="AA280" s="471">
        <v>0</v>
      </c>
    </row>
    <row r="281" spans="1:27">
      <c r="A281" s="451" t="str">
        <f>CONCATENATE(VLOOKUP(B281,★営業所!$A$1:$B$5,2,FALSE),VLOOKUP(D281,★サイズ表記!$D$4:$E$55,2,FALSE),VLOOKUP(F281,★折込地区!$A$1:$B$11,2,FALSE))</f>
        <v>T3009Hks</v>
      </c>
      <c r="B281" s="457" t="s">
        <v>275</v>
      </c>
      <c r="C281" s="452" t="str">
        <f>VLOOKUP(B281,★営業所!$A$1:$B$5,2,FALSE)</f>
        <v>T</v>
      </c>
      <c r="D281" s="465" t="s">
        <v>1361</v>
      </c>
      <c r="E281" s="452" t="str">
        <f>VLOOKUP(D281,★サイズ表記!$D$4:$E$55,2,FALSE)</f>
        <v>3009</v>
      </c>
      <c r="F281" s="457" t="s">
        <v>38</v>
      </c>
      <c r="G281" s="452" t="str">
        <f>VLOOKUP(F281,★折込地区!$A$1:$B$11,2,FALSE)</f>
        <v>Hks</v>
      </c>
      <c r="H281" s="453">
        <f>INDEX(★サイズ表記!$I$4:$Q$55, MATCH(E281,★サイズ表記!$E$4:$E$55,0), MATCH(G281,★サイズ表記!$I$3:$R$3,0))</f>
        <v>0</v>
      </c>
      <c r="K281" s="471" t="str">
        <f t="shared" si="24"/>
        <v>T3009Hks</v>
      </c>
      <c r="L281" s="471" t="str">
        <f t="shared" si="25"/>
        <v>政治タブ12P</v>
      </c>
      <c r="P281" s="533" t="s">
        <v>1324</v>
      </c>
      <c r="Q281" s="533" t="s">
        <v>1325</v>
      </c>
      <c r="R281" s="534" t="str">
        <f t="shared" si="26"/>
        <v>3009</v>
      </c>
      <c r="S281" s="534" t="str">
        <f t="shared" si="27"/>
        <v>政治タブ12P</v>
      </c>
      <c r="T281" s="538" t="str">
        <f t="shared" si="28"/>
        <v>30</v>
      </c>
      <c r="U281" s="538" t="str">
        <f t="shared" si="29"/>
        <v>09</v>
      </c>
      <c r="V281" s="471" t="s">
        <v>1136</v>
      </c>
      <c r="Y281" s="472">
        <f t="shared" si="30"/>
        <v>0</v>
      </c>
      <c r="Z281" s="540">
        <f t="shared" si="31"/>
        <v>0</v>
      </c>
      <c r="AA281" s="471">
        <v>0</v>
      </c>
    </row>
    <row r="282" spans="1:27">
      <c r="A282" s="451" t="str">
        <f>CONCATENATE(VLOOKUP(B282,★営業所!$A$1:$B$5,2,FALSE),VLOOKUP(D282,★サイズ表記!$D$4:$E$55,2,FALSE),VLOOKUP(F282,★折込地区!$A$1:$B$11,2,FALSE))</f>
        <v>T4001Hks</v>
      </c>
      <c r="B282" s="457" t="s">
        <v>275</v>
      </c>
      <c r="C282" s="452" t="str">
        <f>VLOOKUP(B282,★営業所!$A$1:$B$5,2,FALSE)</f>
        <v>T</v>
      </c>
      <c r="D282" s="465" t="s">
        <v>1358</v>
      </c>
      <c r="E282" s="452" t="str">
        <f>VLOOKUP(D282,★サイズ表記!$D$4:$E$55,2,FALSE)</f>
        <v>4001</v>
      </c>
      <c r="F282" s="457" t="s">
        <v>38</v>
      </c>
      <c r="G282" s="452" t="str">
        <f>VLOOKUP(F282,★折込地区!$A$1:$B$11,2,FALSE)</f>
        <v>Hks</v>
      </c>
      <c r="H282" s="453">
        <f>INDEX(★サイズ表記!$I$4:$Q$55, MATCH(E282,★サイズ表記!$E$4:$E$55,0), MATCH(G282,★サイズ表記!$I$3:$R$3,0))</f>
        <v>0</v>
      </c>
      <c r="K282" s="471" t="str">
        <f t="shared" si="24"/>
        <v>T4001Hks</v>
      </c>
      <c r="L282" s="471" t="str">
        <f t="shared" si="25"/>
        <v>タブ6P</v>
      </c>
      <c r="P282" s="533" t="s">
        <v>1324</v>
      </c>
      <c r="Q282" s="533" t="s">
        <v>1325</v>
      </c>
      <c r="R282" s="534" t="str">
        <f t="shared" si="26"/>
        <v>4001</v>
      </c>
      <c r="S282" s="534" t="str">
        <f t="shared" si="27"/>
        <v>タブ6P</v>
      </c>
      <c r="T282" s="538" t="str">
        <f t="shared" si="28"/>
        <v>40</v>
      </c>
      <c r="U282" s="538" t="str">
        <f t="shared" si="29"/>
        <v>01</v>
      </c>
      <c r="V282" s="471" t="s">
        <v>1136</v>
      </c>
      <c r="Y282" s="472">
        <f t="shared" si="30"/>
        <v>0</v>
      </c>
      <c r="Z282" s="540">
        <f t="shared" si="31"/>
        <v>0</v>
      </c>
      <c r="AA282" s="471">
        <v>0</v>
      </c>
    </row>
    <row r="283" spans="1:27">
      <c r="A283" s="451" t="str">
        <f>CONCATENATE(VLOOKUP(B283,★営業所!$A$1:$B$5,2,FALSE),VLOOKUP(D283,★サイズ表記!$D$4:$E$55,2,FALSE),VLOOKUP(F283,★折込地区!$A$1:$B$11,2,FALSE))</f>
        <v>T4002Hks</v>
      </c>
      <c r="B283" s="457" t="s">
        <v>275</v>
      </c>
      <c r="C283" s="452" t="str">
        <f>VLOOKUP(B283,★営業所!$A$1:$B$5,2,FALSE)</f>
        <v>T</v>
      </c>
      <c r="D283" s="465" t="s">
        <v>1359</v>
      </c>
      <c r="E283" s="452" t="str">
        <f>VLOOKUP(D283,★サイズ表記!$D$4:$E$55,2,FALSE)</f>
        <v>4002</v>
      </c>
      <c r="F283" s="457" t="s">
        <v>38</v>
      </c>
      <c r="G283" s="452" t="str">
        <f>VLOOKUP(F283,★折込地区!$A$1:$B$11,2,FALSE)</f>
        <v>Hks</v>
      </c>
      <c r="H283" s="453">
        <f>INDEX(★サイズ表記!$I$4:$Q$55, MATCH(E283,★サイズ表記!$E$4:$E$55,0), MATCH(G283,★サイズ表記!$I$3:$R$3,0))</f>
        <v>0</v>
      </c>
      <c r="K283" s="471" t="str">
        <f t="shared" si="24"/>
        <v>T4002Hks</v>
      </c>
      <c r="L283" s="471" t="str">
        <f t="shared" si="25"/>
        <v>タブ8P</v>
      </c>
      <c r="P283" s="533" t="s">
        <v>1324</v>
      </c>
      <c r="Q283" s="533" t="s">
        <v>1325</v>
      </c>
      <c r="R283" s="534" t="str">
        <f t="shared" si="26"/>
        <v>4002</v>
      </c>
      <c r="S283" s="534" t="str">
        <f t="shared" si="27"/>
        <v>タブ8P</v>
      </c>
      <c r="T283" s="538" t="str">
        <f t="shared" si="28"/>
        <v>40</v>
      </c>
      <c r="U283" s="538" t="str">
        <f t="shared" si="29"/>
        <v>02</v>
      </c>
      <c r="V283" s="471" t="s">
        <v>1136</v>
      </c>
      <c r="Y283" s="472">
        <f t="shared" si="30"/>
        <v>0</v>
      </c>
      <c r="Z283" s="540">
        <f t="shared" si="31"/>
        <v>0</v>
      </c>
      <c r="AA283" s="471">
        <v>0</v>
      </c>
    </row>
    <row r="284" spans="1:27">
      <c r="A284" s="451" t="str">
        <f>CONCATENATE(VLOOKUP(B284,★営業所!$A$1:$B$5,2,FALSE),VLOOKUP(D284,★サイズ表記!$D$4:$E$55,2,FALSE),VLOOKUP(F284,★折込地区!$A$1:$B$11,2,FALSE))</f>
        <v>T4003Hks</v>
      </c>
      <c r="B284" s="457" t="s">
        <v>275</v>
      </c>
      <c r="C284" s="452" t="str">
        <f>VLOOKUP(B284,★営業所!$A$1:$B$5,2,FALSE)</f>
        <v>T</v>
      </c>
      <c r="D284" s="465" t="s">
        <v>1360</v>
      </c>
      <c r="E284" s="452" t="str">
        <f>VLOOKUP(D284,★サイズ表記!$D$4:$E$55,2,FALSE)</f>
        <v>4003</v>
      </c>
      <c r="F284" s="457" t="s">
        <v>38</v>
      </c>
      <c r="G284" s="452" t="str">
        <f>VLOOKUP(F284,★折込地区!$A$1:$B$11,2,FALSE)</f>
        <v>Hks</v>
      </c>
      <c r="H284" s="453">
        <f>INDEX(★サイズ表記!$I$4:$Q$55, MATCH(E284,★サイズ表記!$E$4:$E$55,0), MATCH(G284,★サイズ表記!$I$3:$R$3,0))</f>
        <v>0</v>
      </c>
      <c r="K284" s="471" t="str">
        <f t="shared" si="24"/>
        <v>T4003Hks</v>
      </c>
      <c r="L284" s="471" t="str">
        <f t="shared" si="25"/>
        <v>タブ8Pホチキス止め</v>
      </c>
      <c r="P284" s="533" t="s">
        <v>1324</v>
      </c>
      <c r="Q284" s="533" t="s">
        <v>1325</v>
      </c>
      <c r="R284" s="534" t="str">
        <f t="shared" si="26"/>
        <v>4003</v>
      </c>
      <c r="S284" s="534" t="str">
        <f t="shared" si="27"/>
        <v>タブ8Pホチキス止め</v>
      </c>
      <c r="T284" s="538" t="str">
        <f t="shared" si="28"/>
        <v>40</v>
      </c>
      <c r="U284" s="538" t="str">
        <f t="shared" si="29"/>
        <v>03</v>
      </c>
      <c r="V284" s="471" t="s">
        <v>1136</v>
      </c>
      <c r="Y284" s="472">
        <f t="shared" si="30"/>
        <v>0</v>
      </c>
      <c r="Z284" s="540">
        <f t="shared" si="31"/>
        <v>0</v>
      </c>
      <c r="AA284" s="471">
        <v>0</v>
      </c>
    </row>
    <row r="285" spans="1:27">
      <c r="A285" s="451" t="str">
        <f>CONCATENATE(VLOOKUP(B285,★営業所!$A$1:$B$5,2,FALSE),VLOOKUP(D285,★サイズ表記!$D$4:$E$55,2,FALSE),VLOOKUP(F285,★折込地区!$A$1:$B$11,2,FALSE))</f>
        <v>T4004Hks</v>
      </c>
      <c r="B285" s="457" t="s">
        <v>275</v>
      </c>
      <c r="C285" s="452" t="str">
        <f>VLOOKUP(B285,★営業所!$A$1:$B$5,2,FALSE)</f>
        <v>T</v>
      </c>
      <c r="D285" s="465" t="s">
        <v>1350</v>
      </c>
      <c r="E285" s="452" t="str">
        <f>VLOOKUP(D285,★サイズ表記!$D$4:$E$55,2,FALSE)</f>
        <v>4004</v>
      </c>
      <c r="F285" s="457" t="s">
        <v>38</v>
      </c>
      <c r="G285" s="452" t="str">
        <f>VLOOKUP(F285,★折込地区!$A$1:$B$11,2,FALSE)</f>
        <v>Hks</v>
      </c>
      <c r="H285" s="453">
        <f>INDEX(★サイズ表記!$I$4:$Q$55, MATCH(E285,★サイズ表記!$E$4:$E$55,0), MATCH(G285,★サイズ表記!$I$3:$R$3,0))</f>
        <v>0</v>
      </c>
      <c r="K285" s="471" t="str">
        <f t="shared" si="24"/>
        <v>T4004Hks</v>
      </c>
      <c r="L285" s="471" t="str">
        <f t="shared" si="25"/>
        <v>タブ10P</v>
      </c>
      <c r="P285" s="533" t="s">
        <v>1324</v>
      </c>
      <c r="Q285" s="533" t="s">
        <v>1325</v>
      </c>
      <c r="R285" s="534" t="str">
        <f t="shared" si="26"/>
        <v>4004</v>
      </c>
      <c r="S285" s="534" t="str">
        <f t="shared" si="27"/>
        <v>タブ10P</v>
      </c>
      <c r="T285" s="538" t="str">
        <f t="shared" si="28"/>
        <v>40</v>
      </c>
      <c r="U285" s="538" t="str">
        <f t="shared" si="29"/>
        <v>04</v>
      </c>
      <c r="V285" s="471" t="s">
        <v>1136</v>
      </c>
      <c r="Y285" s="472">
        <f t="shared" si="30"/>
        <v>0</v>
      </c>
      <c r="Z285" s="540">
        <f t="shared" si="31"/>
        <v>0</v>
      </c>
      <c r="AA285" s="471">
        <v>0</v>
      </c>
    </row>
    <row r="286" spans="1:27">
      <c r="A286" s="451" t="str">
        <f>CONCATENATE(VLOOKUP(B286,★営業所!$A$1:$B$5,2,FALSE),VLOOKUP(D286,★サイズ表記!$D$4:$E$55,2,FALSE),VLOOKUP(F286,★折込地区!$A$1:$B$11,2,FALSE))</f>
        <v>T4005Hks</v>
      </c>
      <c r="B286" s="457" t="s">
        <v>275</v>
      </c>
      <c r="C286" s="452" t="str">
        <f>VLOOKUP(B286,★営業所!$A$1:$B$5,2,FALSE)</f>
        <v>T</v>
      </c>
      <c r="D286" s="465" t="s">
        <v>1351</v>
      </c>
      <c r="E286" s="452" t="str">
        <f>VLOOKUP(D286,★サイズ表記!$D$4:$E$55,2,FALSE)</f>
        <v>4005</v>
      </c>
      <c r="F286" s="457" t="s">
        <v>38</v>
      </c>
      <c r="G286" s="452" t="str">
        <f>VLOOKUP(F286,★折込地区!$A$1:$B$11,2,FALSE)</f>
        <v>Hks</v>
      </c>
      <c r="H286" s="453">
        <f>INDEX(★サイズ表記!$I$4:$Q$55, MATCH(E286,★サイズ表記!$E$4:$E$55,0), MATCH(G286,★サイズ表記!$I$3:$R$3,0))</f>
        <v>0</v>
      </c>
      <c r="K286" s="471" t="str">
        <f t="shared" si="24"/>
        <v>T4005Hks</v>
      </c>
      <c r="L286" s="471" t="str">
        <f t="shared" si="25"/>
        <v>タブ12P</v>
      </c>
      <c r="P286" s="533" t="s">
        <v>1324</v>
      </c>
      <c r="Q286" s="533" t="s">
        <v>1325</v>
      </c>
      <c r="R286" s="534" t="str">
        <f t="shared" si="26"/>
        <v>4005</v>
      </c>
      <c r="S286" s="534" t="str">
        <f t="shared" si="27"/>
        <v>タブ12P</v>
      </c>
      <c r="T286" s="538" t="str">
        <f t="shared" si="28"/>
        <v>40</v>
      </c>
      <c r="U286" s="538" t="str">
        <f t="shared" si="29"/>
        <v>05</v>
      </c>
      <c r="V286" s="471" t="s">
        <v>1136</v>
      </c>
      <c r="Y286" s="472">
        <f t="shared" si="30"/>
        <v>0</v>
      </c>
      <c r="Z286" s="540">
        <f t="shared" si="31"/>
        <v>0</v>
      </c>
      <c r="AA286" s="471">
        <v>0</v>
      </c>
    </row>
    <row r="287" spans="1:27">
      <c r="A287" s="451" t="str">
        <f>CONCATENATE(VLOOKUP(B287,★営業所!$A$1:$B$5,2,FALSE),VLOOKUP(D287,★サイズ表記!$D$4:$E$55,2,FALSE),VLOOKUP(F287,★折込地区!$A$1:$B$11,2,FALSE))</f>
        <v>T4006Hks</v>
      </c>
      <c r="B287" s="457" t="s">
        <v>275</v>
      </c>
      <c r="C287" s="452" t="str">
        <f>VLOOKUP(B287,★営業所!$A$1:$B$5,2,FALSE)</f>
        <v>T</v>
      </c>
      <c r="D287" s="465" t="s">
        <v>1352</v>
      </c>
      <c r="E287" s="452" t="str">
        <f>VLOOKUP(D287,★サイズ表記!$D$4:$E$55,2,FALSE)</f>
        <v>4006</v>
      </c>
      <c r="F287" s="457" t="s">
        <v>38</v>
      </c>
      <c r="G287" s="452" t="str">
        <f>VLOOKUP(F287,★折込地区!$A$1:$B$11,2,FALSE)</f>
        <v>Hks</v>
      </c>
      <c r="H287" s="453">
        <f>INDEX(★サイズ表記!$I$4:$Q$55, MATCH(E287,★サイズ表記!$E$4:$E$55,0), MATCH(G287,★サイズ表記!$I$3:$R$3,0))</f>
        <v>0</v>
      </c>
      <c r="K287" s="471" t="str">
        <f t="shared" si="24"/>
        <v>T4006Hks</v>
      </c>
      <c r="L287" s="471" t="str">
        <f t="shared" si="25"/>
        <v>タブ14P</v>
      </c>
      <c r="P287" s="533" t="s">
        <v>1324</v>
      </c>
      <c r="Q287" s="533" t="s">
        <v>1325</v>
      </c>
      <c r="R287" s="534" t="str">
        <f t="shared" si="26"/>
        <v>4006</v>
      </c>
      <c r="S287" s="534" t="str">
        <f t="shared" si="27"/>
        <v>タブ14P</v>
      </c>
      <c r="T287" s="538" t="str">
        <f t="shared" si="28"/>
        <v>40</v>
      </c>
      <c r="U287" s="538" t="str">
        <f t="shared" si="29"/>
        <v>06</v>
      </c>
      <c r="V287" s="471" t="s">
        <v>1136</v>
      </c>
      <c r="Y287" s="472">
        <f t="shared" si="30"/>
        <v>0</v>
      </c>
      <c r="Z287" s="540">
        <f t="shared" si="31"/>
        <v>0</v>
      </c>
      <c r="AA287" s="471">
        <v>0</v>
      </c>
    </row>
    <row r="288" spans="1:27">
      <c r="A288" s="451" t="str">
        <f>CONCATENATE(VLOOKUP(B288,★営業所!$A$1:$B$5,2,FALSE),VLOOKUP(D288,★サイズ表記!$D$4:$E$55,2,FALSE),VLOOKUP(F288,★折込地区!$A$1:$B$11,2,FALSE))</f>
        <v>T4007Hks</v>
      </c>
      <c r="B288" s="457" t="s">
        <v>275</v>
      </c>
      <c r="C288" s="452" t="str">
        <f>VLOOKUP(B288,★営業所!$A$1:$B$5,2,FALSE)</f>
        <v>T</v>
      </c>
      <c r="D288" s="465" t="s">
        <v>1353</v>
      </c>
      <c r="E288" s="452" t="str">
        <f>VLOOKUP(D288,★サイズ表記!$D$4:$E$55,2,FALSE)</f>
        <v>4007</v>
      </c>
      <c r="F288" s="457" t="s">
        <v>38</v>
      </c>
      <c r="G288" s="452" t="str">
        <f>VLOOKUP(F288,★折込地区!$A$1:$B$11,2,FALSE)</f>
        <v>Hks</v>
      </c>
      <c r="H288" s="453">
        <f>INDEX(★サイズ表記!$I$4:$Q$55, MATCH(E288,★サイズ表記!$E$4:$E$55,0), MATCH(G288,★サイズ表記!$I$3:$R$3,0))</f>
        <v>0</v>
      </c>
      <c r="K288" s="471" t="str">
        <f t="shared" si="24"/>
        <v>T4007Hks</v>
      </c>
      <c r="L288" s="471" t="str">
        <f t="shared" si="25"/>
        <v>タブ16P</v>
      </c>
      <c r="P288" s="533" t="s">
        <v>1324</v>
      </c>
      <c r="Q288" s="533" t="s">
        <v>1325</v>
      </c>
      <c r="R288" s="534" t="str">
        <f t="shared" si="26"/>
        <v>4007</v>
      </c>
      <c r="S288" s="534" t="str">
        <f t="shared" si="27"/>
        <v>タブ16P</v>
      </c>
      <c r="T288" s="538" t="str">
        <f t="shared" si="28"/>
        <v>40</v>
      </c>
      <c r="U288" s="538" t="str">
        <f t="shared" si="29"/>
        <v>07</v>
      </c>
      <c r="V288" s="471" t="s">
        <v>1136</v>
      </c>
      <c r="Y288" s="472">
        <f t="shared" si="30"/>
        <v>0</v>
      </c>
      <c r="Z288" s="540">
        <f t="shared" si="31"/>
        <v>0</v>
      </c>
      <c r="AA288" s="471">
        <v>0</v>
      </c>
    </row>
    <row r="289" spans="1:27">
      <c r="A289" s="451" t="str">
        <f>CONCATENATE(VLOOKUP(B289,★営業所!$A$1:$B$5,2,FALSE),VLOOKUP(D289,★サイズ表記!$D$4:$E$55,2,FALSE),VLOOKUP(F289,★折込地区!$A$1:$B$11,2,FALSE))</f>
        <v>T4008Hks</v>
      </c>
      <c r="B289" s="457" t="s">
        <v>275</v>
      </c>
      <c r="C289" s="452" t="str">
        <f>VLOOKUP(B289,★営業所!$A$1:$B$5,2,FALSE)</f>
        <v>T</v>
      </c>
      <c r="D289" s="465" t="s">
        <v>1355</v>
      </c>
      <c r="E289" s="452" t="str">
        <f>VLOOKUP(D289,★サイズ表記!$D$4:$E$55,2,FALSE)</f>
        <v>4008</v>
      </c>
      <c r="F289" s="457" t="s">
        <v>38</v>
      </c>
      <c r="G289" s="452" t="str">
        <f>VLOOKUP(F289,★折込地区!$A$1:$B$11,2,FALSE)</f>
        <v>Hks</v>
      </c>
      <c r="H289" s="453">
        <f>INDEX(★サイズ表記!$I$4:$Q$55, MATCH(E289,★サイズ表記!$E$4:$E$55,0), MATCH(G289,★サイズ表記!$I$3:$R$3,0))</f>
        <v>0</v>
      </c>
      <c r="K289" s="471" t="str">
        <f t="shared" si="24"/>
        <v>T4008Hks</v>
      </c>
      <c r="L289" s="471" t="str">
        <f t="shared" si="25"/>
        <v>タブ18P</v>
      </c>
      <c r="P289" s="533" t="s">
        <v>1324</v>
      </c>
      <c r="Q289" s="533" t="s">
        <v>1325</v>
      </c>
      <c r="R289" s="534" t="str">
        <f t="shared" si="26"/>
        <v>4008</v>
      </c>
      <c r="S289" s="534" t="str">
        <f t="shared" si="27"/>
        <v>タブ18P</v>
      </c>
      <c r="T289" s="538" t="str">
        <f t="shared" si="28"/>
        <v>40</v>
      </c>
      <c r="U289" s="538" t="str">
        <f t="shared" si="29"/>
        <v>08</v>
      </c>
      <c r="V289" s="471" t="s">
        <v>1136</v>
      </c>
      <c r="Y289" s="472">
        <f t="shared" si="30"/>
        <v>0</v>
      </c>
      <c r="Z289" s="540">
        <f t="shared" si="31"/>
        <v>0</v>
      </c>
      <c r="AA289" s="471">
        <v>0</v>
      </c>
    </row>
    <row r="290" spans="1:27">
      <c r="A290" s="451" t="str">
        <f>CONCATENATE(VLOOKUP(B290,★営業所!$A$1:$B$5,2,FALSE),VLOOKUP(D290,★サイズ表記!$D$4:$E$55,2,FALSE),VLOOKUP(F290,★折込地区!$A$1:$B$11,2,FALSE))</f>
        <v>T4009Hks</v>
      </c>
      <c r="B290" s="457" t="s">
        <v>275</v>
      </c>
      <c r="C290" s="452" t="str">
        <f>VLOOKUP(B290,★営業所!$A$1:$B$5,2,FALSE)</f>
        <v>T</v>
      </c>
      <c r="D290" s="465" t="s">
        <v>1356</v>
      </c>
      <c r="E290" s="452" t="str">
        <f>VLOOKUP(D290,★サイズ表記!$D$4:$E$55,2,FALSE)</f>
        <v>4009</v>
      </c>
      <c r="F290" s="457" t="s">
        <v>38</v>
      </c>
      <c r="G290" s="452" t="str">
        <f>VLOOKUP(F290,★折込地区!$A$1:$B$11,2,FALSE)</f>
        <v>Hks</v>
      </c>
      <c r="H290" s="453">
        <f>INDEX(★サイズ表記!$I$4:$Q$55, MATCH(E290,★サイズ表記!$E$4:$E$55,0), MATCH(G290,★サイズ表記!$I$3:$R$3,0))</f>
        <v>0</v>
      </c>
      <c r="K290" s="471" t="str">
        <f t="shared" si="24"/>
        <v>T4009Hks</v>
      </c>
      <c r="L290" s="471" t="str">
        <f t="shared" si="25"/>
        <v>タブ20P</v>
      </c>
      <c r="P290" s="533" t="s">
        <v>1324</v>
      </c>
      <c r="Q290" s="533" t="s">
        <v>1325</v>
      </c>
      <c r="R290" s="534" t="str">
        <f t="shared" si="26"/>
        <v>4009</v>
      </c>
      <c r="S290" s="534" t="str">
        <f t="shared" si="27"/>
        <v>タブ20P</v>
      </c>
      <c r="T290" s="538" t="str">
        <f t="shared" si="28"/>
        <v>40</v>
      </c>
      <c r="U290" s="538" t="str">
        <f t="shared" si="29"/>
        <v>09</v>
      </c>
      <c r="V290" s="471" t="s">
        <v>1136</v>
      </c>
      <c r="Y290" s="472">
        <f t="shared" si="30"/>
        <v>0</v>
      </c>
      <c r="Z290" s="540">
        <f t="shared" si="31"/>
        <v>0</v>
      </c>
      <c r="AA290" s="471">
        <v>0</v>
      </c>
    </row>
    <row r="291" spans="1:27">
      <c r="A291" s="451" t="str">
        <f>CONCATENATE(VLOOKUP(B291,★営業所!$A$1:$B$5,2,FALSE),VLOOKUP(D291,★サイズ表記!$D$4:$E$55,2,FALSE),VLOOKUP(F291,★折込地区!$A$1:$B$11,2,FALSE))</f>
        <v>T4010Hks</v>
      </c>
      <c r="B291" s="457" t="s">
        <v>275</v>
      </c>
      <c r="C291" s="452" t="str">
        <f>VLOOKUP(B291,★営業所!$A$1:$B$5,2,FALSE)</f>
        <v>T</v>
      </c>
      <c r="D291" s="465" t="s">
        <v>1354</v>
      </c>
      <c r="E291" s="452" t="str">
        <f>VLOOKUP(D291,★サイズ表記!$D$4:$E$55,2,FALSE)</f>
        <v>4010</v>
      </c>
      <c r="F291" s="457" t="s">
        <v>38</v>
      </c>
      <c r="G291" s="452" t="str">
        <f>VLOOKUP(F291,★折込地区!$A$1:$B$11,2,FALSE)</f>
        <v>Hks</v>
      </c>
      <c r="H291" s="453">
        <f>INDEX(★サイズ表記!$I$4:$Q$55, MATCH(E291,★サイズ表記!$E$4:$E$55,0), MATCH(G291,★サイズ表記!$I$3:$R$3,0))</f>
        <v>0</v>
      </c>
      <c r="K291" s="471" t="str">
        <f t="shared" si="24"/>
        <v>T4010Hks</v>
      </c>
      <c r="L291" s="471" t="str">
        <f t="shared" si="25"/>
        <v>タブ16Pホチキス止め</v>
      </c>
      <c r="P291" s="533" t="s">
        <v>1324</v>
      </c>
      <c r="Q291" s="533" t="s">
        <v>1325</v>
      </c>
      <c r="R291" s="534" t="str">
        <f t="shared" si="26"/>
        <v>4010</v>
      </c>
      <c r="S291" s="534" t="str">
        <f t="shared" si="27"/>
        <v>タブ16Pホチキス止め</v>
      </c>
      <c r="T291" s="538" t="str">
        <f t="shared" si="28"/>
        <v>40</v>
      </c>
      <c r="U291" s="538" t="str">
        <f t="shared" si="29"/>
        <v>10</v>
      </c>
      <c r="V291" s="471" t="s">
        <v>1136</v>
      </c>
      <c r="Y291" s="472">
        <f t="shared" si="30"/>
        <v>0</v>
      </c>
      <c r="Z291" s="540">
        <f t="shared" si="31"/>
        <v>0</v>
      </c>
      <c r="AA291" s="471">
        <v>0</v>
      </c>
    </row>
    <row r="292" spans="1:27">
      <c r="A292" s="451" t="str">
        <f>CONCATENATE(VLOOKUP(B292,★営業所!$A$1:$B$5,2,FALSE),VLOOKUP(D292,★サイズ表記!$D$4:$E$55,2,FALSE),VLOOKUP(F292,★折込地区!$A$1:$B$11,2,FALSE))</f>
        <v>T4011Hks</v>
      </c>
      <c r="B292" s="457" t="s">
        <v>275</v>
      </c>
      <c r="C292" s="452" t="str">
        <f>VLOOKUP(B292,★営業所!$A$1:$B$5,2,FALSE)</f>
        <v>T</v>
      </c>
      <c r="D292" s="465" t="s">
        <v>1357</v>
      </c>
      <c r="E292" s="452" t="str">
        <f>VLOOKUP(D292,★サイズ表記!$D$4:$E$55,2,FALSE)</f>
        <v>4011</v>
      </c>
      <c r="F292" s="457" t="s">
        <v>38</v>
      </c>
      <c r="G292" s="452" t="str">
        <f>VLOOKUP(F292,★折込地区!$A$1:$B$11,2,FALSE)</f>
        <v>Hks</v>
      </c>
      <c r="H292" s="453">
        <f>INDEX(★サイズ表記!$I$4:$Q$55, MATCH(E292,★サイズ表記!$E$4:$E$55,0), MATCH(G292,★サイズ表記!$I$3:$R$3,0))</f>
        <v>0</v>
      </c>
      <c r="K292" s="471" t="str">
        <f t="shared" si="24"/>
        <v>T4011Hks</v>
      </c>
      <c r="L292" s="471" t="str">
        <f t="shared" si="25"/>
        <v>タブ40P</v>
      </c>
      <c r="P292" s="533" t="s">
        <v>1324</v>
      </c>
      <c r="Q292" s="533" t="s">
        <v>1325</v>
      </c>
      <c r="R292" s="534" t="str">
        <f t="shared" si="26"/>
        <v>4011</v>
      </c>
      <c r="S292" s="534" t="str">
        <f t="shared" si="27"/>
        <v>タブ40P</v>
      </c>
      <c r="T292" s="538" t="str">
        <f t="shared" si="28"/>
        <v>40</v>
      </c>
      <c r="U292" s="538" t="str">
        <f t="shared" si="29"/>
        <v>11</v>
      </c>
      <c r="V292" s="471" t="s">
        <v>1136</v>
      </c>
      <c r="Y292" s="472">
        <f t="shared" si="30"/>
        <v>0</v>
      </c>
      <c r="Z292" s="540">
        <f t="shared" si="31"/>
        <v>0</v>
      </c>
      <c r="AA292" s="471">
        <v>0</v>
      </c>
    </row>
    <row r="293" spans="1:27">
      <c r="A293" s="451" t="str">
        <f>CONCATENATE(VLOOKUP(B293,★営業所!$A$1:$B$5,2,FALSE),VLOOKUP(D293,★サイズ表記!$D$4:$E$55,2,FALSE),VLOOKUP(F293,★折込地区!$A$1:$B$11,2,FALSE))</f>
        <v>T9001Hks</v>
      </c>
      <c r="B293" s="457" t="s">
        <v>275</v>
      </c>
      <c r="C293" s="452" t="str">
        <f>VLOOKUP(B293,★営業所!$A$1:$B$5,2,FALSE)</f>
        <v>T</v>
      </c>
      <c r="D293" s="465" t="s">
        <v>975</v>
      </c>
      <c r="E293" s="452" t="str">
        <f>VLOOKUP(D293,★サイズ表記!$D$4:$E$55,2,FALSE)</f>
        <v>9001</v>
      </c>
      <c r="F293" s="457" t="s">
        <v>38</v>
      </c>
      <c r="G293" s="452" t="str">
        <f>VLOOKUP(F293,★折込地区!$A$1:$B$11,2,FALSE)</f>
        <v>Hks</v>
      </c>
      <c r="H293" s="453">
        <f>INDEX(★サイズ表記!$I$4:$Q$55, MATCH(E293,★サイズ表記!$E$4:$E$55,0), MATCH(G293,★サイズ表記!$I$3:$R$3,0))</f>
        <v>7</v>
      </c>
      <c r="K293" s="471" t="str">
        <f t="shared" si="24"/>
        <v>T9001Hks</v>
      </c>
      <c r="L293" s="471" t="str">
        <f t="shared" si="25"/>
        <v>うさぎの耳</v>
      </c>
      <c r="P293" s="533" t="s">
        <v>1324</v>
      </c>
      <c r="Q293" s="533" t="s">
        <v>1325</v>
      </c>
      <c r="R293" s="534" t="str">
        <f t="shared" si="26"/>
        <v>9001</v>
      </c>
      <c r="S293" s="534" t="str">
        <f t="shared" si="27"/>
        <v>うさぎの耳</v>
      </c>
      <c r="T293" s="538" t="str">
        <f t="shared" si="28"/>
        <v>90</v>
      </c>
      <c r="U293" s="538" t="str">
        <f t="shared" si="29"/>
        <v>01</v>
      </c>
      <c r="V293" s="471" t="s">
        <v>1136</v>
      </c>
      <c r="Y293" s="472">
        <f t="shared" si="30"/>
        <v>7</v>
      </c>
      <c r="Z293" s="540">
        <f t="shared" si="31"/>
        <v>0.56000000000000005</v>
      </c>
      <c r="AA293" s="471">
        <v>0</v>
      </c>
    </row>
    <row r="294" spans="1:27">
      <c r="A294" s="451" t="str">
        <f>CONCATENATE(VLOOKUP(B294,★営業所!$A$1:$B$5,2,FALSE),VLOOKUP(D294,★サイズ表記!$D$4:$E$55,2,FALSE),VLOOKUP(F294,★折込地区!$A$1:$B$11,2,FALSE))</f>
        <v>T9002Hks</v>
      </c>
      <c r="B294" s="457" t="s">
        <v>275</v>
      </c>
      <c r="C294" s="452" t="str">
        <f>VLOOKUP(B294,★営業所!$A$1:$B$5,2,FALSE)</f>
        <v>T</v>
      </c>
      <c r="D294" s="465" t="s">
        <v>976</v>
      </c>
      <c r="E294" s="452" t="str">
        <f>VLOOKUP(D294,★サイズ表記!$D$4:$E$55,2,FALSE)</f>
        <v>9002</v>
      </c>
      <c r="F294" s="457" t="s">
        <v>38</v>
      </c>
      <c r="G294" s="452" t="str">
        <f>VLOOKUP(F294,★折込地区!$A$1:$B$11,2,FALSE)</f>
        <v>Hks</v>
      </c>
      <c r="H294" s="453">
        <f>INDEX(★サイズ表記!$I$4:$Q$55, MATCH(E294,★サイズ表記!$E$4:$E$55,0), MATCH(G294,★サイズ表記!$I$3:$R$3,0))</f>
        <v>5</v>
      </c>
      <c r="K294" s="471" t="str">
        <f t="shared" si="24"/>
        <v>T9002Hks</v>
      </c>
      <c r="L294" s="471" t="str">
        <f t="shared" si="25"/>
        <v>ユーキャン（題字）</v>
      </c>
      <c r="P294" s="533" t="s">
        <v>1324</v>
      </c>
      <c r="Q294" s="533" t="s">
        <v>1325</v>
      </c>
      <c r="R294" s="534" t="str">
        <f t="shared" si="26"/>
        <v>9002</v>
      </c>
      <c r="S294" s="534" t="str">
        <f t="shared" si="27"/>
        <v>ユーキャン（題字）</v>
      </c>
      <c r="T294" s="538" t="str">
        <f t="shared" si="28"/>
        <v>90</v>
      </c>
      <c r="U294" s="538" t="str">
        <f t="shared" si="29"/>
        <v>02</v>
      </c>
      <c r="V294" s="471" t="s">
        <v>1136</v>
      </c>
      <c r="Y294" s="472">
        <f t="shared" si="30"/>
        <v>5</v>
      </c>
      <c r="Z294" s="540">
        <f t="shared" si="31"/>
        <v>0.4</v>
      </c>
      <c r="AA294" s="471">
        <v>0</v>
      </c>
    </row>
    <row r="295" spans="1:27">
      <c r="A295" s="451" t="str">
        <f>CONCATENATE(VLOOKUP(B295,★営業所!$A$1:$B$5,2,FALSE),VLOOKUP(D295,★サイズ表記!$D$4:$E$55,2,FALSE),VLOOKUP(F295,★折込地区!$A$1:$B$11,2,FALSE))</f>
        <v>T9003Hks</v>
      </c>
      <c r="B295" s="457" t="s">
        <v>275</v>
      </c>
      <c r="C295" s="452" t="str">
        <f>VLOOKUP(B295,★営業所!$A$1:$B$5,2,FALSE)</f>
        <v>T</v>
      </c>
      <c r="D295" s="465" t="s">
        <v>977</v>
      </c>
      <c r="E295" s="452" t="str">
        <f>VLOOKUP(D295,★サイズ表記!$D$4:$E$55,2,FALSE)</f>
        <v>9003</v>
      </c>
      <c r="F295" s="457" t="s">
        <v>38</v>
      </c>
      <c r="G295" s="452" t="str">
        <f>VLOOKUP(F295,★折込地区!$A$1:$B$11,2,FALSE)</f>
        <v>Hks</v>
      </c>
      <c r="H295" s="453">
        <f>INDEX(★サイズ表記!$I$4:$Q$55, MATCH(E295,★サイズ表記!$E$4:$E$55,0), MATCH(G295,★サイズ表記!$I$3:$R$3,0))</f>
        <v>0</v>
      </c>
      <c r="K295" s="471" t="str">
        <f t="shared" si="24"/>
        <v>T9003Hks</v>
      </c>
      <c r="L295" s="471" t="str">
        <f t="shared" si="25"/>
        <v>横長B3</v>
      </c>
      <c r="P295" s="533" t="s">
        <v>1324</v>
      </c>
      <c r="Q295" s="533" t="s">
        <v>1325</v>
      </c>
      <c r="R295" s="534" t="str">
        <f t="shared" si="26"/>
        <v>9003</v>
      </c>
      <c r="S295" s="534" t="str">
        <f t="shared" si="27"/>
        <v>横長B3</v>
      </c>
      <c r="T295" s="538" t="str">
        <f t="shared" si="28"/>
        <v>90</v>
      </c>
      <c r="U295" s="538" t="str">
        <f t="shared" si="29"/>
        <v>03</v>
      </c>
      <c r="V295" s="471" t="s">
        <v>1136</v>
      </c>
      <c r="Y295" s="472">
        <f t="shared" si="30"/>
        <v>0</v>
      </c>
      <c r="Z295" s="540">
        <f t="shared" si="31"/>
        <v>0</v>
      </c>
      <c r="AA295" s="471">
        <v>0</v>
      </c>
    </row>
    <row r="296" spans="1:27">
      <c r="A296" s="451" t="str">
        <f>CONCATENATE(VLOOKUP(B296,★営業所!$A$1:$B$5,2,FALSE),VLOOKUP(D296,★サイズ表記!$D$4:$E$55,2,FALSE),VLOOKUP(F296,★折込地区!$A$1:$B$11,2,FALSE))</f>
        <v>T9004Hks</v>
      </c>
      <c r="B296" s="457" t="s">
        <v>275</v>
      </c>
      <c r="C296" s="452" t="str">
        <f>VLOOKUP(B296,★営業所!$A$1:$B$5,2,FALSE)</f>
        <v>T</v>
      </c>
      <c r="D296" s="465" t="s">
        <v>978</v>
      </c>
      <c r="E296" s="452" t="str">
        <f>VLOOKUP(D296,★サイズ表記!$D$4:$E$55,2,FALSE)</f>
        <v>9004</v>
      </c>
      <c r="F296" s="457" t="s">
        <v>38</v>
      </c>
      <c r="G296" s="452" t="str">
        <f>VLOOKUP(F296,★折込地区!$A$1:$B$11,2,FALSE)</f>
        <v>Hks</v>
      </c>
      <c r="H296" s="453">
        <f>INDEX(★サイズ表記!$I$4:$Q$55, MATCH(E296,★サイズ表記!$E$4:$E$55,0), MATCH(G296,★サイズ表記!$I$3:$R$3,0))</f>
        <v>0</v>
      </c>
      <c r="K296" s="471" t="str">
        <f t="shared" ref="K296:K359" si="32">A296</f>
        <v>T9004Hks</v>
      </c>
      <c r="L296" s="471" t="str">
        <f t="shared" ref="L296:L359" si="33">D296</f>
        <v>AD-BAG</v>
      </c>
      <c r="P296" s="533" t="s">
        <v>1324</v>
      </c>
      <c r="Q296" s="533" t="s">
        <v>1325</v>
      </c>
      <c r="R296" s="534" t="str">
        <f t="shared" si="26"/>
        <v>9004</v>
      </c>
      <c r="S296" s="534" t="str">
        <f t="shared" si="27"/>
        <v>AD-BAG</v>
      </c>
      <c r="T296" s="538" t="str">
        <f t="shared" si="28"/>
        <v>90</v>
      </c>
      <c r="U296" s="538" t="str">
        <f t="shared" si="29"/>
        <v>04</v>
      </c>
      <c r="V296" s="471" t="s">
        <v>1136</v>
      </c>
      <c r="Y296" s="472">
        <f t="shared" si="30"/>
        <v>0</v>
      </c>
      <c r="Z296" s="540">
        <f t="shared" si="31"/>
        <v>0</v>
      </c>
      <c r="AA296" s="471">
        <v>0</v>
      </c>
    </row>
    <row r="297" spans="1:27">
      <c r="A297" s="451" t="str">
        <f>CONCATENATE(VLOOKUP(B297,★営業所!$A$1:$B$5,2,FALSE),VLOOKUP(D297,★サイズ表記!$D$4:$E$55,2,FALSE),VLOOKUP(F297,★折込地区!$A$1:$B$11,2,FALSE))</f>
        <v>T9005Hks</v>
      </c>
      <c r="B297" s="457" t="s">
        <v>275</v>
      </c>
      <c r="C297" s="452" t="str">
        <f>VLOOKUP(B297,★営業所!$A$1:$B$5,2,FALSE)</f>
        <v>T</v>
      </c>
      <c r="D297" s="465" t="s">
        <v>979</v>
      </c>
      <c r="E297" s="452" t="str">
        <f>VLOOKUP(D297,★サイズ表記!$D$4:$E$55,2,FALSE)</f>
        <v>9005</v>
      </c>
      <c r="F297" s="457" t="s">
        <v>38</v>
      </c>
      <c r="G297" s="452" t="str">
        <f>VLOOKUP(F297,★折込地区!$A$1:$B$11,2,FALSE)</f>
        <v>Hks</v>
      </c>
      <c r="H297" s="453">
        <f>INDEX(★サイズ表記!$I$4:$Q$55, MATCH(E297,★サイズ表記!$E$4:$E$55,0), MATCH(G297,★サイズ表記!$I$3:$R$3,0))</f>
        <v>0</v>
      </c>
      <c r="K297" s="471" t="str">
        <f t="shared" si="32"/>
        <v>T9005Hks</v>
      </c>
      <c r="L297" s="471" t="str">
        <f t="shared" si="33"/>
        <v>封筒</v>
      </c>
      <c r="P297" s="533" t="s">
        <v>1324</v>
      </c>
      <c r="Q297" s="533" t="s">
        <v>1325</v>
      </c>
      <c r="R297" s="534" t="str">
        <f t="shared" ref="R297:R360" si="34">E297</f>
        <v>9005</v>
      </c>
      <c r="S297" s="534" t="str">
        <f t="shared" ref="S297:S360" si="35">L297</f>
        <v>封筒</v>
      </c>
      <c r="T297" s="538" t="str">
        <f t="shared" ref="T297:T360" si="36">LEFT($E297,2)</f>
        <v>90</v>
      </c>
      <c r="U297" s="538" t="str">
        <f t="shared" ref="U297:U360" si="37">RIGHT($E297,2)</f>
        <v>05</v>
      </c>
      <c r="V297" s="471" t="s">
        <v>1136</v>
      </c>
      <c r="Y297" s="472">
        <f t="shared" ref="Y297:Y360" si="38">$H297</f>
        <v>0</v>
      </c>
      <c r="Z297" s="540">
        <f t="shared" ref="Z297:Z360" si="39">ROUNDDOWN($H297*8/100,2)</f>
        <v>0</v>
      </c>
      <c r="AA297" s="471">
        <v>0</v>
      </c>
    </row>
    <row r="298" spans="1:27">
      <c r="A298" s="451" t="str">
        <f>CONCATENATE(VLOOKUP(B298,★営業所!$A$1:$B$5,2,FALSE),VLOOKUP(D298,★サイズ表記!$D$4:$E$55,2,FALSE),VLOOKUP(F298,★折込地区!$A$1:$B$11,2,FALSE))</f>
        <v>T9006Hks</v>
      </c>
      <c r="B298" s="457" t="s">
        <v>275</v>
      </c>
      <c r="C298" s="452" t="str">
        <f>VLOOKUP(B298,★営業所!$A$1:$B$5,2,FALSE)</f>
        <v>T</v>
      </c>
      <c r="D298" s="465" t="s">
        <v>980</v>
      </c>
      <c r="E298" s="452" t="str">
        <f>VLOOKUP(D298,★サイズ表記!$D$4:$E$55,2,FALSE)</f>
        <v>9006</v>
      </c>
      <c r="F298" s="457" t="s">
        <v>38</v>
      </c>
      <c r="G298" s="452" t="str">
        <f>VLOOKUP(F298,★折込地区!$A$1:$B$11,2,FALSE)</f>
        <v>Hks</v>
      </c>
      <c r="H298" s="453">
        <f>INDEX(★サイズ表記!$I$4:$Q$55, MATCH(E298,★サイズ表記!$E$4:$E$55,0), MATCH(G298,★サイズ表記!$I$3:$R$3,0))</f>
        <v>0</v>
      </c>
      <c r="K298" s="471" t="str">
        <f t="shared" si="32"/>
        <v>T9006Hks</v>
      </c>
      <c r="L298" s="471" t="str">
        <f t="shared" si="33"/>
        <v>圧着</v>
      </c>
      <c r="P298" s="533" t="s">
        <v>1324</v>
      </c>
      <c r="Q298" s="533" t="s">
        <v>1325</v>
      </c>
      <c r="R298" s="534" t="str">
        <f t="shared" si="34"/>
        <v>9006</v>
      </c>
      <c r="S298" s="534" t="str">
        <f t="shared" si="35"/>
        <v>圧着</v>
      </c>
      <c r="T298" s="538" t="str">
        <f t="shared" si="36"/>
        <v>90</v>
      </c>
      <c r="U298" s="538" t="str">
        <f t="shared" si="37"/>
        <v>06</v>
      </c>
      <c r="V298" s="471" t="s">
        <v>1136</v>
      </c>
      <c r="Y298" s="472">
        <f t="shared" si="38"/>
        <v>0</v>
      </c>
      <c r="Z298" s="540">
        <f t="shared" si="39"/>
        <v>0</v>
      </c>
      <c r="AA298" s="471">
        <v>0</v>
      </c>
    </row>
    <row r="299" spans="1:27">
      <c r="A299" s="451" t="str">
        <f>CONCATENATE(VLOOKUP(B299,★営業所!$A$1:$B$5,2,FALSE),VLOOKUP(D299,★サイズ表記!$D$4:$E$55,2,FALSE),VLOOKUP(F299,★折込地区!$A$1:$B$11,2,FALSE))</f>
        <v>T9007Hks</v>
      </c>
      <c r="B299" s="457" t="s">
        <v>275</v>
      </c>
      <c r="C299" s="452" t="str">
        <f>VLOOKUP(B299,★営業所!$A$1:$B$5,2,FALSE)</f>
        <v>T</v>
      </c>
      <c r="D299" s="465" t="s">
        <v>981</v>
      </c>
      <c r="E299" s="452" t="str">
        <f>VLOOKUP(D299,★サイズ表記!$D$4:$E$55,2,FALSE)</f>
        <v>9007</v>
      </c>
      <c r="F299" s="457" t="s">
        <v>38</v>
      </c>
      <c r="G299" s="452" t="str">
        <f>VLOOKUP(F299,★折込地区!$A$1:$B$11,2,FALSE)</f>
        <v>Hks</v>
      </c>
      <c r="H299" s="453">
        <f>INDEX(★サイズ表記!$I$4:$Q$55, MATCH(E299,★サイズ表記!$E$4:$E$55,0), MATCH(G299,★サイズ表記!$I$3:$R$3,0))</f>
        <v>0</v>
      </c>
      <c r="K299" s="471" t="str">
        <f t="shared" si="32"/>
        <v>T9007Hks</v>
      </c>
      <c r="L299" s="471" t="str">
        <f t="shared" si="33"/>
        <v>圧着厚紙</v>
      </c>
      <c r="P299" s="533" t="s">
        <v>1324</v>
      </c>
      <c r="Q299" s="533" t="s">
        <v>1325</v>
      </c>
      <c r="R299" s="534" t="str">
        <f t="shared" si="34"/>
        <v>9007</v>
      </c>
      <c r="S299" s="534" t="str">
        <f t="shared" si="35"/>
        <v>圧着厚紙</v>
      </c>
      <c r="T299" s="538" t="str">
        <f t="shared" si="36"/>
        <v>90</v>
      </c>
      <c r="U299" s="538" t="str">
        <f t="shared" si="37"/>
        <v>07</v>
      </c>
      <c r="V299" s="471" t="s">
        <v>1136</v>
      </c>
      <c r="Y299" s="472">
        <f t="shared" si="38"/>
        <v>0</v>
      </c>
      <c r="Z299" s="540">
        <f t="shared" si="39"/>
        <v>0</v>
      </c>
      <c r="AA299" s="471">
        <v>0</v>
      </c>
    </row>
    <row r="300" spans="1:27">
      <c r="A300" s="451" t="str">
        <f>CONCATENATE(VLOOKUP(B300,★営業所!$A$1:$B$5,2,FALSE),VLOOKUP(D300,★サイズ表記!$D$4:$E$55,2,FALSE),VLOOKUP(F300,★折込地区!$A$1:$B$11,2,FALSE))</f>
        <v>T1001Oka</v>
      </c>
      <c r="B300" s="457" t="s">
        <v>275</v>
      </c>
      <c r="C300" s="452" t="str">
        <f>VLOOKUP(B300,★営業所!$A$1:$B$5,2,FALSE)</f>
        <v>T</v>
      </c>
      <c r="D300" s="465" t="s">
        <v>948</v>
      </c>
      <c r="E300" s="452" t="str">
        <f>VLOOKUP(D300,★サイズ表記!$D$4:$E$55,2,FALSE)</f>
        <v>1001</v>
      </c>
      <c r="F300" s="457" t="s">
        <v>42</v>
      </c>
      <c r="G300" s="452" t="str">
        <f>VLOOKUP(F300,★折込地区!$A$1:$B$11,2,FALSE)</f>
        <v>Oka</v>
      </c>
      <c r="H300" s="453">
        <f>INDEX(★サイズ表記!$I$4:$Q$55, MATCH(E300,★サイズ表記!$E$4:$E$55,0), MATCH(G300,★サイズ表記!$I$3:$R$3,0))</f>
        <v>3</v>
      </c>
      <c r="K300" s="471" t="str">
        <f t="shared" si="32"/>
        <v>T1001Oka</v>
      </c>
      <c r="L300" s="471" t="str">
        <f t="shared" si="33"/>
        <v>B4（折り無し）</v>
      </c>
      <c r="P300" s="533" t="s">
        <v>1324</v>
      </c>
      <c r="Q300" s="533" t="s">
        <v>1325</v>
      </c>
      <c r="R300" s="534" t="str">
        <f t="shared" si="34"/>
        <v>1001</v>
      </c>
      <c r="S300" s="534" t="str">
        <f t="shared" si="35"/>
        <v>B4（折り無し）</v>
      </c>
      <c r="T300" s="538" t="str">
        <f t="shared" si="36"/>
        <v>10</v>
      </c>
      <c r="U300" s="538" t="str">
        <f t="shared" si="37"/>
        <v>01</v>
      </c>
      <c r="V300" s="471" t="s">
        <v>1136</v>
      </c>
      <c r="Y300" s="472">
        <f t="shared" si="38"/>
        <v>3</v>
      </c>
      <c r="Z300" s="540">
        <f t="shared" si="39"/>
        <v>0.24</v>
      </c>
      <c r="AA300" s="471">
        <v>0</v>
      </c>
    </row>
    <row r="301" spans="1:27">
      <c r="A301" s="451" t="str">
        <f>CONCATENATE(VLOOKUP(B301,★営業所!$A$1:$B$5,2,FALSE),VLOOKUP(D301,★サイズ表記!$D$4:$E$55,2,FALSE),VLOOKUP(F301,★折込地区!$A$1:$B$11,2,FALSE))</f>
        <v>T1002Oka</v>
      </c>
      <c r="B301" s="457" t="s">
        <v>275</v>
      </c>
      <c r="C301" s="452" t="str">
        <f>VLOOKUP(B301,★営業所!$A$1:$B$5,2,FALSE)</f>
        <v>T</v>
      </c>
      <c r="D301" s="465" t="s">
        <v>950</v>
      </c>
      <c r="E301" s="452" t="str">
        <f>VLOOKUP(D301,★サイズ表記!$D$4:$E$55,2,FALSE)</f>
        <v>1002</v>
      </c>
      <c r="F301" s="457" t="s">
        <v>42</v>
      </c>
      <c r="G301" s="452" t="str">
        <f>VLOOKUP(F301,★折込地区!$A$1:$B$11,2,FALSE)</f>
        <v>Oka</v>
      </c>
      <c r="H301" s="453">
        <f>INDEX(★サイズ表記!$I$4:$Q$55, MATCH(E301,★サイズ表記!$E$4:$E$55,0), MATCH(G301,★サイズ表記!$I$3:$R$3,0))</f>
        <v>4.5</v>
      </c>
      <c r="K301" s="471" t="str">
        <f t="shared" si="32"/>
        <v>T1002Oka</v>
      </c>
      <c r="L301" s="471" t="str">
        <f t="shared" si="33"/>
        <v>B3（2つ折り）</v>
      </c>
      <c r="P301" s="533" t="s">
        <v>1324</v>
      </c>
      <c r="Q301" s="533" t="s">
        <v>1325</v>
      </c>
      <c r="R301" s="534" t="str">
        <f t="shared" si="34"/>
        <v>1002</v>
      </c>
      <c r="S301" s="534" t="str">
        <f t="shared" si="35"/>
        <v>B3（2つ折り）</v>
      </c>
      <c r="T301" s="538" t="str">
        <f t="shared" si="36"/>
        <v>10</v>
      </c>
      <c r="U301" s="538" t="str">
        <f t="shared" si="37"/>
        <v>02</v>
      </c>
      <c r="V301" s="471" t="s">
        <v>1136</v>
      </c>
      <c r="Y301" s="472">
        <f t="shared" si="38"/>
        <v>4.5</v>
      </c>
      <c r="Z301" s="540">
        <f t="shared" si="39"/>
        <v>0.36</v>
      </c>
      <c r="AA301" s="471">
        <v>0</v>
      </c>
    </row>
    <row r="302" spans="1:27">
      <c r="A302" s="451" t="str">
        <f>CONCATENATE(VLOOKUP(B302,★営業所!$A$1:$B$5,2,FALSE),VLOOKUP(D302,★サイズ表記!$D$4:$E$55,2,FALSE),VLOOKUP(F302,★折込地区!$A$1:$B$11,2,FALSE))</f>
        <v>T1003Oka</v>
      </c>
      <c r="B302" s="457" t="s">
        <v>275</v>
      </c>
      <c r="C302" s="452" t="str">
        <f>VLOOKUP(B302,★営業所!$A$1:$B$5,2,FALSE)</f>
        <v>T</v>
      </c>
      <c r="D302" s="465" t="s">
        <v>951</v>
      </c>
      <c r="E302" s="452" t="str">
        <f>VLOOKUP(D302,★サイズ表記!$D$4:$E$55,2,FALSE)</f>
        <v>1003</v>
      </c>
      <c r="F302" s="457" t="s">
        <v>42</v>
      </c>
      <c r="G302" s="452" t="str">
        <f>VLOOKUP(F302,★折込地区!$A$1:$B$11,2,FALSE)</f>
        <v>Oka</v>
      </c>
      <c r="H302" s="453">
        <f>INDEX(★サイズ表記!$I$4:$Q$55, MATCH(E302,★サイズ表記!$E$4:$E$55,0), MATCH(G302,★サイズ表記!$I$3:$R$3,0))</f>
        <v>0</v>
      </c>
      <c r="K302" s="471" t="str">
        <f t="shared" si="32"/>
        <v>T1003Oka</v>
      </c>
      <c r="L302" s="471" t="str">
        <f t="shared" si="33"/>
        <v>3つ折り</v>
      </c>
      <c r="P302" s="533" t="s">
        <v>1324</v>
      </c>
      <c r="Q302" s="533" t="s">
        <v>1325</v>
      </c>
      <c r="R302" s="534" t="str">
        <f t="shared" si="34"/>
        <v>1003</v>
      </c>
      <c r="S302" s="534" t="str">
        <f t="shared" si="35"/>
        <v>3つ折り</v>
      </c>
      <c r="T302" s="538" t="str">
        <f t="shared" si="36"/>
        <v>10</v>
      </c>
      <c r="U302" s="538" t="str">
        <f t="shared" si="37"/>
        <v>03</v>
      </c>
      <c r="V302" s="471" t="s">
        <v>1136</v>
      </c>
      <c r="Y302" s="472">
        <f t="shared" si="38"/>
        <v>0</v>
      </c>
      <c r="Z302" s="540">
        <f t="shared" si="39"/>
        <v>0</v>
      </c>
      <c r="AA302" s="471">
        <v>0</v>
      </c>
    </row>
    <row r="303" spans="1:27">
      <c r="A303" s="451" t="str">
        <f>CONCATENATE(VLOOKUP(B303,★営業所!$A$1:$B$5,2,FALSE),VLOOKUP(D303,★サイズ表記!$D$4:$E$55,2,FALSE),VLOOKUP(F303,★折込地区!$A$1:$B$11,2,FALSE))</f>
        <v>T1004Oka</v>
      </c>
      <c r="B303" s="457" t="s">
        <v>275</v>
      </c>
      <c r="C303" s="452" t="str">
        <f>VLOOKUP(B303,★営業所!$A$1:$B$5,2,FALSE)</f>
        <v>T</v>
      </c>
      <c r="D303" s="465" t="s">
        <v>947</v>
      </c>
      <c r="E303" s="452" t="str">
        <f>VLOOKUP(D303,★サイズ表記!$D$4:$E$55,2,FALSE)</f>
        <v>1004</v>
      </c>
      <c r="F303" s="457" t="s">
        <v>42</v>
      </c>
      <c r="G303" s="452" t="str">
        <f>VLOOKUP(F303,★折込地区!$A$1:$B$11,2,FALSE)</f>
        <v>Oka</v>
      </c>
      <c r="H303" s="453">
        <f>INDEX(★サイズ表記!$I$4:$Q$55, MATCH(E303,★サイズ表記!$E$4:$E$55,0), MATCH(G303,★サイズ表記!$I$3:$R$3,0))</f>
        <v>0</v>
      </c>
      <c r="K303" s="471" t="str">
        <f t="shared" si="32"/>
        <v>T1004Oka</v>
      </c>
      <c r="L303" s="471" t="str">
        <f t="shared" si="33"/>
        <v>観音折</v>
      </c>
      <c r="P303" s="533" t="s">
        <v>1324</v>
      </c>
      <c r="Q303" s="533" t="s">
        <v>1325</v>
      </c>
      <c r="R303" s="534" t="str">
        <f t="shared" si="34"/>
        <v>1004</v>
      </c>
      <c r="S303" s="534" t="str">
        <f t="shared" si="35"/>
        <v>観音折</v>
      </c>
      <c r="T303" s="538" t="str">
        <f t="shared" si="36"/>
        <v>10</v>
      </c>
      <c r="U303" s="538" t="str">
        <f t="shared" si="37"/>
        <v>04</v>
      </c>
      <c r="V303" s="471" t="s">
        <v>1136</v>
      </c>
      <c r="Y303" s="472">
        <f t="shared" si="38"/>
        <v>0</v>
      </c>
      <c r="Z303" s="540">
        <f t="shared" si="39"/>
        <v>0</v>
      </c>
      <c r="AA303" s="471">
        <v>0</v>
      </c>
    </row>
    <row r="304" spans="1:27">
      <c r="A304" s="451" t="str">
        <f>CONCATENATE(VLOOKUP(B304,★営業所!$A$1:$B$5,2,FALSE),VLOOKUP(D304,★サイズ表記!$D$4:$E$55,2,FALSE),VLOOKUP(F304,★折込地区!$A$1:$B$11,2,FALSE))</f>
        <v>T1005Oka</v>
      </c>
      <c r="B304" s="457" t="s">
        <v>275</v>
      </c>
      <c r="C304" s="452" t="str">
        <f>VLOOKUP(B304,★営業所!$A$1:$B$5,2,FALSE)</f>
        <v>T</v>
      </c>
      <c r="D304" s="465" t="s">
        <v>952</v>
      </c>
      <c r="E304" s="452" t="str">
        <f>VLOOKUP(D304,★サイズ表記!$D$4:$E$55,2,FALSE)</f>
        <v>1005</v>
      </c>
      <c r="F304" s="457" t="s">
        <v>42</v>
      </c>
      <c r="G304" s="452" t="str">
        <f>VLOOKUP(F304,★折込地区!$A$1:$B$11,2,FALSE)</f>
        <v>Oka</v>
      </c>
      <c r="H304" s="453">
        <f>INDEX(★サイズ表記!$I$4:$Q$55, MATCH(E304,★サイズ表記!$E$4:$E$55,0), MATCH(G304,★サイズ表記!$I$3:$R$3,0))</f>
        <v>7.7</v>
      </c>
      <c r="K304" s="471" t="str">
        <f t="shared" si="32"/>
        <v>T1005Oka</v>
      </c>
      <c r="L304" s="471" t="str">
        <f t="shared" si="33"/>
        <v>B2（4つ折り）</v>
      </c>
      <c r="P304" s="533" t="s">
        <v>1324</v>
      </c>
      <c r="Q304" s="533" t="s">
        <v>1325</v>
      </c>
      <c r="R304" s="534" t="str">
        <f t="shared" si="34"/>
        <v>1005</v>
      </c>
      <c r="S304" s="534" t="str">
        <f t="shared" si="35"/>
        <v>B2（4つ折り）</v>
      </c>
      <c r="T304" s="538" t="str">
        <f t="shared" si="36"/>
        <v>10</v>
      </c>
      <c r="U304" s="538" t="str">
        <f t="shared" si="37"/>
        <v>05</v>
      </c>
      <c r="V304" s="471" t="s">
        <v>1136</v>
      </c>
      <c r="Y304" s="472">
        <f t="shared" si="38"/>
        <v>7.7</v>
      </c>
      <c r="Z304" s="540">
        <f t="shared" si="39"/>
        <v>0.61</v>
      </c>
      <c r="AA304" s="471">
        <v>0</v>
      </c>
    </row>
    <row r="305" spans="1:27">
      <c r="A305" s="451" t="str">
        <f>CONCATENATE(VLOOKUP(B305,★営業所!$A$1:$B$5,2,FALSE),VLOOKUP(D305,★サイズ表記!$D$4:$E$55,2,FALSE),VLOOKUP(F305,★折込地区!$A$1:$B$11,2,FALSE))</f>
        <v>T1006Oka</v>
      </c>
      <c r="B305" s="457" t="s">
        <v>275</v>
      </c>
      <c r="C305" s="452" t="str">
        <f>VLOOKUP(B305,★営業所!$A$1:$B$5,2,FALSE)</f>
        <v>T</v>
      </c>
      <c r="D305" s="465" t="s">
        <v>955</v>
      </c>
      <c r="E305" s="452" t="str">
        <f>VLOOKUP(D305,★サイズ表記!$D$4:$E$55,2,FALSE)</f>
        <v>1006</v>
      </c>
      <c r="F305" s="457" t="s">
        <v>42</v>
      </c>
      <c r="G305" s="452" t="str">
        <f>VLOOKUP(F305,★折込地区!$A$1:$B$11,2,FALSE)</f>
        <v>Oka</v>
      </c>
      <c r="H305" s="453">
        <f>INDEX(★サイズ表記!$I$4:$Q$55, MATCH(E305,★サイズ表記!$E$4:$E$55,0), MATCH(G305,★サイズ表記!$I$3:$R$3,0))</f>
        <v>13.6</v>
      </c>
      <c r="K305" s="471" t="str">
        <f t="shared" si="32"/>
        <v>T1006Oka</v>
      </c>
      <c r="L305" s="471" t="str">
        <f t="shared" si="33"/>
        <v>B1（8折り）</v>
      </c>
      <c r="P305" s="533" t="s">
        <v>1324</v>
      </c>
      <c r="Q305" s="533" t="s">
        <v>1325</v>
      </c>
      <c r="R305" s="534" t="str">
        <f t="shared" si="34"/>
        <v>1006</v>
      </c>
      <c r="S305" s="534" t="str">
        <f t="shared" si="35"/>
        <v>B1（8折り）</v>
      </c>
      <c r="T305" s="538" t="str">
        <f t="shared" si="36"/>
        <v>10</v>
      </c>
      <c r="U305" s="538" t="str">
        <f t="shared" si="37"/>
        <v>06</v>
      </c>
      <c r="V305" s="471" t="s">
        <v>1136</v>
      </c>
      <c r="Y305" s="472">
        <f t="shared" si="38"/>
        <v>13.6</v>
      </c>
      <c r="Z305" s="540">
        <f t="shared" si="39"/>
        <v>1.08</v>
      </c>
      <c r="AA305" s="471">
        <v>0</v>
      </c>
    </row>
    <row r="306" spans="1:27">
      <c r="A306" s="451" t="str">
        <f>CONCATENATE(VLOOKUP(B306,★営業所!$A$1:$B$5,2,FALSE),VLOOKUP(D306,★サイズ表記!$D$4:$E$55,2,FALSE),VLOOKUP(F306,★折込地区!$A$1:$B$11,2,FALSE))</f>
        <v>T1007Oka</v>
      </c>
      <c r="B306" s="457" t="s">
        <v>275</v>
      </c>
      <c r="C306" s="452" t="str">
        <f>VLOOKUP(B306,★営業所!$A$1:$B$5,2,FALSE)</f>
        <v>T</v>
      </c>
      <c r="D306" s="465" t="s">
        <v>956</v>
      </c>
      <c r="E306" s="452" t="str">
        <f>VLOOKUP(D306,★サイズ表記!$D$4:$E$55,2,FALSE)</f>
        <v>1007</v>
      </c>
      <c r="F306" s="457" t="s">
        <v>42</v>
      </c>
      <c r="G306" s="452" t="str">
        <f>VLOOKUP(F306,★折込地区!$A$1:$B$11,2,FALSE)</f>
        <v>Oka</v>
      </c>
      <c r="H306" s="453">
        <f>INDEX(★サイズ表記!$I$4:$Q$55, MATCH(E306,★サイズ表記!$E$4:$E$55,0), MATCH(G306,★サイズ表記!$I$3:$R$3,0))</f>
        <v>0</v>
      </c>
      <c r="K306" s="471" t="str">
        <f t="shared" si="32"/>
        <v>T1007Oka</v>
      </c>
      <c r="L306" s="471" t="str">
        <f t="shared" si="33"/>
        <v>B4厚紙</v>
      </c>
      <c r="P306" s="533" t="s">
        <v>1324</v>
      </c>
      <c r="Q306" s="533" t="s">
        <v>1325</v>
      </c>
      <c r="R306" s="534" t="str">
        <f t="shared" si="34"/>
        <v>1007</v>
      </c>
      <c r="S306" s="534" t="str">
        <f t="shared" si="35"/>
        <v>B4厚紙</v>
      </c>
      <c r="T306" s="538" t="str">
        <f t="shared" si="36"/>
        <v>10</v>
      </c>
      <c r="U306" s="538" t="str">
        <f t="shared" si="37"/>
        <v>07</v>
      </c>
      <c r="V306" s="471" t="s">
        <v>1136</v>
      </c>
      <c r="Y306" s="472">
        <f t="shared" si="38"/>
        <v>0</v>
      </c>
      <c r="Z306" s="540">
        <f t="shared" si="39"/>
        <v>0</v>
      </c>
      <c r="AA306" s="471">
        <v>0</v>
      </c>
    </row>
    <row r="307" spans="1:27">
      <c r="A307" s="451" t="str">
        <f>CONCATENATE(VLOOKUP(B307,★営業所!$A$1:$B$5,2,FALSE),VLOOKUP(D307,★サイズ表記!$D$4:$E$55,2,FALSE),VLOOKUP(F307,★折込地区!$A$1:$B$11,2,FALSE))</f>
        <v>T1008Oka</v>
      </c>
      <c r="B307" s="457" t="s">
        <v>275</v>
      </c>
      <c r="C307" s="452" t="str">
        <f>VLOOKUP(B307,★営業所!$A$1:$B$5,2,FALSE)</f>
        <v>T</v>
      </c>
      <c r="D307" s="465" t="s">
        <v>957</v>
      </c>
      <c r="E307" s="452" t="str">
        <f>VLOOKUP(D307,★サイズ表記!$D$4:$E$55,2,FALSE)</f>
        <v>1008</v>
      </c>
      <c r="F307" s="457" t="s">
        <v>42</v>
      </c>
      <c r="G307" s="452" t="str">
        <f>VLOOKUP(F307,★折込地区!$A$1:$B$11,2,FALSE)</f>
        <v>Oka</v>
      </c>
      <c r="H307" s="453">
        <f>INDEX(★サイズ表記!$I$4:$Q$55, MATCH(E307,★サイズ表記!$E$4:$E$55,0), MATCH(G307,★サイズ表記!$I$3:$R$3,0))</f>
        <v>0</v>
      </c>
      <c r="K307" s="471" t="str">
        <f t="shared" si="32"/>
        <v>T1008Oka</v>
      </c>
      <c r="L307" s="471" t="str">
        <f t="shared" si="33"/>
        <v>B3厚紙</v>
      </c>
      <c r="P307" s="533" t="s">
        <v>1324</v>
      </c>
      <c r="Q307" s="533" t="s">
        <v>1325</v>
      </c>
      <c r="R307" s="534" t="str">
        <f t="shared" si="34"/>
        <v>1008</v>
      </c>
      <c r="S307" s="534" t="str">
        <f t="shared" si="35"/>
        <v>B3厚紙</v>
      </c>
      <c r="T307" s="538" t="str">
        <f t="shared" si="36"/>
        <v>10</v>
      </c>
      <c r="U307" s="538" t="str">
        <f t="shared" si="37"/>
        <v>08</v>
      </c>
      <c r="V307" s="471" t="s">
        <v>1136</v>
      </c>
      <c r="Y307" s="472">
        <f t="shared" si="38"/>
        <v>0</v>
      </c>
      <c r="Z307" s="540">
        <f t="shared" si="39"/>
        <v>0</v>
      </c>
      <c r="AA307" s="471">
        <v>0</v>
      </c>
    </row>
    <row r="308" spans="1:27">
      <c r="A308" s="451" t="str">
        <f>CONCATENATE(VLOOKUP(B308,★営業所!$A$1:$B$5,2,FALSE),VLOOKUP(D308,★サイズ表記!$D$4:$E$55,2,FALSE),VLOOKUP(F308,★折込地区!$A$1:$B$11,2,FALSE))</f>
        <v>T1009Oka</v>
      </c>
      <c r="B308" s="457" t="s">
        <v>275</v>
      </c>
      <c r="C308" s="452" t="str">
        <f>VLOOKUP(B308,★営業所!$A$1:$B$5,2,FALSE)</f>
        <v>T</v>
      </c>
      <c r="D308" s="465" t="s">
        <v>958</v>
      </c>
      <c r="E308" s="452" t="str">
        <f>VLOOKUP(D308,★サイズ表記!$D$4:$E$55,2,FALSE)</f>
        <v>1009</v>
      </c>
      <c r="F308" s="457" t="s">
        <v>42</v>
      </c>
      <c r="G308" s="452" t="str">
        <f>VLOOKUP(F308,★折込地区!$A$1:$B$11,2,FALSE)</f>
        <v>Oka</v>
      </c>
      <c r="H308" s="453">
        <f>INDEX(★サイズ表記!$I$4:$Q$55, MATCH(E308,★サイズ表記!$E$4:$E$55,0), MATCH(G308,★サイズ表記!$I$3:$R$3,0))</f>
        <v>0</v>
      </c>
      <c r="K308" s="471" t="str">
        <f t="shared" si="32"/>
        <v>T1009Oka</v>
      </c>
      <c r="L308" s="471" t="str">
        <f t="shared" si="33"/>
        <v>B2厚紙</v>
      </c>
      <c r="P308" s="533" t="s">
        <v>1324</v>
      </c>
      <c r="Q308" s="533" t="s">
        <v>1325</v>
      </c>
      <c r="R308" s="534" t="str">
        <f t="shared" si="34"/>
        <v>1009</v>
      </c>
      <c r="S308" s="534" t="str">
        <f t="shared" si="35"/>
        <v>B2厚紙</v>
      </c>
      <c r="T308" s="538" t="str">
        <f t="shared" si="36"/>
        <v>10</v>
      </c>
      <c r="U308" s="538" t="str">
        <f t="shared" si="37"/>
        <v>09</v>
      </c>
      <c r="V308" s="471" t="s">
        <v>1136</v>
      </c>
      <c r="Y308" s="472">
        <f t="shared" si="38"/>
        <v>0</v>
      </c>
      <c r="Z308" s="540">
        <f t="shared" si="39"/>
        <v>0</v>
      </c>
      <c r="AA308" s="471">
        <v>0</v>
      </c>
    </row>
    <row r="309" spans="1:27">
      <c r="A309" s="451" t="str">
        <f>CONCATENATE(VLOOKUP(B309,★営業所!$A$1:$B$5,2,FALSE),VLOOKUP(D309,★サイズ表記!$D$4:$E$55,2,FALSE),VLOOKUP(F309,★折込地区!$A$1:$B$11,2,FALSE))</f>
        <v>T1010Oka</v>
      </c>
      <c r="B309" s="457" t="s">
        <v>275</v>
      </c>
      <c r="C309" s="452" t="str">
        <f>VLOOKUP(B309,★営業所!$A$1:$B$5,2,FALSE)</f>
        <v>T</v>
      </c>
      <c r="D309" s="465" t="s">
        <v>959</v>
      </c>
      <c r="E309" s="452" t="str">
        <f>VLOOKUP(D309,★サイズ表記!$D$4:$E$55,2,FALSE)</f>
        <v>1010</v>
      </c>
      <c r="F309" s="457" t="s">
        <v>42</v>
      </c>
      <c r="G309" s="452" t="str">
        <f>VLOOKUP(F309,★折込地区!$A$1:$B$11,2,FALSE)</f>
        <v>Oka</v>
      </c>
      <c r="H309" s="453">
        <f>INDEX(★サイズ表記!$I$4:$Q$55, MATCH(E309,★サイズ表記!$E$4:$E$55,0), MATCH(G309,★サイズ表記!$I$3:$R$3,0))</f>
        <v>0</v>
      </c>
      <c r="K309" s="471" t="str">
        <f t="shared" si="32"/>
        <v>T1010Oka</v>
      </c>
      <c r="L309" s="471" t="str">
        <f t="shared" si="33"/>
        <v>B4以下変形</v>
      </c>
      <c r="P309" s="533" t="s">
        <v>1324</v>
      </c>
      <c r="Q309" s="533" t="s">
        <v>1325</v>
      </c>
      <c r="R309" s="534" t="str">
        <f t="shared" si="34"/>
        <v>1010</v>
      </c>
      <c r="S309" s="534" t="str">
        <f t="shared" si="35"/>
        <v>B4以下変形</v>
      </c>
      <c r="T309" s="538" t="str">
        <f t="shared" si="36"/>
        <v>10</v>
      </c>
      <c r="U309" s="538" t="str">
        <f t="shared" si="37"/>
        <v>10</v>
      </c>
      <c r="V309" s="471" t="s">
        <v>1136</v>
      </c>
      <c r="Y309" s="472">
        <f t="shared" si="38"/>
        <v>0</v>
      </c>
      <c r="Z309" s="540">
        <f t="shared" si="39"/>
        <v>0</v>
      </c>
      <c r="AA309" s="471">
        <v>0</v>
      </c>
    </row>
    <row r="310" spans="1:27">
      <c r="A310" s="451" t="str">
        <f>CONCATENATE(VLOOKUP(B310,★営業所!$A$1:$B$5,2,FALSE),VLOOKUP(D310,★サイズ表記!$D$4:$E$55,2,FALSE),VLOOKUP(F310,★折込地区!$A$1:$B$11,2,FALSE))</f>
        <v>T1011Oka</v>
      </c>
      <c r="B310" s="457" t="s">
        <v>275</v>
      </c>
      <c r="C310" s="452" t="str">
        <f>VLOOKUP(B310,★営業所!$A$1:$B$5,2,FALSE)</f>
        <v>T</v>
      </c>
      <c r="D310" s="465" t="s">
        <v>960</v>
      </c>
      <c r="E310" s="452" t="str">
        <f>VLOOKUP(D310,★サイズ表記!$D$4:$E$55,2,FALSE)</f>
        <v>1011</v>
      </c>
      <c r="F310" s="457" t="s">
        <v>42</v>
      </c>
      <c r="G310" s="452" t="str">
        <f>VLOOKUP(F310,★折込地区!$A$1:$B$11,2,FALSE)</f>
        <v>Oka</v>
      </c>
      <c r="H310" s="453">
        <f>INDEX(★サイズ表記!$I$4:$Q$55, MATCH(E310,★サイズ表記!$E$4:$E$55,0), MATCH(G310,★サイズ表記!$I$3:$R$3,0))</f>
        <v>0</v>
      </c>
      <c r="K310" s="471" t="str">
        <f t="shared" si="32"/>
        <v>T1011Oka</v>
      </c>
      <c r="L310" s="471" t="str">
        <f t="shared" si="33"/>
        <v>B4シール付き</v>
      </c>
      <c r="P310" s="533" t="s">
        <v>1324</v>
      </c>
      <c r="Q310" s="533" t="s">
        <v>1325</v>
      </c>
      <c r="R310" s="534" t="str">
        <f t="shared" si="34"/>
        <v>1011</v>
      </c>
      <c r="S310" s="534" t="str">
        <f t="shared" si="35"/>
        <v>B4シール付き</v>
      </c>
      <c r="T310" s="538" t="str">
        <f t="shared" si="36"/>
        <v>10</v>
      </c>
      <c r="U310" s="538" t="str">
        <f t="shared" si="37"/>
        <v>11</v>
      </c>
      <c r="V310" s="471" t="s">
        <v>1136</v>
      </c>
      <c r="Y310" s="472">
        <f t="shared" si="38"/>
        <v>0</v>
      </c>
      <c r="Z310" s="540">
        <f t="shared" si="39"/>
        <v>0</v>
      </c>
      <c r="AA310" s="471">
        <v>0</v>
      </c>
    </row>
    <row r="311" spans="1:27">
      <c r="A311" s="451" t="str">
        <f>CONCATENATE(VLOOKUP(B311,★営業所!$A$1:$B$5,2,FALSE),VLOOKUP(D311,★サイズ表記!$D$4:$E$55,2,FALSE),VLOOKUP(F311,★折込地区!$A$1:$B$11,2,FALSE))</f>
        <v>T1012Oka</v>
      </c>
      <c r="B311" s="457" t="s">
        <v>275</v>
      </c>
      <c r="C311" s="452" t="str">
        <f>VLOOKUP(B311,★営業所!$A$1:$B$5,2,FALSE)</f>
        <v>T</v>
      </c>
      <c r="D311" s="465" t="s">
        <v>961</v>
      </c>
      <c r="E311" s="452" t="str">
        <f>VLOOKUP(D311,★サイズ表記!$D$4:$E$55,2,FALSE)</f>
        <v>1012</v>
      </c>
      <c r="F311" s="457" t="s">
        <v>42</v>
      </c>
      <c r="G311" s="452" t="str">
        <f>VLOOKUP(F311,★折込地区!$A$1:$B$11,2,FALSE)</f>
        <v>Oka</v>
      </c>
      <c r="H311" s="453">
        <f>INDEX(★サイズ表記!$I$4:$Q$55, MATCH(E311,★サイズ表記!$E$4:$E$55,0), MATCH(G311,★サイズ表記!$I$3:$R$3,0))</f>
        <v>0</v>
      </c>
      <c r="K311" s="471" t="str">
        <f t="shared" si="32"/>
        <v>T1012Oka</v>
      </c>
      <c r="L311" s="471" t="str">
        <f t="shared" si="33"/>
        <v>B3シール付き</v>
      </c>
      <c r="P311" s="533" t="s">
        <v>1324</v>
      </c>
      <c r="Q311" s="533" t="s">
        <v>1325</v>
      </c>
      <c r="R311" s="534" t="str">
        <f t="shared" si="34"/>
        <v>1012</v>
      </c>
      <c r="S311" s="534" t="str">
        <f t="shared" si="35"/>
        <v>B3シール付き</v>
      </c>
      <c r="T311" s="538" t="str">
        <f t="shared" si="36"/>
        <v>10</v>
      </c>
      <c r="U311" s="538" t="str">
        <f t="shared" si="37"/>
        <v>12</v>
      </c>
      <c r="V311" s="471" t="s">
        <v>1136</v>
      </c>
      <c r="Y311" s="472">
        <f t="shared" si="38"/>
        <v>0</v>
      </c>
      <c r="Z311" s="540">
        <f t="shared" si="39"/>
        <v>0</v>
      </c>
      <c r="AA311" s="471">
        <v>0</v>
      </c>
    </row>
    <row r="312" spans="1:27">
      <c r="A312" s="451" t="str">
        <f>CONCATENATE(VLOOKUP(B312,★営業所!$A$1:$B$5,2,FALSE),VLOOKUP(D312,★サイズ表記!$D$4:$E$55,2,FALSE),VLOOKUP(F312,★折込地区!$A$1:$B$11,2,FALSE))</f>
        <v>T1013Oka</v>
      </c>
      <c r="B312" s="457" t="s">
        <v>275</v>
      </c>
      <c r="C312" s="452" t="str">
        <f>VLOOKUP(B312,★営業所!$A$1:$B$5,2,FALSE)</f>
        <v>T</v>
      </c>
      <c r="D312" s="465" t="s">
        <v>962</v>
      </c>
      <c r="E312" s="452" t="str">
        <f>VLOOKUP(D312,★サイズ表記!$D$4:$E$55,2,FALSE)</f>
        <v>1013</v>
      </c>
      <c r="F312" s="457" t="s">
        <v>42</v>
      </c>
      <c r="G312" s="452" t="str">
        <f>VLOOKUP(F312,★折込地区!$A$1:$B$11,2,FALSE)</f>
        <v>Oka</v>
      </c>
      <c r="H312" s="453">
        <f>INDEX(★サイズ表記!$I$4:$Q$55, MATCH(E312,★サイズ表記!$E$4:$E$55,0), MATCH(G312,★サイズ表記!$I$3:$R$3,0))</f>
        <v>0</v>
      </c>
      <c r="K312" s="471" t="str">
        <f t="shared" si="32"/>
        <v>T1013Oka</v>
      </c>
      <c r="L312" s="471" t="str">
        <f t="shared" si="33"/>
        <v>B4スクラッチ付き</v>
      </c>
      <c r="P312" s="533" t="s">
        <v>1324</v>
      </c>
      <c r="Q312" s="533" t="s">
        <v>1325</v>
      </c>
      <c r="R312" s="534" t="str">
        <f t="shared" si="34"/>
        <v>1013</v>
      </c>
      <c r="S312" s="534" t="str">
        <f t="shared" si="35"/>
        <v>B4スクラッチ付き</v>
      </c>
      <c r="T312" s="538" t="str">
        <f t="shared" si="36"/>
        <v>10</v>
      </c>
      <c r="U312" s="538" t="str">
        <f t="shared" si="37"/>
        <v>13</v>
      </c>
      <c r="V312" s="471" t="s">
        <v>1136</v>
      </c>
      <c r="Y312" s="472">
        <f t="shared" si="38"/>
        <v>0</v>
      </c>
      <c r="Z312" s="540">
        <f t="shared" si="39"/>
        <v>0</v>
      </c>
      <c r="AA312" s="471">
        <v>0</v>
      </c>
    </row>
    <row r="313" spans="1:27">
      <c r="A313" s="451" t="str">
        <f>CONCATENATE(VLOOKUP(B313,★営業所!$A$1:$B$5,2,FALSE),VLOOKUP(D313,★サイズ表記!$D$4:$E$55,2,FALSE),VLOOKUP(F313,★折込地区!$A$1:$B$11,2,FALSE))</f>
        <v>T2001Oka</v>
      </c>
      <c r="B313" s="457" t="s">
        <v>275</v>
      </c>
      <c r="C313" s="452" t="str">
        <f>VLOOKUP(B313,★営業所!$A$1:$B$5,2,FALSE)</f>
        <v>T</v>
      </c>
      <c r="D313" s="465" t="s">
        <v>963</v>
      </c>
      <c r="E313" s="452" t="str">
        <f>VLOOKUP(D313,★サイズ表記!$D$4:$E$55,2,FALSE)</f>
        <v>2001</v>
      </c>
      <c r="F313" s="457" t="s">
        <v>42</v>
      </c>
      <c r="G313" s="452" t="str">
        <f>VLOOKUP(F313,★折込地区!$A$1:$B$11,2,FALSE)</f>
        <v>Oka</v>
      </c>
      <c r="H313" s="453">
        <f>INDEX(★サイズ表記!$I$4:$Q$55, MATCH(E313,★サイズ表記!$E$4:$E$55,0), MATCH(G313,★サイズ表記!$I$3:$R$3,0))</f>
        <v>0</v>
      </c>
      <c r="K313" s="471" t="str">
        <f t="shared" si="32"/>
        <v>T2001Oka</v>
      </c>
      <c r="L313" s="471" t="str">
        <f t="shared" si="33"/>
        <v>連合B4</v>
      </c>
      <c r="P313" s="533" t="s">
        <v>1324</v>
      </c>
      <c r="Q313" s="533" t="s">
        <v>1325</v>
      </c>
      <c r="R313" s="534" t="str">
        <f t="shared" si="34"/>
        <v>2001</v>
      </c>
      <c r="S313" s="534" t="str">
        <f t="shared" si="35"/>
        <v>連合B4</v>
      </c>
      <c r="T313" s="538" t="str">
        <f t="shared" si="36"/>
        <v>20</v>
      </c>
      <c r="U313" s="538" t="str">
        <f t="shared" si="37"/>
        <v>01</v>
      </c>
      <c r="V313" s="471" t="s">
        <v>1136</v>
      </c>
      <c r="Y313" s="472">
        <f t="shared" si="38"/>
        <v>0</v>
      </c>
      <c r="Z313" s="540">
        <f t="shared" si="39"/>
        <v>0</v>
      </c>
      <c r="AA313" s="471">
        <v>0</v>
      </c>
    </row>
    <row r="314" spans="1:27">
      <c r="A314" s="451" t="str">
        <f>CONCATENATE(VLOOKUP(B314,★営業所!$A$1:$B$5,2,FALSE),VLOOKUP(D314,★サイズ表記!$D$4:$E$55,2,FALSE),VLOOKUP(F314,★折込地区!$A$1:$B$11,2,FALSE))</f>
        <v>T2002Oka</v>
      </c>
      <c r="B314" s="457" t="s">
        <v>275</v>
      </c>
      <c r="C314" s="452" t="str">
        <f>VLOOKUP(B314,★営業所!$A$1:$B$5,2,FALSE)</f>
        <v>T</v>
      </c>
      <c r="D314" s="465" t="s">
        <v>964</v>
      </c>
      <c r="E314" s="452" t="str">
        <f>VLOOKUP(D314,★サイズ表記!$D$4:$E$55,2,FALSE)</f>
        <v>2002</v>
      </c>
      <c r="F314" s="457" t="s">
        <v>42</v>
      </c>
      <c r="G314" s="452" t="str">
        <f>VLOOKUP(F314,★折込地区!$A$1:$B$11,2,FALSE)</f>
        <v>Oka</v>
      </c>
      <c r="H314" s="453">
        <f>INDEX(★サイズ表記!$I$4:$Q$55, MATCH(E314,★サイズ表記!$E$4:$E$55,0), MATCH(G314,★サイズ表記!$I$3:$R$3,0))</f>
        <v>0</v>
      </c>
      <c r="K314" s="471" t="str">
        <f t="shared" si="32"/>
        <v>T2002Oka</v>
      </c>
      <c r="L314" s="471" t="str">
        <f t="shared" si="33"/>
        <v>連合B3</v>
      </c>
      <c r="P314" s="533" t="s">
        <v>1324</v>
      </c>
      <c r="Q314" s="533" t="s">
        <v>1325</v>
      </c>
      <c r="R314" s="534" t="str">
        <f t="shared" si="34"/>
        <v>2002</v>
      </c>
      <c r="S314" s="534" t="str">
        <f t="shared" si="35"/>
        <v>連合B3</v>
      </c>
      <c r="T314" s="538" t="str">
        <f t="shared" si="36"/>
        <v>20</v>
      </c>
      <c r="U314" s="538" t="str">
        <f t="shared" si="37"/>
        <v>02</v>
      </c>
      <c r="V314" s="471" t="s">
        <v>1136</v>
      </c>
      <c r="Y314" s="472">
        <f t="shared" si="38"/>
        <v>0</v>
      </c>
      <c r="Z314" s="540">
        <f t="shared" si="39"/>
        <v>0</v>
      </c>
      <c r="AA314" s="471">
        <v>0</v>
      </c>
    </row>
    <row r="315" spans="1:27">
      <c r="A315" s="451" t="str">
        <f>CONCATENATE(VLOOKUP(B315,★営業所!$A$1:$B$5,2,FALSE),VLOOKUP(D315,★サイズ表記!$D$4:$E$55,2,FALSE),VLOOKUP(F315,★折込地区!$A$1:$B$11,2,FALSE))</f>
        <v>T2003Oka</v>
      </c>
      <c r="B315" s="457" t="s">
        <v>275</v>
      </c>
      <c r="C315" s="452" t="str">
        <f>VLOOKUP(B315,★営業所!$A$1:$B$5,2,FALSE)</f>
        <v>T</v>
      </c>
      <c r="D315" s="465" t="s">
        <v>965</v>
      </c>
      <c r="E315" s="452" t="str">
        <f>VLOOKUP(D315,★サイズ表記!$D$4:$E$55,2,FALSE)</f>
        <v>2003</v>
      </c>
      <c r="F315" s="457" t="s">
        <v>42</v>
      </c>
      <c r="G315" s="452" t="str">
        <f>VLOOKUP(F315,★折込地区!$A$1:$B$11,2,FALSE)</f>
        <v>Oka</v>
      </c>
      <c r="H315" s="453">
        <f>INDEX(★サイズ表記!$I$4:$Q$55, MATCH(E315,★サイズ表記!$E$4:$E$55,0), MATCH(G315,★サイズ表記!$I$3:$R$3,0))</f>
        <v>0</v>
      </c>
      <c r="K315" s="471" t="str">
        <f t="shared" si="32"/>
        <v>T2003Oka</v>
      </c>
      <c r="L315" s="471" t="str">
        <f t="shared" si="33"/>
        <v>連合B2</v>
      </c>
      <c r="P315" s="533" t="s">
        <v>1324</v>
      </c>
      <c r="Q315" s="533" t="s">
        <v>1325</v>
      </c>
      <c r="R315" s="534" t="str">
        <f t="shared" si="34"/>
        <v>2003</v>
      </c>
      <c r="S315" s="534" t="str">
        <f t="shared" si="35"/>
        <v>連合B2</v>
      </c>
      <c r="T315" s="538" t="str">
        <f t="shared" si="36"/>
        <v>20</v>
      </c>
      <c r="U315" s="538" t="str">
        <f t="shared" si="37"/>
        <v>03</v>
      </c>
      <c r="V315" s="471" t="s">
        <v>1136</v>
      </c>
      <c r="Y315" s="472">
        <f t="shared" si="38"/>
        <v>0</v>
      </c>
      <c r="Z315" s="540">
        <f t="shared" si="39"/>
        <v>0</v>
      </c>
      <c r="AA315" s="471">
        <v>0</v>
      </c>
    </row>
    <row r="316" spans="1:27">
      <c r="A316" s="451" t="str">
        <f>CONCATENATE(VLOOKUP(B316,★営業所!$A$1:$B$5,2,FALSE),VLOOKUP(D316,★サイズ表記!$D$4:$E$55,2,FALSE),VLOOKUP(F316,★折込地区!$A$1:$B$11,2,FALSE))</f>
        <v>T2004Oka</v>
      </c>
      <c r="B316" s="457" t="s">
        <v>275</v>
      </c>
      <c r="C316" s="452" t="str">
        <f>VLOOKUP(B316,★営業所!$A$1:$B$5,2,FALSE)</f>
        <v>T</v>
      </c>
      <c r="D316" s="465" t="s">
        <v>966</v>
      </c>
      <c r="E316" s="452" t="str">
        <f>VLOOKUP(D316,★サイズ表記!$D$4:$E$55,2,FALSE)</f>
        <v>2004</v>
      </c>
      <c r="F316" s="457" t="s">
        <v>42</v>
      </c>
      <c r="G316" s="452" t="str">
        <f>VLOOKUP(F316,★折込地区!$A$1:$B$11,2,FALSE)</f>
        <v>Oka</v>
      </c>
      <c r="H316" s="453">
        <f>INDEX(★サイズ表記!$I$4:$Q$55, MATCH(E316,★サイズ表記!$E$4:$E$55,0), MATCH(G316,★サイズ表記!$I$3:$R$3,0))</f>
        <v>0</v>
      </c>
      <c r="K316" s="471" t="str">
        <f t="shared" si="32"/>
        <v>T2004Oka</v>
      </c>
      <c r="L316" s="471" t="str">
        <f t="shared" si="33"/>
        <v>連合3つ折り</v>
      </c>
      <c r="P316" s="533" t="s">
        <v>1324</v>
      </c>
      <c r="Q316" s="533" t="s">
        <v>1325</v>
      </c>
      <c r="R316" s="534" t="str">
        <f t="shared" si="34"/>
        <v>2004</v>
      </c>
      <c r="S316" s="534" t="str">
        <f t="shared" si="35"/>
        <v>連合3つ折り</v>
      </c>
      <c r="T316" s="538" t="str">
        <f t="shared" si="36"/>
        <v>20</v>
      </c>
      <c r="U316" s="538" t="str">
        <f t="shared" si="37"/>
        <v>04</v>
      </c>
      <c r="V316" s="471" t="s">
        <v>1136</v>
      </c>
      <c r="Y316" s="472">
        <f t="shared" si="38"/>
        <v>0</v>
      </c>
      <c r="Z316" s="540">
        <f t="shared" si="39"/>
        <v>0</v>
      </c>
      <c r="AA316" s="471">
        <v>0</v>
      </c>
    </row>
    <row r="317" spans="1:27">
      <c r="A317" s="451" t="str">
        <f>CONCATENATE(VLOOKUP(B317,★営業所!$A$1:$B$5,2,FALSE),VLOOKUP(D317,★サイズ表記!$D$4:$E$55,2,FALSE),VLOOKUP(F317,★折込地区!$A$1:$B$11,2,FALSE))</f>
        <v>T2005Oka</v>
      </c>
      <c r="B317" s="457" t="s">
        <v>275</v>
      </c>
      <c r="C317" s="452" t="str">
        <f>VLOOKUP(B317,★営業所!$A$1:$B$5,2,FALSE)</f>
        <v>T</v>
      </c>
      <c r="D317" s="465" t="s">
        <v>967</v>
      </c>
      <c r="E317" s="452" t="str">
        <f>VLOOKUP(D317,★サイズ表記!$D$4:$E$55,2,FALSE)</f>
        <v>2005</v>
      </c>
      <c r="F317" s="457" t="s">
        <v>42</v>
      </c>
      <c r="G317" s="452" t="str">
        <f>VLOOKUP(F317,★折込地区!$A$1:$B$11,2,FALSE)</f>
        <v>Oka</v>
      </c>
      <c r="H317" s="453">
        <f>INDEX(★サイズ表記!$I$4:$Q$55, MATCH(E317,★サイズ表記!$E$4:$E$55,0), MATCH(G317,★サイズ表記!$I$3:$R$3,0))</f>
        <v>0</v>
      </c>
      <c r="K317" s="471" t="str">
        <f t="shared" si="32"/>
        <v>T2005Oka</v>
      </c>
      <c r="L317" s="471" t="str">
        <f t="shared" si="33"/>
        <v>連合B4厚紙</v>
      </c>
      <c r="P317" s="533" t="s">
        <v>1324</v>
      </c>
      <c r="Q317" s="533" t="s">
        <v>1325</v>
      </c>
      <c r="R317" s="534" t="str">
        <f t="shared" si="34"/>
        <v>2005</v>
      </c>
      <c r="S317" s="534" t="str">
        <f t="shared" si="35"/>
        <v>連合B4厚紙</v>
      </c>
      <c r="T317" s="538" t="str">
        <f t="shared" si="36"/>
        <v>20</v>
      </c>
      <c r="U317" s="538" t="str">
        <f t="shared" si="37"/>
        <v>05</v>
      </c>
      <c r="V317" s="471" t="s">
        <v>1136</v>
      </c>
      <c r="Y317" s="472">
        <f t="shared" si="38"/>
        <v>0</v>
      </c>
      <c r="Z317" s="540">
        <f t="shared" si="39"/>
        <v>0</v>
      </c>
      <c r="AA317" s="471">
        <v>0</v>
      </c>
    </row>
    <row r="318" spans="1:27">
      <c r="A318" s="451" t="str">
        <f>CONCATENATE(VLOOKUP(B318,★営業所!$A$1:$B$5,2,FALSE),VLOOKUP(D318,★サイズ表記!$D$4:$E$55,2,FALSE),VLOOKUP(F318,★折込地区!$A$1:$B$11,2,FALSE))</f>
        <v>T2006Oka</v>
      </c>
      <c r="B318" s="457" t="s">
        <v>275</v>
      </c>
      <c r="C318" s="452" t="str">
        <f>VLOOKUP(B318,★営業所!$A$1:$B$5,2,FALSE)</f>
        <v>T</v>
      </c>
      <c r="D318" s="465" t="s">
        <v>968</v>
      </c>
      <c r="E318" s="452" t="str">
        <f>VLOOKUP(D318,★サイズ表記!$D$4:$E$55,2,FALSE)</f>
        <v>2006</v>
      </c>
      <c r="F318" s="457" t="s">
        <v>42</v>
      </c>
      <c r="G318" s="452" t="str">
        <f>VLOOKUP(F318,★折込地区!$A$1:$B$11,2,FALSE)</f>
        <v>Oka</v>
      </c>
      <c r="H318" s="453">
        <f>INDEX(★サイズ表記!$I$4:$Q$55, MATCH(E318,★サイズ表記!$E$4:$E$55,0), MATCH(G318,★サイズ表記!$I$3:$R$3,0))</f>
        <v>0</v>
      </c>
      <c r="K318" s="471" t="str">
        <f t="shared" si="32"/>
        <v>T2006Oka</v>
      </c>
      <c r="L318" s="471" t="str">
        <f t="shared" si="33"/>
        <v>連合2つ折り極小</v>
      </c>
      <c r="P318" s="533" t="s">
        <v>1324</v>
      </c>
      <c r="Q318" s="533" t="s">
        <v>1325</v>
      </c>
      <c r="R318" s="534" t="str">
        <f t="shared" si="34"/>
        <v>2006</v>
      </c>
      <c r="S318" s="534" t="str">
        <f t="shared" si="35"/>
        <v>連合2つ折り極小</v>
      </c>
      <c r="T318" s="538" t="str">
        <f t="shared" si="36"/>
        <v>20</v>
      </c>
      <c r="U318" s="538" t="str">
        <f t="shared" si="37"/>
        <v>06</v>
      </c>
      <c r="V318" s="471" t="s">
        <v>1136</v>
      </c>
      <c r="Y318" s="472">
        <f t="shared" si="38"/>
        <v>0</v>
      </c>
      <c r="Z318" s="540">
        <f t="shared" si="39"/>
        <v>0</v>
      </c>
      <c r="AA318" s="471">
        <v>0</v>
      </c>
    </row>
    <row r="319" spans="1:27">
      <c r="A319" s="451" t="str">
        <f>CONCATENATE(VLOOKUP(B319,★営業所!$A$1:$B$5,2,FALSE),VLOOKUP(D319,★サイズ表記!$D$4:$E$55,2,FALSE),VLOOKUP(F319,★折込地区!$A$1:$B$11,2,FALSE))</f>
        <v>T2007Oka</v>
      </c>
      <c r="B319" s="457" t="s">
        <v>275</v>
      </c>
      <c r="C319" s="452" t="str">
        <f>VLOOKUP(B319,★営業所!$A$1:$B$5,2,FALSE)</f>
        <v>T</v>
      </c>
      <c r="D319" s="465" t="s">
        <v>1365</v>
      </c>
      <c r="E319" s="452" t="str">
        <f>VLOOKUP(D319,★サイズ表記!$D$4:$E$55,2,FALSE)</f>
        <v>2007</v>
      </c>
      <c r="F319" s="457" t="s">
        <v>42</v>
      </c>
      <c r="G319" s="452" t="str">
        <f>VLOOKUP(F319,★折込地区!$A$1:$B$11,2,FALSE)</f>
        <v>Oka</v>
      </c>
      <c r="H319" s="453">
        <f>INDEX(★サイズ表記!$I$4:$Q$55, MATCH(E319,★サイズ表記!$E$4:$E$55,0), MATCH(G319,★サイズ表記!$I$3:$R$3,0))</f>
        <v>0</v>
      </c>
      <c r="K319" s="471" t="str">
        <f t="shared" si="32"/>
        <v>T2007Oka</v>
      </c>
      <c r="L319" s="471" t="str">
        <f t="shared" si="33"/>
        <v>連合タブ6P</v>
      </c>
      <c r="P319" s="533" t="s">
        <v>1324</v>
      </c>
      <c r="Q319" s="533" t="s">
        <v>1325</v>
      </c>
      <c r="R319" s="534" t="str">
        <f t="shared" si="34"/>
        <v>2007</v>
      </c>
      <c r="S319" s="534" t="str">
        <f t="shared" si="35"/>
        <v>連合タブ6P</v>
      </c>
      <c r="T319" s="538" t="str">
        <f t="shared" si="36"/>
        <v>20</v>
      </c>
      <c r="U319" s="538" t="str">
        <f t="shared" si="37"/>
        <v>07</v>
      </c>
      <c r="V319" s="471" t="s">
        <v>1136</v>
      </c>
      <c r="Y319" s="472">
        <f t="shared" si="38"/>
        <v>0</v>
      </c>
      <c r="Z319" s="540">
        <f t="shared" si="39"/>
        <v>0</v>
      </c>
      <c r="AA319" s="471">
        <v>0</v>
      </c>
    </row>
    <row r="320" spans="1:27">
      <c r="A320" s="451" t="str">
        <f>CONCATENATE(VLOOKUP(B320,★営業所!$A$1:$B$5,2,FALSE),VLOOKUP(D320,★サイズ表記!$D$4:$E$55,2,FALSE),VLOOKUP(F320,★折込地区!$A$1:$B$11,2,FALSE))</f>
        <v>T2008Oka</v>
      </c>
      <c r="B320" s="457" t="s">
        <v>275</v>
      </c>
      <c r="C320" s="452" t="str">
        <f>VLOOKUP(B320,★営業所!$A$1:$B$5,2,FALSE)</f>
        <v>T</v>
      </c>
      <c r="D320" s="465" t="s">
        <v>1366</v>
      </c>
      <c r="E320" s="452" t="str">
        <f>VLOOKUP(D320,★サイズ表記!$D$4:$E$55,2,FALSE)</f>
        <v>2008</v>
      </c>
      <c r="F320" s="457" t="s">
        <v>42</v>
      </c>
      <c r="G320" s="452" t="str">
        <f>VLOOKUP(F320,★折込地区!$A$1:$B$11,2,FALSE)</f>
        <v>Oka</v>
      </c>
      <c r="H320" s="453">
        <f>INDEX(★サイズ表記!$I$4:$Q$55, MATCH(E320,★サイズ表記!$E$4:$E$55,0), MATCH(G320,★サイズ表記!$I$3:$R$3,0))</f>
        <v>0</v>
      </c>
      <c r="K320" s="471" t="str">
        <f t="shared" si="32"/>
        <v>T2008Oka</v>
      </c>
      <c r="L320" s="471" t="str">
        <f t="shared" si="33"/>
        <v>連合タブ8P</v>
      </c>
      <c r="P320" s="533" t="s">
        <v>1324</v>
      </c>
      <c r="Q320" s="533" t="s">
        <v>1325</v>
      </c>
      <c r="R320" s="534" t="str">
        <f t="shared" si="34"/>
        <v>2008</v>
      </c>
      <c r="S320" s="534" t="str">
        <f t="shared" si="35"/>
        <v>連合タブ8P</v>
      </c>
      <c r="T320" s="538" t="str">
        <f t="shared" si="36"/>
        <v>20</v>
      </c>
      <c r="U320" s="538" t="str">
        <f t="shared" si="37"/>
        <v>08</v>
      </c>
      <c r="V320" s="471" t="s">
        <v>1136</v>
      </c>
      <c r="Y320" s="472">
        <f t="shared" si="38"/>
        <v>0</v>
      </c>
      <c r="Z320" s="540">
        <f t="shared" si="39"/>
        <v>0</v>
      </c>
      <c r="AA320" s="471">
        <v>0</v>
      </c>
    </row>
    <row r="321" spans="1:27">
      <c r="A321" s="451" t="str">
        <f>CONCATENATE(VLOOKUP(B321,★営業所!$A$1:$B$5,2,FALSE),VLOOKUP(D321,★サイズ表記!$D$4:$E$55,2,FALSE),VLOOKUP(F321,★折込地区!$A$1:$B$11,2,FALSE))</f>
        <v>T2009Oka</v>
      </c>
      <c r="B321" s="457" t="s">
        <v>275</v>
      </c>
      <c r="C321" s="452" t="str">
        <f>VLOOKUP(B321,★営業所!$A$1:$B$5,2,FALSE)</f>
        <v>T</v>
      </c>
      <c r="D321" s="465" t="s">
        <v>1364</v>
      </c>
      <c r="E321" s="452" t="str">
        <f>VLOOKUP(D321,★サイズ表記!$D$4:$E$55,2,FALSE)</f>
        <v>2009</v>
      </c>
      <c r="F321" s="457" t="s">
        <v>42</v>
      </c>
      <c r="G321" s="452" t="str">
        <f>VLOOKUP(F321,★折込地区!$A$1:$B$11,2,FALSE)</f>
        <v>Oka</v>
      </c>
      <c r="H321" s="453">
        <f>INDEX(★サイズ表記!$I$4:$Q$55, MATCH(E321,★サイズ表記!$E$4:$E$55,0), MATCH(G321,★サイズ表記!$I$3:$R$3,0))</f>
        <v>0</v>
      </c>
      <c r="K321" s="471" t="str">
        <f t="shared" si="32"/>
        <v>T2009Oka</v>
      </c>
      <c r="L321" s="471" t="str">
        <f t="shared" si="33"/>
        <v>連合タブ12P</v>
      </c>
      <c r="P321" s="533" t="s">
        <v>1324</v>
      </c>
      <c r="Q321" s="533" t="s">
        <v>1325</v>
      </c>
      <c r="R321" s="534" t="str">
        <f t="shared" si="34"/>
        <v>2009</v>
      </c>
      <c r="S321" s="534" t="str">
        <f t="shared" si="35"/>
        <v>連合タブ12P</v>
      </c>
      <c r="T321" s="538" t="str">
        <f t="shared" si="36"/>
        <v>20</v>
      </c>
      <c r="U321" s="538" t="str">
        <f t="shared" si="37"/>
        <v>09</v>
      </c>
      <c r="V321" s="471" t="s">
        <v>1136</v>
      </c>
      <c r="Y321" s="472">
        <f t="shared" si="38"/>
        <v>0</v>
      </c>
      <c r="Z321" s="540">
        <f t="shared" si="39"/>
        <v>0</v>
      </c>
      <c r="AA321" s="471">
        <v>0</v>
      </c>
    </row>
    <row r="322" spans="1:27">
      <c r="A322" s="451" t="str">
        <f>CONCATENATE(VLOOKUP(B322,★営業所!$A$1:$B$5,2,FALSE),VLOOKUP(D322,★サイズ表記!$D$4:$E$55,2,FALSE),VLOOKUP(F322,★折込地区!$A$1:$B$11,2,FALSE))</f>
        <v>T3001Oka</v>
      </c>
      <c r="B322" s="457" t="s">
        <v>275</v>
      </c>
      <c r="C322" s="452" t="str">
        <f>VLOOKUP(B322,★営業所!$A$1:$B$5,2,FALSE)</f>
        <v>T</v>
      </c>
      <c r="D322" s="465" t="s">
        <v>969</v>
      </c>
      <c r="E322" s="452" t="str">
        <f>VLOOKUP(D322,★サイズ表記!$D$4:$E$55,2,FALSE)</f>
        <v>3001</v>
      </c>
      <c r="F322" s="457" t="s">
        <v>42</v>
      </c>
      <c r="G322" s="452" t="str">
        <f>VLOOKUP(F322,★折込地区!$A$1:$B$11,2,FALSE)</f>
        <v>Oka</v>
      </c>
      <c r="H322" s="453">
        <f>INDEX(★サイズ表記!$I$4:$Q$55, MATCH(E322,★サイズ表記!$E$4:$E$55,0), MATCH(G322,★サイズ表記!$I$3:$R$3,0))</f>
        <v>0</v>
      </c>
      <c r="K322" s="471" t="str">
        <f t="shared" si="32"/>
        <v>T3001Oka</v>
      </c>
      <c r="L322" s="471" t="str">
        <f t="shared" si="33"/>
        <v>政治B4</v>
      </c>
      <c r="P322" s="533" t="s">
        <v>1324</v>
      </c>
      <c r="Q322" s="533" t="s">
        <v>1325</v>
      </c>
      <c r="R322" s="534" t="str">
        <f t="shared" si="34"/>
        <v>3001</v>
      </c>
      <c r="S322" s="534" t="str">
        <f t="shared" si="35"/>
        <v>政治B4</v>
      </c>
      <c r="T322" s="538" t="str">
        <f t="shared" si="36"/>
        <v>30</v>
      </c>
      <c r="U322" s="538" t="str">
        <f t="shared" si="37"/>
        <v>01</v>
      </c>
      <c r="V322" s="471" t="s">
        <v>1136</v>
      </c>
      <c r="Y322" s="472">
        <f t="shared" si="38"/>
        <v>0</v>
      </c>
      <c r="Z322" s="540">
        <f t="shared" si="39"/>
        <v>0</v>
      </c>
      <c r="AA322" s="471">
        <v>0</v>
      </c>
    </row>
    <row r="323" spans="1:27">
      <c r="A323" s="451" t="str">
        <f>CONCATENATE(VLOOKUP(B323,★営業所!$A$1:$B$5,2,FALSE),VLOOKUP(D323,★サイズ表記!$D$4:$E$55,2,FALSE),VLOOKUP(F323,★折込地区!$A$1:$B$11,2,FALSE))</f>
        <v>T3002Oka</v>
      </c>
      <c r="B323" s="457" t="s">
        <v>275</v>
      </c>
      <c r="C323" s="452" t="str">
        <f>VLOOKUP(B323,★営業所!$A$1:$B$5,2,FALSE)</f>
        <v>T</v>
      </c>
      <c r="D323" s="465" t="s">
        <v>970</v>
      </c>
      <c r="E323" s="452" t="str">
        <f>VLOOKUP(D323,★サイズ表記!$D$4:$E$55,2,FALSE)</f>
        <v>3002</v>
      </c>
      <c r="F323" s="457" t="s">
        <v>42</v>
      </c>
      <c r="G323" s="452" t="str">
        <f>VLOOKUP(F323,★折込地区!$A$1:$B$11,2,FALSE)</f>
        <v>Oka</v>
      </c>
      <c r="H323" s="453">
        <f>INDEX(★サイズ表記!$I$4:$Q$55, MATCH(E323,★サイズ表記!$E$4:$E$55,0), MATCH(G323,★サイズ表記!$I$3:$R$3,0))</f>
        <v>0</v>
      </c>
      <c r="K323" s="471" t="str">
        <f t="shared" si="32"/>
        <v>T3002Oka</v>
      </c>
      <c r="L323" s="471" t="str">
        <f t="shared" si="33"/>
        <v>政治B3</v>
      </c>
      <c r="P323" s="533" t="s">
        <v>1324</v>
      </c>
      <c r="Q323" s="533" t="s">
        <v>1325</v>
      </c>
      <c r="R323" s="534" t="str">
        <f t="shared" si="34"/>
        <v>3002</v>
      </c>
      <c r="S323" s="534" t="str">
        <f t="shared" si="35"/>
        <v>政治B3</v>
      </c>
      <c r="T323" s="538" t="str">
        <f t="shared" si="36"/>
        <v>30</v>
      </c>
      <c r="U323" s="538" t="str">
        <f t="shared" si="37"/>
        <v>02</v>
      </c>
      <c r="V323" s="471" t="s">
        <v>1136</v>
      </c>
      <c r="Y323" s="472">
        <f t="shared" si="38"/>
        <v>0</v>
      </c>
      <c r="Z323" s="540">
        <f t="shared" si="39"/>
        <v>0</v>
      </c>
      <c r="AA323" s="471">
        <v>0</v>
      </c>
    </row>
    <row r="324" spans="1:27">
      <c r="A324" s="451" t="str">
        <f>CONCATENATE(VLOOKUP(B324,★営業所!$A$1:$B$5,2,FALSE),VLOOKUP(D324,★サイズ表記!$D$4:$E$55,2,FALSE),VLOOKUP(F324,★折込地区!$A$1:$B$11,2,FALSE))</f>
        <v>T3003Oka</v>
      </c>
      <c r="B324" s="457" t="s">
        <v>275</v>
      </c>
      <c r="C324" s="452" t="str">
        <f>VLOOKUP(B324,★営業所!$A$1:$B$5,2,FALSE)</f>
        <v>T</v>
      </c>
      <c r="D324" s="465" t="s">
        <v>971</v>
      </c>
      <c r="E324" s="452" t="str">
        <f>VLOOKUP(D324,★サイズ表記!$D$4:$E$55,2,FALSE)</f>
        <v>3003</v>
      </c>
      <c r="F324" s="457" t="s">
        <v>42</v>
      </c>
      <c r="G324" s="452" t="str">
        <f>VLOOKUP(F324,★折込地区!$A$1:$B$11,2,FALSE)</f>
        <v>Oka</v>
      </c>
      <c r="H324" s="453">
        <f>INDEX(★サイズ表記!$I$4:$Q$55, MATCH(E324,★サイズ表記!$E$4:$E$55,0), MATCH(G324,★サイズ表記!$I$3:$R$3,0))</f>
        <v>0</v>
      </c>
      <c r="K324" s="471" t="str">
        <f t="shared" si="32"/>
        <v>T3003Oka</v>
      </c>
      <c r="L324" s="471" t="str">
        <f t="shared" si="33"/>
        <v>政治B2</v>
      </c>
      <c r="P324" s="533" t="s">
        <v>1324</v>
      </c>
      <c r="Q324" s="533" t="s">
        <v>1325</v>
      </c>
      <c r="R324" s="534" t="str">
        <f t="shared" si="34"/>
        <v>3003</v>
      </c>
      <c r="S324" s="534" t="str">
        <f t="shared" si="35"/>
        <v>政治B2</v>
      </c>
      <c r="T324" s="538" t="str">
        <f t="shared" si="36"/>
        <v>30</v>
      </c>
      <c r="U324" s="538" t="str">
        <f t="shared" si="37"/>
        <v>03</v>
      </c>
      <c r="V324" s="471" t="s">
        <v>1136</v>
      </c>
      <c r="Y324" s="472">
        <f t="shared" si="38"/>
        <v>0</v>
      </c>
      <c r="Z324" s="540">
        <f t="shared" si="39"/>
        <v>0</v>
      </c>
      <c r="AA324" s="471">
        <v>0</v>
      </c>
    </row>
    <row r="325" spans="1:27">
      <c r="A325" s="451" t="str">
        <f>CONCATENATE(VLOOKUP(B325,★営業所!$A$1:$B$5,2,FALSE),VLOOKUP(D325,★サイズ表記!$D$4:$E$55,2,FALSE),VLOOKUP(F325,★折込地区!$A$1:$B$11,2,FALSE))</f>
        <v>T3004Oka</v>
      </c>
      <c r="B325" s="457" t="s">
        <v>275</v>
      </c>
      <c r="C325" s="452" t="str">
        <f>VLOOKUP(B325,★営業所!$A$1:$B$5,2,FALSE)</f>
        <v>T</v>
      </c>
      <c r="D325" s="465" t="s">
        <v>972</v>
      </c>
      <c r="E325" s="452" t="str">
        <f>VLOOKUP(D325,★サイズ表記!$D$4:$E$55,2,FALSE)</f>
        <v>3004</v>
      </c>
      <c r="F325" s="457" t="s">
        <v>42</v>
      </c>
      <c r="G325" s="452" t="str">
        <f>VLOOKUP(F325,★折込地区!$A$1:$B$11,2,FALSE)</f>
        <v>Oka</v>
      </c>
      <c r="H325" s="453">
        <f>INDEX(★サイズ表記!$I$4:$Q$55, MATCH(E325,★サイズ表記!$E$4:$E$55,0), MATCH(G325,★サイズ表記!$I$3:$R$3,0))</f>
        <v>0</v>
      </c>
      <c r="K325" s="471" t="str">
        <f t="shared" si="32"/>
        <v>T3004Oka</v>
      </c>
      <c r="L325" s="471" t="str">
        <f t="shared" si="33"/>
        <v>政治3つ折り</v>
      </c>
      <c r="P325" s="533" t="s">
        <v>1324</v>
      </c>
      <c r="Q325" s="533" t="s">
        <v>1325</v>
      </c>
      <c r="R325" s="534" t="str">
        <f t="shared" si="34"/>
        <v>3004</v>
      </c>
      <c r="S325" s="534" t="str">
        <f t="shared" si="35"/>
        <v>政治3つ折り</v>
      </c>
      <c r="T325" s="538" t="str">
        <f t="shared" si="36"/>
        <v>30</v>
      </c>
      <c r="U325" s="538" t="str">
        <f t="shared" si="37"/>
        <v>04</v>
      </c>
      <c r="V325" s="471" t="s">
        <v>1136</v>
      </c>
      <c r="Y325" s="472">
        <f t="shared" si="38"/>
        <v>0</v>
      </c>
      <c r="Z325" s="540">
        <f t="shared" si="39"/>
        <v>0</v>
      </c>
      <c r="AA325" s="471">
        <v>0</v>
      </c>
    </row>
    <row r="326" spans="1:27">
      <c r="A326" s="451" t="str">
        <f>CONCATENATE(VLOOKUP(B326,★営業所!$A$1:$B$5,2,FALSE),VLOOKUP(D326,★サイズ表記!$D$4:$E$55,2,FALSE),VLOOKUP(F326,★折込地区!$A$1:$B$11,2,FALSE))</f>
        <v>T3005Oka</v>
      </c>
      <c r="B326" s="457" t="s">
        <v>275</v>
      </c>
      <c r="C326" s="452" t="str">
        <f>VLOOKUP(B326,★営業所!$A$1:$B$5,2,FALSE)</f>
        <v>T</v>
      </c>
      <c r="D326" s="465" t="s">
        <v>973</v>
      </c>
      <c r="E326" s="452" t="str">
        <f>VLOOKUP(D326,★サイズ表記!$D$4:$E$55,2,FALSE)</f>
        <v>3005</v>
      </c>
      <c r="F326" s="457" t="s">
        <v>42</v>
      </c>
      <c r="G326" s="452" t="str">
        <f>VLOOKUP(F326,★折込地区!$A$1:$B$11,2,FALSE)</f>
        <v>Oka</v>
      </c>
      <c r="H326" s="453">
        <f>INDEX(★サイズ表記!$I$4:$Q$55, MATCH(E326,★サイズ表記!$E$4:$E$55,0), MATCH(G326,★サイズ表記!$I$3:$R$3,0))</f>
        <v>0</v>
      </c>
      <c r="K326" s="471" t="str">
        <f t="shared" si="32"/>
        <v>T3005Oka</v>
      </c>
      <c r="L326" s="471" t="str">
        <f t="shared" si="33"/>
        <v>政治2つ折り極小</v>
      </c>
      <c r="P326" s="533" t="s">
        <v>1324</v>
      </c>
      <c r="Q326" s="533" t="s">
        <v>1325</v>
      </c>
      <c r="R326" s="534" t="str">
        <f t="shared" si="34"/>
        <v>3005</v>
      </c>
      <c r="S326" s="534" t="str">
        <f t="shared" si="35"/>
        <v>政治2つ折り極小</v>
      </c>
      <c r="T326" s="538" t="str">
        <f t="shared" si="36"/>
        <v>30</v>
      </c>
      <c r="U326" s="538" t="str">
        <f t="shared" si="37"/>
        <v>05</v>
      </c>
      <c r="V326" s="471" t="s">
        <v>1136</v>
      </c>
      <c r="Y326" s="472">
        <f t="shared" si="38"/>
        <v>0</v>
      </c>
      <c r="Z326" s="540">
        <f t="shared" si="39"/>
        <v>0</v>
      </c>
      <c r="AA326" s="471">
        <v>0</v>
      </c>
    </row>
    <row r="327" spans="1:27">
      <c r="A327" s="451" t="str">
        <f>CONCATENATE(VLOOKUP(B327,★営業所!$A$1:$B$5,2,FALSE),VLOOKUP(D327,★サイズ表記!$D$4:$E$55,2,FALSE),VLOOKUP(F327,★折込地区!$A$1:$B$11,2,FALSE))</f>
        <v>T3006Oka</v>
      </c>
      <c r="B327" s="457" t="s">
        <v>275</v>
      </c>
      <c r="C327" s="452" t="str">
        <f>VLOOKUP(B327,★営業所!$A$1:$B$5,2,FALSE)</f>
        <v>T</v>
      </c>
      <c r="D327" s="465" t="s">
        <v>974</v>
      </c>
      <c r="E327" s="452" t="str">
        <f>VLOOKUP(D327,★サイズ表記!$D$4:$E$55,2,FALSE)</f>
        <v>3006</v>
      </c>
      <c r="F327" s="457" t="s">
        <v>42</v>
      </c>
      <c r="G327" s="452" t="str">
        <f>VLOOKUP(F327,★折込地区!$A$1:$B$11,2,FALSE)</f>
        <v>Oka</v>
      </c>
      <c r="H327" s="453">
        <f>INDEX(★サイズ表記!$I$4:$Q$55, MATCH(E327,★サイズ表記!$E$4:$E$55,0), MATCH(G327,★サイズ表記!$I$3:$R$3,0))</f>
        <v>0</v>
      </c>
      <c r="K327" s="471" t="str">
        <f t="shared" si="32"/>
        <v>T3006Oka</v>
      </c>
      <c r="L327" s="471" t="str">
        <f t="shared" si="33"/>
        <v>政治B4厚紙</v>
      </c>
      <c r="P327" s="533" t="s">
        <v>1324</v>
      </c>
      <c r="Q327" s="533" t="s">
        <v>1325</v>
      </c>
      <c r="R327" s="534" t="str">
        <f t="shared" si="34"/>
        <v>3006</v>
      </c>
      <c r="S327" s="534" t="str">
        <f t="shared" si="35"/>
        <v>政治B4厚紙</v>
      </c>
      <c r="T327" s="538" t="str">
        <f t="shared" si="36"/>
        <v>30</v>
      </c>
      <c r="U327" s="538" t="str">
        <f t="shared" si="37"/>
        <v>06</v>
      </c>
      <c r="V327" s="471" t="s">
        <v>1136</v>
      </c>
      <c r="Y327" s="472">
        <f t="shared" si="38"/>
        <v>0</v>
      </c>
      <c r="Z327" s="540">
        <f t="shared" si="39"/>
        <v>0</v>
      </c>
      <c r="AA327" s="471">
        <v>0</v>
      </c>
    </row>
    <row r="328" spans="1:27">
      <c r="A328" s="451" t="str">
        <f>CONCATENATE(VLOOKUP(B328,★営業所!$A$1:$B$5,2,FALSE),VLOOKUP(D328,★サイズ表記!$D$4:$E$55,2,FALSE),VLOOKUP(F328,★折込地区!$A$1:$B$11,2,FALSE))</f>
        <v>T3007Oka</v>
      </c>
      <c r="B328" s="457" t="s">
        <v>275</v>
      </c>
      <c r="C328" s="452" t="str">
        <f>VLOOKUP(B328,★営業所!$A$1:$B$5,2,FALSE)</f>
        <v>T</v>
      </c>
      <c r="D328" s="465" t="s">
        <v>1362</v>
      </c>
      <c r="E328" s="452" t="str">
        <f>VLOOKUP(D328,★サイズ表記!$D$4:$E$55,2,FALSE)</f>
        <v>3007</v>
      </c>
      <c r="F328" s="457" t="s">
        <v>42</v>
      </c>
      <c r="G328" s="452" t="str">
        <f>VLOOKUP(F328,★折込地区!$A$1:$B$11,2,FALSE)</f>
        <v>Oka</v>
      </c>
      <c r="H328" s="453">
        <f>INDEX(★サイズ表記!$I$4:$Q$55, MATCH(E328,★サイズ表記!$E$4:$E$55,0), MATCH(G328,★サイズ表記!$I$3:$R$3,0))</f>
        <v>0</v>
      </c>
      <c r="K328" s="471" t="str">
        <f t="shared" si="32"/>
        <v>T3007Oka</v>
      </c>
      <c r="L328" s="471" t="str">
        <f t="shared" si="33"/>
        <v>政治タブ6P</v>
      </c>
      <c r="P328" s="533" t="s">
        <v>1324</v>
      </c>
      <c r="Q328" s="533" t="s">
        <v>1325</v>
      </c>
      <c r="R328" s="534" t="str">
        <f t="shared" si="34"/>
        <v>3007</v>
      </c>
      <c r="S328" s="534" t="str">
        <f t="shared" si="35"/>
        <v>政治タブ6P</v>
      </c>
      <c r="T328" s="538" t="str">
        <f t="shared" si="36"/>
        <v>30</v>
      </c>
      <c r="U328" s="538" t="str">
        <f t="shared" si="37"/>
        <v>07</v>
      </c>
      <c r="V328" s="471" t="s">
        <v>1136</v>
      </c>
      <c r="Y328" s="472">
        <f t="shared" si="38"/>
        <v>0</v>
      </c>
      <c r="Z328" s="540">
        <f t="shared" si="39"/>
        <v>0</v>
      </c>
      <c r="AA328" s="471">
        <v>0</v>
      </c>
    </row>
    <row r="329" spans="1:27">
      <c r="A329" s="451" t="str">
        <f>CONCATENATE(VLOOKUP(B329,★営業所!$A$1:$B$5,2,FALSE),VLOOKUP(D329,★サイズ表記!$D$4:$E$55,2,FALSE),VLOOKUP(F329,★折込地区!$A$1:$B$11,2,FALSE))</f>
        <v>T3008Oka</v>
      </c>
      <c r="B329" s="457" t="s">
        <v>275</v>
      </c>
      <c r="C329" s="452" t="str">
        <f>VLOOKUP(B329,★営業所!$A$1:$B$5,2,FALSE)</f>
        <v>T</v>
      </c>
      <c r="D329" s="465" t="s">
        <v>1363</v>
      </c>
      <c r="E329" s="452" t="str">
        <f>VLOOKUP(D329,★サイズ表記!$D$4:$E$55,2,FALSE)</f>
        <v>3008</v>
      </c>
      <c r="F329" s="457" t="s">
        <v>42</v>
      </c>
      <c r="G329" s="452" t="str">
        <f>VLOOKUP(F329,★折込地区!$A$1:$B$11,2,FALSE)</f>
        <v>Oka</v>
      </c>
      <c r="H329" s="453">
        <f>INDEX(★サイズ表記!$I$4:$Q$55, MATCH(E329,★サイズ表記!$E$4:$E$55,0), MATCH(G329,★サイズ表記!$I$3:$R$3,0))</f>
        <v>0</v>
      </c>
      <c r="K329" s="471" t="str">
        <f t="shared" si="32"/>
        <v>T3008Oka</v>
      </c>
      <c r="L329" s="471" t="str">
        <f t="shared" si="33"/>
        <v>政治タブ8P</v>
      </c>
      <c r="P329" s="533" t="s">
        <v>1324</v>
      </c>
      <c r="Q329" s="533" t="s">
        <v>1325</v>
      </c>
      <c r="R329" s="534" t="str">
        <f t="shared" si="34"/>
        <v>3008</v>
      </c>
      <c r="S329" s="534" t="str">
        <f t="shared" si="35"/>
        <v>政治タブ8P</v>
      </c>
      <c r="T329" s="538" t="str">
        <f t="shared" si="36"/>
        <v>30</v>
      </c>
      <c r="U329" s="538" t="str">
        <f t="shared" si="37"/>
        <v>08</v>
      </c>
      <c r="V329" s="471" t="s">
        <v>1136</v>
      </c>
      <c r="Y329" s="472">
        <f t="shared" si="38"/>
        <v>0</v>
      </c>
      <c r="Z329" s="540">
        <f t="shared" si="39"/>
        <v>0</v>
      </c>
      <c r="AA329" s="471">
        <v>0</v>
      </c>
    </row>
    <row r="330" spans="1:27">
      <c r="A330" s="451" t="str">
        <f>CONCATENATE(VLOOKUP(B330,★営業所!$A$1:$B$5,2,FALSE),VLOOKUP(D330,★サイズ表記!$D$4:$E$55,2,FALSE),VLOOKUP(F330,★折込地区!$A$1:$B$11,2,FALSE))</f>
        <v>T3009Oka</v>
      </c>
      <c r="B330" s="457" t="s">
        <v>275</v>
      </c>
      <c r="C330" s="452" t="str">
        <f>VLOOKUP(B330,★営業所!$A$1:$B$5,2,FALSE)</f>
        <v>T</v>
      </c>
      <c r="D330" s="465" t="s">
        <v>1361</v>
      </c>
      <c r="E330" s="452" t="str">
        <f>VLOOKUP(D330,★サイズ表記!$D$4:$E$55,2,FALSE)</f>
        <v>3009</v>
      </c>
      <c r="F330" s="457" t="s">
        <v>42</v>
      </c>
      <c r="G330" s="452" t="str">
        <f>VLOOKUP(F330,★折込地区!$A$1:$B$11,2,FALSE)</f>
        <v>Oka</v>
      </c>
      <c r="H330" s="453">
        <f>INDEX(★サイズ表記!$I$4:$Q$55, MATCH(E330,★サイズ表記!$E$4:$E$55,0), MATCH(G330,★サイズ表記!$I$3:$R$3,0))</f>
        <v>0</v>
      </c>
      <c r="K330" s="471" t="str">
        <f t="shared" si="32"/>
        <v>T3009Oka</v>
      </c>
      <c r="L330" s="471" t="str">
        <f t="shared" si="33"/>
        <v>政治タブ12P</v>
      </c>
      <c r="P330" s="533" t="s">
        <v>1324</v>
      </c>
      <c r="Q330" s="533" t="s">
        <v>1325</v>
      </c>
      <c r="R330" s="534" t="str">
        <f t="shared" si="34"/>
        <v>3009</v>
      </c>
      <c r="S330" s="534" t="str">
        <f t="shared" si="35"/>
        <v>政治タブ12P</v>
      </c>
      <c r="T330" s="538" t="str">
        <f t="shared" si="36"/>
        <v>30</v>
      </c>
      <c r="U330" s="538" t="str">
        <f t="shared" si="37"/>
        <v>09</v>
      </c>
      <c r="V330" s="471" t="s">
        <v>1136</v>
      </c>
      <c r="Y330" s="472">
        <f t="shared" si="38"/>
        <v>0</v>
      </c>
      <c r="Z330" s="540">
        <f t="shared" si="39"/>
        <v>0</v>
      </c>
      <c r="AA330" s="471">
        <v>0</v>
      </c>
    </row>
    <row r="331" spans="1:27">
      <c r="A331" s="451" t="str">
        <f>CONCATENATE(VLOOKUP(B331,★営業所!$A$1:$B$5,2,FALSE),VLOOKUP(D331,★サイズ表記!$D$4:$E$55,2,FALSE),VLOOKUP(F331,★折込地区!$A$1:$B$11,2,FALSE))</f>
        <v>T4001Oka</v>
      </c>
      <c r="B331" s="457" t="s">
        <v>275</v>
      </c>
      <c r="C331" s="452" t="str">
        <f>VLOOKUP(B331,★営業所!$A$1:$B$5,2,FALSE)</f>
        <v>T</v>
      </c>
      <c r="D331" s="465" t="s">
        <v>1358</v>
      </c>
      <c r="E331" s="452" t="str">
        <f>VLOOKUP(D331,★サイズ表記!$D$4:$E$55,2,FALSE)</f>
        <v>4001</v>
      </c>
      <c r="F331" s="457" t="s">
        <v>42</v>
      </c>
      <c r="G331" s="452" t="str">
        <f>VLOOKUP(F331,★折込地区!$A$1:$B$11,2,FALSE)</f>
        <v>Oka</v>
      </c>
      <c r="H331" s="453">
        <f>INDEX(★サイズ表記!$I$4:$Q$55, MATCH(E331,★サイズ表記!$E$4:$E$55,0), MATCH(G331,★サイズ表記!$I$3:$R$3,0))</f>
        <v>0</v>
      </c>
      <c r="K331" s="471" t="str">
        <f t="shared" si="32"/>
        <v>T4001Oka</v>
      </c>
      <c r="L331" s="471" t="str">
        <f t="shared" si="33"/>
        <v>タブ6P</v>
      </c>
      <c r="P331" s="533" t="s">
        <v>1324</v>
      </c>
      <c r="Q331" s="533" t="s">
        <v>1325</v>
      </c>
      <c r="R331" s="534" t="str">
        <f t="shared" si="34"/>
        <v>4001</v>
      </c>
      <c r="S331" s="534" t="str">
        <f t="shared" si="35"/>
        <v>タブ6P</v>
      </c>
      <c r="T331" s="538" t="str">
        <f t="shared" si="36"/>
        <v>40</v>
      </c>
      <c r="U331" s="538" t="str">
        <f t="shared" si="37"/>
        <v>01</v>
      </c>
      <c r="V331" s="471" t="s">
        <v>1136</v>
      </c>
      <c r="Y331" s="472">
        <f t="shared" si="38"/>
        <v>0</v>
      </c>
      <c r="Z331" s="540">
        <f t="shared" si="39"/>
        <v>0</v>
      </c>
      <c r="AA331" s="471">
        <v>0</v>
      </c>
    </row>
    <row r="332" spans="1:27">
      <c r="A332" s="451" t="str">
        <f>CONCATENATE(VLOOKUP(B332,★営業所!$A$1:$B$5,2,FALSE),VLOOKUP(D332,★サイズ表記!$D$4:$E$55,2,FALSE),VLOOKUP(F332,★折込地区!$A$1:$B$11,2,FALSE))</f>
        <v>T4002Oka</v>
      </c>
      <c r="B332" s="457" t="s">
        <v>275</v>
      </c>
      <c r="C332" s="452" t="str">
        <f>VLOOKUP(B332,★営業所!$A$1:$B$5,2,FALSE)</f>
        <v>T</v>
      </c>
      <c r="D332" s="465" t="s">
        <v>1359</v>
      </c>
      <c r="E332" s="452" t="str">
        <f>VLOOKUP(D332,★サイズ表記!$D$4:$E$55,2,FALSE)</f>
        <v>4002</v>
      </c>
      <c r="F332" s="457" t="s">
        <v>42</v>
      </c>
      <c r="G332" s="452" t="str">
        <f>VLOOKUP(F332,★折込地区!$A$1:$B$11,2,FALSE)</f>
        <v>Oka</v>
      </c>
      <c r="H332" s="453">
        <f>INDEX(★サイズ表記!$I$4:$Q$55, MATCH(E332,★サイズ表記!$E$4:$E$55,0), MATCH(G332,★サイズ表記!$I$3:$R$3,0))</f>
        <v>0</v>
      </c>
      <c r="K332" s="471" t="str">
        <f t="shared" si="32"/>
        <v>T4002Oka</v>
      </c>
      <c r="L332" s="471" t="str">
        <f t="shared" si="33"/>
        <v>タブ8P</v>
      </c>
      <c r="P332" s="533" t="s">
        <v>1324</v>
      </c>
      <c r="Q332" s="533" t="s">
        <v>1325</v>
      </c>
      <c r="R332" s="534" t="str">
        <f t="shared" si="34"/>
        <v>4002</v>
      </c>
      <c r="S332" s="534" t="str">
        <f t="shared" si="35"/>
        <v>タブ8P</v>
      </c>
      <c r="T332" s="538" t="str">
        <f t="shared" si="36"/>
        <v>40</v>
      </c>
      <c r="U332" s="538" t="str">
        <f t="shared" si="37"/>
        <v>02</v>
      </c>
      <c r="V332" s="471" t="s">
        <v>1136</v>
      </c>
      <c r="Y332" s="472">
        <f t="shared" si="38"/>
        <v>0</v>
      </c>
      <c r="Z332" s="540">
        <f t="shared" si="39"/>
        <v>0</v>
      </c>
      <c r="AA332" s="471">
        <v>0</v>
      </c>
    </row>
    <row r="333" spans="1:27">
      <c r="A333" s="451" t="str">
        <f>CONCATENATE(VLOOKUP(B333,★営業所!$A$1:$B$5,2,FALSE),VLOOKUP(D333,★サイズ表記!$D$4:$E$55,2,FALSE),VLOOKUP(F333,★折込地区!$A$1:$B$11,2,FALSE))</f>
        <v>T4003Oka</v>
      </c>
      <c r="B333" s="457" t="s">
        <v>275</v>
      </c>
      <c r="C333" s="452" t="str">
        <f>VLOOKUP(B333,★営業所!$A$1:$B$5,2,FALSE)</f>
        <v>T</v>
      </c>
      <c r="D333" s="465" t="s">
        <v>1360</v>
      </c>
      <c r="E333" s="452" t="str">
        <f>VLOOKUP(D333,★サイズ表記!$D$4:$E$55,2,FALSE)</f>
        <v>4003</v>
      </c>
      <c r="F333" s="457" t="s">
        <v>42</v>
      </c>
      <c r="G333" s="452" t="str">
        <f>VLOOKUP(F333,★折込地区!$A$1:$B$11,2,FALSE)</f>
        <v>Oka</v>
      </c>
      <c r="H333" s="453">
        <f>INDEX(★サイズ表記!$I$4:$Q$55, MATCH(E333,★サイズ表記!$E$4:$E$55,0), MATCH(G333,★サイズ表記!$I$3:$R$3,0))</f>
        <v>0</v>
      </c>
      <c r="K333" s="471" t="str">
        <f t="shared" si="32"/>
        <v>T4003Oka</v>
      </c>
      <c r="L333" s="471" t="str">
        <f t="shared" si="33"/>
        <v>タブ8Pホチキス止め</v>
      </c>
      <c r="P333" s="533" t="s">
        <v>1324</v>
      </c>
      <c r="Q333" s="533" t="s">
        <v>1325</v>
      </c>
      <c r="R333" s="534" t="str">
        <f t="shared" si="34"/>
        <v>4003</v>
      </c>
      <c r="S333" s="534" t="str">
        <f t="shared" si="35"/>
        <v>タブ8Pホチキス止め</v>
      </c>
      <c r="T333" s="538" t="str">
        <f t="shared" si="36"/>
        <v>40</v>
      </c>
      <c r="U333" s="538" t="str">
        <f t="shared" si="37"/>
        <v>03</v>
      </c>
      <c r="V333" s="471" t="s">
        <v>1136</v>
      </c>
      <c r="Y333" s="472">
        <f t="shared" si="38"/>
        <v>0</v>
      </c>
      <c r="Z333" s="540">
        <f t="shared" si="39"/>
        <v>0</v>
      </c>
      <c r="AA333" s="471">
        <v>0</v>
      </c>
    </row>
    <row r="334" spans="1:27">
      <c r="A334" s="451" t="str">
        <f>CONCATENATE(VLOOKUP(B334,★営業所!$A$1:$B$5,2,FALSE),VLOOKUP(D334,★サイズ表記!$D$4:$E$55,2,FALSE),VLOOKUP(F334,★折込地区!$A$1:$B$11,2,FALSE))</f>
        <v>T4004Oka</v>
      </c>
      <c r="B334" s="457" t="s">
        <v>275</v>
      </c>
      <c r="C334" s="452" t="str">
        <f>VLOOKUP(B334,★営業所!$A$1:$B$5,2,FALSE)</f>
        <v>T</v>
      </c>
      <c r="D334" s="465" t="s">
        <v>1350</v>
      </c>
      <c r="E334" s="452" t="str">
        <f>VLOOKUP(D334,★サイズ表記!$D$4:$E$55,2,FALSE)</f>
        <v>4004</v>
      </c>
      <c r="F334" s="457" t="s">
        <v>42</v>
      </c>
      <c r="G334" s="452" t="str">
        <f>VLOOKUP(F334,★折込地区!$A$1:$B$11,2,FALSE)</f>
        <v>Oka</v>
      </c>
      <c r="H334" s="453">
        <f>INDEX(★サイズ表記!$I$4:$Q$55, MATCH(E334,★サイズ表記!$E$4:$E$55,0), MATCH(G334,★サイズ表記!$I$3:$R$3,0))</f>
        <v>0</v>
      </c>
      <c r="K334" s="471" t="str">
        <f t="shared" si="32"/>
        <v>T4004Oka</v>
      </c>
      <c r="L334" s="471" t="str">
        <f t="shared" si="33"/>
        <v>タブ10P</v>
      </c>
      <c r="P334" s="533" t="s">
        <v>1324</v>
      </c>
      <c r="Q334" s="533" t="s">
        <v>1325</v>
      </c>
      <c r="R334" s="534" t="str">
        <f t="shared" si="34"/>
        <v>4004</v>
      </c>
      <c r="S334" s="534" t="str">
        <f t="shared" si="35"/>
        <v>タブ10P</v>
      </c>
      <c r="T334" s="538" t="str">
        <f t="shared" si="36"/>
        <v>40</v>
      </c>
      <c r="U334" s="538" t="str">
        <f t="shared" si="37"/>
        <v>04</v>
      </c>
      <c r="V334" s="471" t="s">
        <v>1136</v>
      </c>
      <c r="Y334" s="472">
        <f t="shared" si="38"/>
        <v>0</v>
      </c>
      <c r="Z334" s="540">
        <f t="shared" si="39"/>
        <v>0</v>
      </c>
      <c r="AA334" s="471">
        <v>0</v>
      </c>
    </row>
    <row r="335" spans="1:27">
      <c r="A335" s="451" t="str">
        <f>CONCATENATE(VLOOKUP(B335,★営業所!$A$1:$B$5,2,FALSE),VLOOKUP(D335,★サイズ表記!$D$4:$E$55,2,FALSE),VLOOKUP(F335,★折込地区!$A$1:$B$11,2,FALSE))</f>
        <v>T4005Oka</v>
      </c>
      <c r="B335" s="457" t="s">
        <v>275</v>
      </c>
      <c r="C335" s="452" t="str">
        <f>VLOOKUP(B335,★営業所!$A$1:$B$5,2,FALSE)</f>
        <v>T</v>
      </c>
      <c r="D335" s="465" t="s">
        <v>1351</v>
      </c>
      <c r="E335" s="452" t="str">
        <f>VLOOKUP(D335,★サイズ表記!$D$4:$E$55,2,FALSE)</f>
        <v>4005</v>
      </c>
      <c r="F335" s="457" t="s">
        <v>42</v>
      </c>
      <c r="G335" s="452" t="str">
        <f>VLOOKUP(F335,★折込地区!$A$1:$B$11,2,FALSE)</f>
        <v>Oka</v>
      </c>
      <c r="H335" s="453">
        <f>INDEX(★サイズ表記!$I$4:$Q$55, MATCH(E335,★サイズ表記!$E$4:$E$55,0), MATCH(G335,★サイズ表記!$I$3:$R$3,0))</f>
        <v>0</v>
      </c>
      <c r="K335" s="471" t="str">
        <f t="shared" si="32"/>
        <v>T4005Oka</v>
      </c>
      <c r="L335" s="471" t="str">
        <f t="shared" si="33"/>
        <v>タブ12P</v>
      </c>
      <c r="P335" s="533" t="s">
        <v>1324</v>
      </c>
      <c r="Q335" s="533" t="s">
        <v>1325</v>
      </c>
      <c r="R335" s="534" t="str">
        <f t="shared" si="34"/>
        <v>4005</v>
      </c>
      <c r="S335" s="534" t="str">
        <f t="shared" si="35"/>
        <v>タブ12P</v>
      </c>
      <c r="T335" s="538" t="str">
        <f t="shared" si="36"/>
        <v>40</v>
      </c>
      <c r="U335" s="538" t="str">
        <f t="shared" si="37"/>
        <v>05</v>
      </c>
      <c r="V335" s="471" t="s">
        <v>1136</v>
      </c>
      <c r="Y335" s="472">
        <f t="shared" si="38"/>
        <v>0</v>
      </c>
      <c r="Z335" s="540">
        <f t="shared" si="39"/>
        <v>0</v>
      </c>
      <c r="AA335" s="471">
        <v>0</v>
      </c>
    </row>
    <row r="336" spans="1:27">
      <c r="A336" s="451" t="str">
        <f>CONCATENATE(VLOOKUP(B336,★営業所!$A$1:$B$5,2,FALSE),VLOOKUP(D336,★サイズ表記!$D$4:$E$55,2,FALSE),VLOOKUP(F336,★折込地区!$A$1:$B$11,2,FALSE))</f>
        <v>T4006Oka</v>
      </c>
      <c r="B336" s="457" t="s">
        <v>275</v>
      </c>
      <c r="C336" s="452" t="str">
        <f>VLOOKUP(B336,★営業所!$A$1:$B$5,2,FALSE)</f>
        <v>T</v>
      </c>
      <c r="D336" s="465" t="s">
        <v>1352</v>
      </c>
      <c r="E336" s="452" t="str">
        <f>VLOOKUP(D336,★サイズ表記!$D$4:$E$55,2,FALSE)</f>
        <v>4006</v>
      </c>
      <c r="F336" s="457" t="s">
        <v>42</v>
      </c>
      <c r="G336" s="452" t="str">
        <f>VLOOKUP(F336,★折込地区!$A$1:$B$11,2,FALSE)</f>
        <v>Oka</v>
      </c>
      <c r="H336" s="453">
        <f>INDEX(★サイズ表記!$I$4:$Q$55, MATCH(E336,★サイズ表記!$E$4:$E$55,0), MATCH(G336,★サイズ表記!$I$3:$R$3,0))</f>
        <v>0</v>
      </c>
      <c r="K336" s="471" t="str">
        <f t="shared" si="32"/>
        <v>T4006Oka</v>
      </c>
      <c r="L336" s="471" t="str">
        <f t="shared" si="33"/>
        <v>タブ14P</v>
      </c>
      <c r="P336" s="533" t="s">
        <v>1324</v>
      </c>
      <c r="Q336" s="533" t="s">
        <v>1325</v>
      </c>
      <c r="R336" s="534" t="str">
        <f t="shared" si="34"/>
        <v>4006</v>
      </c>
      <c r="S336" s="534" t="str">
        <f t="shared" si="35"/>
        <v>タブ14P</v>
      </c>
      <c r="T336" s="538" t="str">
        <f t="shared" si="36"/>
        <v>40</v>
      </c>
      <c r="U336" s="538" t="str">
        <f t="shared" si="37"/>
        <v>06</v>
      </c>
      <c r="V336" s="471" t="s">
        <v>1136</v>
      </c>
      <c r="Y336" s="472">
        <f t="shared" si="38"/>
        <v>0</v>
      </c>
      <c r="Z336" s="540">
        <f t="shared" si="39"/>
        <v>0</v>
      </c>
      <c r="AA336" s="471">
        <v>0</v>
      </c>
    </row>
    <row r="337" spans="1:27">
      <c r="A337" s="451" t="str">
        <f>CONCATENATE(VLOOKUP(B337,★営業所!$A$1:$B$5,2,FALSE),VLOOKUP(D337,★サイズ表記!$D$4:$E$55,2,FALSE),VLOOKUP(F337,★折込地区!$A$1:$B$11,2,FALSE))</f>
        <v>T4007Oka</v>
      </c>
      <c r="B337" s="457" t="s">
        <v>275</v>
      </c>
      <c r="C337" s="452" t="str">
        <f>VLOOKUP(B337,★営業所!$A$1:$B$5,2,FALSE)</f>
        <v>T</v>
      </c>
      <c r="D337" s="465" t="s">
        <v>1353</v>
      </c>
      <c r="E337" s="452" t="str">
        <f>VLOOKUP(D337,★サイズ表記!$D$4:$E$55,2,FALSE)</f>
        <v>4007</v>
      </c>
      <c r="F337" s="457" t="s">
        <v>42</v>
      </c>
      <c r="G337" s="452" t="str">
        <f>VLOOKUP(F337,★折込地区!$A$1:$B$11,2,FALSE)</f>
        <v>Oka</v>
      </c>
      <c r="H337" s="453">
        <f>INDEX(★サイズ表記!$I$4:$Q$55, MATCH(E337,★サイズ表記!$E$4:$E$55,0), MATCH(G337,★サイズ表記!$I$3:$R$3,0))</f>
        <v>0</v>
      </c>
      <c r="K337" s="471" t="str">
        <f t="shared" si="32"/>
        <v>T4007Oka</v>
      </c>
      <c r="L337" s="471" t="str">
        <f t="shared" si="33"/>
        <v>タブ16P</v>
      </c>
      <c r="P337" s="533" t="s">
        <v>1324</v>
      </c>
      <c r="Q337" s="533" t="s">
        <v>1325</v>
      </c>
      <c r="R337" s="534" t="str">
        <f t="shared" si="34"/>
        <v>4007</v>
      </c>
      <c r="S337" s="534" t="str">
        <f t="shared" si="35"/>
        <v>タブ16P</v>
      </c>
      <c r="T337" s="538" t="str">
        <f t="shared" si="36"/>
        <v>40</v>
      </c>
      <c r="U337" s="538" t="str">
        <f t="shared" si="37"/>
        <v>07</v>
      </c>
      <c r="V337" s="471" t="s">
        <v>1136</v>
      </c>
      <c r="Y337" s="472">
        <f t="shared" si="38"/>
        <v>0</v>
      </c>
      <c r="Z337" s="540">
        <f t="shared" si="39"/>
        <v>0</v>
      </c>
      <c r="AA337" s="471">
        <v>0</v>
      </c>
    </row>
    <row r="338" spans="1:27">
      <c r="A338" s="451" t="str">
        <f>CONCATENATE(VLOOKUP(B338,★営業所!$A$1:$B$5,2,FALSE),VLOOKUP(D338,★サイズ表記!$D$4:$E$55,2,FALSE),VLOOKUP(F338,★折込地区!$A$1:$B$11,2,FALSE))</f>
        <v>T4008Oka</v>
      </c>
      <c r="B338" s="457" t="s">
        <v>275</v>
      </c>
      <c r="C338" s="452" t="str">
        <f>VLOOKUP(B338,★営業所!$A$1:$B$5,2,FALSE)</f>
        <v>T</v>
      </c>
      <c r="D338" s="465" t="s">
        <v>1355</v>
      </c>
      <c r="E338" s="452" t="str">
        <f>VLOOKUP(D338,★サイズ表記!$D$4:$E$55,2,FALSE)</f>
        <v>4008</v>
      </c>
      <c r="F338" s="457" t="s">
        <v>42</v>
      </c>
      <c r="G338" s="452" t="str">
        <f>VLOOKUP(F338,★折込地区!$A$1:$B$11,2,FALSE)</f>
        <v>Oka</v>
      </c>
      <c r="H338" s="453">
        <f>INDEX(★サイズ表記!$I$4:$Q$55, MATCH(E338,★サイズ表記!$E$4:$E$55,0), MATCH(G338,★サイズ表記!$I$3:$R$3,0))</f>
        <v>0</v>
      </c>
      <c r="K338" s="471" t="str">
        <f t="shared" si="32"/>
        <v>T4008Oka</v>
      </c>
      <c r="L338" s="471" t="str">
        <f t="shared" si="33"/>
        <v>タブ18P</v>
      </c>
      <c r="P338" s="533" t="s">
        <v>1324</v>
      </c>
      <c r="Q338" s="533" t="s">
        <v>1325</v>
      </c>
      <c r="R338" s="534" t="str">
        <f t="shared" si="34"/>
        <v>4008</v>
      </c>
      <c r="S338" s="534" t="str">
        <f t="shared" si="35"/>
        <v>タブ18P</v>
      </c>
      <c r="T338" s="538" t="str">
        <f t="shared" si="36"/>
        <v>40</v>
      </c>
      <c r="U338" s="538" t="str">
        <f t="shared" si="37"/>
        <v>08</v>
      </c>
      <c r="V338" s="471" t="s">
        <v>1136</v>
      </c>
      <c r="Y338" s="472">
        <f t="shared" si="38"/>
        <v>0</v>
      </c>
      <c r="Z338" s="540">
        <f t="shared" si="39"/>
        <v>0</v>
      </c>
      <c r="AA338" s="471">
        <v>0</v>
      </c>
    </row>
    <row r="339" spans="1:27">
      <c r="A339" s="451" t="str">
        <f>CONCATENATE(VLOOKUP(B339,★営業所!$A$1:$B$5,2,FALSE),VLOOKUP(D339,★サイズ表記!$D$4:$E$55,2,FALSE),VLOOKUP(F339,★折込地区!$A$1:$B$11,2,FALSE))</f>
        <v>T4009Oka</v>
      </c>
      <c r="B339" s="457" t="s">
        <v>275</v>
      </c>
      <c r="C339" s="452" t="str">
        <f>VLOOKUP(B339,★営業所!$A$1:$B$5,2,FALSE)</f>
        <v>T</v>
      </c>
      <c r="D339" s="465" t="s">
        <v>1356</v>
      </c>
      <c r="E339" s="452" t="str">
        <f>VLOOKUP(D339,★サイズ表記!$D$4:$E$55,2,FALSE)</f>
        <v>4009</v>
      </c>
      <c r="F339" s="457" t="s">
        <v>42</v>
      </c>
      <c r="G339" s="452" t="str">
        <f>VLOOKUP(F339,★折込地区!$A$1:$B$11,2,FALSE)</f>
        <v>Oka</v>
      </c>
      <c r="H339" s="453">
        <f>INDEX(★サイズ表記!$I$4:$Q$55, MATCH(E339,★サイズ表記!$E$4:$E$55,0), MATCH(G339,★サイズ表記!$I$3:$R$3,0))</f>
        <v>0</v>
      </c>
      <c r="K339" s="471" t="str">
        <f t="shared" si="32"/>
        <v>T4009Oka</v>
      </c>
      <c r="L339" s="471" t="str">
        <f t="shared" si="33"/>
        <v>タブ20P</v>
      </c>
      <c r="P339" s="533" t="s">
        <v>1324</v>
      </c>
      <c r="Q339" s="533" t="s">
        <v>1325</v>
      </c>
      <c r="R339" s="534" t="str">
        <f t="shared" si="34"/>
        <v>4009</v>
      </c>
      <c r="S339" s="534" t="str">
        <f t="shared" si="35"/>
        <v>タブ20P</v>
      </c>
      <c r="T339" s="538" t="str">
        <f t="shared" si="36"/>
        <v>40</v>
      </c>
      <c r="U339" s="538" t="str">
        <f t="shared" si="37"/>
        <v>09</v>
      </c>
      <c r="V339" s="471" t="s">
        <v>1136</v>
      </c>
      <c r="Y339" s="472">
        <f t="shared" si="38"/>
        <v>0</v>
      </c>
      <c r="Z339" s="540">
        <f t="shared" si="39"/>
        <v>0</v>
      </c>
      <c r="AA339" s="471">
        <v>0</v>
      </c>
    </row>
    <row r="340" spans="1:27">
      <c r="A340" s="451" t="str">
        <f>CONCATENATE(VLOOKUP(B340,★営業所!$A$1:$B$5,2,FALSE),VLOOKUP(D340,★サイズ表記!$D$4:$E$55,2,FALSE),VLOOKUP(F340,★折込地区!$A$1:$B$11,2,FALSE))</f>
        <v>T4010Oka</v>
      </c>
      <c r="B340" s="457" t="s">
        <v>275</v>
      </c>
      <c r="C340" s="452" t="str">
        <f>VLOOKUP(B340,★営業所!$A$1:$B$5,2,FALSE)</f>
        <v>T</v>
      </c>
      <c r="D340" s="465" t="s">
        <v>1354</v>
      </c>
      <c r="E340" s="452" t="str">
        <f>VLOOKUP(D340,★サイズ表記!$D$4:$E$55,2,FALSE)</f>
        <v>4010</v>
      </c>
      <c r="F340" s="457" t="s">
        <v>42</v>
      </c>
      <c r="G340" s="452" t="str">
        <f>VLOOKUP(F340,★折込地区!$A$1:$B$11,2,FALSE)</f>
        <v>Oka</v>
      </c>
      <c r="H340" s="453">
        <f>INDEX(★サイズ表記!$I$4:$Q$55, MATCH(E340,★サイズ表記!$E$4:$E$55,0), MATCH(G340,★サイズ表記!$I$3:$R$3,0))</f>
        <v>0</v>
      </c>
      <c r="K340" s="471" t="str">
        <f t="shared" si="32"/>
        <v>T4010Oka</v>
      </c>
      <c r="L340" s="471" t="str">
        <f t="shared" si="33"/>
        <v>タブ16Pホチキス止め</v>
      </c>
      <c r="P340" s="533" t="s">
        <v>1324</v>
      </c>
      <c r="Q340" s="533" t="s">
        <v>1325</v>
      </c>
      <c r="R340" s="534" t="str">
        <f t="shared" si="34"/>
        <v>4010</v>
      </c>
      <c r="S340" s="534" t="str">
        <f t="shared" si="35"/>
        <v>タブ16Pホチキス止め</v>
      </c>
      <c r="T340" s="538" t="str">
        <f t="shared" si="36"/>
        <v>40</v>
      </c>
      <c r="U340" s="538" t="str">
        <f t="shared" si="37"/>
        <v>10</v>
      </c>
      <c r="V340" s="471" t="s">
        <v>1136</v>
      </c>
      <c r="Y340" s="472">
        <f t="shared" si="38"/>
        <v>0</v>
      </c>
      <c r="Z340" s="540">
        <f t="shared" si="39"/>
        <v>0</v>
      </c>
      <c r="AA340" s="471">
        <v>0</v>
      </c>
    </row>
    <row r="341" spans="1:27">
      <c r="A341" s="451" t="str">
        <f>CONCATENATE(VLOOKUP(B341,★営業所!$A$1:$B$5,2,FALSE),VLOOKUP(D341,★サイズ表記!$D$4:$E$55,2,FALSE),VLOOKUP(F341,★折込地区!$A$1:$B$11,2,FALSE))</f>
        <v>T4011Oka</v>
      </c>
      <c r="B341" s="457" t="s">
        <v>275</v>
      </c>
      <c r="C341" s="452" t="str">
        <f>VLOOKUP(B341,★営業所!$A$1:$B$5,2,FALSE)</f>
        <v>T</v>
      </c>
      <c r="D341" s="465" t="s">
        <v>1357</v>
      </c>
      <c r="E341" s="452" t="str">
        <f>VLOOKUP(D341,★サイズ表記!$D$4:$E$55,2,FALSE)</f>
        <v>4011</v>
      </c>
      <c r="F341" s="457" t="s">
        <v>42</v>
      </c>
      <c r="G341" s="452" t="str">
        <f>VLOOKUP(F341,★折込地区!$A$1:$B$11,2,FALSE)</f>
        <v>Oka</v>
      </c>
      <c r="H341" s="453">
        <f>INDEX(★サイズ表記!$I$4:$Q$55, MATCH(E341,★サイズ表記!$E$4:$E$55,0), MATCH(G341,★サイズ表記!$I$3:$R$3,0))</f>
        <v>0</v>
      </c>
      <c r="K341" s="471" t="str">
        <f t="shared" si="32"/>
        <v>T4011Oka</v>
      </c>
      <c r="L341" s="471" t="str">
        <f t="shared" si="33"/>
        <v>タブ40P</v>
      </c>
      <c r="P341" s="533" t="s">
        <v>1324</v>
      </c>
      <c r="Q341" s="533" t="s">
        <v>1325</v>
      </c>
      <c r="R341" s="534" t="str">
        <f t="shared" si="34"/>
        <v>4011</v>
      </c>
      <c r="S341" s="534" t="str">
        <f t="shared" si="35"/>
        <v>タブ40P</v>
      </c>
      <c r="T341" s="538" t="str">
        <f t="shared" si="36"/>
        <v>40</v>
      </c>
      <c r="U341" s="538" t="str">
        <f t="shared" si="37"/>
        <v>11</v>
      </c>
      <c r="V341" s="471" t="s">
        <v>1136</v>
      </c>
      <c r="Y341" s="472">
        <f t="shared" si="38"/>
        <v>0</v>
      </c>
      <c r="Z341" s="540">
        <f t="shared" si="39"/>
        <v>0</v>
      </c>
      <c r="AA341" s="471">
        <v>0</v>
      </c>
    </row>
    <row r="342" spans="1:27">
      <c r="A342" s="451" t="str">
        <f>CONCATENATE(VLOOKUP(B342,★営業所!$A$1:$B$5,2,FALSE),VLOOKUP(D342,★サイズ表記!$D$4:$E$55,2,FALSE),VLOOKUP(F342,★折込地区!$A$1:$B$11,2,FALSE))</f>
        <v>T9001Oka</v>
      </c>
      <c r="B342" s="457" t="s">
        <v>275</v>
      </c>
      <c r="C342" s="452" t="str">
        <f>VLOOKUP(B342,★営業所!$A$1:$B$5,2,FALSE)</f>
        <v>T</v>
      </c>
      <c r="D342" s="465" t="s">
        <v>975</v>
      </c>
      <c r="E342" s="452" t="str">
        <f>VLOOKUP(D342,★サイズ表記!$D$4:$E$55,2,FALSE)</f>
        <v>9001</v>
      </c>
      <c r="F342" s="457" t="s">
        <v>42</v>
      </c>
      <c r="G342" s="452" t="str">
        <f>VLOOKUP(F342,★折込地区!$A$1:$B$11,2,FALSE)</f>
        <v>Oka</v>
      </c>
      <c r="H342" s="453">
        <f>INDEX(★サイズ表記!$I$4:$Q$55, MATCH(E342,★サイズ表記!$E$4:$E$55,0), MATCH(G342,★サイズ表記!$I$3:$R$3,0))</f>
        <v>0</v>
      </c>
      <c r="K342" s="471" t="str">
        <f t="shared" si="32"/>
        <v>T9001Oka</v>
      </c>
      <c r="L342" s="471" t="str">
        <f t="shared" si="33"/>
        <v>うさぎの耳</v>
      </c>
      <c r="P342" s="533" t="s">
        <v>1324</v>
      </c>
      <c r="Q342" s="533" t="s">
        <v>1325</v>
      </c>
      <c r="R342" s="534" t="str">
        <f t="shared" si="34"/>
        <v>9001</v>
      </c>
      <c r="S342" s="534" t="str">
        <f t="shared" si="35"/>
        <v>うさぎの耳</v>
      </c>
      <c r="T342" s="538" t="str">
        <f t="shared" si="36"/>
        <v>90</v>
      </c>
      <c r="U342" s="538" t="str">
        <f t="shared" si="37"/>
        <v>01</v>
      </c>
      <c r="V342" s="471" t="s">
        <v>1136</v>
      </c>
      <c r="Y342" s="472">
        <f t="shared" si="38"/>
        <v>0</v>
      </c>
      <c r="Z342" s="540">
        <f t="shared" si="39"/>
        <v>0</v>
      </c>
      <c r="AA342" s="471">
        <v>0</v>
      </c>
    </row>
    <row r="343" spans="1:27">
      <c r="A343" s="451" t="str">
        <f>CONCATENATE(VLOOKUP(B343,★営業所!$A$1:$B$5,2,FALSE),VLOOKUP(D343,★サイズ表記!$D$4:$E$55,2,FALSE),VLOOKUP(F343,★折込地区!$A$1:$B$11,2,FALSE))</f>
        <v>T9002Oka</v>
      </c>
      <c r="B343" s="457" t="s">
        <v>275</v>
      </c>
      <c r="C343" s="452" t="str">
        <f>VLOOKUP(B343,★営業所!$A$1:$B$5,2,FALSE)</f>
        <v>T</v>
      </c>
      <c r="D343" s="465" t="s">
        <v>976</v>
      </c>
      <c r="E343" s="452" t="str">
        <f>VLOOKUP(D343,★サイズ表記!$D$4:$E$55,2,FALSE)</f>
        <v>9002</v>
      </c>
      <c r="F343" s="457" t="s">
        <v>42</v>
      </c>
      <c r="G343" s="452" t="str">
        <f>VLOOKUP(F343,★折込地区!$A$1:$B$11,2,FALSE)</f>
        <v>Oka</v>
      </c>
      <c r="H343" s="453">
        <f>INDEX(★サイズ表記!$I$4:$Q$55, MATCH(E343,★サイズ表記!$E$4:$E$55,0), MATCH(G343,★サイズ表記!$I$3:$R$3,0))</f>
        <v>0</v>
      </c>
      <c r="K343" s="471" t="str">
        <f t="shared" si="32"/>
        <v>T9002Oka</v>
      </c>
      <c r="L343" s="471" t="str">
        <f t="shared" si="33"/>
        <v>ユーキャン（題字）</v>
      </c>
      <c r="P343" s="533" t="s">
        <v>1324</v>
      </c>
      <c r="Q343" s="533" t="s">
        <v>1325</v>
      </c>
      <c r="R343" s="534" t="str">
        <f t="shared" si="34"/>
        <v>9002</v>
      </c>
      <c r="S343" s="534" t="str">
        <f t="shared" si="35"/>
        <v>ユーキャン（題字）</v>
      </c>
      <c r="T343" s="538" t="str">
        <f t="shared" si="36"/>
        <v>90</v>
      </c>
      <c r="U343" s="538" t="str">
        <f t="shared" si="37"/>
        <v>02</v>
      </c>
      <c r="V343" s="471" t="s">
        <v>1136</v>
      </c>
      <c r="Y343" s="472">
        <f t="shared" si="38"/>
        <v>0</v>
      </c>
      <c r="Z343" s="540">
        <f t="shared" si="39"/>
        <v>0</v>
      </c>
      <c r="AA343" s="471">
        <v>0</v>
      </c>
    </row>
    <row r="344" spans="1:27">
      <c r="A344" s="451" t="str">
        <f>CONCATENATE(VLOOKUP(B344,★営業所!$A$1:$B$5,2,FALSE),VLOOKUP(D344,★サイズ表記!$D$4:$E$55,2,FALSE),VLOOKUP(F344,★折込地区!$A$1:$B$11,2,FALSE))</f>
        <v>T9003Oka</v>
      </c>
      <c r="B344" s="457" t="s">
        <v>275</v>
      </c>
      <c r="C344" s="452" t="str">
        <f>VLOOKUP(B344,★営業所!$A$1:$B$5,2,FALSE)</f>
        <v>T</v>
      </c>
      <c r="D344" s="465" t="s">
        <v>977</v>
      </c>
      <c r="E344" s="452" t="str">
        <f>VLOOKUP(D344,★サイズ表記!$D$4:$E$55,2,FALSE)</f>
        <v>9003</v>
      </c>
      <c r="F344" s="457" t="s">
        <v>42</v>
      </c>
      <c r="G344" s="452" t="str">
        <f>VLOOKUP(F344,★折込地区!$A$1:$B$11,2,FALSE)</f>
        <v>Oka</v>
      </c>
      <c r="H344" s="453">
        <f>INDEX(★サイズ表記!$I$4:$Q$55, MATCH(E344,★サイズ表記!$E$4:$E$55,0), MATCH(G344,★サイズ表記!$I$3:$R$3,0))</f>
        <v>0</v>
      </c>
      <c r="K344" s="471" t="str">
        <f t="shared" si="32"/>
        <v>T9003Oka</v>
      </c>
      <c r="L344" s="471" t="str">
        <f t="shared" si="33"/>
        <v>横長B3</v>
      </c>
      <c r="P344" s="533" t="s">
        <v>1324</v>
      </c>
      <c r="Q344" s="533" t="s">
        <v>1325</v>
      </c>
      <c r="R344" s="534" t="str">
        <f t="shared" si="34"/>
        <v>9003</v>
      </c>
      <c r="S344" s="534" t="str">
        <f t="shared" si="35"/>
        <v>横長B3</v>
      </c>
      <c r="T344" s="538" t="str">
        <f t="shared" si="36"/>
        <v>90</v>
      </c>
      <c r="U344" s="538" t="str">
        <f t="shared" si="37"/>
        <v>03</v>
      </c>
      <c r="V344" s="471" t="s">
        <v>1136</v>
      </c>
      <c r="Y344" s="472">
        <f t="shared" si="38"/>
        <v>0</v>
      </c>
      <c r="Z344" s="540">
        <f t="shared" si="39"/>
        <v>0</v>
      </c>
      <c r="AA344" s="471">
        <v>0</v>
      </c>
    </row>
    <row r="345" spans="1:27">
      <c r="A345" s="451" t="str">
        <f>CONCATENATE(VLOOKUP(B345,★営業所!$A$1:$B$5,2,FALSE),VLOOKUP(D345,★サイズ表記!$D$4:$E$55,2,FALSE),VLOOKUP(F345,★折込地区!$A$1:$B$11,2,FALSE))</f>
        <v>T9004Oka</v>
      </c>
      <c r="B345" s="457" t="s">
        <v>275</v>
      </c>
      <c r="C345" s="452" t="str">
        <f>VLOOKUP(B345,★営業所!$A$1:$B$5,2,FALSE)</f>
        <v>T</v>
      </c>
      <c r="D345" s="465" t="s">
        <v>978</v>
      </c>
      <c r="E345" s="452" t="str">
        <f>VLOOKUP(D345,★サイズ表記!$D$4:$E$55,2,FALSE)</f>
        <v>9004</v>
      </c>
      <c r="F345" s="457" t="s">
        <v>42</v>
      </c>
      <c r="G345" s="452" t="str">
        <f>VLOOKUP(F345,★折込地区!$A$1:$B$11,2,FALSE)</f>
        <v>Oka</v>
      </c>
      <c r="H345" s="453">
        <f>INDEX(★サイズ表記!$I$4:$Q$55, MATCH(E345,★サイズ表記!$E$4:$E$55,0), MATCH(G345,★サイズ表記!$I$3:$R$3,0))</f>
        <v>0</v>
      </c>
      <c r="K345" s="471" t="str">
        <f t="shared" si="32"/>
        <v>T9004Oka</v>
      </c>
      <c r="L345" s="471" t="str">
        <f t="shared" si="33"/>
        <v>AD-BAG</v>
      </c>
      <c r="P345" s="533" t="s">
        <v>1324</v>
      </c>
      <c r="Q345" s="533" t="s">
        <v>1325</v>
      </c>
      <c r="R345" s="534" t="str">
        <f t="shared" si="34"/>
        <v>9004</v>
      </c>
      <c r="S345" s="534" t="str">
        <f t="shared" si="35"/>
        <v>AD-BAG</v>
      </c>
      <c r="T345" s="538" t="str">
        <f t="shared" si="36"/>
        <v>90</v>
      </c>
      <c r="U345" s="538" t="str">
        <f t="shared" si="37"/>
        <v>04</v>
      </c>
      <c r="V345" s="471" t="s">
        <v>1136</v>
      </c>
      <c r="Y345" s="472">
        <f t="shared" si="38"/>
        <v>0</v>
      </c>
      <c r="Z345" s="540">
        <f t="shared" si="39"/>
        <v>0</v>
      </c>
      <c r="AA345" s="471">
        <v>0</v>
      </c>
    </row>
    <row r="346" spans="1:27">
      <c r="A346" s="451" t="str">
        <f>CONCATENATE(VLOOKUP(B346,★営業所!$A$1:$B$5,2,FALSE),VLOOKUP(D346,★サイズ表記!$D$4:$E$55,2,FALSE),VLOOKUP(F346,★折込地区!$A$1:$B$11,2,FALSE))</f>
        <v>T9005Oka</v>
      </c>
      <c r="B346" s="457" t="s">
        <v>275</v>
      </c>
      <c r="C346" s="452" t="str">
        <f>VLOOKUP(B346,★営業所!$A$1:$B$5,2,FALSE)</f>
        <v>T</v>
      </c>
      <c r="D346" s="465" t="s">
        <v>979</v>
      </c>
      <c r="E346" s="452" t="str">
        <f>VLOOKUP(D346,★サイズ表記!$D$4:$E$55,2,FALSE)</f>
        <v>9005</v>
      </c>
      <c r="F346" s="457" t="s">
        <v>42</v>
      </c>
      <c r="G346" s="452" t="str">
        <f>VLOOKUP(F346,★折込地区!$A$1:$B$11,2,FALSE)</f>
        <v>Oka</v>
      </c>
      <c r="H346" s="453">
        <f>INDEX(★サイズ表記!$I$4:$Q$55, MATCH(E346,★サイズ表記!$E$4:$E$55,0), MATCH(G346,★サイズ表記!$I$3:$R$3,0))</f>
        <v>0</v>
      </c>
      <c r="K346" s="471" t="str">
        <f t="shared" si="32"/>
        <v>T9005Oka</v>
      </c>
      <c r="L346" s="471" t="str">
        <f t="shared" si="33"/>
        <v>封筒</v>
      </c>
      <c r="P346" s="533" t="s">
        <v>1324</v>
      </c>
      <c r="Q346" s="533" t="s">
        <v>1325</v>
      </c>
      <c r="R346" s="534" t="str">
        <f t="shared" si="34"/>
        <v>9005</v>
      </c>
      <c r="S346" s="534" t="str">
        <f t="shared" si="35"/>
        <v>封筒</v>
      </c>
      <c r="T346" s="538" t="str">
        <f t="shared" si="36"/>
        <v>90</v>
      </c>
      <c r="U346" s="538" t="str">
        <f t="shared" si="37"/>
        <v>05</v>
      </c>
      <c r="V346" s="471" t="s">
        <v>1136</v>
      </c>
      <c r="Y346" s="472">
        <f t="shared" si="38"/>
        <v>0</v>
      </c>
      <c r="Z346" s="540">
        <f t="shared" si="39"/>
        <v>0</v>
      </c>
      <c r="AA346" s="471">
        <v>0</v>
      </c>
    </row>
    <row r="347" spans="1:27">
      <c r="A347" s="451" t="str">
        <f>CONCATENATE(VLOOKUP(B347,★営業所!$A$1:$B$5,2,FALSE),VLOOKUP(D347,★サイズ表記!$D$4:$E$55,2,FALSE),VLOOKUP(F347,★折込地区!$A$1:$B$11,2,FALSE))</f>
        <v>T9006Oka</v>
      </c>
      <c r="B347" s="457" t="s">
        <v>275</v>
      </c>
      <c r="C347" s="452" t="str">
        <f>VLOOKUP(B347,★営業所!$A$1:$B$5,2,FALSE)</f>
        <v>T</v>
      </c>
      <c r="D347" s="465" t="s">
        <v>980</v>
      </c>
      <c r="E347" s="452" t="str">
        <f>VLOOKUP(D347,★サイズ表記!$D$4:$E$55,2,FALSE)</f>
        <v>9006</v>
      </c>
      <c r="F347" s="457" t="s">
        <v>42</v>
      </c>
      <c r="G347" s="452" t="str">
        <f>VLOOKUP(F347,★折込地区!$A$1:$B$11,2,FALSE)</f>
        <v>Oka</v>
      </c>
      <c r="H347" s="453">
        <f>INDEX(★サイズ表記!$I$4:$Q$55, MATCH(E347,★サイズ表記!$E$4:$E$55,0), MATCH(G347,★サイズ表記!$I$3:$R$3,0))</f>
        <v>0</v>
      </c>
      <c r="K347" s="471" t="str">
        <f t="shared" si="32"/>
        <v>T9006Oka</v>
      </c>
      <c r="L347" s="471" t="str">
        <f t="shared" si="33"/>
        <v>圧着</v>
      </c>
      <c r="P347" s="533" t="s">
        <v>1324</v>
      </c>
      <c r="Q347" s="533" t="s">
        <v>1325</v>
      </c>
      <c r="R347" s="534" t="str">
        <f t="shared" si="34"/>
        <v>9006</v>
      </c>
      <c r="S347" s="534" t="str">
        <f t="shared" si="35"/>
        <v>圧着</v>
      </c>
      <c r="T347" s="538" t="str">
        <f t="shared" si="36"/>
        <v>90</v>
      </c>
      <c r="U347" s="538" t="str">
        <f t="shared" si="37"/>
        <v>06</v>
      </c>
      <c r="V347" s="471" t="s">
        <v>1136</v>
      </c>
      <c r="Y347" s="472">
        <f t="shared" si="38"/>
        <v>0</v>
      </c>
      <c r="Z347" s="540">
        <f t="shared" si="39"/>
        <v>0</v>
      </c>
      <c r="AA347" s="471">
        <v>0</v>
      </c>
    </row>
    <row r="348" spans="1:27">
      <c r="A348" s="451" t="str">
        <f>CONCATENATE(VLOOKUP(B348,★営業所!$A$1:$B$5,2,FALSE),VLOOKUP(D348,★サイズ表記!$D$4:$E$55,2,FALSE),VLOOKUP(F348,★折込地区!$A$1:$B$11,2,FALSE))</f>
        <v>T9007Oka</v>
      </c>
      <c r="B348" s="457" t="s">
        <v>275</v>
      </c>
      <c r="C348" s="452" t="str">
        <f>VLOOKUP(B348,★営業所!$A$1:$B$5,2,FALSE)</f>
        <v>T</v>
      </c>
      <c r="D348" s="465" t="s">
        <v>981</v>
      </c>
      <c r="E348" s="452" t="str">
        <f>VLOOKUP(D348,★サイズ表記!$D$4:$E$55,2,FALSE)</f>
        <v>9007</v>
      </c>
      <c r="F348" s="457" t="s">
        <v>42</v>
      </c>
      <c r="G348" s="452" t="str">
        <f>VLOOKUP(F348,★折込地区!$A$1:$B$11,2,FALSE)</f>
        <v>Oka</v>
      </c>
      <c r="H348" s="453">
        <f>INDEX(★サイズ表記!$I$4:$Q$55, MATCH(E348,★サイズ表記!$E$4:$E$55,0), MATCH(G348,★サイズ表記!$I$3:$R$3,0))</f>
        <v>0</v>
      </c>
      <c r="K348" s="471" t="str">
        <f t="shared" si="32"/>
        <v>T9007Oka</v>
      </c>
      <c r="L348" s="471" t="str">
        <f t="shared" si="33"/>
        <v>圧着厚紙</v>
      </c>
      <c r="P348" s="533" t="s">
        <v>1324</v>
      </c>
      <c r="Q348" s="533" t="s">
        <v>1325</v>
      </c>
      <c r="R348" s="534" t="str">
        <f t="shared" si="34"/>
        <v>9007</v>
      </c>
      <c r="S348" s="534" t="str">
        <f t="shared" si="35"/>
        <v>圧着厚紙</v>
      </c>
      <c r="T348" s="538" t="str">
        <f t="shared" si="36"/>
        <v>90</v>
      </c>
      <c r="U348" s="538" t="str">
        <f t="shared" si="37"/>
        <v>07</v>
      </c>
      <c r="V348" s="471" t="s">
        <v>1136</v>
      </c>
      <c r="Y348" s="472">
        <f t="shared" si="38"/>
        <v>0</v>
      </c>
      <c r="Z348" s="540">
        <f t="shared" si="39"/>
        <v>0</v>
      </c>
      <c r="AA348" s="471">
        <v>0</v>
      </c>
    </row>
    <row r="349" spans="1:27">
      <c r="A349" s="451" t="str">
        <f>CONCATENATE(VLOOKUP(B349,★営業所!$A$1:$B$5,2,FALSE),VLOOKUP(D349,★サイズ表記!$D$4:$E$55,2,FALSE),VLOOKUP(F349,★折込地区!$A$1:$B$11,2,FALSE))</f>
        <v>T1001Shi</v>
      </c>
      <c r="B349" s="457" t="s">
        <v>275</v>
      </c>
      <c r="C349" s="452" t="str">
        <f>VLOOKUP(B349,★営業所!$A$1:$B$5,2,FALSE)</f>
        <v>T</v>
      </c>
      <c r="D349" s="465" t="s">
        <v>948</v>
      </c>
      <c r="E349" s="452" t="str">
        <f>VLOOKUP(D349,★サイズ表記!$D$4:$E$55,2,FALSE)</f>
        <v>1001</v>
      </c>
      <c r="F349" s="457" t="s">
        <v>41</v>
      </c>
      <c r="G349" s="452" t="str">
        <f>VLOOKUP(F349,★折込地区!$A$1:$B$11,2,FALSE)</f>
        <v>Shi</v>
      </c>
      <c r="H349" s="453">
        <f>INDEX(★サイズ表記!$I$4:$Q$55, MATCH(E349,★サイズ表記!$E$4:$E$55,0), MATCH(G349,★サイズ表記!$I$3:$R$3,0))</f>
        <v>3</v>
      </c>
      <c r="K349" s="471" t="str">
        <f t="shared" si="32"/>
        <v>T1001Shi</v>
      </c>
      <c r="L349" s="471" t="str">
        <f t="shared" si="33"/>
        <v>B4（折り無し）</v>
      </c>
      <c r="P349" s="533" t="s">
        <v>1324</v>
      </c>
      <c r="Q349" s="533" t="s">
        <v>1325</v>
      </c>
      <c r="R349" s="534" t="str">
        <f t="shared" si="34"/>
        <v>1001</v>
      </c>
      <c r="S349" s="534" t="str">
        <f t="shared" si="35"/>
        <v>B4（折り無し）</v>
      </c>
      <c r="T349" s="538" t="str">
        <f t="shared" si="36"/>
        <v>10</v>
      </c>
      <c r="U349" s="538" t="str">
        <f t="shared" si="37"/>
        <v>01</v>
      </c>
      <c r="V349" s="471" t="s">
        <v>1136</v>
      </c>
      <c r="Y349" s="472">
        <f t="shared" si="38"/>
        <v>3</v>
      </c>
      <c r="Z349" s="540">
        <f t="shared" si="39"/>
        <v>0.24</v>
      </c>
      <c r="AA349" s="471">
        <v>0</v>
      </c>
    </row>
    <row r="350" spans="1:27">
      <c r="A350" s="451" t="str">
        <f>CONCATENATE(VLOOKUP(B350,★営業所!$A$1:$B$5,2,FALSE),VLOOKUP(D350,★サイズ表記!$D$4:$E$55,2,FALSE),VLOOKUP(F350,★折込地区!$A$1:$B$11,2,FALSE))</f>
        <v>T1002Shi</v>
      </c>
      <c r="B350" s="457" t="s">
        <v>275</v>
      </c>
      <c r="C350" s="452" t="str">
        <f>VLOOKUP(B350,★営業所!$A$1:$B$5,2,FALSE)</f>
        <v>T</v>
      </c>
      <c r="D350" s="465" t="s">
        <v>950</v>
      </c>
      <c r="E350" s="452" t="str">
        <f>VLOOKUP(D350,★サイズ表記!$D$4:$E$55,2,FALSE)</f>
        <v>1002</v>
      </c>
      <c r="F350" s="457" t="s">
        <v>41</v>
      </c>
      <c r="G350" s="452" t="str">
        <f>VLOOKUP(F350,★折込地区!$A$1:$B$11,2,FALSE)</f>
        <v>Shi</v>
      </c>
      <c r="H350" s="453">
        <f>INDEX(★サイズ表記!$I$4:$Q$55, MATCH(E350,★サイズ表記!$E$4:$E$55,0), MATCH(G350,★サイズ表記!$I$3:$R$3,0))</f>
        <v>4</v>
      </c>
      <c r="K350" s="471" t="str">
        <f t="shared" si="32"/>
        <v>T1002Shi</v>
      </c>
      <c r="L350" s="471" t="str">
        <f t="shared" si="33"/>
        <v>B3（2つ折り）</v>
      </c>
      <c r="P350" s="533" t="s">
        <v>1324</v>
      </c>
      <c r="Q350" s="533" t="s">
        <v>1325</v>
      </c>
      <c r="R350" s="534" t="str">
        <f t="shared" si="34"/>
        <v>1002</v>
      </c>
      <c r="S350" s="534" t="str">
        <f t="shared" si="35"/>
        <v>B3（2つ折り）</v>
      </c>
      <c r="T350" s="538" t="str">
        <f t="shared" si="36"/>
        <v>10</v>
      </c>
      <c r="U350" s="538" t="str">
        <f t="shared" si="37"/>
        <v>02</v>
      </c>
      <c r="V350" s="471" t="s">
        <v>1136</v>
      </c>
      <c r="Y350" s="472">
        <f t="shared" si="38"/>
        <v>4</v>
      </c>
      <c r="Z350" s="540">
        <f t="shared" si="39"/>
        <v>0.32</v>
      </c>
      <c r="AA350" s="471">
        <v>0</v>
      </c>
    </row>
    <row r="351" spans="1:27">
      <c r="A351" s="451" t="str">
        <f>CONCATENATE(VLOOKUP(B351,★営業所!$A$1:$B$5,2,FALSE),VLOOKUP(D351,★サイズ表記!$D$4:$E$55,2,FALSE),VLOOKUP(F351,★折込地区!$A$1:$B$11,2,FALSE))</f>
        <v>T1003Shi</v>
      </c>
      <c r="B351" s="457" t="s">
        <v>275</v>
      </c>
      <c r="C351" s="452" t="str">
        <f>VLOOKUP(B351,★営業所!$A$1:$B$5,2,FALSE)</f>
        <v>T</v>
      </c>
      <c r="D351" s="465" t="s">
        <v>951</v>
      </c>
      <c r="E351" s="452" t="str">
        <f>VLOOKUP(D351,★サイズ表記!$D$4:$E$55,2,FALSE)</f>
        <v>1003</v>
      </c>
      <c r="F351" s="457" t="s">
        <v>41</v>
      </c>
      <c r="G351" s="452" t="str">
        <f>VLOOKUP(F351,★折込地区!$A$1:$B$11,2,FALSE)</f>
        <v>Shi</v>
      </c>
      <c r="H351" s="453">
        <f>INDEX(★サイズ表記!$I$4:$Q$55, MATCH(E351,★サイズ表記!$E$4:$E$55,0), MATCH(G351,★サイズ表記!$I$3:$R$3,0))</f>
        <v>0</v>
      </c>
      <c r="K351" s="471" t="str">
        <f t="shared" si="32"/>
        <v>T1003Shi</v>
      </c>
      <c r="L351" s="471" t="str">
        <f t="shared" si="33"/>
        <v>3つ折り</v>
      </c>
      <c r="P351" s="533" t="s">
        <v>1324</v>
      </c>
      <c r="Q351" s="533" t="s">
        <v>1325</v>
      </c>
      <c r="R351" s="534" t="str">
        <f t="shared" si="34"/>
        <v>1003</v>
      </c>
      <c r="S351" s="534" t="str">
        <f t="shared" si="35"/>
        <v>3つ折り</v>
      </c>
      <c r="T351" s="538" t="str">
        <f t="shared" si="36"/>
        <v>10</v>
      </c>
      <c r="U351" s="538" t="str">
        <f t="shared" si="37"/>
        <v>03</v>
      </c>
      <c r="V351" s="471" t="s">
        <v>1136</v>
      </c>
      <c r="Y351" s="472">
        <f t="shared" si="38"/>
        <v>0</v>
      </c>
      <c r="Z351" s="540">
        <f t="shared" si="39"/>
        <v>0</v>
      </c>
      <c r="AA351" s="471">
        <v>0</v>
      </c>
    </row>
    <row r="352" spans="1:27">
      <c r="A352" s="451" t="str">
        <f>CONCATENATE(VLOOKUP(B352,★営業所!$A$1:$B$5,2,FALSE),VLOOKUP(D352,★サイズ表記!$D$4:$E$55,2,FALSE),VLOOKUP(F352,★折込地区!$A$1:$B$11,2,FALSE))</f>
        <v>T1004Shi</v>
      </c>
      <c r="B352" s="457" t="s">
        <v>275</v>
      </c>
      <c r="C352" s="452" t="str">
        <f>VLOOKUP(B352,★営業所!$A$1:$B$5,2,FALSE)</f>
        <v>T</v>
      </c>
      <c r="D352" s="465" t="s">
        <v>947</v>
      </c>
      <c r="E352" s="452" t="str">
        <f>VLOOKUP(D352,★サイズ表記!$D$4:$E$55,2,FALSE)</f>
        <v>1004</v>
      </c>
      <c r="F352" s="457" t="s">
        <v>41</v>
      </c>
      <c r="G352" s="452" t="str">
        <f>VLOOKUP(F352,★折込地区!$A$1:$B$11,2,FALSE)</f>
        <v>Shi</v>
      </c>
      <c r="H352" s="453">
        <f>INDEX(★サイズ表記!$I$4:$Q$55, MATCH(E352,★サイズ表記!$E$4:$E$55,0), MATCH(G352,★サイズ表記!$I$3:$R$3,0))</f>
        <v>0</v>
      </c>
      <c r="K352" s="471" t="str">
        <f t="shared" si="32"/>
        <v>T1004Shi</v>
      </c>
      <c r="L352" s="471" t="str">
        <f t="shared" si="33"/>
        <v>観音折</v>
      </c>
      <c r="P352" s="533" t="s">
        <v>1324</v>
      </c>
      <c r="Q352" s="533" t="s">
        <v>1325</v>
      </c>
      <c r="R352" s="534" t="str">
        <f t="shared" si="34"/>
        <v>1004</v>
      </c>
      <c r="S352" s="534" t="str">
        <f t="shared" si="35"/>
        <v>観音折</v>
      </c>
      <c r="T352" s="538" t="str">
        <f t="shared" si="36"/>
        <v>10</v>
      </c>
      <c r="U352" s="538" t="str">
        <f t="shared" si="37"/>
        <v>04</v>
      </c>
      <c r="V352" s="471" t="s">
        <v>1136</v>
      </c>
      <c r="Y352" s="472">
        <f t="shared" si="38"/>
        <v>0</v>
      </c>
      <c r="Z352" s="540">
        <f t="shared" si="39"/>
        <v>0</v>
      </c>
      <c r="AA352" s="471">
        <v>0</v>
      </c>
    </row>
    <row r="353" spans="1:27">
      <c r="A353" s="451" t="str">
        <f>CONCATENATE(VLOOKUP(B353,★営業所!$A$1:$B$5,2,FALSE),VLOOKUP(D353,★サイズ表記!$D$4:$E$55,2,FALSE),VLOOKUP(F353,★折込地区!$A$1:$B$11,2,FALSE))</f>
        <v>T1005Shi</v>
      </c>
      <c r="B353" s="457" t="s">
        <v>275</v>
      </c>
      <c r="C353" s="452" t="str">
        <f>VLOOKUP(B353,★営業所!$A$1:$B$5,2,FALSE)</f>
        <v>T</v>
      </c>
      <c r="D353" s="465" t="s">
        <v>952</v>
      </c>
      <c r="E353" s="452" t="str">
        <f>VLOOKUP(D353,★サイズ表記!$D$4:$E$55,2,FALSE)</f>
        <v>1005</v>
      </c>
      <c r="F353" s="457" t="s">
        <v>41</v>
      </c>
      <c r="G353" s="452" t="str">
        <f>VLOOKUP(F353,★折込地区!$A$1:$B$11,2,FALSE)</f>
        <v>Shi</v>
      </c>
      <c r="H353" s="453">
        <f>INDEX(★サイズ表記!$I$4:$Q$55, MATCH(E353,★サイズ表記!$E$4:$E$55,0), MATCH(G353,★サイズ表記!$I$3:$R$3,0))</f>
        <v>7</v>
      </c>
      <c r="K353" s="471" t="str">
        <f t="shared" si="32"/>
        <v>T1005Shi</v>
      </c>
      <c r="L353" s="471" t="str">
        <f t="shared" si="33"/>
        <v>B2（4つ折り）</v>
      </c>
      <c r="P353" s="533" t="s">
        <v>1324</v>
      </c>
      <c r="Q353" s="533" t="s">
        <v>1325</v>
      </c>
      <c r="R353" s="534" t="str">
        <f t="shared" si="34"/>
        <v>1005</v>
      </c>
      <c r="S353" s="534" t="str">
        <f t="shared" si="35"/>
        <v>B2（4つ折り）</v>
      </c>
      <c r="T353" s="538" t="str">
        <f t="shared" si="36"/>
        <v>10</v>
      </c>
      <c r="U353" s="538" t="str">
        <f t="shared" si="37"/>
        <v>05</v>
      </c>
      <c r="V353" s="471" t="s">
        <v>1136</v>
      </c>
      <c r="Y353" s="472">
        <f t="shared" si="38"/>
        <v>7</v>
      </c>
      <c r="Z353" s="540">
        <f t="shared" si="39"/>
        <v>0.56000000000000005</v>
      </c>
      <c r="AA353" s="471">
        <v>0</v>
      </c>
    </row>
    <row r="354" spans="1:27">
      <c r="A354" s="451" t="str">
        <f>CONCATENATE(VLOOKUP(B354,★営業所!$A$1:$B$5,2,FALSE),VLOOKUP(D354,★サイズ表記!$D$4:$E$55,2,FALSE),VLOOKUP(F354,★折込地区!$A$1:$B$11,2,FALSE))</f>
        <v>T1006Shi</v>
      </c>
      <c r="B354" s="457" t="s">
        <v>275</v>
      </c>
      <c r="C354" s="452" t="str">
        <f>VLOOKUP(B354,★営業所!$A$1:$B$5,2,FALSE)</f>
        <v>T</v>
      </c>
      <c r="D354" s="465" t="s">
        <v>955</v>
      </c>
      <c r="E354" s="452" t="str">
        <f>VLOOKUP(D354,★サイズ表記!$D$4:$E$55,2,FALSE)</f>
        <v>1006</v>
      </c>
      <c r="F354" s="457" t="s">
        <v>41</v>
      </c>
      <c r="G354" s="452" t="str">
        <f>VLOOKUP(F354,★折込地区!$A$1:$B$11,2,FALSE)</f>
        <v>Shi</v>
      </c>
      <c r="H354" s="453">
        <f>INDEX(★サイズ表記!$I$4:$Q$55, MATCH(E354,★サイズ表記!$E$4:$E$55,0), MATCH(G354,★サイズ表記!$I$3:$R$3,0))</f>
        <v>20</v>
      </c>
      <c r="K354" s="471" t="str">
        <f t="shared" si="32"/>
        <v>T1006Shi</v>
      </c>
      <c r="L354" s="471" t="str">
        <f t="shared" si="33"/>
        <v>B1（8折り）</v>
      </c>
      <c r="P354" s="533" t="s">
        <v>1324</v>
      </c>
      <c r="Q354" s="533" t="s">
        <v>1325</v>
      </c>
      <c r="R354" s="534" t="str">
        <f t="shared" si="34"/>
        <v>1006</v>
      </c>
      <c r="S354" s="534" t="str">
        <f t="shared" si="35"/>
        <v>B1（8折り）</v>
      </c>
      <c r="T354" s="538" t="str">
        <f t="shared" si="36"/>
        <v>10</v>
      </c>
      <c r="U354" s="538" t="str">
        <f t="shared" si="37"/>
        <v>06</v>
      </c>
      <c r="V354" s="471" t="s">
        <v>1136</v>
      </c>
      <c r="Y354" s="472">
        <f t="shared" si="38"/>
        <v>20</v>
      </c>
      <c r="Z354" s="540">
        <f t="shared" si="39"/>
        <v>1.6</v>
      </c>
      <c r="AA354" s="471">
        <v>0</v>
      </c>
    </row>
    <row r="355" spans="1:27">
      <c r="A355" s="451" t="str">
        <f>CONCATENATE(VLOOKUP(B355,★営業所!$A$1:$B$5,2,FALSE),VLOOKUP(D355,★サイズ表記!$D$4:$E$55,2,FALSE),VLOOKUP(F355,★折込地区!$A$1:$B$11,2,FALSE))</f>
        <v>T1007Shi</v>
      </c>
      <c r="B355" s="457" t="s">
        <v>275</v>
      </c>
      <c r="C355" s="452" t="str">
        <f>VLOOKUP(B355,★営業所!$A$1:$B$5,2,FALSE)</f>
        <v>T</v>
      </c>
      <c r="D355" s="465" t="s">
        <v>956</v>
      </c>
      <c r="E355" s="452" t="str">
        <f>VLOOKUP(D355,★サイズ表記!$D$4:$E$55,2,FALSE)</f>
        <v>1007</v>
      </c>
      <c r="F355" s="457" t="s">
        <v>41</v>
      </c>
      <c r="G355" s="452" t="str">
        <f>VLOOKUP(F355,★折込地区!$A$1:$B$11,2,FALSE)</f>
        <v>Shi</v>
      </c>
      <c r="H355" s="453">
        <f>INDEX(★サイズ表記!$I$4:$Q$55, MATCH(E355,★サイズ表記!$E$4:$E$55,0), MATCH(G355,★サイズ表記!$I$3:$R$3,0))</f>
        <v>0</v>
      </c>
      <c r="K355" s="471" t="str">
        <f t="shared" si="32"/>
        <v>T1007Shi</v>
      </c>
      <c r="L355" s="471" t="str">
        <f t="shared" si="33"/>
        <v>B4厚紙</v>
      </c>
      <c r="P355" s="533" t="s">
        <v>1324</v>
      </c>
      <c r="Q355" s="533" t="s">
        <v>1325</v>
      </c>
      <c r="R355" s="534" t="str">
        <f t="shared" si="34"/>
        <v>1007</v>
      </c>
      <c r="S355" s="534" t="str">
        <f t="shared" si="35"/>
        <v>B4厚紙</v>
      </c>
      <c r="T355" s="538" t="str">
        <f t="shared" si="36"/>
        <v>10</v>
      </c>
      <c r="U355" s="538" t="str">
        <f t="shared" si="37"/>
        <v>07</v>
      </c>
      <c r="V355" s="471" t="s">
        <v>1136</v>
      </c>
      <c r="Y355" s="472">
        <f t="shared" si="38"/>
        <v>0</v>
      </c>
      <c r="Z355" s="540">
        <f t="shared" si="39"/>
        <v>0</v>
      </c>
      <c r="AA355" s="471">
        <v>0</v>
      </c>
    </row>
    <row r="356" spans="1:27">
      <c r="A356" s="451" t="str">
        <f>CONCATENATE(VLOOKUP(B356,★営業所!$A$1:$B$5,2,FALSE),VLOOKUP(D356,★サイズ表記!$D$4:$E$55,2,FALSE),VLOOKUP(F356,★折込地区!$A$1:$B$11,2,FALSE))</f>
        <v>T1008Shi</v>
      </c>
      <c r="B356" s="457" t="s">
        <v>275</v>
      </c>
      <c r="C356" s="452" t="str">
        <f>VLOOKUP(B356,★営業所!$A$1:$B$5,2,FALSE)</f>
        <v>T</v>
      </c>
      <c r="D356" s="465" t="s">
        <v>957</v>
      </c>
      <c r="E356" s="452" t="str">
        <f>VLOOKUP(D356,★サイズ表記!$D$4:$E$55,2,FALSE)</f>
        <v>1008</v>
      </c>
      <c r="F356" s="457" t="s">
        <v>41</v>
      </c>
      <c r="G356" s="452" t="str">
        <f>VLOOKUP(F356,★折込地区!$A$1:$B$11,2,FALSE)</f>
        <v>Shi</v>
      </c>
      <c r="H356" s="453">
        <f>INDEX(★サイズ表記!$I$4:$Q$55, MATCH(E356,★サイズ表記!$E$4:$E$55,0), MATCH(G356,★サイズ表記!$I$3:$R$3,0))</f>
        <v>0</v>
      </c>
      <c r="K356" s="471" t="str">
        <f t="shared" si="32"/>
        <v>T1008Shi</v>
      </c>
      <c r="L356" s="471" t="str">
        <f t="shared" si="33"/>
        <v>B3厚紙</v>
      </c>
      <c r="P356" s="533" t="s">
        <v>1324</v>
      </c>
      <c r="Q356" s="533" t="s">
        <v>1325</v>
      </c>
      <c r="R356" s="534" t="str">
        <f t="shared" si="34"/>
        <v>1008</v>
      </c>
      <c r="S356" s="534" t="str">
        <f t="shared" si="35"/>
        <v>B3厚紙</v>
      </c>
      <c r="T356" s="538" t="str">
        <f t="shared" si="36"/>
        <v>10</v>
      </c>
      <c r="U356" s="538" t="str">
        <f t="shared" si="37"/>
        <v>08</v>
      </c>
      <c r="V356" s="471" t="s">
        <v>1136</v>
      </c>
      <c r="Y356" s="472">
        <f t="shared" si="38"/>
        <v>0</v>
      </c>
      <c r="Z356" s="540">
        <f t="shared" si="39"/>
        <v>0</v>
      </c>
      <c r="AA356" s="471">
        <v>0</v>
      </c>
    </row>
    <row r="357" spans="1:27">
      <c r="A357" s="451" t="str">
        <f>CONCATENATE(VLOOKUP(B357,★営業所!$A$1:$B$5,2,FALSE),VLOOKUP(D357,★サイズ表記!$D$4:$E$55,2,FALSE),VLOOKUP(F357,★折込地区!$A$1:$B$11,2,FALSE))</f>
        <v>T1009Shi</v>
      </c>
      <c r="B357" s="457" t="s">
        <v>275</v>
      </c>
      <c r="C357" s="452" t="str">
        <f>VLOOKUP(B357,★営業所!$A$1:$B$5,2,FALSE)</f>
        <v>T</v>
      </c>
      <c r="D357" s="465" t="s">
        <v>958</v>
      </c>
      <c r="E357" s="452" t="str">
        <f>VLOOKUP(D357,★サイズ表記!$D$4:$E$55,2,FALSE)</f>
        <v>1009</v>
      </c>
      <c r="F357" s="457" t="s">
        <v>41</v>
      </c>
      <c r="G357" s="452" t="str">
        <f>VLOOKUP(F357,★折込地区!$A$1:$B$11,2,FALSE)</f>
        <v>Shi</v>
      </c>
      <c r="H357" s="453">
        <f>INDEX(★サイズ表記!$I$4:$Q$55, MATCH(E357,★サイズ表記!$E$4:$E$55,0), MATCH(G357,★サイズ表記!$I$3:$R$3,0))</f>
        <v>0</v>
      </c>
      <c r="K357" s="471" t="str">
        <f t="shared" si="32"/>
        <v>T1009Shi</v>
      </c>
      <c r="L357" s="471" t="str">
        <f t="shared" si="33"/>
        <v>B2厚紙</v>
      </c>
      <c r="P357" s="533" t="s">
        <v>1324</v>
      </c>
      <c r="Q357" s="533" t="s">
        <v>1325</v>
      </c>
      <c r="R357" s="534" t="str">
        <f t="shared" si="34"/>
        <v>1009</v>
      </c>
      <c r="S357" s="534" t="str">
        <f t="shared" si="35"/>
        <v>B2厚紙</v>
      </c>
      <c r="T357" s="538" t="str">
        <f t="shared" si="36"/>
        <v>10</v>
      </c>
      <c r="U357" s="538" t="str">
        <f t="shared" si="37"/>
        <v>09</v>
      </c>
      <c r="V357" s="471" t="s">
        <v>1136</v>
      </c>
      <c r="Y357" s="472">
        <f t="shared" si="38"/>
        <v>0</v>
      </c>
      <c r="Z357" s="540">
        <f t="shared" si="39"/>
        <v>0</v>
      </c>
      <c r="AA357" s="471">
        <v>0</v>
      </c>
    </row>
    <row r="358" spans="1:27">
      <c r="A358" s="451" t="str">
        <f>CONCATENATE(VLOOKUP(B358,★営業所!$A$1:$B$5,2,FALSE),VLOOKUP(D358,★サイズ表記!$D$4:$E$55,2,FALSE),VLOOKUP(F358,★折込地区!$A$1:$B$11,2,FALSE))</f>
        <v>T1010Shi</v>
      </c>
      <c r="B358" s="457" t="s">
        <v>275</v>
      </c>
      <c r="C358" s="452" t="str">
        <f>VLOOKUP(B358,★営業所!$A$1:$B$5,2,FALSE)</f>
        <v>T</v>
      </c>
      <c r="D358" s="465" t="s">
        <v>959</v>
      </c>
      <c r="E358" s="452" t="str">
        <f>VLOOKUP(D358,★サイズ表記!$D$4:$E$55,2,FALSE)</f>
        <v>1010</v>
      </c>
      <c r="F358" s="457" t="s">
        <v>41</v>
      </c>
      <c r="G358" s="452" t="str">
        <f>VLOOKUP(F358,★折込地区!$A$1:$B$11,2,FALSE)</f>
        <v>Shi</v>
      </c>
      <c r="H358" s="453">
        <f>INDEX(★サイズ表記!$I$4:$Q$55, MATCH(E358,★サイズ表記!$E$4:$E$55,0), MATCH(G358,★サイズ表記!$I$3:$R$3,0))</f>
        <v>0</v>
      </c>
      <c r="K358" s="471" t="str">
        <f t="shared" si="32"/>
        <v>T1010Shi</v>
      </c>
      <c r="L358" s="471" t="str">
        <f t="shared" si="33"/>
        <v>B4以下変形</v>
      </c>
      <c r="P358" s="533" t="s">
        <v>1324</v>
      </c>
      <c r="Q358" s="533" t="s">
        <v>1325</v>
      </c>
      <c r="R358" s="534" t="str">
        <f t="shared" si="34"/>
        <v>1010</v>
      </c>
      <c r="S358" s="534" t="str">
        <f t="shared" si="35"/>
        <v>B4以下変形</v>
      </c>
      <c r="T358" s="538" t="str">
        <f t="shared" si="36"/>
        <v>10</v>
      </c>
      <c r="U358" s="538" t="str">
        <f t="shared" si="37"/>
        <v>10</v>
      </c>
      <c r="V358" s="471" t="s">
        <v>1136</v>
      </c>
      <c r="Y358" s="472">
        <f t="shared" si="38"/>
        <v>0</v>
      </c>
      <c r="Z358" s="540">
        <f t="shared" si="39"/>
        <v>0</v>
      </c>
      <c r="AA358" s="471">
        <v>0</v>
      </c>
    </row>
    <row r="359" spans="1:27">
      <c r="A359" s="451" t="str">
        <f>CONCATENATE(VLOOKUP(B359,★営業所!$A$1:$B$5,2,FALSE),VLOOKUP(D359,★サイズ表記!$D$4:$E$55,2,FALSE),VLOOKUP(F359,★折込地区!$A$1:$B$11,2,FALSE))</f>
        <v>T1011Shi</v>
      </c>
      <c r="B359" s="457" t="s">
        <v>275</v>
      </c>
      <c r="C359" s="452" t="str">
        <f>VLOOKUP(B359,★営業所!$A$1:$B$5,2,FALSE)</f>
        <v>T</v>
      </c>
      <c r="D359" s="465" t="s">
        <v>960</v>
      </c>
      <c r="E359" s="452" t="str">
        <f>VLOOKUP(D359,★サイズ表記!$D$4:$E$55,2,FALSE)</f>
        <v>1011</v>
      </c>
      <c r="F359" s="457" t="s">
        <v>41</v>
      </c>
      <c r="G359" s="452" t="str">
        <f>VLOOKUP(F359,★折込地区!$A$1:$B$11,2,FALSE)</f>
        <v>Shi</v>
      </c>
      <c r="H359" s="453">
        <f>INDEX(★サイズ表記!$I$4:$Q$55, MATCH(E359,★サイズ表記!$E$4:$E$55,0), MATCH(G359,★サイズ表記!$I$3:$R$3,0))</f>
        <v>0</v>
      </c>
      <c r="K359" s="471" t="str">
        <f t="shared" si="32"/>
        <v>T1011Shi</v>
      </c>
      <c r="L359" s="471" t="str">
        <f t="shared" si="33"/>
        <v>B4シール付き</v>
      </c>
      <c r="P359" s="533" t="s">
        <v>1324</v>
      </c>
      <c r="Q359" s="533" t="s">
        <v>1325</v>
      </c>
      <c r="R359" s="534" t="str">
        <f t="shared" si="34"/>
        <v>1011</v>
      </c>
      <c r="S359" s="534" t="str">
        <f t="shared" si="35"/>
        <v>B4シール付き</v>
      </c>
      <c r="T359" s="538" t="str">
        <f t="shared" si="36"/>
        <v>10</v>
      </c>
      <c r="U359" s="538" t="str">
        <f t="shared" si="37"/>
        <v>11</v>
      </c>
      <c r="V359" s="471" t="s">
        <v>1136</v>
      </c>
      <c r="Y359" s="472">
        <f t="shared" si="38"/>
        <v>0</v>
      </c>
      <c r="Z359" s="540">
        <f t="shared" si="39"/>
        <v>0</v>
      </c>
      <c r="AA359" s="471">
        <v>0</v>
      </c>
    </row>
    <row r="360" spans="1:27">
      <c r="A360" s="451" t="str">
        <f>CONCATENATE(VLOOKUP(B360,★営業所!$A$1:$B$5,2,FALSE),VLOOKUP(D360,★サイズ表記!$D$4:$E$55,2,FALSE),VLOOKUP(F360,★折込地区!$A$1:$B$11,2,FALSE))</f>
        <v>T1012Shi</v>
      </c>
      <c r="B360" s="457" t="s">
        <v>275</v>
      </c>
      <c r="C360" s="452" t="str">
        <f>VLOOKUP(B360,★営業所!$A$1:$B$5,2,FALSE)</f>
        <v>T</v>
      </c>
      <c r="D360" s="465" t="s">
        <v>961</v>
      </c>
      <c r="E360" s="452" t="str">
        <f>VLOOKUP(D360,★サイズ表記!$D$4:$E$55,2,FALSE)</f>
        <v>1012</v>
      </c>
      <c r="F360" s="457" t="s">
        <v>41</v>
      </c>
      <c r="G360" s="452" t="str">
        <f>VLOOKUP(F360,★折込地区!$A$1:$B$11,2,FALSE)</f>
        <v>Shi</v>
      </c>
      <c r="H360" s="453">
        <f>INDEX(★サイズ表記!$I$4:$Q$55, MATCH(E360,★サイズ表記!$E$4:$E$55,0), MATCH(G360,★サイズ表記!$I$3:$R$3,0))</f>
        <v>0</v>
      </c>
      <c r="K360" s="471" t="str">
        <f t="shared" ref="K360:K423" si="40">A360</f>
        <v>T1012Shi</v>
      </c>
      <c r="L360" s="471" t="str">
        <f t="shared" ref="L360:L423" si="41">D360</f>
        <v>B3シール付き</v>
      </c>
      <c r="P360" s="533" t="s">
        <v>1324</v>
      </c>
      <c r="Q360" s="533" t="s">
        <v>1325</v>
      </c>
      <c r="R360" s="534" t="str">
        <f t="shared" si="34"/>
        <v>1012</v>
      </c>
      <c r="S360" s="534" t="str">
        <f t="shared" si="35"/>
        <v>B3シール付き</v>
      </c>
      <c r="T360" s="538" t="str">
        <f t="shared" si="36"/>
        <v>10</v>
      </c>
      <c r="U360" s="538" t="str">
        <f t="shared" si="37"/>
        <v>12</v>
      </c>
      <c r="V360" s="471" t="s">
        <v>1136</v>
      </c>
      <c r="Y360" s="472">
        <f t="shared" si="38"/>
        <v>0</v>
      </c>
      <c r="Z360" s="540">
        <f t="shared" si="39"/>
        <v>0</v>
      </c>
      <c r="AA360" s="471">
        <v>0</v>
      </c>
    </row>
    <row r="361" spans="1:27">
      <c r="A361" s="451" t="str">
        <f>CONCATENATE(VLOOKUP(B361,★営業所!$A$1:$B$5,2,FALSE),VLOOKUP(D361,★サイズ表記!$D$4:$E$55,2,FALSE),VLOOKUP(F361,★折込地区!$A$1:$B$11,2,FALSE))</f>
        <v>T1013Shi</v>
      </c>
      <c r="B361" s="457" t="s">
        <v>275</v>
      </c>
      <c r="C361" s="452" t="str">
        <f>VLOOKUP(B361,★営業所!$A$1:$B$5,2,FALSE)</f>
        <v>T</v>
      </c>
      <c r="D361" s="465" t="s">
        <v>962</v>
      </c>
      <c r="E361" s="452" t="str">
        <f>VLOOKUP(D361,★サイズ表記!$D$4:$E$55,2,FALSE)</f>
        <v>1013</v>
      </c>
      <c r="F361" s="457" t="s">
        <v>41</v>
      </c>
      <c r="G361" s="452" t="str">
        <f>VLOOKUP(F361,★折込地区!$A$1:$B$11,2,FALSE)</f>
        <v>Shi</v>
      </c>
      <c r="H361" s="453">
        <f>INDEX(★サイズ表記!$I$4:$Q$55, MATCH(E361,★サイズ表記!$E$4:$E$55,0), MATCH(G361,★サイズ表記!$I$3:$R$3,0))</f>
        <v>0</v>
      </c>
      <c r="K361" s="471" t="str">
        <f t="shared" si="40"/>
        <v>T1013Shi</v>
      </c>
      <c r="L361" s="471" t="str">
        <f t="shared" si="41"/>
        <v>B4スクラッチ付き</v>
      </c>
      <c r="P361" s="533" t="s">
        <v>1324</v>
      </c>
      <c r="Q361" s="533" t="s">
        <v>1325</v>
      </c>
      <c r="R361" s="534" t="str">
        <f t="shared" ref="R361:R424" si="42">E361</f>
        <v>1013</v>
      </c>
      <c r="S361" s="534" t="str">
        <f t="shared" ref="S361:S424" si="43">L361</f>
        <v>B4スクラッチ付き</v>
      </c>
      <c r="T361" s="538" t="str">
        <f t="shared" ref="T361:T424" si="44">LEFT($E361,2)</f>
        <v>10</v>
      </c>
      <c r="U361" s="538" t="str">
        <f t="shared" ref="U361:U424" si="45">RIGHT($E361,2)</f>
        <v>13</v>
      </c>
      <c r="V361" s="471" t="s">
        <v>1136</v>
      </c>
      <c r="Y361" s="472">
        <f t="shared" ref="Y361:Y424" si="46">$H361</f>
        <v>0</v>
      </c>
      <c r="Z361" s="540">
        <f t="shared" ref="Z361:Z424" si="47">ROUNDDOWN($H361*8/100,2)</f>
        <v>0</v>
      </c>
      <c r="AA361" s="471">
        <v>0</v>
      </c>
    </row>
    <row r="362" spans="1:27">
      <c r="A362" s="451" t="str">
        <f>CONCATENATE(VLOOKUP(B362,★営業所!$A$1:$B$5,2,FALSE),VLOOKUP(D362,★サイズ表記!$D$4:$E$55,2,FALSE),VLOOKUP(F362,★折込地区!$A$1:$B$11,2,FALSE))</f>
        <v>T2001Shi</v>
      </c>
      <c r="B362" s="457" t="s">
        <v>275</v>
      </c>
      <c r="C362" s="452" t="str">
        <f>VLOOKUP(B362,★営業所!$A$1:$B$5,2,FALSE)</f>
        <v>T</v>
      </c>
      <c r="D362" s="465" t="s">
        <v>963</v>
      </c>
      <c r="E362" s="452" t="str">
        <f>VLOOKUP(D362,★サイズ表記!$D$4:$E$55,2,FALSE)</f>
        <v>2001</v>
      </c>
      <c r="F362" s="457" t="s">
        <v>41</v>
      </c>
      <c r="G362" s="452" t="str">
        <f>VLOOKUP(F362,★折込地区!$A$1:$B$11,2,FALSE)</f>
        <v>Shi</v>
      </c>
      <c r="H362" s="453">
        <f>INDEX(★サイズ表記!$I$4:$Q$55, MATCH(E362,★サイズ表記!$E$4:$E$55,0), MATCH(G362,★サイズ表記!$I$3:$R$3,0))</f>
        <v>0</v>
      </c>
      <c r="K362" s="471" t="str">
        <f t="shared" si="40"/>
        <v>T2001Shi</v>
      </c>
      <c r="L362" s="471" t="str">
        <f t="shared" si="41"/>
        <v>連合B4</v>
      </c>
      <c r="P362" s="533" t="s">
        <v>1324</v>
      </c>
      <c r="Q362" s="533" t="s">
        <v>1325</v>
      </c>
      <c r="R362" s="534" t="str">
        <f t="shared" si="42"/>
        <v>2001</v>
      </c>
      <c r="S362" s="534" t="str">
        <f t="shared" si="43"/>
        <v>連合B4</v>
      </c>
      <c r="T362" s="538" t="str">
        <f t="shared" si="44"/>
        <v>20</v>
      </c>
      <c r="U362" s="538" t="str">
        <f t="shared" si="45"/>
        <v>01</v>
      </c>
      <c r="V362" s="471" t="s">
        <v>1136</v>
      </c>
      <c r="Y362" s="472">
        <f t="shared" si="46"/>
        <v>0</v>
      </c>
      <c r="Z362" s="540">
        <f t="shared" si="47"/>
        <v>0</v>
      </c>
      <c r="AA362" s="471">
        <v>0</v>
      </c>
    </row>
    <row r="363" spans="1:27">
      <c r="A363" s="451" t="str">
        <f>CONCATENATE(VLOOKUP(B363,★営業所!$A$1:$B$5,2,FALSE),VLOOKUP(D363,★サイズ表記!$D$4:$E$55,2,FALSE),VLOOKUP(F363,★折込地区!$A$1:$B$11,2,FALSE))</f>
        <v>T2002Shi</v>
      </c>
      <c r="B363" s="457" t="s">
        <v>275</v>
      </c>
      <c r="C363" s="452" t="str">
        <f>VLOOKUP(B363,★営業所!$A$1:$B$5,2,FALSE)</f>
        <v>T</v>
      </c>
      <c r="D363" s="465" t="s">
        <v>964</v>
      </c>
      <c r="E363" s="452" t="str">
        <f>VLOOKUP(D363,★サイズ表記!$D$4:$E$55,2,FALSE)</f>
        <v>2002</v>
      </c>
      <c r="F363" s="457" t="s">
        <v>41</v>
      </c>
      <c r="G363" s="452" t="str">
        <f>VLOOKUP(F363,★折込地区!$A$1:$B$11,2,FALSE)</f>
        <v>Shi</v>
      </c>
      <c r="H363" s="453">
        <f>INDEX(★サイズ表記!$I$4:$Q$55, MATCH(E363,★サイズ表記!$E$4:$E$55,0), MATCH(G363,★サイズ表記!$I$3:$R$3,0))</f>
        <v>0</v>
      </c>
      <c r="K363" s="471" t="str">
        <f t="shared" si="40"/>
        <v>T2002Shi</v>
      </c>
      <c r="L363" s="471" t="str">
        <f t="shared" si="41"/>
        <v>連合B3</v>
      </c>
      <c r="P363" s="533" t="s">
        <v>1324</v>
      </c>
      <c r="Q363" s="533" t="s">
        <v>1325</v>
      </c>
      <c r="R363" s="534" t="str">
        <f t="shared" si="42"/>
        <v>2002</v>
      </c>
      <c r="S363" s="534" t="str">
        <f t="shared" si="43"/>
        <v>連合B3</v>
      </c>
      <c r="T363" s="538" t="str">
        <f t="shared" si="44"/>
        <v>20</v>
      </c>
      <c r="U363" s="538" t="str">
        <f t="shared" si="45"/>
        <v>02</v>
      </c>
      <c r="V363" s="471" t="s">
        <v>1136</v>
      </c>
      <c r="Y363" s="472">
        <f t="shared" si="46"/>
        <v>0</v>
      </c>
      <c r="Z363" s="540">
        <f t="shared" si="47"/>
        <v>0</v>
      </c>
      <c r="AA363" s="471">
        <v>0</v>
      </c>
    </row>
    <row r="364" spans="1:27">
      <c r="A364" s="451" t="str">
        <f>CONCATENATE(VLOOKUP(B364,★営業所!$A$1:$B$5,2,FALSE),VLOOKUP(D364,★サイズ表記!$D$4:$E$55,2,FALSE),VLOOKUP(F364,★折込地区!$A$1:$B$11,2,FALSE))</f>
        <v>T2003Shi</v>
      </c>
      <c r="B364" s="457" t="s">
        <v>275</v>
      </c>
      <c r="C364" s="452" t="str">
        <f>VLOOKUP(B364,★営業所!$A$1:$B$5,2,FALSE)</f>
        <v>T</v>
      </c>
      <c r="D364" s="465" t="s">
        <v>965</v>
      </c>
      <c r="E364" s="452" t="str">
        <f>VLOOKUP(D364,★サイズ表記!$D$4:$E$55,2,FALSE)</f>
        <v>2003</v>
      </c>
      <c r="F364" s="457" t="s">
        <v>41</v>
      </c>
      <c r="G364" s="452" t="str">
        <f>VLOOKUP(F364,★折込地区!$A$1:$B$11,2,FALSE)</f>
        <v>Shi</v>
      </c>
      <c r="H364" s="453">
        <f>INDEX(★サイズ表記!$I$4:$Q$55, MATCH(E364,★サイズ表記!$E$4:$E$55,0), MATCH(G364,★サイズ表記!$I$3:$R$3,0))</f>
        <v>0</v>
      </c>
      <c r="K364" s="471" t="str">
        <f t="shared" si="40"/>
        <v>T2003Shi</v>
      </c>
      <c r="L364" s="471" t="str">
        <f t="shared" si="41"/>
        <v>連合B2</v>
      </c>
      <c r="P364" s="533" t="s">
        <v>1324</v>
      </c>
      <c r="Q364" s="533" t="s">
        <v>1325</v>
      </c>
      <c r="R364" s="534" t="str">
        <f t="shared" si="42"/>
        <v>2003</v>
      </c>
      <c r="S364" s="534" t="str">
        <f t="shared" si="43"/>
        <v>連合B2</v>
      </c>
      <c r="T364" s="538" t="str">
        <f t="shared" si="44"/>
        <v>20</v>
      </c>
      <c r="U364" s="538" t="str">
        <f t="shared" si="45"/>
        <v>03</v>
      </c>
      <c r="V364" s="471" t="s">
        <v>1136</v>
      </c>
      <c r="Y364" s="472">
        <f t="shared" si="46"/>
        <v>0</v>
      </c>
      <c r="Z364" s="540">
        <f t="shared" si="47"/>
        <v>0</v>
      </c>
      <c r="AA364" s="471">
        <v>0</v>
      </c>
    </row>
    <row r="365" spans="1:27">
      <c r="A365" s="451" t="str">
        <f>CONCATENATE(VLOOKUP(B365,★営業所!$A$1:$B$5,2,FALSE),VLOOKUP(D365,★サイズ表記!$D$4:$E$55,2,FALSE),VLOOKUP(F365,★折込地区!$A$1:$B$11,2,FALSE))</f>
        <v>T2004Shi</v>
      </c>
      <c r="B365" s="457" t="s">
        <v>275</v>
      </c>
      <c r="C365" s="452" t="str">
        <f>VLOOKUP(B365,★営業所!$A$1:$B$5,2,FALSE)</f>
        <v>T</v>
      </c>
      <c r="D365" s="465" t="s">
        <v>966</v>
      </c>
      <c r="E365" s="452" t="str">
        <f>VLOOKUP(D365,★サイズ表記!$D$4:$E$55,2,FALSE)</f>
        <v>2004</v>
      </c>
      <c r="F365" s="457" t="s">
        <v>41</v>
      </c>
      <c r="G365" s="452" t="str">
        <f>VLOOKUP(F365,★折込地区!$A$1:$B$11,2,FALSE)</f>
        <v>Shi</v>
      </c>
      <c r="H365" s="453">
        <f>INDEX(★サイズ表記!$I$4:$Q$55, MATCH(E365,★サイズ表記!$E$4:$E$55,0), MATCH(G365,★サイズ表記!$I$3:$R$3,0))</f>
        <v>0</v>
      </c>
      <c r="K365" s="471" t="str">
        <f t="shared" si="40"/>
        <v>T2004Shi</v>
      </c>
      <c r="L365" s="471" t="str">
        <f t="shared" si="41"/>
        <v>連合3つ折り</v>
      </c>
      <c r="P365" s="533" t="s">
        <v>1324</v>
      </c>
      <c r="Q365" s="533" t="s">
        <v>1325</v>
      </c>
      <c r="R365" s="534" t="str">
        <f t="shared" si="42"/>
        <v>2004</v>
      </c>
      <c r="S365" s="534" t="str">
        <f t="shared" si="43"/>
        <v>連合3つ折り</v>
      </c>
      <c r="T365" s="538" t="str">
        <f t="shared" si="44"/>
        <v>20</v>
      </c>
      <c r="U365" s="538" t="str">
        <f t="shared" si="45"/>
        <v>04</v>
      </c>
      <c r="V365" s="471" t="s">
        <v>1136</v>
      </c>
      <c r="Y365" s="472">
        <f t="shared" si="46"/>
        <v>0</v>
      </c>
      <c r="Z365" s="540">
        <f t="shared" si="47"/>
        <v>0</v>
      </c>
      <c r="AA365" s="471">
        <v>0</v>
      </c>
    </row>
    <row r="366" spans="1:27">
      <c r="A366" s="451" t="str">
        <f>CONCATENATE(VLOOKUP(B366,★営業所!$A$1:$B$5,2,FALSE),VLOOKUP(D366,★サイズ表記!$D$4:$E$55,2,FALSE),VLOOKUP(F366,★折込地区!$A$1:$B$11,2,FALSE))</f>
        <v>T2005Shi</v>
      </c>
      <c r="B366" s="457" t="s">
        <v>275</v>
      </c>
      <c r="C366" s="452" t="str">
        <f>VLOOKUP(B366,★営業所!$A$1:$B$5,2,FALSE)</f>
        <v>T</v>
      </c>
      <c r="D366" s="465" t="s">
        <v>967</v>
      </c>
      <c r="E366" s="452" t="str">
        <f>VLOOKUP(D366,★サイズ表記!$D$4:$E$55,2,FALSE)</f>
        <v>2005</v>
      </c>
      <c r="F366" s="457" t="s">
        <v>41</v>
      </c>
      <c r="G366" s="452" t="str">
        <f>VLOOKUP(F366,★折込地区!$A$1:$B$11,2,FALSE)</f>
        <v>Shi</v>
      </c>
      <c r="H366" s="453">
        <f>INDEX(★サイズ表記!$I$4:$Q$55, MATCH(E366,★サイズ表記!$E$4:$E$55,0), MATCH(G366,★サイズ表記!$I$3:$R$3,0))</f>
        <v>0</v>
      </c>
      <c r="K366" s="471" t="str">
        <f t="shared" si="40"/>
        <v>T2005Shi</v>
      </c>
      <c r="L366" s="471" t="str">
        <f t="shared" si="41"/>
        <v>連合B4厚紙</v>
      </c>
      <c r="P366" s="533" t="s">
        <v>1324</v>
      </c>
      <c r="Q366" s="533" t="s">
        <v>1325</v>
      </c>
      <c r="R366" s="534" t="str">
        <f t="shared" si="42"/>
        <v>2005</v>
      </c>
      <c r="S366" s="534" t="str">
        <f t="shared" si="43"/>
        <v>連合B4厚紙</v>
      </c>
      <c r="T366" s="538" t="str">
        <f t="shared" si="44"/>
        <v>20</v>
      </c>
      <c r="U366" s="538" t="str">
        <f t="shared" si="45"/>
        <v>05</v>
      </c>
      <c r="V366" s="471" t="s">
        <v>1136</v>
      </c>
      <c r="Y366" s="472">
        <f t="shared" si="46"/>
        <v>0</v>
      </c>
      <c r="Z366" s="540">
        <f t="shared" si="47"/>
        <v>0</v>
      </c>
      <c r="AA366" s="471">
        <v>0</v>
      </c>
    </row>
    <row r="367" spans="1:27">
      <c r="A367" s="451" t="str">
        <f>CONCATENATE(VLOOKUP(B367,★営業所!$A$1:$B$5,2,FALSE),VLOOKUP(D367,★サイズ表記!$D$4:$E$55,2,FALSE),VLOOKUP(F367,★折込地区!$A$1:$B$11,2,FALSE))</f>
        <v>T2006Shi</v>
      </c>
      <c r="B367" s="457" t="s">
        <v>275</v>
      </c>
      <c r="C367" s="452" t="str">
        <f>VLOOKUP(B367,★営業所!$A$1:$B$5,2,FALSE)</f>
        <v>T</v>
      </c>
      <c r="D367" s="465" t="s">
        <v>968</v>
      </c>
      <c r="E367" s="452" t="str">
        <f>VLOOKUP(D367,★サイズ表記!$D$4:$E$55,2,FALSE)</f>
        <v>2006</v>
      </c>
      <c r="F367" s="457" t="s">
        <v>41</v>
      </c>
      <c r="G367" s="452" t="str">
        <f>VLOOKUP(F367,★折込地区!$A$1:$B$11,2,FALSE)</f>
        <v>Shi</v>
      </c>
      <c r="H367" s="453">
        <f>INDEX(★サイズ表記!$I$4:$Q$55, MATCH(E367,★サイズ表記!$E$4:$E$55,0), MATCH(G367,★サイズ表記!$I$3:$R$3,0))</f>
        <v>0</v>
      </c>
      <c r="K367" s="471" t="str">
        <f t="shared" si="40"/>
        <v>T2006Shi</v>
      </c>
      <c r="L367" s="471" t="str">
        <f t="shared" si="41"/>
        <v>連合2つ折り極小</v>
      </c>
      <c r="P367" s="533" t="s">
        <v>1324</v>
      </c>
      <c r="Q367" s="533" t="s">
        <v>1325</v>
      </c>
      <c r="R367" s="534" t="str">
        <f t="shared" si="42"/>
        <v>2006</v>
      </c>
      <c r="S367" s="534" t="str">
        <f t="shared" si="43"/>
        <v>連合2つ折り極小</v>
      </c>
      <c r="T367" s="538" t="str">
        <f t="shared" si="44"/>
        <v>20</v>
      </c>
      <c r="U367" s="538" t="str">
        <f t="shared" si="45"/>
        <v>06</v>
      </c>
      <c r="V367" s="471" t="s">
        <v>1136</v>
      </c>
      <c r="Y367" s="472">
        <f t="shared" si="46"/>
        <v>0</v>
      </c>
      <c r="Z367" s="540">
        <f t="shared" si="47"/>
        <v>0</v>
      </c>
      <c r="AA367" s="471">
        <v>0</v>
      </c>
    </row>
    <row r="368" spans="1:27">
      <c r="A368" s="451" t="str">
        <f>CONCATENATE(VLOOKUP(B368,★営業所!$A$1:$B$5,2,FALSE),VLOOKUP(D368,★サイズ表記!$D$4:$E$55,2,FALSE),VLOOKUP(F368,★折込地区!$A$1:$B$11,2,FALSE))</f>
        <v>T2007Shi</v>
      </c>
      <c r="B368" s="457" t="s">
        <v>275</v>
      </c>
      <c r="C368" s="452" t="str">
        <f>VLOOKUP(B368,★営業所!$A$1:$B$5,2,FALSE)</f>
        <v>T</v>
      </c>
      <c r="D368" s="465" t="s">
        <v>1365</v>
      </c>
      <c r="E368" s="452" t="str">
        <f>VLOOKUP(D368,★サイズ表記!$D$4:$E$55,2,FALSE)</f>
        <v>2007</v>
      </c>
      <c r="F368" s="457" t="s">
        <v>41</v>
      </c>
      <c r="G368" s="452" t="str">
        <f>VLOOKUP(F368,★折込地区!$A$1:$B$11,2,FALSE)</f>
        <v>Shi</v>
      </c>
      <c r="H368" s="453">
        <f>INDEX(★サイズ表記!$I$4:$Q$55, MATCH(E368,★サイズ表記!$E$4:$E$55,0), MATCH(G368,★サイズ表記!$I$3:$R$3,0))</f>
        <v>0</v>
      </c>
      <c r="K368" s="471" t="str">
        <f t="shared" si="40"/>
        <v>T2007Shi</v>
      </c>
      <c r="L368" s="471" t="str">
        <f t="shared" si="41"/>
        <v>連合タブ6P</v>
      </c>
      <c r="P368" s="533" t="s">
        <v>1324</v>
      </c>
      <c r="Q368" s="533" t="s">
        <v>1325</v>
      </c>
      <c r="R368" s="534" t="str">
        <f t="shared" si="42"/>
        <v>2007</v>
      </c>
      <c r="S368" s="534" t="str">
        <f t="shared" si="43"/>
        <v>連合タブ6P</v>
      </c>
      <c r="T368" s="538" t="str">
        <f t="shared" si="44"/>
        <v>20</v>
      </c>
      <c r="U368" s="538" t="str">
        <f t="shared" si="45"/>
        <v>07</v>
      </c>
      <c r="V368" s="471" t="s">
        <v>1136</v>
      </c>
      <c r="Y368" s="472">
        <f t="shared" si="46"/>
        <v>0</v>
      </c>
      <c r="Z368" s="540">
        <f t="shared" si="47"/>
        <v>0</v>
      </c>
      <c r="AA368" s="471">
        <v>0</v>
      </c>
    </row>
    <row r="369" spans="1:27">
      <c r="A369" s="451" t="str">
        <f>CONCATENATE(VLOOKUP(B369,★営業所!$A$1:$B$5,2,FALSE),VLOOKUP(D369,★サイズ表記!$D$4:$E$55,2,FALSE),VLOOKUP(F369,★折込地区!$A$1:$B$11,2,FALSE))</f>
        <v>T2008Shi</v>
      </c>
      <c r="B369" s="457" t="s">
        <v>275</v>
      </c>
      <c r="C369" s="452" t="str">
        <f>VLOOKUP(B369,★営業所!$A$1:$B$5,2,FALSE)</f>
        <v>T</v>
      </c>
      <c r="D369" s="465" t="s">
        <v>1366</v>
      </c>
      <c r="E369" s="452" t="str">
        <f>VLOOKUP(D369,★サイズ表記!$D$4:$E$55,2,FALSE)</f>
        <v>2008</v>
      </c>
      <c r="F369" s="457" t="s">
        <v>41</v>
      </c>
      <c r="G369" s="452" t="str">
        <f>VLOOKUP(F369,★折込地区!$A$1:$B$11,2,FALSE)</f>
        <v>Shi</v>
      </c>
      <c r="H369" s="453">
        <f>INDEX(★サイズ表記!$I$4:$Q$55, MATCH(E369,★サイズ表記!$E$4:$E$55,0), MATCH(G369,★サイズ表記!$I$3:$R$3,0))</f>
        <v>0</v>
      </c>
      <c r="K369" s="471" t="str">
        <f t="shared" si="40"/>
        <v>T2008Shi</v>
      </c>
      <c r="L369" s="471" t="str">
        <f t="shared" si="41"/>
        <v>連合タブ8P</v>
      </c>
      <c r="P369" s="533" t="s">
        <v>1324</v>
      </c>
      <c r="Q369" s="533" t="s">
        <v>1325</v>
      </c>
      <c r="R369" s="534" t="str">
        <f t="shared" si="42"/>
        <v>2008</v>
      </c>
      <c r="S369" s="534" t="str">
        <f t="shared" si="43"/>
        <v>連合タブ8P</v>
      </c>
      <c r="T369" s="538" t="str">
        <f t="shared" si="44"/>
        <v>20</v>
      </c>
      <c r="U369" s="538" t="str">
        <f t="shared" si="45"/>
        <v>08</v>
      </c>
      <c r="V369" s="471" t="s">
        <v>1136</v>
      </c>
      <c r="Y369" s="472">
        <f t="shared" si="46"/>
        <v>0</v>
      </c>
      <c r="Z369" s="540">
        <f t="shared" si="47"/>
        <v>0</v>
      </c>
      <c r="AA369" s="471">
        <v>0</v>
      </c>
    </row>
    <row r="370" spans="1:27">
      <c r="A370" s="451" t="str">
        <f>CONCATENATE(VLOOKUP(B370,★営業所!$A$1:$B$5,2,FALSE),VLOOKUP(D370,★サイズ表記!$D$4:$E$55,2,FALSE),VLOOKUP(F370,★折込地区!$A$1:$B$11,2,FALSE))</f>
        <v>T2009Shi</v>
      </c>
      <c r="B370" s="457" t="s">
        <v>275</v>
      </c>
      <c r="C370" s="452" t="str">
        <f>VLOOKUP(B370,★営業所!$A$1:$B$5,2,FALSE)</f>
        <v>T</v>
      </c>
      <c r="D370" s="465" t="s">
        <v>1364</v>
      </c>
      <c r="E370" s="452" t="str">
        <f>VLOOKUP(D370,★サイズ表記!$D$4:$E$55,2,FALSE)</f>
        <v>2009</v>
      </c>
      <c r="F370" s="457" t="s">
        <v>41</v>
      </c>
      <c r="G370" s="452" t="str">
        <f>VLOOKUP(F370,★折込地区!$A$1:$B$11,2,FALSE)</f>
        <v>Shi</v>
      </c>
      <c r="H370" s="453">
        <f>INDEX(★サイズ表記!$I$4:$Q$55, MATCH(E370,★サイズ表記!$E$4:$E$55,0), MATCH(G370,★サイズ表記!$I$3:$R$3,0))</f>
        <v>0</v>
      </c>
      <c r="K370" s="471" t="str">
        <f t="shared" si="40"/>
        <v>T2009Shi</v>
      </c>
      <c r="L370" s="471" t="str">
        <f t="shared" si="41"/>
        <v>連合タブ12P</v>
      </c>
      <c r="P370" s="533" t="s">
        <v>1324</v>
      </c>
      <c r="Q370" s="533" t="s">
        <v>1325</v>
      </c>
      <c r="R370" s="534" t="str">
        <f t="shared" si="42"/>
        <v>2009</v>
      </c>
      <c r="S370" s="534" t="str">
        <f t="shared" si="43"/>
        <v>連合タブ12P</v>
      </c>
      <c r="T370" s="538" t="str">
        <f t="shared" si="44"/>
        <v>20</v>
      </c>
      <c r="U370" s="538" t="str">
        <f t="shared" si="45"/>
        <v>09</v>
      </c>
      <c r="V370" s="471" t="s">
        <v>1136</v>
      </c>
      <c r="Y370" s="472">
        <f t="shared" si="46"/>
        <v>0</v>
      </c>
      <c r="Z370" s="540">
        <f t="shared" si="47"/>
        <v>0</v>
      </c>
      <c r="AA370" s="471">
        <v>0</v>
      </c>
    </row>
    <row r="371" spans="1:27">
      <c r="A371" s="451" t="str">
        <f>CONCATENATE(VLOOKUP(B371,★営業所!$A$1:$B$5,2,FALSE),VLOOKUP(D371,★サイズ表記!$D$4:$E$55,2,FALSE),VLOOKUP(F371,★折込地区!$A$1:$B$11,2,FALSE))</f>
        <v>T3001Shi</v>
      </c>
      <c r="B371" s="457" t="s">
        <v>275</v>
      </c>
      <c r="C371" s="452" t="str">
        <f>VLOOKUP(B371,★営業所!$A$1:$B$5,2,FALSE)</f>
        <v>T</v>
      </c>
      <c r="D371" s="465" t="s">
        <v>969</v>
      </c>
      <c r="E371" s="452" t="str">
        <f>VLOOKUP(D371,★サイズ表記!$D$4:$E$55,2,FALSE)</f>
        <v>3001</v>
      </c>
      <c r="F371" s="457" t="s">
        <v>41</v>
      </c>
      <c r="G371" s="452" t="str">
        <f>VLOOKUP(F371,★折込地区!$A$1:$B$11,2,FALSE)</f>
        <v>Shi</v>
      </c>
      <c r="H371" s="453">
        <f>INDEX(★サイズ表記!$I$4:$Q$55, MATCH(E371,★サイズ表記!$E$4:$E$55,0), MATCH(G371,★サイズ表記!$I$3:$R$3,0))</f>
        <v>0</v>
      </c>
      <c r="K371" s="471" t="str">
        <f t="shared" si="40"/>
        <v>T3001Shi</v>
      </c>
      <c r="L371" s="471" t="str">
        <f t="shared" si="41"/>
        <v>政治B4</v>
      </c>
      <c r="P371" s="533" t="s">
        <v>1324</v>
      </c>
      <c r="Q371" s="533" t="s">
        <v>1325</v>
      </c>
      <c r="R371" s="534" t="str">
        <f t="shared" si="42"/>
        <v>3001</v>
      </c>
      <c r="S371" s="534" t="str">
        <f t="shared" si="43"/>
        <v>政治B4</v>
      </c>
      <c r="T371" s="538" t="str">
        <f t="shared" si="44"/>
        <v>30</v>
      </c>
      <c r="U371" s="538" t="str">
        <f t="shared" si="45"/>
        <v>01</v>
      </c>
      <c r="V371" s="471" t="s">
        <v>1136</v>
      </c>
      <c r="Y371" s="472">
        <f t="shared" si="46"/>
        <v>0</v>
      </c>
      <c r="Z371" s="540">
        <f t="shared" si="47"/>
        <v>0</v>
      </c>
      <c r="AA371" s="471">
        <v>0</v>
      </c>
    </row>
    <row r="372" spans="1:27">
      <c r="A372" s="451" t="str">
        <f>CONCATENATE(VLOOKUP(B372,★営業所!$A$1:$B$5,2,FALSE),VLOOKUP(D372,★サイズ表記!$D$4:$E$55,2,FALSE),VLOOKUP(F372,★折込地区!$A$1:$B$11,2,FALSE))</f>
        <v>T3002Shi</v>
      </c>
      <c r="B372" s="457" t="s">
        <v>275</v>
      </c>
      <c r="C372" s="452" t="str">
        <f>VLOOKUP(B372,★営業所!$A$1:$B$5,2,FALSE)</f>
        <v>T</v>
      </c>
      <c r="D372" s="465" t="s">
        <v>970</v>
      </c>
      <c r="E372" s="452" t="str">
        <f>VLOOKUP(D372,★サイズ表記!$D$4:$E$55,2,FALSE)</f>
        <v>3002</v>
      </c>
      <c r="F372" s="457" t="s">
        <v>41</v>
      </c>
      <c r="G372" s="452" t="str">
        <f>VLOOKUP(F372,★折込地区!$A$1:$B$11,2,FALSE)</f>
        <v>Shi</v>
      </c>
      <c r="H372" s="453">
        <f>INDEX(★サイズ表記!$I$4:$Q$55, MATCH(E372,★サイズ表記!$E$4:$E$55,0), MATCH(G372,★サイズ表記!$I$3:$R$3,0))</f>
        <v>0</v>
      </c>
      <c r="K372" s="471" t="str">
        <f t="shared" si="40"/>
        <v>T3002Shi</v>
      </c>
      <c r="L372" s="471" t="str">
        <f t="shared" si="41"/>
        <v>政治B3</v>
      </c>
      <c r="P372" s="533" t="s">
        <v>1324</v>
      </c>
      <c r="Q372" s="533" t="s">
        <v>1325</v>
      </c>
      <c r="R372" s="534" t="str">
        <f t="shared" si="42"/>
        <v>3002</v>
      </c>
      <c r="S372" s="534" t="str">
        <f t="shared" si="43"/>
        <v>政治B3</v>
      </c>
      <c r="T372" s="538" t="str">
        <f t="shared" si="44"/>
        <v>30</v>
      </c>
      <c r="U372" s="538" t="str">
        <f t="shared" si="45"/>
        <v>02</v>
      </c>
      <c r="V372" s="471" t="s">
        <v>1136</v>
      </c>
      <c r="Y372" s="472">
        <f t="shared" si="46"/>
        <v>0</v>
      </c>
      <c r="Z372" s="540">
        <f t="shared" si="47"/>
        <v>0</v>
      </c>
      <c r="AA372" s="471">
        <v>0</v>
      </c>
    </row>
    <row r="373" spans="1:27">
      <c r="A373" s="451" t="str">
        <f>CONCATENATE(VLOOKUP(B373,★営業所!$A$1:$B$5,2,FALSE),VLOOKUP(D373,★サイズ表記!$D$4:$E$55,2,FALSE),VLOOKUP(F373,★折込地区!$A$1:$B$11,2,FALSE))</f>
        <v>T3003Shi</v>
      </c>
      <c r="B373" s="457" t="s">
        <v>275</v>
      </c>
      <c r="C373" s="452" t="str">
        <f>VLOOKUP(B373,★営業所!$A$1:$B$5,2,FALSE)</f>
        <v>T</v>
      </c>
      <c r="D373" s="465" t="s">
        <v>971</v>
      </c>
      <c r="E373" s="452" t="str">
        <f>VLOOKUP(D373,★サイズ表記!$D$4:$E$55,2,FALSE)</f>
        <v>3003</v>
      </c>
      <c r="F373" s="457" t="s">
        <v>41</v>
      </c>
      <c r="G373" s="452" t="str">
        <f>VLOOKUP(F373,★折込地区!$A$1:$B$11,2,FALSE)</f>
        <v>Shi</v>
      </c>
      <c r="H373" s="453">
        <f>INDEX(★サイズ表記!$I$4:$Q$55, MATCH(E373,★サイズ表記!$E$4:$E$55,0), MATCH(G373,★サイズ表記!$I$3:$R$3,0))</f>
        <v>0</v>
      </c>
      <c r="K373" s="471" t="str">
        <f t="shared" si="40"/>
        <v>T3003Shi</v>
      </c>
      <c r="L373" s="471" t="str">
        <f t="shared" si="41"/>
        <v>政治B2</v>
      </c>
      <c r="P373" s="533" t="s">
        <v>1324</v>
      </c>
      <c r="Q373" s="533" t="s">
        <v>1325</v>
      </c>
      <c r="R373" s="534" t="str">
        <f t="shared" si="42"/>
        <v>3003</v>
      </c>
      <c r="S373" s="534" t="str">
        <f t="shared" si="43"/>
        <v>政治B2</v>
      </c>
      <c r="T373" s="538" t="str">
        <f t="shared" si="44"/>
        <v>30</v>
      </c>
      <c r="U373" s="538" t="str">
        <f t="shared" si="45"/>
        <v>03</v>
      </c>
      <c r="V373" s="471" t="s">
        <v>1136</v>
      </c>
      <c r="Y373" s="472">
        <f t="shared" si="46"/>
        <v>0</v>
      </c>
      <c r="Z373" s="540">
        <f t="shared" si="47"/>
        <v>0</v>
      </c>
      <c r="AA373" s="471">
        <v>0</v>
      </c>
    </row>
    <row r="374" spans="1:27">
      <c r="A374" s="451" t="str">
        <f>CONCATENATE(VLOOKUP(B374,★営業所!$A$1:$B$5,2,FALSE),VLOOKUP(D374,★サイズ表記!$D$4:$E$55,2,FALSE),VLOOKUP(F374,★折込地区!$A$1:$B$11,2,FALSE))</f>
        <v>T3004Shi</v>
      </c>
      <c r="B374" s="457" t="s">
        <v>275</v>
      </c>
      <c r="C374" s="452" t="str">
        <f>VLOOKUP(B374,★営業所!$A$1:$B$5,2,FALSE)</f>
        <v>T</v>
      </c>
      <c r="D374" s="465" t="s">
        <v>972</v>
      </c>
      <c r="E374" s="452" t="str">
        <f>VLOOKUP(D374,★サイズ表記!$D$4:$E$55,2,FALSE)</f>
        <v>3004</v>
      </c>
      <c r="F374" s="457" t="s">
        <v>41</v>
      </c>
      <c r="G374" s="452" t="str">
        <f>VLOOKUP(F374,★折込地区!$A$1:$B$11,2,FALSE)</f>
        <v>Shi</v>
      </c>
      <c r="H374" s="453">
        <f>INDEX(★サイズ表記!$I$4:$Q$55, MATCH(E374,★サイズ表記!$E$4:$E$55,0), MATCH(G374,★サイズ表記!$I$3:$R$3,0))</f>
        <v>0</v>
      </c>
      <c r="K374" s="471" t="str">
        <f t="shared" si="40"/>
        <v>T3004Shi</v>
      </c>
      <c r="L374" s="471" t="str">
        <f t="shared" si="41"/>
        <v>政治3つ折り</v>
      </c>
      <c r="P374" s="533" t="s">
        <v>1324</v>
      </c>
      <c r="Q374" s="533" t="s">
        <v>1325</v>
      </c>
      <c r="R374" s="534" t="str">
        <f t="shared" si="42"/>
        <v>3004</v>
      </c>
      <c r="S374" s="534" t="str">
        <f t="shared" si="43"/>
        <v>政治3つ折り</v>
      </c>
      <c r="T374" s="538" t="str">
        <f t="shared" si="44"/>
        <v>30</v>
      </c>
      <c r="U374" s="538" t="str">
        <f t="shared" si="45"/>
        <v>04</v>
      </c>
      <c r="V374" s="471" t="s">
        <v>1136</v>
      </c>
      <c r="Y374" s="472">
        <f t="shared" si="46"/>
        <v>0</v>
      </c>
      <c r="Z374" s="540">
        <f t="shared" si="47"/>
        <v>0</v>
      </c>
      <c r="AA374" s="471">
        <v>0</v>
      </c>
    </row>
    <row r="375" spans="1:27">
      <c r="A375" s="451" t="str">
        <f>CONCATENATE(VLOOKUP(B375,★営業所!$A$1:$B$5,2,FALSE),VLOOKUP(D375,★サイズ表記!$D$4:$E$55,2,FALSE),VLOOKUP(F375,★折込地区!$A$1:$B$11,2,FALSE))</f>
        <v>T3005Shi</v>
      </c>
      <c r="B375" s="457" t="s">
        <v>275</v>
      </c>
      <c r="C375" s="452" t="str">
        <f>VLOOKUP(B375,★営業所!$A$1:$B$5,2,FALSE)</f>
        <v>T</v>
      </c>
      <c r="D375" s="465" t="s">
        <v>973</v>
      </c>
      <c r="E375" s="452" t="str">
        <f>VLOOKUP(D375,★サイズ表記!$D$4:$E$55,2,FALSE)</f>
        <v>3005</v>
      </c>
      <c r="F375" s="457" t="s">
        <v>41</v>
      </c>
      <c r="G375" s="452" t="str">
        <f>VLOOKUP(F375,★折込地区!$A$1:$B$11,2,FALSE)</f>
        <v>Shi</v>
      </c>
      <c r="H375" s="453">
        <f>INDEX(★サイズ表記!$I$4:$Q$55, MATCH(E375,★サイズ表記!$E$4:$E$55,0), MATCH(G375,★サイズ表記!$I$3:$R$3,0))</f>
        <v>0</v>
      </c>
      <c r="K375" s="471" t="str">
        <f t="shared" si="40"/>
        <v>T3005Shi</v>
      </c>
      <c r="L375" s="471" t="str">
        <f t="shared" si="41"/>
        <v>政治2つ折り極小</v>
      </c>
      <c r="P375" s="533" t="s">
        <v>1324</v>
      </c>
      <c r="Q375" s="533" t="s">
        <v>1325</v>
      </c>
      <c r="R375" s="534" t="str">
        <f t="shared" si="42"/>
        <v>3005</v>
      </c>
      <c r="S375" s="534" t="str">
        <f t="shared" si="43"/>
        <v>政治2つ折り極小</v>
      </c>
      <c r="T375" s="538" t="str">
        <f t="shared" si="44"/>
        <v>30</v>
      </c>
      <c r="U375" s="538" t="str">
        <f t="shared" si="45"/>
        <v>05</v>
      </c>
      <c r="V375" s="471" t="s">
        <v>1136</v>
      </c>
      <c r="Y375" s="472">
        <f t="shared" si="46"/>
        <v>0</v>
      </c>
      <c r="Z375" s="540">
        <f t="shared" si="47"/>
        <v>0</v>
      </c>
      <c r="AA375" s="471">
        <v>0</v>
      </c>
    </row>
    <row r="376" spans="1:27">
      <c r="A376" s="451" t="str">
        <f>CONCATENATE(VLOOKUP(B376,★営業所!$A$1:$B$5,2,FALSE),VLOOKUP(D376,★サイズ表記!$D$4:$E$55,2,FALSE),VLOOKUP(F376,★折込地区!$A$1:$B$11,2,FALSE))</f>
        <v>T3006Shi</v>
      </c>
      <c r="B376" s="457" t="s">
        <v>275</v>
      </c>
      <c r="C376" s="452" t="str">
        <f>VLOOKUP(B376,★営業所!$A$1:$B$5,2,FALSE)</f>
        <v>T</v>
      </c>
      <c r="D376" s="465" t="s">
        <v>974</v>
      </c>
      <c r="E376" s="452" t="str">
        <f>VLOOKUP(D376,★サイズ表記!$D$4:$E$55,2,FALSE)</f>
        <v>3006</v>
      </c>
      <c r="F376" s="457" t="s">
        <v>41</v>
      </c>
      <c r="G376" s="452" t="str">
        <f>VLOOKUP(F376,★折込地区!$A$1:$B$11,2,FALSE)</f>
        <v>Shi</v>
      </c>
      <c r="H376" s="453">
        <f>INDEX(★サイズ表記!$I$4:$Q$55, MATCH(E376,★サイズ表記!$E$4:$E$55,0), MATCH(G376,★サイズ表記!$I$3:$R$3,0))</f>
        <v>0</v>
      </c>
      <c r="K376" s="471" t="str">
        <f t="shared" si="40"/>
        <v>T3006Shi</v>
      </c>
      <c r="L376" s="471" t="str">
        <f t="shared" si="41"/>
        <v>政治B4厚紙</v>
      </c>
      <c r="P376" s="533" t="s">
        <v>1324</v>
      </c>
      <c r="Q376" s="533" t="s">
        <v>1325</v>
      </c>
      <c r="R376" s="534" t="str">
        <f t="shared" si="42"/>
        <v>3006</v>
      </c>
      <c r="S376" s="534" t="str">
        <f t="shared" si="43"/>
        <v>政治B4厚紙</v>
      </c>
      <c r="T376" s="538" t="str">
        <f t="shared" si="44"/>
        <v>30</v>
      </c>
      <c r="U376" s="538" t="str">
        <f t="shared" si="45"/>
        <v>06</v>
      </c>
      <c r="V376" s="471" t="s">
        <v>1136</v>
      </c>
      <c r="Y376" s="472">
        <f t="shared" si="46"/>
        <v>0</v>
      </c>
      <c r="Z376" s="540">
        <f t="shared" si="47"/>
        <v>0</v>
      </c>
      <c r="AA376" s="471">
        <v>0</v>
      </c>
    </row>
    <row r="377" spans="1:27">
      <c r="A377" s="451" t="str">
        <f>CONCATENATE(VLOOKUP(B377,★営業所!$A$1:$B$5,2,FALSE),VLOOKUP(D377,★サイズ表記!$D$4:$E$55,2,FALSE),VLOOKUP(F377,★折込地区!$A$1:$B$11,2,FALSE))</f>
        <v>T3007Shi</v>
      </c>
      <c r="B377" s="457" t="s">
        <v>275</v>
      </c>
      <c r="C377" s="452" t="str">
        <f>VLOOKUP(B377,★営業所!$A$1:$B$5,2,FALSE)</f>
        <v>T</v>
      </c>
      <c r="D377" s="465" t="s">
        <v>1362</v>
      </c>
      <c r="E377" s="452" t="str">
        <f>VLOOKUP(D377,★サイズ表記!$D$4:$E$55,2,FALSE)</f>
        <v>3007</v>
      </c>
      <c r="F377" s="457" t="s">
        <v>41</v>
      </c>
      <c r="G377" s="452" t="str">
        <f>VLOOKUP(F377,★折込地区!$A$1:$B$11,2,FALSE)</f>
        <v>Shi</v>
      </c>
      <c r="H377" s="453">
        <f>INDEX(★サイズ表記!$I$4:$Q$55, MATCH(E377,★サイズ表記!$E$4:$E$55,0), MATCH(G377,★サイズ表記!$I$3:$R$3,0))</f>
        <v>0</v>
      </c>
      <c r="K377" s="471" t="str">
        <f t="shared" si="40"/>
        <v>T3007Shi</v>
      </c>
      <c r="L377" s="471" t="str">
        <f t="shared" si="41"/>
        <v>政治タブ6P</v>
      </c>
      <c r="P377" s="533" t="s">
        <v>1324</v>
      </c>
      <c r="Q377" s="533" t="s">
        <v>1325</v>
      </c>
      <c r="R377" s="534" t="str">
        <f t="shared" si="42"/>
        <v>3007</v>
      </c>
      <c r="S377" s="534" t="str">
        <f t="shared" si="43"/>
        <v>政治タブ6P</v>
      </c>
      <c r="T377" s="538" t="str">
        <f t="shared" si="44"/>
        <v>30</v>
      </c>
      <c r="U377" s="538" t="str">
        <f t="shared" si="45"/>
        <v>07</v>
      </c>
      <c r="V377" s="471" t="s">
        <v>1136</v>
      </c>
      <c r="Y377" s="472">
        <f t="shared" si="46"/>
        <v>0</v>
      </c>
      <c r="Z377" s="540">
        <f t="shared" si="47"/>
        <v>0</v>
      </c>
      <c r="AA377" s="471">
        <v>0</v>
      </c>
    </row>
    <row r="378" spans="1:27">
      <c r="A378" s="451" t="str">
        <f>CONCATENATE(VLOOKUP(B378,★営業所!$A$1:$B$5,2,FALSE),VLOOKUP(D378,★サイズ表記!$D$4:$E$55,2,FALSE),VLOOKUP(F378,★折込地区!$A$1:$B$11,2,FALSE))</f>
        <v>T3008Shi</v>
      </c>
      <c r="B378" s="457" t="s">
        <v>275</v>
      </c>
      <c r="C378" s="452" t="str">
        <f>VLOOKUP(B378,★営業所!$A$1:$B$5,2,FALSE)</f>
        <v>T</v>
      </c>
      <c r="D378" s="465" t="s">
        <v>1363</v>
      </c>
      <c r="E378" s="452" t="str">
        <f>VLOOKUP(D378,★サイズ表記!$D$4:$E$55,2,FALSE)</f>
        <v>3008</v>
      </c>
      <c r="F378" s="457" t="s">
        <v>41</v>
      </c>
      <c r="G378" s="452" t="str">
        <f>VLOOKUP(F378,★折込地区!$A$1:$B$11,2,FALSE)</f>
        <v>Shi</v>
      </c>
      <c r="H378" s="453">
        <f>INDEX(★サイズ表記!$I$4:$Q$55, MATCH(E378,★サイズ表記!$E$4:$E$55,0), MATCH(G378,★サイズ表記!$I$3:$R$3,0))</f>
        <v>0</v>
      </c>
      <c r="K378" s="471" t="str">
        <f t="shared" si="40"/>
        <v>T3008Shi</v>
      </c>
      <c r="L378" s="471" t="str">
        <f t="shared" si="41"/>
        <v>政治タブ8P</v>
      </c>
      <c r="P378" s="533" t="s">
        <v>1324</v>
      </c>
      <c r="Q378" s="533" t="s">
        <v>1325</v>
      </c>
      <c r="R378" s="534" t="str">
        <f t="shared" si="42"/>
        <v>3008</v>
      </c>
      <c r="S378" s="534" t="str">
        <f t="shared" si="43"/>
        <v>政治タブ8P</v>
      </c>
      <c r="T378" s="538" t="str">
        <f t="shared" si="44"/>
        <v>30</v>
      </c>
      <c r="U378" s="538" t="str">
        <f t="shared" si="45"/>
        <v>08</v>
      </c>
      <c r="V378" s="471" t="s">
        <v>1136</v>
      </c>
      <c r="Y378" s="472">
        <f t="shared" si="46"/>
        <v>0</v>
      </c>
      <c r="Z378" s="540">
        <f t="shared" si="47"/>
        <v>0</v>
      </c>
      <c r="AA378" s="471">
        <v>0</v>
      </c>
    </row>
    <row r="379" spans="1:27">
      <c r="A379" s="451" t="str">
        <f>CONCATENATE(VLOOKUP(B379,★営業所!$A$1:$B$5,2,FALSE),VLOOKUP(D379,★サイズ表記!$D$4:$E$55,2,FALSE),VLOOKUP(F379,★折込地区!$A$1:$B$11,2,FALSE))</f>
        <v>T3009Shi</v>
      </c>
      <c r="B379" s="457" t="s">
        <v>275</v>
      </c>
      <c r="C379" s="452" t="str">
        <f>VLOOKUP(B379,★営業所!$A$1:$B$5,2,FALSE)</f>
        <v>T</v>
      </c>
      <c r="D379" s="465" t="s">
        <v>1361</v>
      </c>
      <c r="E379" s="452" t="str">
        <f>VLOOKUP(D379,★サイズ表記!$D$4:$E$55,2,FALSE)</f>
        <v>3009</v>
      </c>
      <c r="F379" s="457" t="s">
        <v>41</v>
      </c>
      <c r="G379" s="452" t="str">
        <f>VLOOKUP(F379,★折込地区!$A$1:$B$11,2,FALSE)</f>
        <v>Shi</v>
      </c>
      <c r="H379" s="453">
        <f>INDEX(★サイズ表記!$I$4:$Q$55, MATCH(E379,★サイズ表記!$E$4:$E$55,0), MATCH(G379,★サイズ表記!$I$3:$R$3,0))</f>
        <v>0</v>
      </c>
      <c r="K379" s="471" t="str">
        <f t="shared" si="40"/>
        <v>T3009Shi</v>
      </c>
      <c r="L379" s="471" t="str">
        <f t="shared" si="41"/>
        <v>政治タブ12P</v>
      </c>
      <c r="P379" s="533" t="s">
        <v>1324</v>
      </c>
      <c r="Q379" s="533" t="s">
        <v>1325</v>
      </c>
      <c r="R379" s="534" t="str">
        <f t="shared" si="42"/>
        <v>3009</v>
      </c>
      <c r="S379" s="534" t="str">
        <f t="shared" si="43"/>
        <v>政治タブ12P</v>
      </c>
      <c r="T379" s="538" t="str">
        <f t="shared" si="44"/>
        <v>30</v>
      </c>
      <c r="U379" s="538" t="str">
        <f t="shared" si="45"/>
        <v>09</v>
      </c>
      <c r="V379" s="471" t="s">
        <v>1136</v>
      </c>
      <c r="Y379" s="472">
        <f t="shared" si="46"/>
        <v>0</v>
      </c>
      <c r="Z379" s="540">
        <f t="shared" si="47"/>
        <v>0</v>
      </c>
      <c r="AA379" s="471">
        <v>0</v>
      </c>
    </row>
    <row r="380" spans="1:27">
      <c r="A380" s="451" t="str">
        <f>CONCATENATE(VLOOKUP(B380,★営業所!$A$1:$B$5,2,FALSE),VLOOKUP(D380,★サイズ表記!$D$4:$E$55,2,FALSE),VLOOKUP(F380,★折込地区!$A$1:$B$11,2,FALSE))</f>
        <v>T4001Shi</v>
      </c>
      <c r="B380" s="457" t="s">
        <v>275</v>
      </c>
      <c r="C380" s="452" t="str">
        <f>VLOOKUP(B380,★営業所!$A$1:$B$5,2,FALSE)</f>
        <v>T</v>
      </c>
      <c r="D380" s="465" t="s">
        <v>1358</v>
      </c>
      <c r="E380" s="452" t="str">
        <f>VLOOKUP(D380,★サイズ表記!$D$4:$E$55,2,FALSE)</f>
        <v>4001</v>
      </c>
      <c r="F380" s="457" t="s">
        <v>41</v>
      </c>
      <c r="G380" s="452" t="str">
        <f>VLOOKUP(F380,★折込地区!$A$1:$B$11,2,FALSE)</f>
        <v>Shi</v>
      </c>
      <c r="H380" s="453">
        <f>INDEX(★サイズ表記!$I$4:$Q$55, MATCH(E380,★サイズ表記!$E$4:$E$55,0), MATCH(G380,★サイズ表記!$I$3:$R$3,0))</f>
        <v>0</v>
      </c>
      <c r="K380" s="471" t="str">
        <f t="shared" si="40"/>
        <v>T4001Shi</v>
      </c>
      <c r="L380" s="471" t="str">
        <f t="shared" si="41"/>
        <v>タブ6P</v>
      </c>
      <c r="P380" s="533" t="s">
        <v>1324</v>
      </c>
      <c r="Q380" s="533" t="s">
        <v>1325</v>
      </c>
      <c r="R380" s="534" t="str">
        <f t="shared" si="42"/>
        <v>4001</v>
      </c>
      <c r="S380" s="534" t="str">
        <f t="shared" si="43"/>
        <v>タブ6P</v>
      </c>
      <c r="T380" s="538" t="str">
        <f t="shared" si="44"/>
        <v>40</v>
      </c>
      <c r="U380" s="538" t="str">
        <f t="shared" si="45"/>
        <v>01</v>
      </c>
      <c r="V380" s="471" t="s">
        <v>1136</v>
      </c>
      <c r="Y380" s="472">
        <f t="shared" si="46"/>
        <v>0</v>
      </c>
      <c r="Z380" s="540">
        <f t="shared" si="47"/>
        <v>0</v>
      </c>
      <c r="AA380" s="471">
        <v>0</v>
      </c>
    </row>
    <row r="381" spans="1:27">
      <c r="A381" s="451" t="str">
        <f>CONCATENATE(VLOOKUP(B381,★営業所!$A$1:$B$5,2,FALSE),VLOOKUP(D381,★サイズ表記!$D$4:$E$55,2,FALSE),VLOOKUP(F381,★折込地区!$A$1:$B$11,2,FALSE))</f>
        <v>T4002Shi</v>
      </c>
      <c r="B381" s="457" t="s">
        <v>275</v>
      </c>
      <c r="C381" s="452" t="str">
        <f>VLOOKUP(B381,★営業所!$A$1:$B$5,2,FALSE)</f>
        <v>T</v>
      </c>
      <c r="D381" s="465" t="s">
        <v>1359</v>
      </c>
      <c r="E381" s="452" t="str">
        <f>VLOOKUP(D381,★サイズ表記!$D$4:$E$55,2,FALSE)</f>
        <v>4002</v>
      </c>
      <c r="F381" s="457" t="s">
        <v>41</v>
      </c>
      <c r="G381" s="452" t="str">
        <f>VLOOKUP(F381,★折込地区!$A$1:$B$11,2,FALSE)</f>
        <v>Shi</v>
      </c>
      <c r="H381" s="453">
        <f>INDEX(★サイズ表記!$I$4:$Q$55, MATCH(E381,★サイズ表記!$E$4:$E$55,0), MATCH(G381,★サイズ表記!$I$3:$R$3,0))</f>
        <v>0</v>
      </c>
      <c r="K381" s="471" t="str">
        <f t="shared" si="40"/>
        <v>T4002Shi</v>
      </c>
      <c r="L381" s="471" t="str">
        <f t="shared" si="41"/>
        <v>タブ8P</v>
      </c>
      <c r="P381" s="533" t="s">
        <v>1324</v>
      </c>
      <c r="Q381" s="533" t="s">
        <v>1325</v>
      </c>
      <c r="R381" s="534" t="str">
        <f t="shared" si="42"/>
        <v>4002</v>
      </c>
      <c r="S381" s="534" t="str">
        <f t="shared" si="43"/>
        <v>タブ8P</v>
      </c>
      <c r="T381" s="538" t="str">
        <f t="shared" si="44"/>
        <v>40</v>
      </c>
      <c r="U381" s="538" t="str">
        <f t="shared" si="45"/>
        <v>02</v>
      </c>
      <c r="V381" s="471" t="s">
        <v>1136</v>
      </c>
      <c r="Y381" s="472">
        <f t="shared" si="46"/>
        <v>0</v>
      </c>
      <c r="Z381" s="540">
        <f t="shared" si="47"/>
        <v>0</v>
      </c>
      <c r="AA381" s="471">
        <v>0</v>
      </c>
    </row>
    <row r="382" spans="1:27">
      <c r="A382" s="451" t="str">
        <f>CONCATENATE(VLOOKUP(B382,★営業所!$A$1:$B$5,2,FALSE),VLOOKUP(D382,★サイズ表記!$D$4:$E$55,2,FALSE),VLOOKUP(F382,★折込地区!$A$1:$B$11,2,FALSE))</f>
        <v>T4003Shi</v>
      </c>
      <c r="B382" s="457" t="s">
        <v>275</v>
      </c>
      <c r="C382" s="452" t="str">
        <f>VLOOKUP(B382,★営業所!$A$1:$B$5,2,FALSE)</f>
        <v>T</v>
      </c>
      <c r="D382" s="465" t="s">
        <v>1360</v>
      </c>
      <c r="E382" s="452" t="str">
        <f>VLOOKUP(D382,★サイズ表記!$D$4:$E$55,2,FALSE)</f>
        <v>4003</v>
      </c>
      <c r="F382" s="457" t="s">
        <v>41</v>
      </c>
      <c r="G382" s="452" t="str">
        <f>VLOOKUP(F382,★折込地区!$A$1:$B$11,2,FALSE)</f>
        <v>Shi</v>
      </c>
      <c r="H382" s="453">
        <f>INDEX(★サイズ表記!$I$4:$Q$55, MATCH(E382,★サイズ表記!$E$4:$E$55,0), MATCH(G382,★サイズ表記!$I$3:$R$3,0))</f>
        <v>0</v>
      </c>
      <c r="K382" s="471" t="str">
        <f t="shared" si="40"/>
        <v>T4003Shi</v>
      </c>
      <c r="L382" s="471" t="str">
        <f t="shared" si="41"/>
        <v>タブ8Pホチキス止め</v>
      </c>
      <c r="P382" s="533" t="s">
        <v>1324</v>
      </c>
      <c r="Q382" s="533" t="s">
        <v>1325</v>
      </c>
      <c r="R382" s="534" t="str">
        <f t="shared" si="42"/>
        <v>4003</v>
      </c>
      <c r="S382" s="534" t="str">
        <f t="shared" si="43"/>
        <v>タブ8Pホチキス止め</v>
      </c>
      <c r="T382" s="538" t="str">
        <f t="shared" si="44"/>
        <v>40</v>
      </c>
      <c r="U382" s="538" t="str">
        <f t="shared" si="45"/>
        <v>03</v>
      </c>
      <c r="V382" s="471" t="s">
        <v>1136</v>
      </c>
      <c r="Y382" s="472">
        <f t="shared" si="46"/>
        <v>0</v>
      </c>
      <c r="Z382" s="540">
        <f t="shared" si="47"/>
        <v>0</v>
      </c>
      <c r="AA382" s="471">
        <v>0</v>
      </c>
    </row>
    <row r="383" spans="1:27">
      <c r="A383" s="451" t="str">
        <f>CONCATENATE(VLOOKUP(B383,★営業所!$A$1:$B$5,2,FALSE),VLOOKUP(D383,★サイズ表記!$D$4:$E$55,2,FALSE),VLOOKUP(F383,★折込地区!$A$1:$B$11,2,FALSE))</f>
        <v>T4004Shi</v>
      </c>
      <c r="B383" s="457" t="s">
        <v>275</v>
      </c>
      <c r="C383" s="452" t="str">
        <f>VLOOKUP(B383,★営業所!$A$1:$B$5,2,FALSE)</f>
        <v>T</v>
      </c>
      <c r="D383" s="465" t="s">
        <v>1350</v>
      </c>
      <c r="E383" s="452" t="str">
        <f>VLOOKUP(D383,★サイズ表記!$D$4:$E$55,2,FALSE)</f>
        <v>4004</v>
      </c>
      <c r="F383" s="457" t="s">
        <v>41</v>
      </c>
      <c r="G383" s="452" t="str">
        <f>VLOOKUP(F383,★折込地区!$A$1:$B$11,2,FALSE)</f>
        <v>Shi</v>
      </c>
      <c r="H383" s="453">
        <f>INDEX(★サイズ表記!$I$4:$Q$55, MATCH(E383,★サイズ表記!$E$4:$E$55,0), MATCH(G383,★サイズ表記!$I$3:$R$3,0))</f>
        <v>0</v>
      </c>
      <c r="K383" s="471" t="str">
        <f t="shared" si="40"/>
        <v>T4004Shi</v>
      </c>
      <c r="L383" s="471" t="str">
        <f t="shared" si="41"/>
        <v>タブ10P</v>
      </c>
      <c r="P383" s="533" t="s">
        <v>1324</v>
      </c>
      <c r="Q383" s="533" t="s">
        <v>1325</v>
      </c>
      <c r="R383" s="534" t="str">
        <f t="shared" si="42"/>
        <v>4004</v>
      </c>
      <c r="S383" s="534" t="str">
        <f t="shared" si="43"/>
        <v>タブ10P</v>
      </c>
      <c r="T383" s="538" t="str">
        <f t="shared" si="44"/>
        <v>40</v>
      </c>
      <c r="U383" s="538" t="str">
        <f t="shared" si="45"/>
        <v>04</v>
      </c>
      <c r="V383" s="471" t="s">
        <v>1136</v>
      </c>
      <c r="Y383" s="472">
        <f t="shared" si="46"/>
        <v>0</v>
      </c>
      <c r="Z383" s="540">
        <f t="shared" si="47"/>
        <v>0</v>
      </c>
      <c r="AA383" s="471">
        <v>0</v>
      </c>
    </row>
    <row r="384" spans="1:27">
      <c r="A384" s="451" t="str">
        <f>CONCATENATE(VLOOKUP(B384,★営業所!$A$1:$B$5,2,FALSE),VLOOKUP(D384,★サイズ表記!$D$4:$E$55,2,FALSE),VLOOKUP(F384,★折込地区!$A$1:$B$11,2,FALSE))</f>
        <v>T4005Shi</v>
      </c>
      <c r="B384" s="457" t="s">
        <v>275</v>
      </c>
      <c r="C384" s="452" t="str">
        <f>VLOOKUP(B384,★営業所!$A$1:$B$5,2,FALSE)</f>
        <v>T</v>
      </c>
      <c r="D384" s="465" t="s">
        <v>1351</v>
      </c>
      <c r="E384" s="452" t="str">
        <f>VLOOKUP(D384,★サイズ表記!$D$4:$E$55,2,FALSE)</f>
        <v>4005</v>
      </c>
      <c r="F384" s="457" t="s">
        <v>41</v>
      </c>
      <c r="G384" s="452" t="str">
        <f>VLOOKUP(F384,★折込地区!$A$1:$B$11,2,FALSE)</f>
        <v>Shi</v>
      </c>
      <c r="H384" s="453">
        <f>INDEX(★サイズ表記!$I$4:$Q$55, MATCH(E384,★サイズ表記!$E$4:$E$55,0), MATCH(G384,★サイズ表記!$I$3:$R$3,0))</f>
        <v>0</v>
      </c>
      <c r="K384" s="471" t="str">
        <f t="shared" si="40"/>
        <v>T4005Shi</v>
      </c>
      <c r="L384" s="471" t="str">
        <f t="shared" si="41"/>
        <v>タブ12P</v>
      </c>
      <c r="P384" s="533" t="s">
        <v>1324</v>
      </c>
      <c r="Q384" s="533" t="s">
        <v>1325</v>
      </c>
      <c r="R384" s="534" t="str">
        <f t="shared" si="42"/>
        <v>4005</v>
      </c>
      <c r="S384" s="534" t="str">
        <f t="shared" si="43"/>
        <v>タブ12P</v>
      </c>
      <c r="T384" s="538" t="str">
        <f t="shared" si="44"/>
        <v>40</v>
      </c>
      <c r="U384" s="538" t="str">
        <f t="shared" si="45"/>
        <v>05</v>
      </c>
      <c r="V384" s="471" t="s">
        <v>1136</v>
      </c>
      <c r="Y384" s="472">
        <f t="shared" si="46"/>
        <v>0</v>
      </c>
      <c r="Z384" s="540">
        <f t="shared" si="47"/>
        <v>0</v>
      </c>
      <c r="AA384" s="471">
        <v>0</v>
      </c>
    </row>
    <row r="385" spans="1:27">
      <c r="A385" s="451" t="str">
        <f>CONCATENATE(VLOOKUP(B385,★営業所!$A$1:$B$5,2,FALSE),VLOOKUP(D385,★サイズ表記!$D$4:$E$55,2,FALSE),VLOOKUP(F385,★折込地区!$A$1:$B$11,2,FALSE))</f>
        <v>T4006Shi</v>
      </c>
      <c r="B385" s="457" t="s">
        <v>275</v>
      </c>
      <c r="C385" s="452" t="str">
        <f>VLOOKUP(B385,★営業所!$A$1:$B$5,2,FALSE)</f>
        <v>T</v>
      </c>
      <c r="D385" s="465" t="s">
        <v>1352</v>
      </c>
      <c r="E385" s="452" t="str">
        <f>VLOOKUP(D385,★サイズ表記!$D$4:$E$55,2,FALSE)</f>
        <v>4006</v>
      </c>
      <c r="F385" s="457" t="s">
        <v>41</v>
      </c>
      <c r="G385" s="452" t="str">
        <f>VLOOKUP(F385,★折込地区!$A$1:$B$11,2,FALSE)</f>
        <v>Shi</v>
      </c>
      <c r="H385" s="453">
        <f>INDEX(★サイズ表記!$I$4:$Q$55, MATCH(E385,★サイズ表記!$E$4:$E$55,0), MATCH(G385,★サイズ表記!$I$3:$R$3,0))</f>
        <v>0</v>
      </c>
      <c r="K385" s="471" t="str">
        <f t="shared" si="40"/>
        <v>T4006Shi</v>
      </c>
      <c r="L385" s="471" t="str">
        <f t="shared" si="41"/>
        <v>タブ14P</v>
      </c>
      <c r="P385" s="533" t="s">
        <v>1324</v>
      </c>
      <c r="Q385" s="533" t="s">
        <v>1325</v>
      </c>
      <c r="R385" s="534" t="str">
        <f t="shared" si="42"/>
        <v>4006</v>
      </c>
      <c r="S385" s="534" t="str">
        <f t="shared" si="43"/>
        <v>タブ14P</v>
      </c>
      <c r="T385" s="538" t="str">
        <f t="shared" si="44"/>
        <v>40</v>
      </c>
      <c r="U385" s="538" t="str">
        <f t="shared" si="45"/>
        <v>06</v>
      </c>
      <c r="V385" s="471" t="s">
        <v>1136</v>
      </c>
      <c r="Y385" s="472">
        <f t="shared" si="46"/>
        <v>0</v>
      </c>
      <c r="Z385" s="540">
        <f t="shared" si="47"/>
        <v>0</v>
      </c>
      <c r="AA385" s="471">
        <v>0</v>
      </c>
    </row>
    <row r="386" spans="1:27">
      <c r="A386" s="451" t="str">
        <f>CONCATENATE(VLOOKUP(B386,★営業所!$A$1:$B$5,2,FALSE),VLOOKUP(D386,★サイズ表記!$D$4:$E$55,2,FALSE),VLOOKUP(F386,★折込地区!$A$1:$B$11,2,FALSE))</f>
        <v>T4007Shi</v>
      </c>
      <c r="B386" s="457" t="s">
        <v>275</v>
      </c>
      <c r="C386" s="452" t="str">
        <f>VLOOKUP(B386,★営業所!$A$1:$B$5,2,FALSE)</f>
        <v>T</v>
      </c>
      <c r="D386" s="465" t="s">
        <v>1353</v>
      </c>
      <c r="E386" s="452" t="str">
        <f>VLOOKUP(D386,★サイズ表記!$D$4:$E$55,2,FALSE)</f>
        <v>4007</v>
      </c>
      <c r="F386" s="457" t="s">
        <v>41</v>
      </c>
      <c r="G386" s="452" t="str">
        <f>VLOOKUP(F386,★折込地区!$A$1:$B$11,2,FALSE)</f>
        <v>Shi</v>
      </c>
      <c r="H386" s="453">
        <f>INDEX(★サイズ表記!$I$4:$Q$55, MATCH(E386,★サイズ表記!$E$4:$E$55,0), MATCH(G386,★サイズ表記!$I$3:$R$3,0))</f>
        <v>0</v>
      </c>
      <c r="K386" s="471" t="str">
        <f t="shared" si="40"/>
        <v>T4007Shi</v>
      </c>
      <c r="L386" s="471" t="str">
        <f t="shared" si="41"/>
        <v>タブ16P</v>
      </c>
      <c r="P386" s="533" t="s">
        <v>1324</v>
      </c>
      <c r="Q386" s="533" t="s">
        <v>1325</v>
      </c>
      <c r="R386" s="534" t="str">
        <f t="shared" si="42"/>
        <v>4007</v>
      </c>
      <c r="S386" s="534" t="str">
        <f t="shared" si="43"/>
        <v>タブ16P</v>
      </c>
      <c r="T386" s="538" t="str">
        <f t="shared" si="44"/>
        <v>40</v>
      </c>
      <c r="U386" s="538" t="str">
        <f t="shared" si="45"/>
        <v>07</v>
      </c>
      <c r="V386" s="471" t="s">
        <v>1136</v>
      </c>
      <c r="Y386" s="472">
        <f t="shared" si="46"/>
        <v>0</v>
      </c>
      <c r="Z386" s="540">
        <f t="shared" si="47"/>
        <v>0</v>
      </c>
      <c r="AA386" s="471">
        <v>0</v>
      </c>
    </row>
    <row r="387" spans="1:27">
      <c r="A387" s="451" t="str">
        <f>CONCATENATE(VLOOKUP(B387,★営業所!$A$1:$B$5,2,FALSE),VLOOKUP(D387,★サイズ表記!$D$4:$E$55,2,FALSE),VLOOKUP(F387,★折込地区!$A$1:$B$11,2,FALSE))</f>
        <v>T4008Shi</v>
      </c>
      <c r="B387" s="457" t="s">
        <v>275</v>
      </c>
      <c r="C387" s="452" t="str">
        <f>VLOOKUP(B387,★営業所!$A$1:$B$5,2,FALSE)</f>
        <v>T</v>
      </c>
      <c r="D387" s="465" t="s">
        <v>1355</v>
      </c>
      <c r="E387" s="452" t="str">
        <f>VLOOKUP(D387,★サイズ表記!$D$4:$E$55,2,FALSE)</f>
        <v>4008</v>
      </c>
      <c r="F387" s="457" t="s">
        <v>41</v>
      </c>
      <c r="G387" s="452" t="str">
        <f>VLOOKUP(F387,★折込地区!$A$1:$B$11,2,FALSE)</f>
        <v>Shi</v>
      </c>
      <c r="H387" s="453">
        <f>INDEX(★サイズ表記!$I$4:$Q$55, MATCH(E387,★サイズ表記!$E$4:$E$55,0), MATCH(G387,★サイズ表記!$I$3:$R$3,0))</f>
        <v>0</v>
      </c>
      <c r="K387" s="471" t="str">
        <f t="shared" si="40"/>
        <v>T4008Shi</v>
      </c>
      <c r="L387" s="471" t="str">
        <f t="shared" si="41"/>
        <v>タブ18P</v>
      </c>
      <c r="P387" s="533" t="s">
        <v>1324</v>
      </c>
      <c r="Q387" s="533" t="s">
        <v>1325</v>
      </c>
      <c r="R387" s="534" t="str">
        <f t="shared" si="42"/>
        <v>4008</v>
      </c>
      <c r="S387" s="534" t="str">
        <f t="shared" si="43"/>
        <v>タブ18P</v>
      </c>
      <c r="T387" s="538" t="str">
        <f t="shared" si="44"/>
        <v>40</v>
      </c>
      <c r="U387" s="538" t="str">
        <f t="shared" si="45"/>
        <v>08</v>
      </c>
      <c r="V387" s="471" t="s">
        <v>1136</v>
      </c>
      <c r="Y387" s="472">
        <f t="shared" si="46"/>
        <v>0</v>
      </c>
      <c r="Z387" s="540">
        <f t="shared" si="47"/>
        <v>0</v>
      </c>
      <c r="AA387" s="471">
        <v>0</v>
      </c>
    </row>
    <row r="388" spans="1:27">
      <c r="A388" s="451" t="str">
        <f>CONCATENATE(VLOOKUP(B388,★営業所!$A$1:$B$5,2,FALSE),VLOOKUP(D388,★サイズ表記!$D$4:$E$55,2,FALSE),VLOOKUP(F388,★折込地区!$A$1:$B$11,2,FALSE))</f>
        <v>T4009Shi</v>
      </c>
      <c r="B388" s="457" t="s">
        <v>275</v>
      </c>
      <c r="C388" s="452" t="str">
        <f>VLOOKUP(B388,★営業所!$A$1:$B$5,2,FALSE)</f>
        <v>T</v>
      </c>
      <c r="D388" s="465" t="s">
        <v>1356</v>
      </c>
      <c r="E388" s="452" t="str">
        <f>VLOOKUP(D388,★サイズ表記!$D$4:$E$55,2,FALSE)</f>
        <v>4009</v>
      </c>
      <c r="F388" s="457" t="s">
        <v>41</v>
      </c>
      <c r="G388" s="452" t="str">
        <f>VLOOKUP(F388,★折込地区!$A$1:$B$11,2,FALSE)</f>
        <v>Shi</v>
      </c>
      <c r="H388" s="453">
        <f>INDEX(★サイズ表記!$I$4:$Q$55, MATCH(E388,★サイズ表記!$E$4:$E$55,0), MATCH(G388,★サイズ表記!$I$3:$R$3,0))</f>
        <v>0</v>
      </c>
      <c r="K388" s="471" t="str">
        <f t="shared" si="40"/>
        <v>T4009Shi</v>
      </c>
      <c r="L388" s="471" t="str">
        <f t="shared" si="41"/>
        <v>タブ20P</v>
      </c>
      <c r="P388" s="533" t="s">
        <v>1324</v>
      </c>
      <c r="Q388" s="533" t="s">
        <v>1325</v>
      </c>
      <c r="R388" s="534" t="str">
        <f t="shared" si="42"/>
        <v>4009</v>
      </c>
      <c r="S388" s="534" t="str">
        <f t="shared" si="43"/>
        <v>タブ20P</v>
      </c>
      <c r="T388" s="538" t="str">
        <f t="shared" si="44"/>
        <v>40</v>
      </c>
      <c r="U388" s="538" t="str">
        <f t="shared" si="45"/>
        <v>09</v>
      </c>
      <c r="V388" s="471" t="s">
        <v>1136</v>
      </c>
      <c r="Y388" s="472">
        <f t="shared" si="46"/>
        <v>0</v>
      </c>
      <c r="Z388" s="540">
        <f t="shared" si="47"/>
        <v>0</v>
      </c>
      <c r="AA388" s="471">
        <v>0</v>
      </c>
    </row>
    <row r="389" spans="1:27">
      <c r="A389" s="451" t="str">
        <f>CONCATENATE(VLOOKUP(B389,★営業所!$A$1:$B$5,2,FALSE),VLOOKUP(D389,★サイズ表記!$D$4:$E$55,2,FALSE),VLOOKUP(F389,★折込地区!$A$1:$B$11,2,FALSE))</f>
        <v>T4010Shi</v>
      </c>
      <c r="B389" s="457" t="s">
        <v>275</v>
      </c>
      <c r="C389" s="452" t="str">
        <f>VLOOKUP(B389,★営業所!$A$1:$B$5,2,FALSE)</f>
        <v>T</v>
      </c>
      <c r="D389" s="465" t="s">
        <v>1354</v>
      </c>
      <c r="E389" s="452" t="str">
        <f>VLOOKUP(D389,★サイズ表記!$D$4:$E$55,2,FALSE)</f>
        <v>4010</v>
      </c>
      <c r="F389" s="457" t="s">
        <v>41</v>
      </c>
      <c r="G389" s="452" t="str">
        <f>VLOOKUP(F389,★折込地区!$A$1:$B$11,2,FALSE)</f>
        <v>Shi</v>
      </c>
      <c r="H389" s="453">
        <f>INDEX(★サイズ表記!$I$4:$Q$55, MATCH(E389,★サイズ表記!$E$4:$E$55,0), MATCH(G389,★サイズ表記!$I$3:$R$3,0))</f>
        <v>0</v>
      </c>
      <c r="K389" s="471" t="str">
        <f t="shared" si="40"/>
        <v>T4010Shi</v>
      </c>
      <c r="L389" s="471" t="str">
        <f t="shared" si="41"/>
        <v>タブ16Pホチキス止め</v>
      </c>
      <c r="P389" s="533" t="s">
        <v>1324</v>
      </c>
      <c r="Q389" s="533" t="s">
        <v>1325</v>
      </c>
      <c r="R389" s="534" t="str">
        <f t="shared" si="42"/>
        <v>4010</v>
      </c>
      <c r="S389" s="534" t="str">
        <f t="shared" si="43"/>
        <v>タブ16Pホチキス止め</v>
      </c>
      <c r="T389" s="538" t="str">
        <f t="shared" si="44"/>
        <v>40</v>
      </c>
      <c r="U389" s="538" t="str">
        <f t="shared" si="45"/>
        <v>10</v>
      </c>
      <c r="V389" s="471" t="s">
        <v>1136</v>
      </c>
      <c r="Y389" s="472">
        <f t="shared" si="46"/>
        <v>0</v>
      </c>
      <c r="Z389" s="540">
        <f t="shared" si="47"/>
        <v>0</v>
      </c>
      <c r="AA389" s="471">
        <v>0</v>
      </c>
    </row>
    <row r="390" spans="1:27">
      <c r="A390" s="451" t="str">
        <f>CONCATENATE(VLOOKUP(B390,★営業所!$A$1:$B$5,2,FALSE),VLOOKUP(D390,★サイズ表記!$D$4:$E$55,2,FALSE),VLOOKUP(F390,★折込地区!$A$1:$B$11,2,FALSE))</f>
        <v>T4011Shi</v>
      </c>
      <c r="B390" s="457" t="s">
        <v>275</v>
      </c>
      <c r="C390" s="452" t="str">
        <f>VLOOKUP(B390,★営業所!$A$1:$B$5,2,FALSE)</f>
        <v>T</v>
      </c>
      <c r="D390" s="465" t="s">
        <v>1357</v>
      </c>
      <c r="E390" s="452" t="str">
        <f>VLOOKUP(D390,★サイズ表記!$D$4:$E$55,2,FALSE)</f>
        <v>4011</v>
      </c>
      <c r="F390" s="457" t="s">
        <v>41</v>
      </c>
      <c r="G390" s="452" t="str">
        <f>VLOOKUP(F390,★折込地区!$A$1:$B$11,2,FALSE)</f>
        <v>Shi</v>
      </c>
      <c r="H390" s="453">
        <f>INDEX(★サイズ表記!$I$4:$Q$55, MATCH(E390,★サイズ表記!$E$4:$E$55,0), MATCH(G390,★サイズ表記!$I$3:$R$3,0))</f>
        <v>0</v>
      </c>
      <c r="K390" s="471" t="str">
        <f t="shared" si="40"/>
        <v>T4011Shi</v>
      </c>
      <c r="L390" s="471" t="str">
        <f t="shared" si="41"/>
        <v>タブ40P</v>
      </c>
      <c r="P390" s="533" t="s">
        <v>1324</v>
      </c>
      <c r="Q390" s="533" t="s">
        <v>1325</v>
      </c>
      <c r="R390" s="534" t="str">
        <f t="shared" si="42"/>
        <v>4011</v>
      </c>
      <c r="S390" s="534" t="str">
        <f t="shared" si="43"/>
        <v>タブ40P</v>
      </c>
      <c r="T390" s="538" t="str">
        <f t="shared" si="44"/>
        <v>40</v>
      </c>
      <c r="U390" s="538" t="str">
        <f t="shared" si="45"/>
        <v>11</v>
      </c>
      <c r="V390" s="471" t="s">
        <v>1136</v>
      </c>
      <c r="Y390" s="472">
        <f t="shared" si="46"/>
        <v>0</v>
      </c>
      <c r="Z390" s="540">
        <f t="shared" si="47"/>
        <v>0</v>
      </c>
      <c r="AA390" s="471">
        <v>0</v>
      </c>
    </row>
    <row r="391" spans="1:27">
      <c r="A391" s="451" t="str">
        <f>CONCATENATE(VLOOKUP(B391,★営業所!$A$1:$B$5,2,FALSE),VLOOKUP(D391,★サイズ表記!$D$4:$E$55,2,FALSE),VLOOKUP(F391,★折込地区!$A$1:$B$11,2,FALSE))</f>
        <v>T9001Shi</v>
      </c>
      <c r="B391" s="457" t="s">
        <v>275</v>
      </c>
      <c r="C391" s="452" t="str">
        <f>VLOOKUP(B391,★営業所!$A$1:$B$5,2,FALSE)</f>
        <v>T</v>
      </c>
      <c r="D391" s="465" t="s">
        <v>975</v>
      </c>
      <c r="E391" s="452" t="str">
        <f>VLOOKUP(D391,★サイズ表記!$D$4:$E$55,2,FALSE)</f>
        <v>9001</v>
      </c>
      <c r="F391" s="457" t="s">
        <v>41</v>
      </c>
      <c r="G391" s="452" t="str">
        <f>VLOOKUP(F391,★折込地区!$A$1:$B$11,2,FALSE)</f>
        <v>Shi</v>
      </c>
      <c r="H391" s="453">
        <f>INDEX(★サイズ表記!$I$4:$Q$55, MATCH(E391,★サイズ表記!$E$4:$E$55,0), MATCH(G391,★サイズ表記!$I$3:$R$3,0))</f>
        <v>0</v>
      </c>
      <c r="K391" s="471" t="str">
        <f t="shared" si="40"/>
        <v>T9001Shi</v>
      </c>
      <c r="L391" s="471" t="str">
        <f t="shared" si="41"/>
        <v>うさぎの耳</v>
      </c>
      <c r="P391" s="533" t="s">
        <v>1324</v>
      </c>
      <c r="Q391" s="533" t="s">
        <v>1325</v>
      </c>
      <c r="R391" s="534" t="str">
        <f t="shared" si="42"/>
        <v>9001</v>
      </c>
      <c r="S391" s="534" t="str">
        <f t="shared" si="43"/>
        <v>うさぎの耳</v>
      </c>
      <c r="T391" s="538" t="str">
        <f t="shared" si="44"/>
        <v>90</v>
      </c>
      <c r="U391" s="538" t="str">
        <f t="shared" si="45"/>
        <v>01</v>
      </c>
      <c r="V391" s="471" t="s">
        <v>1136</v>
      </c>
      <c r="Y391" s="472">
        <f t="shared" si="46"/>
        <v>0</v>
      </c>
      <c r="Z391" s="540">
        <f t="shared" si="47"/>
        <v>0</v>
      </c>
      <c r="AA391" s="471">
        <v>0</v>
      </c>
    </row>
    <row r="392" spans="1:27">
      <c r="A392" s="451" t="str">
        <f>CONCATENATE(VLOOKUP(B392,★営業所!$A$1:$B$5,2,FALSE),VLOOKUP(D392,★サイズ表記!$D$4:$E$55,2,FALSE),VLOOKUP(F392,★折込地区!$A$1:$B$11,2,FALSE))</f>
        <v>T9002Shi</v>
      </c>
      <c r="B392" s="457" t="s">
        <v>275</v>
      </c>
      <c r="C392" s="452" t="str">
        <f>VLOOKUP(B392,★営業所!$A$1:$B$5,2,FALSE)</f>
        <v>T</v>
      </c>
      <c r="D392" s="465" t="s">
        <v>976</v>
      </c>
      <c r="E392" s="452" t="str">
        <f>VLOOKUP(D392,★サイズ表記!$D$4:$E$55,2,FALSE)</f>
        <v>9002</v>
      </c>
      <c r="F392" s="457" t="s">
        <v>41</v>
      </c>
      <c r="G392" s="452" t="str">
        <f>VLOOKUP(F392,★折込地区!$A$1:$B$11,2,FALSE)</f>
        <v>Shi</v>
      </c>
      <c r="H392" s="453">
        <f>INDEX(★サイズ表記!$I$4:$Q$55, MATCH(E392,★サイズ表記!$E$4:$E$55,0), MATCH(G392,★サイズ表記!$I$3:$R$3,0))</f>
        <v>0</v>
      </c>
      <c r="K392" s="471" t="str">
        <f t="shared" si="40"/>
        <v>T9002Shi</v>
      </c>
      <c r="L392" s="471" t="str">
        <f t="shared" si="41"/>
        <v>ユーキャン（題字）</v>
      </c>
      <c r="P392" s="533" t="s">
        <v>1324</v>
      </c>
      <c r="Q392" s="533" t="s">
        <v>1325</v>
      </c>
      <c r="R392" s="534" t="str">
        <f t="shared" si="42"/>
        <v>9002</v>
      </c>
      <c r="S392" s="534" t="str">
        <f t="shared" si="43"/>
        <v>ユーキャン（題字）</v>
      </c>
      <c r="T392" s="538" t="str">
        <f t="shared" si="44"/>
        <v>90</v>
      </c>
      <c r="U392" s="538" t="str">
        <f t="shared" si="45"/>
        <v>02</v>
      </c>
      <c r="V392" s="471" t="s">
        <v>1136</v>
      </c>
      <c r="Y392" s="472">
        <f t="shared" si="46"/>
        <v>0</v>
      </c>
      <c r="Z392" s="540">
        <f t="shared" si="47"/>
        <v>0</v>
      </c>
      <c r="AA392" s="471">
        <v>0</v>
      </c>
    </row>
    <row r="393" spans="1:27">
      <c r="A393" s="451" t="str">
        <f>CONCATENATE(VLOOKUP(B393,★営業所!$A$1:$B$5,2,FALSE),VLOOKUP(D393,★サイズ表記!$D$4:$E$55,2,FALSE),VLOOKUP(F393,★折込地区!$A$1:$B$11,2,FALSE))</f>
        <v>T9003Shi</v>
      </c>
      <c r="B393" s="457" t="s">
        <v>275</v>
      </c>
      <c r="C393" s="452" t="str">
        <f>VLOOKUP(B393,★営業所!$A$1:$B$5,2,FALSE)</f>
        <v>T</v>
      </c>
      <c r="D393" s="465" t="s">
        <v>977</v>
      </c>
      <c r="E393" s="452" t="str">
        <f>VLOOKUP(D393,★サイズ表記!$D$4:$E$55,2,FALSE)</f>
        <v>9003</v>
      </c>
      <c r="F393" s="457" t="s">
        <v>41</v>
      </c>
      <c r="G393" s="452" t="str">
        <f>VLOOKUP(F393,★折込地区!$A$1:$B$11,2,FALSE)</f>
        <v>Shi</v>
      </c>
      <c r="H393" s="453">
        <f>INDEX(★サイズ表記!$I$4:$Q$55, MATCH(E393,★サイズ表記!$E$4:$E$55,0), MATCH(G393,★サイズ表記!$I$3:$R$3,0))</f>
        <v>0</v>
      </c>
      <c r="K393" s="471" t="str">
        <f t="shared" si="40"/>
        <v>T9003Shi</v>
      </c>
      <c r="L393" s="471" t="str">
        <f t="shared" si="41"/>
        <v>横長B3</v>
      </c>
      <c r="P393" s="533" t="s">
        <v>1324</v>
      </c>
      <c r="Q393" s="533" t="s">
        <v>1325</v>
      </c>
      <c r="R393" s="534" t="str">
        <f t="shared" si="42"/>
        <v>9003</v>
      </c>
      <c r="S393" s="534" t="str">
        <f t="shared" si="43"/>
        <v>横長B3</v>
      </c>
      <c r="T393" s="538" t="str">
        <f t="shared" si="44"/>
        <v>90</v>
      </c>
      <c r="U393" s="538" t="str">
        <f t="shared" si="45"/>
        <v>03</v>
      </c>
      <c r="V393" s="471" t="s">
        <v>1136</v>
      </c>
      <c r="Y393" s="472">
        <f t="shared" si="46"/>
        <v>0</v>
      </c>
      <c r="Z393" s="540">
        <f t="shared" si="47"/>
        <v>0</v>
      </c>
      <c r="AA393" s="471">
        <v>0</v>
      </c>
    </row>
    <row r="394" spans="1:27">
      <c r="A394" s="451" t="str">
        <f>CONCATENATE(VLOOKUP(B394,★営業所!$A$1:$B$5,2,FALSE),VLOOKUP(D394,★サイズ表記!$D$4:$E$55,2,FALSE),VLOOKUP(F394,★折込地区!$A$1:$B$11,2,FALSE))</f>
        <v>T9004Shi</v>
      </c>
      <c r="B394" s="457" t="s">
        <v>275</v>
      </c>
      <c r="C394" s="452" t="str">
        <f>VLOOKUP(B394,★営業所!$A$1:$B$5,2,FALSE)</f>
        <v>T</v>
      </c>
      <c r="D394" s="465" t="s">
        <v>978</v>
      </c>
      <c r="E394" s="452" t="str">
        <f>VLOOKUP(D394,★サイズ表記!$D$4:$E$55,2,FALSE)</f>
        <v>9004</v>
      </c>
      <c r="F394" s="457" t="s">
        <v>41</v>
      </c>
      <c r="G394" s="452" t="str">
        <f>VLOOKUP(F394,★折込地区!$A$1:$B$11,2,FALSE)</f>
        <v>Shi</v>
      </c>
      <c r="H394" s="453">
        <f>INDEX(★サイズ表記!$I$4:$Q$55, MATCH(E394,★サイズ表記!$E$4:$E$55,0), MATCH(G394,★サイズ表記!$I$3:$R$3,0))</f>
        <v>0</v>
      </c>
      <c r="K394" s="471" t="str">
        <f t="shared" si="40"/>
        <v>T9004Shi</v>
      </c>
      <c r="L394" s="471" t="str">
        <f t="shared" si="41"/>
        <v>AD-BAG</v>
      </c>
      <c r="P394" s="533" t="s">
        <v>1324</v>
      </c>
      <c r="Q394" s="533" t="s">
        <v>1325</v>
      </c>
      <c r="R394" s="534" t="str">
        <f t="shared" si="42"/>
        <v>9004</v>
      </c>
      <c r="S394" s="534" t="str">
        <f t="shared" si="43"/>
        <v>AD-BAG</v>
      </c>
      <c r="T394" s="538" t="str">
        <f t="shared" si="44"/>
        <v>90</v>
      </c>
      <c r="U394" s="538" t="str">
        <f t="shared" si="45"/>
        <v>04</v>
      </c>
      <c r="V394" s="471" t="s">
        <v>1136</v>
      </c>
      <c r="Y394" s="472">
        <f t="shared" si="46"/>
        <v>0</v>
      </c>
      <c r="Z394" s="540">
        <f t="shared" si="47"/>
        <v>0</v>
      </c>
      <c r="AA394" s="471">
        <v>0</v>
      </c>
    </row>
    <row r="395" spans="1:27">
      <c r="A395" s="451" t="str">
        <f>CONCATENATE(VLOOKUP(B395,★営業所!$A$1:$B$5,2,FALSE),VLOOKUP(D395,★サイズ表記!$D$4:$E$55,2,FALSE),VLOOKUP(F395,★折込地区!$A$1:$B$11,2,FALSE))</f>
        <v>T9005Shi</v>
      </c>
      <c r="B395" s="457" t="s">
        <v>275</v>
      </c>
      <c r="C395" s="452" t="str">
        <f>VLOOKUP(B395,★営業所!$A$1:$B$5,2,FALSE)</f>
        <v>T</v>
      </c>
      <c r="D395" s="465" t="s">
        <v>979</v>
      </c>
      <c r="E395" s="452" t="str">
        <f>VLOOKUP(D395,★サイズ表記!$D$4:$E$55,2,FALSE)</f>
        <v>9005</v>
      </c>
      <c r="F395" s="457" t="s">
        <v>41</v>
      </c>
      <c r="G395" s="452" t="str">
        <f>VLOOKUP(F395,★折込地区!$A$1:$B$11,2,FALSE)</f>
        <v>Shi</v>
      </c>
      <c r="H395" s="453">
        <f>INDEX(★サイズ表記!$I$4:$Q$55, MATCH(E395,★サイズ表記!$E$4:$E$55,0), MATCH(G395,★サイズ表記!$I$3:$R$3,0))</f>
        <v>0</v>
      </c>
      <c r="K395" s="471" t="str">
        <f t="shared" si="40"/>
        <v>T9005Shi</v>
      </c>
      <c r="L395" s="471" t="str">
        <f t="shared" si="41"/>
        <v>封筒</v>
      </c>
      <c r="P395" s="533" t="s">
        <v>1324</v>
      </c>
      <c r="Q395" s="533" t="s">
        <v>1325</v>
      </c>
      <c r="R395" s="534" t="str">
        <f t="shared" si="42"/>
        <v>9005</v>
      </c>
      <c r="S395" s="534" t="str">
        <f t="shared" si="43"/>
        <v>封筒</v>
      </c>
      <c r="T395" s="538" t="str">
        <f t="shared" si="44"/>
        <v>90</v>
      </c>
      <c r="U395" s="538" t="str">
        <f t="shared" si="45"/>
        <v>05</v>
      </c>
      <c r="V395" s="471" t="s">
        <v>1136</v>
      </c>
      <c r="Y395" s="472">
        <f t="shared" si="46"/>
        <v>0</v>
      </c>
      <c r="Z395" s="540">
        <f t="shared" si="47"/>
        <v>0</v>
      </c>
      <c r="AA395" s="471">
        <v>0</v>
      </c>
    </row>
    <row r="396" spans="1:27">
      <c r="A396" s="451" t="str">
        <f>CONCATENATE(VLOOKUP(B396,★営業所!$A$1:$B$5,2,FALSE),VLOOKUP(D396,★サイズ表記!$D$4:$E$55,2,FALSE),VLOOKUP(F396,★折込地区!$A$1:$B$11,2,FALSE))</f>
        <v>T9006Shi</v>
      </c>
      <c r="B396" s="457" t="s">
        <v>275</v>
      </c>
      <c r="C396" s="452" t="str">
        <f>VLOOKUP(B396,★営業所!$A$1:$B$5,2,FALSE)</f>
        <v>T</v>
      </c>
      <c r="D396" s="465" t="s">
        <v>980</v>
      </c>
      <c r="E396" s="452" t="str">
        <f>VLOOKUP(D396,★サイズ表記!$D$4:$E$55,2,FALSE)</f>
        <v>9006</v>
      </c>
      <c r="F396" s="457" t="s">
        <v>41</v>
      </c>
      <c r="G396" s="452" t="str">
        <f>VLOOKUP(F396,★折込地区!$A$1:$B$11,2,FALSE)</f>
        <v>Shi</v>
      </c>
      <c r="H396" s="453">
        <f>INDEX(★サイズ表記!$I$4:$Q$55, MATCH(E396,★サイズ表記!$E$4:$E$55,0), MATCH(G396,★サイズ表記!$I$3:$R$3,0))</f>
        <v>0</v>
      </c>
      <c r="K396" s="471" t="str">
        <f t="shared" si="40"/>
        <v>T9006Shi</v>
      </c>
      <c r="L396" s="471" t="str">
        <f t="shared" si="41"/>
        <v>圧着</v>
      </c>
      <c r="P396" s="533" t="s">
        <v>1324</v>
      </c>
      <c r="Q396" s="533" t="s">
        <v>1325</v>
      </c>
      <c r="R396" s="534" t="str">
        <f t="shared" si="42"/>
        <v>9006</v>
      </c>
      <c r="S396" s="534" t="str">
        <f t="shared" si="43"/>
        <v>圧着</v>
      </c>
      <c r="T396" s="538" t="str">
        <f t="shared" si="44"/>
        <v>90</v>
      </c>
      <c r="U396" s="538" t="str">
        <f t="shared" si="45"/>
        <v>06</v>
      </c>
      <c r="V396" s="471" t="s">
        <v>1136</v>
      </c>
      <c r="Y396" s="472">
        <f t="shared" si="46"/>
        <v>0</v>
      </c>
      <c r="Z396" s="540">
        <f t="shared" si="47"/>
        <v>0</v>
      </c>
      <c r="AA396" s="471">
        <v>0</v>
      </c>
    </row>
    <row r="397" spans="1:27">
      <c r="A397" s="451" t="str">
        <f>CONCATENATE(VLOOKUP(B397,★営業所!$A$1:$B$5,2,FALSE),VLOOKUP(D397,★サイズ表記!$D$4:$E$55,2,FALSE),VLOOKUP(F397,★折込地区!$A$1:$B$11,2,FALSE))</f>
        <v>T9007Shi</v>
      </c>
      <c r="B397" s="457" t="s">
        <v>275</v>
      </c>
      <c r="C397" s="452" t="str">
        <f>VLOOKUP(B397,★営業所!$A$1:$B$5,2,FALSE)</f>
        <v>T</v>
      </c>
      <c r="D397" s="465" t="s">
        <v>981</v>
      </c>
      <c r="E397" s="452" t="str">
        <f>VLOOKUP(D397,★サイズ表記!$D$4:$E$55,2,FALSE)</f>
        <v>9007</v>
      </c>
      <c r="F397" s="457" t="s">
        <v>41</v>
      </c>
      <c r="G397" s="452" t="str">
        <f>VLOOKUP(F397,★折込地区!$A$1:$B$11,2,FALSE)</f>
        <v>Shi</v>
      </c>
      <c r="H397" s="453">
        <f>INDEX(★サイズ表記!$I$4:$Q$55, MATCH(E397,★サイズ表記!$E$4:$E$55,0), MATCH(G397,★サイズ表記!$I$3:$R$3,0))</f>
        <v>0</v>
      </c>
      <c r="K397" s="471" t="str">
        <f t="shared" si="40"/>
        <v>T9007Shi</v>
      </c>
      <c r="L397" s="471" t="str">
        <f t="shared" si="41"/>
        <v>圧着厚紙</v>
      </c>
      <c r="P397" s="533" t="s">
        <v>1324</v>
      </c>
      <c r="Q397" s="533" t="s">
        <v>1325</v>
      </c>
      <c r="R397" s="534" t="str">
        <f t="shared" si="42"/>
        <v>9007</v>
      </c>
      <c r="S397" s="534" t="str">
        <f t="shared" si="43"/>
        <v>圧着厚紙</v>
      </c>
      <c r="T397" s="538" t="str">
        <f t="shared" si="44"/>
        <v>90</v>
      </c>
      <c r="U397" s="538" t="str">
        <f t="shared" si="45"/>
        <v>07</v>
      </c>
      <c r="V397" s="471" t="s">
        <v>1136</v>
      </c>
      <c r="Y397" s="472">
        <f t="shared" si="46"/>
        <v>0</v>
      </c>
      <c r="Z397" s="540">
        <f t="shared" si="47"/>
        <v>0</v>
      </c>
      <c r="AA397" s="471">
        <v>0</v>
      </c>
    </row>
    <row r="398" spans="1:27">
      <c r="A398" s="451" t="str">
        <f>CONCATENATE(VLOOKUP(B398,★営業所!$A$1:$B$5,2,FALSE),VLOOKUP(D398,★サイズ表記!$D$4:$E$55,2,FALSE),VLOOKUP(F398,★折込地区!$A$1:$B$11,2,FALSE))</f>
        <v>C1001Tot</v>
      </c>
      <c r="B398" s="457" t="s">
        <v>116</v>
      </c>
      <c r="C398" s="452" t="str">
        <f>VLOOKUP(B398,★営業所!$A$1:$B$5,2,FALSE)</f>
        <v>C</v>
      </c>
      <c r="D398" s="465" t="s">
        <v>948</v>
      </c>
      <c r="E398" s="452" t="str">
        <f>VLOOKUP(D398,★サイズ表記!$D$4:$E$55,2,FALSE)</f>
        <v>1001</v>
      </c>
      <c r="F398" s="457" t="s">
        <v>282</v>
      </c>
      <c r="G398" s="452" t="str">
        <f>VLOOKUP(F398,★折込地区!$A$1:$B$11,2,FALSE)</f>
        <v>Tot</v>
      </c>
      <c r="H398" s="453">
        <f>INDEX(★サイズ表記!$I$4:$Q$55, MATCH(E398,★サイズ表記!$E$4:$E$55,0), MATCH(G398,★サイズ表記!$I$3:$R$3,0))</f>
        <v>2.8</v>
      </c>
      <c r="K398" s="471" t="str">
        <f t="shared" si="40"/>
        <v>C1001Tot</v>
      </c>
      <c r="L398" s="471" t="str">
        <f t="shared" si="41"/>
        <v>B4（折り無し）</v>
      </c>
      <c r="P398" s="533" t="s">
        <v>1324</v>
      </c>
      <c r="Q398" s="533" t="s">
        <v>1325</v>
      </c>
      <c r="R398" s="534" t="str">
        <f t="shared" si="42"/>
        <v>1001</v>
      </c>
      <c r="S398" s="534" t="str">
        <f t="shared" si="43"/>
        <v>B4（折り無し）</v>
      </c>
      <c r="T398" s="538" t="str">
        <f t="shared" si="44"/>
        <v>10</v>
      </c>
      <c r="U398" s="538" t="str">
        <f t="shared" si="45"/>
        <v>01</v>
      </c>
      <c r="V398" s="471" t="s">
        <v>1136</v>
      </c>
      <c r="Y398" s="472">
        <f t="shared" si="46"/>
        <v>2.8</v>
      </c>
      <c r="Z398" s="540">
        <f t="shared" si="47"/>
        <v>0.22</v>
      </c>
      <c r="AA398" s="471">
        <v>0</v>
      </c>
    </row>
    <row r="399" spans="1:27">
      <c r="A399" s="451" t="str">
        <f>CONCATENATE(VLOOKUP(B399,★営業所!$A$1:$B$5,2,FALSE),VLOOKUP(D399,★サイズ表記!$D$4:$E$55,2,FALSE),VLOOKUP(F399,★折込地区!$A$1:$B$11,2,FALSE))</f>
        <v>C1002Tot</v>
      </c>
      <c r="B399" s="457" t="s">
        <v>116</v>
      </c>
      <c r="C399" s="452" t="str">
        <f>VLOOKUP(B399,★営業所!$A$1:$B$5,2,FALSE)</f>
        <v>C</v>
      </c>
      <c r="D399" s="465" t="s">
        <v>950</v>
      </c>
      <c r="E399" s="452" t="str">
        <f>VLOOKUP(D399,★サイズ表記!$D$4:$E$55,2,FALSE)</f>
        <v>1002</v>
      </c>
      <c r="F399" s="457" t="s">
        <v>282</v>
      </c>
      <c r="G399" s="452" t="str">
        <f>VLOOKUP(F399,★折込地区!$A$1:$B$11,2,FALSE)</f>
        <v>Tot</v>
      </c>
      <c r="H399" s="453">
        <f>INDEX(★サイズ表記!$I$4:$Q$55, MATCH(E399,★サイズ表記!$E$4:$E$55,0), MATCH(G399,★サイズ表記!$I$3:$R$3,0))</f>
        <v>3.9</v>
      </c>
      <c r="K399" s="471" t="str">
        <f t="shared" si="40"/>
        <v>C1002Tot</v>
      </c>
      <c r="L399" s="471" t="str">
        <f t="shared" si="41"/>
        <v>B3（2つ折り）</v>
      </c>
      <c r="P399" s="533" t="s">
        <v>1324</v>
      </c>
      <c r="Q399" s="533" t="s">
        <v>1325</v>
      </c>
      <c r="R399" s="534" t="str">
        <f t="shared" si="42"/>
        <v>1002</v>
      </c>
      <c r="S399" s="534" t="str">
        <f t="shared" si="43"/>
        <v>B3（2つ折り）</v>
      </c>
      <c r="T399" s="538" t="str">
        <f t="shared" si="44"/>
        <v>10</v>
      </c>
      <c r="U399" s="538" t="str">
        <f t="shared" si="45"/>
        <v>02</v>
      </c>
      <c r="V399" s="471" t="s">
        <v>1136</v>
      </c>
      <c r="Y399" s="472">
        <f t="shared" si="46"/>
        <v>3.9</v>
      </c>
      <c r="Z399" s="540">
        <f t="shared" si="47"/>
        <v>0.31</v>
      </c>
      <c r="AA399" s="471">
        <v>0</v>
      </c>
    </row>
    <row r="400" spans="1:27">
      <c r="A400" s="451" t="str">
        <f>CONCATENATE(VLOOKUP(B400,★営業所!$A$1:$B$5,2,FALSE),VLOOKUP(D400,★サイズ表記!$D$4:$E$55,2,FALSE),VLOOKUP(F400,★折込地区!$A$1:$B$11,2,FALSE))</f>
        <v>C1003Tot</v>
      </c>
      <c r="B400" s="457" t="s">
        <v>116</v>
      </c>
      <c r="C400" s="452" t="str">
        <f>VLOOKUP(B400,★営業所!$A$1:$B$5,2,FALSE)</f>
        <v>C</v>
      </c>
      <c r="D400" s="465" t="s">
        <v>951</v>
      </c>
      <c r="E400" s="452" t="str">
        <f>VLOOKUP(D400,★サイズ表記!$D$4:$E$55,2,FALSE)</f>
        <v>1003</v>
      </c>
      <c r="F400" s="457" t="s">
        <v>282</v>
      </c>
      <c r="G400" s="452" t="str">
        <f>VLOOKUP(F400,★折込地区!$A$1:$B$11,2,FALSE)</f>
        <v>Tot</v>
      </c>
      <c r="H400" s="453">
        <f>INDEX(★サイズ表記!$I$4:$Q$55, MATCH(E400,★サイズ表記!$E$4:$E$55,0), MATCH(G400,★サイズ表記!$I$3:$R$3,0))</f>
        <v>7</v>
      </c>
      <c r="K400" s="471" t="str">
        <f t="shared" si="40"/>
        <v>C1003Tot</v>
      </c>
      <c r="L400" s="471" t="str">
        <f t="shared" si="41"/>
        <v>3つ折り</v>
      </c>
      <c r="P400" s="533" t="s">
        <v>1324</v>
      </c>
      <c r="Q400" s="533" t="s">
        <v>1325</v>
      </c>
      <c r="R400" s="534" t="str">
        <f t="shared" si="42"/>
        <v>1003</v>
      </c>
      <c r="S400" s="534" t="str">
        <f t="shared" si="43"/>
        <v>3つ折り</v>
      </c>
      <c r="T400" s="538" t="str">
        <f t="shared" si="44"/>
        <v>10</v>
      </c>
      <c r="U400" s="538" t="str">
        <f t="shared" si="45"/>
        <v>03</v>
      </c>
      <c r="V400" s="471" t="s">
        <v>1136</v>
      </c>
      <c r="Y400" s="472">
        <f t="shared" si="46"/>
        <v>7</v>
      </c>
      <c r="Z400" s="540">
        <f t="shared" si="47"/>
        <v>0.56000000000000005</v>
      </c>
      <c r="AA400" s="471">
        <v>0</v>
      </c>
    </row>
    <row r="401" spans="1:27">
      <c r="A401" s="451" t="str">
        <f>CONCATENATE(VLOOKUP(B401,★営業所!$A$1:$B$5,2,FALSE),VLOOKUP(D401,★サイズ表記!$D$4:$E$55,2,FALSE),VLOOKUP(F401,★折込地区!$A$1:$B$11,2,FALSE))</f>
        <v>C1004Tot</v>
      </c>
      <c r="B401" s="457" t="s">
        <v>116</v>
      </c>
      <c r="C401" s="452" t="str">
        <f>VLOOKUP(B401,★営業所!$A$1:$B$5,2,FALSE)</f>
        <v>C</v>
      </c>
      <c r="D401" s="465" t="s">
        <v>947</v>
      </c>
      <c r="E401" s="452" t="str">
        <f>VLOOKUP(D401,★サイズ表記!$D$4:$E$55,2,FALSE)</f>
        <v>1004</v>
      </c>
      <c r="F401" s="457" t="s">
        <v>282</v>
      </c>
      <c r="G401" s="452" t="str">
        <f>VLOOKUP(F401,★折込地区!$A$1:$B$11,2,FALSE)</f>
        <v>Tot</v>
      </c>
      <c r="H401" s="453">
        <f>INDEX(★サイズ表記!$I$4:$Q$55, MATCH(E401,★サイズ表記!$E$4:$E$55,0), MATCH(G401,★サイズ表記!$I$3:$R$3,0))</f>
        <v>7</v>
      </c>
      <c r="K401" s="471" t="str">
        <f t="shared" si="40"/>
        <v>C1004Tot</v>
      </c>
      <c r="L401" s="471" t="str">
        <f t="shared" si="41"/>
        <v>観音折</v>
      </c>
      <c r="P401" s="533" t="s">
        <v>1324</v>
      </c>
      <c r="Q401" s="533" t="s">
        <v>1325</v>
      </c>
      <c r="R401" s="534" t="str">
        <f t="shared" si="42"/>
        <v>1004</v>
      </c>
      <c r="S401" s="534" t="str">
        <f t="shared" si="43"/>
        <v>観音折</v>
      </c>
      <c r="T401" s="538" t="str">
        <f t="shared" si="44"/>
        <v>10</v>
      </c>
      <c r="U401" s="538" t="str">
        <f t="shared" si="45"/>
        <v>04</v>
      </c>
      <c r="V401" s="471" t="s">
        <v>1136</v>
      </c>
      <c r="Y401" s="472">
        <f t="shared" si="46"/>
        <v>7</v>
      </c>
      <c r="Z401" s="540">
        <f t="shared" si="47"/>
        <v>0.56000000000000005</v>
      </c>
      <c r="AA401" s="471">
        <v>0</v>
      </c>
    </row>
    <row r="402" spans="1:27">
      <c r="A402" s="451" t="str">
        <f>CONCATENATE(VLOOKUP(B402,★営業所!$A$1:$B$5,2,FALSE),VLOOKUP(D402,★サイズ表記!$D$4:$E$55,2,FALSE),VLOOKUP(F402,★折込地区!$A$1:$B$11,2,FALSE))</f>
        <v>C1005Tot</v>
      </c>
      <c r="B402" s="457" t="s">
        <v>116</v>
      </c>
      <c r="C402" s="452" t="str">
        <f>VLOOKUP(B402,★営業所!$A$1:$B$5,2,FALSE)</f>
        <v>C</v>
      </c>
      <c r="D402" s="465" t="s">
        <v>952</v>
      </c>
      <c r="E402" s="452" t="str">
        <f>VLOOKUP(D402,★サイズ表記!$D$4:$E$55,2,FALSE)</f>
        <v>1005</v>
      </c>
      <c r="F402" s="457" t="s">
        <v>282</v>
      </c>
      <c r="G402" s="452" t="str">
        <f>VLOOKUP(F402,★折込地区!$A$1:$B$11,2,FALSE)</f>
        <v>Tot</v>
      </c>
      <c r="H402" s="453">
        <f>INDEX(★サイズ表記!$I$4:$Q$55, MATCH(E402,★サイズ表記!$E$4:$E$55,0), MATCH(G402,★サイズ表記!$I$3:$R$3,0))</f>
        <v>7</v>
      </c>
      <c r="K402" s="471" t="str">
        <f t="shared" si="40"/>
        <v>C1005Tot</v>
      </c>
      <c r="L402" s="471" t="str">
        <f t="shared" si="41"/>
        <v>B2（4つ折り）</v>
      </c>
      <c r="P402" s="533" t="s">
        <v>1324</v>
      </c>
      <c r="Q402" s="533" t="s">
        <v>1325</v>
      </c>
      <c r="R402" s="534" t="str">
        <f t="shared" si="42"/>
        <v>1005</v>
      </c>
      <c r="S402" s="534" t="str">
        <f t="shared" si="43"/>
        <v>B2（4つ折り）</v>
      </c>
      <c r="T402" s="538" t="str">
        <f t="shared" si="44"/>
        <v>10</v>
      </c>
      <c r="U402" s="538" t="str">
        <f t="shared" si="45"/>
        <v>05</v>
      </c>
      <c r="V402" s="471" t="s">
        <v>1136</v>
      </c>
      <c r="Y402" s="472">
        <f t="shared" si="46"/>
        <v>7</v>
      </c>
      <c r="Z402" s="540">
        <f t="shared" si="47"/>
        <v>0.56000000000000005</v>
      </c>
      <c r="AA402" s="471">
        <v>0</v>
      </c>
    </row>
    <row r="403" spans="1:27">
      <c r="A403" s="451" t="str">
        <f>CONCATENATE(VLOOKUP(B403,★営業所!$A$1:$B$5,2,FALSE),VLOOKUP(D403,★サイズ表記!$D$4:$E$55,2,FALSE),VLOOKUP(F403,★折込地区!$A$1:$B$11,2,FALSE))</f>
        <v>C1006Tot</v>
      </c>
      <c r="B403" s="457" t="s">
        <v>116</v>
      </c>
      <c r="C403" s="452" t="str">
        <f>VLOOKUP(B403,★営業所!$A$1:$B$5,2,FALSE)</f>
        <v>C</v>
      </c>
      <c r="D403" s="465" t="s">
        <v>955</v>
      </c>
      <c r="E403" s="452" t="str">
        <f>VLOOKUP(D403,★サイズ表記!$D$4:$E$55,2,FALSE)</f>
        <v>1006</v>
      </c>
      <c r="F403" s="457" t="s">
        <v>282</v>
      </c>
      <c r="G403" s="452" t="str">
        <f>VLOOKUP(F403,★折込地区!$A$1:$B$11,2,FALSE)</f>
        <v>Tot</v>
      </c>
      <c r="H403" s="453">
        <f>INDEX(★サイズ表記!$I$4:$Q$55, MATCH(E403,★サイズ表記!$E$4:$E$55,0), MATCH(G403,★サイズ表記!$I$3:$R$3,0))</f>
        <v>15</v>
      </c>
      <c r="K403" s="471" t="str">
        <f t="shared" si="40"/>
        <v>C1006Tot</v>
      </c>
      <c r="L403" s="471" t="str">
        <f t="shared" si="41"/>
        <v>B1（8折り）</v>
      </c>
      <c r="P403" s="533" t="s">
        <v>1324</v>
      </c>
      <c r="Q403" s="533" t="s">
        <v>1325</v>
      </c>
      <c r="R403" s="534" t="str">
        <f t="shared" si="42"/>
        <v>1006</v>
      </c>
      <c r="S403" s="534" t="str">
        <f t="shared" si="43"/>
        <v>B1（8折り）</v>
      </c>
      <c r="T403" s="538" t="str">
        <f t="shared" si="44"/>
        <v>10</v>
      </c>
      <c r="U403" s="538" t="str">
        <f t="shared" si="45"/>
        <v>06</v>
      </c>
      <c r="V403" s="471" t="s">
        <v>1136</v>
      </c>
      <c r="Y403" s="472">
        <f t="shared" si="46"/>
        <v>15</v>
      </c>
      <c r="Z403" s="540">
        <f t="shared" si="47"/>
        <v>1.2</v>
      </c>
      <c r="AA403" s="471">
        <v>0</v>
      </c>
    </row>
    <row r="404" spans="1:27">
      <c r="A404" s="451" t="str">
        <f>CONCATENATE(VLOOKUP(B404,★営業所!$A$1:$B$5,2,FALSE),VLOOKUP(D404,★サイズ表記!$D$4:$E$55,2,FALSE),VLOOKUP(F404,★折込地区!$A$1:$B$11,2,FALSE))</f>
        <v>C1007Tot</v>
      </c>
      <c r="B404" s="457" t="s">
        <v>116</v>
      </c>
      <c r="C404" s="452" t="str">
        <f>VLOOKUP(B404,★営業所!$A$1:$B$5,2,FALSE)</f>
        <v>C</v>
      </c>
      <c r="D404" s="465" t="s">
        <v>956</v>
      </c>
      <c r="E404" s="452" t="str">
        <f>VLOOKUP(D404,★サイズ表記!$D$4:$E$55,2,FALSE)</f>
        <v>1007</v>
      </c>
      <c r="F404" s="457" t="s">
        <v>282</v>
      </c>
      <c r="G404" s="452" t="str">
        <f>VLOOKUP(F404,★折込地区!$A$1:$B$11,2,FALSE)</f>
        <v>Tot</v>
      </c>
      <c r="H404" s="453">
        <f>INDEX(★サイズ表記!$I$4:$Q$55, MATCH(E404,★サイズ表記!$E$4:$E$55,0), MATCH(G404,★サイズ表記!$I$3:$R$3,0))</f>
        <v>3.3</v>
      </c>
      <c r="K404" s="471" t="str">
        <f t="shared" si="40"/>
        <v>C1007Tot</v>
      </c>
      <c r="L404" s="471" t="str">
        <f t="shared" si="41"/>
        <v>B4厚紙</v>
      </c>
      <c r="P404" s="533" t="s">
        <v>1324</v>
      </c>
      <c r="Q404" s="533" t="s">
        <v>1325</v>
      </c>
      <c r="R404" s="534" t="str">
        <f t="shared" si="42"/>
        <v>1007</v>
      </c>
      <c r="S404" s="534" t="str">
        <f t="shared" si="43"/>
        <v>B4厚紙</v>
      </c>
      <c r="T404" s="538" t="str">
        <f t="shared" si="44"/>
        <v>10</v>
      </c>
      <c r="U404" s="538" t="str">
        <f t="shared" si="45"/>
        <v>07</v>
      </c>
      <c r="V404" s="471" t="s">
        <v>1136</v>
      </c>
      <c r="Y404" s="472">
        <f t="shared" si="46"/>
        <v>3.3</v>
      </c>
      <c r="Z404" s="540">
        <f t="shared" si="47"/>
        <v>0.26</v>
      </c>
      <c r="AA404" s="471">
        <v>0</v>
      </c>
    </row>
    <row r="405" spans="1:27">
      <c r="A405" s="451" t="str">
        <f>CONCATENATE(VLOOKUP(B405,★営業所!$A$1:$B$5,2,FALSE),VLOOKUP(D405,★サイズ表記!$D$4:$E$55,2,FALSE),VLOOKUP(F405,★折込地区!$A$1:$B$11,2,FALSE))</f>
        <v>C1008Tot</v>
      </c>
      <c r="B405" s="457" t="s">
        <v>116</v>
      </c>
      <c r="C405" s="452" t="str">
        <f>VLOOKUP(B405,★営業所!$A$1:$B$5,2,FALSE)</f>
        <v>C</v>
      </c>
      <c r="D405" s="465" t="s">
        <v>957</v>
      </c>
      <c r="E405" s="452" t="str">
        <f>VLOOKUP(D405,★サイズ表記!$D$4:$E$55,2,FALSE)</f>
        <v>1008</v>
      </c>
      <c r="F405" s="457" t="s">
        <v>282</v>
      </c>
      <c r="G405" s="452" t="str">
        <f>VLOOKUP(F405,★折込地区!$A$1:$B$11,2,FALSE)</f>
        <v>Tot</v>
      </c>
      <c r="H405" s="453">
        <f>INDEX(★サイズ表記!$I$4:$Q$55, MATCH(E405,★サイズ表記!$E$4:$E$55,0), MATCH(G405,★サイズ表記!$I$3:$R$3,0))</f>
        <v>4.4000000000000004</v>
      </c>
      <c r="K405" s="471" t="str">
        <f t="shared" si="40"/>
        <v>C1008Tot</v>
      </c>
      <c r="L405" s="471" t="str">
        <f t="shared" si="41"/>
        <v>B3厚紙</v>
      </c>
      <c r="P405" s="533" t="s">
        <v>1324</v>
      </c>
      <c r="Q405" s="533" t="s">
        <v>1325</v>
      </c>
      <c r="R405" s="534" t="str">
        <f t="shared" si="42"/>
        <v>1008</v>
      </c>
      <c r="S405" s="534" t="str">
        <f t="shared" si="43"/>
        <v>B3厚紙</v>
      </c>
      <c r="T405" s="538" t="str">
        <f t="shared" si="44"/>
        <v>10</v>
      </c>
      <c r="U405" s="538" t="str">
        <f t="shared" si="45"/>
        <v>08</v>
      </c>
      <c r="V405" s="471" t="s">
        <v>1136</v>
      </c>
      <c r="Y405" s="472">
        <f t="shared" si="46"/>
        <v>4.4000000000000004</v>
      </c>
      <c r="Z405" s="540">
        <f t="shared" si="47"/>
        <v>0.35</v>
      </c>
      <c r="AA405" s="471">
        <v>0</v>
      </c>
    </row>
    <row r="406" spans="1:27">
      <c r="A406" s="451" t="str">
        <f>CONCATENATE(VLOOKUP(B406,★営業所!$A$1:$B$5,2,FALSE),VLOOKUP(D406,★サイズ表記!$D$4:$E$55,2,FALSE),VLOOKUP(F406,★折込地区!$A$1:$B$11,2,FALSE))</f>
        <v>C1009Tot</v>
      </c>
      <c r="B406" s="457" t="s">
        <v>116</v>
      </c>
      <c r="C406" s="452" t="str">
        <f>VLOOKUP(B406,★営業所!$A$1:$B$5,2,FALSE)</f>
        <v>C</v>
      </c>
      <c r="D406" s="465" t="s">
        <v>958</v>
      </c>
      <c r="E406" s="452" t="str">
        <f>VLOOKUP(D406,★サイズ表記!$D$4:$E$55,2,FALSE)</f>
        <v>1009</v>
      </c>
      <c r="F406" s="457" t="s">
        <v>282</v>
      </c>
      <c r="G406" s="452" t="str">
        <f>VLOOKUP(F406,★折込地区!$A$1:$B$11,2,FALSE)</f>
        <v>Tot</v>
      </c>
      <c r="H406" s="453">
        <f>INDEX(★サイズ表記!$I$4:$Q$55, MATCH(E406,★サイズ表記!$E$4:$E$55,0), MATCH(G406,★サイズ表記!$I$3:$R$3,0))</f>
        <v>7.5</v>
      </c>
      <c r="K406" s="471" t="str">
        <f t="shared" si="40"/>
        <v>C1009Tot</v>
      </c>
      <c r="L406" s="471" t="str">
        <f t="shared" si="41"/>
        <v>B2厚紙</v>
      </c>
      <c r="P406" s="533" t="s">
        <v>1324</v>
      </c>
      <c r="Q406" s="533" t="s">
        <v>1325</v>
      </c>
      <c r="R406" s="534" t="str">
        <f t="shared" si="42"/>
        <v>1009</v>
      </c>
      <c r="S406" s="534" t="str">
        <f t="shared" si="43"/>
        <v>B2厚紙</v>
      </c>
      <c r="T406" s="538" t="str">
        <f t="shared" si="44"/>
        <v>10</v>
      </c>
      <c r="U406" s="538" t="str">
        <f t="shared" si="45"/>
        <v>09</v>
      </c>
      <c r="V406" s="471" t="s">
        <v>1136</v>
      </c>
      <c r="Y406" s="472">
        <f t="shared" si="46"/>
        <v>7.5</v>
      </c>
      <c r="Z406" s="540">
        <f t="shared" si="47"/>
        <v>0.6</v>
      </c>
      <c r="AA406" s="471">
        <v>0</v>
      </c>
    </row>
    <row r="407" spans="1:27">
      <c r="A407" s="451" t="str">
        <f>CONCATENATE(VLOOKUP(B407,★営業所!$A$1:$B$5,2,FALSE),VLOOKUP(D407,★サイズ表記!$D$4:$E$55,2,FALSE),VLOOKUP(F407,★折込地区!$A$1:$B$11,2,FALSE))</f>
        <v>C1010Tot</v>
      </c>
      <c r="B407" s="457" t="s">
        <v>116</v>
      </c>
      <c r="C407" s="452" t="str">
        <f>VLOOKUP(B407,★営業所!$A$1:$B$5,2,FALSE)</f>
        <v>C</v>
      </c>
      <c r="D407" s="465" t="s">
        <v>959</v>
      </c>
      <c r="E407" s="452" t="str">
        <f>VLOOKUP(D407,★サイズ表記!$D$4:$E$55,2,FALSE)</f>
        <v>1010</v>
      </c>
      <c r="F407" s="457" t="s">
        <v>282</v>
      </c>
      <c r="G407" s="452" t="str">
        <f>VLOOKUP(F407,★折込地区!$A$1:$B$11,2,FALSE)</f>
        <v>Tot</v>
      </c>
      <c r="H407" s="453">
        <f>INDEX(★サイズ表記!$I$4:$Q$55, MATCH(E407,★サイズ表記!$E$4:$E$55,0), MATCH(G407,★サイズ表記!$I$3:$R$3,0))</f>
        <v>4.2</v>
      </c>
      <c r="K407" s="471" t="str">
        <f t="shared" si="40"/>
        <v>C1010Tot</v>
      </c>
      <c r="L407" s="471" t="str">
        <f t="shared" si="41"/>
        <v>B4以下変形</v>
      </c>
      <c r="P407" s="533" t="s">
        <v>1324</v>
      </c>
      <c r="Q407" s="533" t="s">
        <v>1325</v>
      </c>
      <c r="R407" s="534" t="str">
        <f t="shared" si="42"/>
        <v>1010</v>
      </c>
      <c r="S407" s="534" t="str">
        <f t="shared" si="43"/>
        <v>B4以下変形</v>
      </c>
      <c r="T407" s="538" t="str">
        <f t="shared" si="44"/>
        <v>10</v>
      </c>
      <c r="U407" s="538" t="str">
        <f t="shared" si="45"/>
        <v>10</v>
      </c>
      <c r="V407" s="471" t="s">
        <v>1136</v>
      </c>
      <c r="Y407" s="472">
        <f t="shared" si="46"/>
        <v>4.2</v>
      </c>
      <c r="Z407" s="540">
        <f t="shared" si="47"/>
        <v>0.33</v>
      </c>
      <c r="AA407" s="471">
        <v>0</v>
      </c>
    </row>
    <row r="408" spans="1:27">
      <c r="A408" s="451" t="str">
        <f>CONCATENATE(VLOOKUP(B408,★営業所!$A$1:$B$5,2,FALSE),VLOOKUP(D408,★サイズ表記!$D$4:$E$55,2,FALSE),VLOOKUP(F408,★折込地区!$A$1:$B$11,2,FALSE))</f>
        <v>C1011Tot</v>
      </c>
      <c r="B408" s="457" t="s">
        <v>116</v>
      </c>
      <c r="C408" s="452" t="str">
        <f>VLOOKUP(B408,★営業所!$A$1:$B$5,2,FALSE)</f>
        <v>C</v>
      </c>
      <c r="D408" s="465" t="s">
        <v>960</v>
      </c>
      <c r="E408" s="452" t="str">
        <f>VLOOKUP(D408,★サイズ表記!$D$4:$E$55,2,FALSE)</f>
        <v>1011</v>
      </c>
      <c r="F408" s="457" t="s">
        <v>282</v>
      </c>
      <c r="G408" s="452" t="str">
        <f>VLOOKUP(F408,★折込地区!$A$1:$B$11,2,FALSE)</f>
        <v>Tot</v>
      </c>
      <c r="H408" s="453">
        <f>INDEX(★サイズ表記!$I$4:$Q$55, MATCH(E408,★サイズ表記!$E$4:$E$55,0), MATCH(G408,★サイズ表記!$I$3:$R$3,0))</f>
        <v>3.8</v>
      </c>
      <c r="K408" s="471" t="str">
        <f t="shared" si="40"/>
        <v>C1011Tot</v>
      </c>
      <c r="L408" s="471" t="str">
        <f t="shared" si="41"/>
        <v>B4シール付き</v>
      </c>
      <c r="P408" s="533" t="s">
        <v>1324</v>
      </c>
      <c r="Q408" s="533" t="s">
        <v>1325</v>
      </c>
      <c r="R408" s="534" t="str">
        <f t="shared" si="42"/>
        <v>1011</v>
      </c>
      <c r="S408" s="534" t="str">
        <f t="shared" si="43"/>
        <v>B4シール付き</v>
      </c>
      <c r="T408" s="538" t="str">
        <f t="shared" si="44"/>
        <v>10</v>
      </c>
      <c r="U408" s="538" t="str">
        <f t="shared" si="45"/>
        <v>11</v>
      </c>
      <c r="V408" s="471" t="s">
        <v>1136</v>
      </c>
      <c r="Y408" s="472">
        <f t="shared" si="46"/>
        <v>3.8</v>
      </c>
      <c r="Z408" s="540">
        <f t="shared" si="47"/>
        <v>0.3</v>
      </c>
      <c r="AA408" s="471">
        <v>0</v>
      </c>
    </row>
    <row r="409" spans="1:27">
      <c r="A409" s="451" t="str">
        <f>CONCATENATE(VLOOKUP(B409,★営業所!$A$1:$B$5,2,FALSE),VLOOKUP(D409,★サイズ表記!$D$4:$E$55,2,FALSE),VLOOKUP(F409,★折込地区!$A$1:$B$11,2,FALSE))</f>
        <v>C1012Tot</v>
      </c>
      <c r="B409" s="457" t="s">
        <v>116</v>
      </c>
      <c r="C409" s="452" t="str">
        <f>VLOOKUP(B409,★営業所!$A$1:$B$5,2,FALSE)</f>
        <v>C</v>
      </c>
      <c r="D409" s="465" t="s">
        <v>961</v>
      </c>
      <c r="E409" s="452" t="str">
        <f>VLOOKUP(D409,★サイズ表記!$D$4:$E$55,2,FALSE)</f>
        <v>1012</v>
      </c>
      <c r="F409" s="457" t="s">
        <v>282</v>
      </c>
      <c r="G409" s="452" t="str">
        <f>VLOOKUP(F409,★折込地区!$A$1:$B$11,2,FALSE)</f>
        <v>Tot</v>
      </c>
      <c r="H409" s="453">
        <f>INDEX(★サイズ表記!$I$4:$Q$55, MATCH(E409,★サイズ表記!$E$4:$E$55,0), MATCH(G409,★サイズ表記!$I$3:$R$3,0))</f>
        <v>4.9000000000000004</v>
      </c>
      <c r="K409" s="471" t="str">
        <f t="shared" si="40"/>
        <v>C1012Tot</v>
      </c>
      <c r="L409" s="471" t="str">
        <f t="shared" si="41"/>
        <v>B3シール付き</v>
      </c>
      <c r="P409" s="533" t="s">
        <v>1324</v>
      </c>
      <c r="Q409" s="533" t="s">
        <v>1325</v>
      </c>
      <c r="R409" s="534" t="str">
        <f t="shared" si="42"/>
        <v>1012</v>
      </c>
      <c r="S409" s="534" t="str">
        <f t="shared" si="43"/>
        <v>B3シール付き</v>
      </c>
      <c r="T409" s="538" t="str">
        <f t="shared" si="44"/>
        <v>10</v>
      </c>
      <c r="U409" s="538" t="str">
        <f t="shared" si="45"/>
        <v>12</v>
      </c>
      <c r="V409" s="471" t="s">
        <v>1136</v>
      </c>
      <c r="Y409" s="472">
        <f t="shared" si="46"/>
        <v>4.9000000000000004</v>
      </c>
      <c r="Z409" s="540">
        <f t="shared" si="47"/>
        <v>0.39</v>
      </c>
      <c r="AA409" s="471">
        <v>0</v>
      </c>
    </row>
    <row r="410" spans="1:27">
      <c r="A410" s="451" t="str">
        <f>CONCATENATE(VLOOKUP(B410,★営業所!$A$1:$B$5,2,FALSE),VLOOKUP(D410,★サイズ表記!$D$4:$E$55,2,FALSE),VLOOKUP(F410,★折込地区!$A$1:$B$11,2,FALSE))</f>
        <v>C1013Tot</v>
      </c>
      <c r="B410" s="457" t="s">
        <v>116</v>
      </c>
      <c r="C410" s="452" t="str">
        <f>VLOOKUP(B410,★営業所!$A$1:$B$5,2,FALSE)</f>
        <v>C</v>
      </c>
      <c r="D410" s="465" t="s">
        <v>962</v>
      </c>
      <c r="E410" s="452" t="str">
        <f>VLOOKUP(D410,★サイズ表記!$D$4:$E$55,2,FALSE)</f>
        <v>1013</v>
      </c>
      <c r="F410" s="457" t="s">
        <v>282</v>
      </c>
      <c r="G410" s="452" t="str">
        <f>VLOOKUP(F410,★折込地区!$A$1:$B$11,2,FALSE)</f>
        <v>Tot</v>
      </c>
      <c r="H410" s="453">
        <f>INDEX(★サイズ表記!$I$4:$Q$55, MATCH(E410,★サイズ表記!$E$4:$E$55,0), MATCH(G410,★サイズ表記!$I$3:$R$3,0))</f>
        <v>3.8</v>
      </c>
      <c r="K410" s="471" t="str">
        <f t="shared" si="40"/>
        <v>C1013Tot</v>
      </c>
      <c r="L410" s="471" t="str">
        <f t="shared" si="41"/>
        <v>B4スクラッチ付き</v>
      </c>
      <c r="P410" s="533" t="s">
        <v>1324</v>
      </c>
      <c r="Q410" s="533" t="s">
        <v>1325</v>
      </c>
      <c r="R410" s="534" t="str">
        <f t="shared" si="42"/>
        <v>1013</v>
      </c>
      <c r="S410" s="534" t="str">
        <f t="shared" si="43"/>
        <v>B4スクラッチ付き</v>
      </c>
      <c r="T410" s="538" t="str">
        <f t="shared" si="44"/>
        <v>10</v>
      </c>
      <c r="U410" s="538" t="str">
        <f t="shared" si="45"/>
        <v>13</v>
      </c>
      <c r="V410" s="471" t="s">
        <v>1136</v>
      </c>
      <c r="Y410" s="472">
        <f t="shared" si="46"/>
        <v>3.8</v>
      </c>
      <c r="Z410" s="540">
        <f t="shared" si="47"/>
        <v>0.3</v>
      </c>
      <c r="AA410" s="471">
        <v>0</v>
      </c>
    </row>
    <row r="411" spans="1:27">
      <c r="A411" s="451" t="str">
        <f>CONCATENATE(VLOOKUP(B411,★営業所!$A$1:$B$5,2,FALSE),VLOOKUP(D411,★サイズ表記!$D$4:$E$55,2,FALSE),VLOOKUP(F411,★折込地区!$A$1:$B$11,2,FALSE))</f>
        <v>C2001Tot</v>
      </c>
      <c r="B411" s="457" t="s">
        <v>116</v>
      </c>
      <c r="C411" s="452" t="str">
        <f>VLOOKUP(B411,★営業所!$A$1:$B$5,2,FALSE)</f>
        <v>C</v>
      </c>
      <c r="D411" s="465" t="s">
        <v>963</v>
      </c>
      <c r="E411" s="452" t="str">
        <f>VLOOKUP(D411,★サイズ表記!$D$4:$E$55,2,FALSE)</f>
        <v>2001</v>
      </c>
      <c r="F411" s="457" t="s">
        <v>282</v>
      </c>
      <c r="G411" s="452" t="str">
        <f>VLOOKUP(F411,★折込地区!$A$1:$B$11,2,FALSE)</f>
        <v>Tot</v>
      </c>
      <c r="H411" s="453">
        <f>INDEX(★サイズ表記!$I$4:$Q$55, MATCH(E411,★サイズ表記!$E$4:$E$55,0), MATCH(G411,★サイズ表記!$I$3:$R$3,0))</f>
        <v>4.2</v>
      </c>
      <c r="K411" s="471" t="str">
        <f t="shared" si="40"/>
        <v>C2001Tot</v>
      </c>
      <c r="L411" s="471" t="str">
        <f t="shared" si="41"/>
        <v>連合B4</v>
      </c>
      <c r="P411" s="533" t="s">
        <v>1324</v>
      </c>
      <c r="Q411" s="533" t="s">
        <v>1325</v>
      </c>
      <c r="R411" s="534" t="str">
        <f t="shared" si="42"/>
        <v>2001</v>
      </c>
      <c r="S411" s="534" t="str">
        <f t="shared" si="43"/>
        <v>連合B4</v>
      </c>
      <c r="T411" s="538" t="str">
        <f t="shared" si="44"/>
        <v>20</v>
      </c>
      <c r="U411" s="538" t="str">
        <f t="shared" si="45"/>
        <v>01</v>
      </c>
      <c r="V411" s="471" t="s">
        <v>1136</v>
      </c>
      <c r="Y411" s="472">
        <f t="shared" si="46"/>
        <v>4.2</v>
      </c>
      <c r="Z411" s="540">
        <f t="shared" si="47"/>
        <v>0.33</v>
      </c>
      <c r="AA411" s="471">
        <v>0</v>
      </c>
    </row>
    <row r="412" spans="1:27">
      <c r="A412" s="451" t="str">
        <f>CONCATENATE(VLOOKUP(B412,★営業所!$A$1:$B$5,2,FALSE),VLOOKUP(D412,★サイズ表記!$D$4:$E$55,2,FALSE),VLOOKUP(F412,★折込地区!$A$1:$B$11,2,FALSE))</f>
        <v>C2002Tot</v>
      </c>
      <c r="B412" s="457" t="s">
        <v>116</v>
      </c>
      <c r="C412" s="452" t="str">
        <f>VLOOKUP(B412,★営業所!$A$1:$B$5,2,FALSE)</f>
        <v>C</v>
      </c>
      <c r="D412" s="465" t="s">
        <v>964</v>
      </c>
      <c r="E412" s="452" t="str">
        <f>VLOOKUP(D412,★サイズ表記!$D$4:$E$55,2,FALSE)</f>
        <v>2002</v>
      </c>
      <c r="F412" s="457" t="s">
        <v>282</v>
      </c>
      <c r="G412" s="452" t="str">
        <f>VLOOKUP(F412,★折込地区!$A$1:$B$11,2,FALSE)</f>
        <v>Tot</v>
      </c>
      <c r="H412" s="453">
        <f>INDEX(★サイズ表記!$I$4:$Q$55, MATCH(E412,★サイズ表記!$E$4:$E$55,0), MATCH(G412,★サイズ表記!$I$3:$R$3,0))</f>
        <v>5.85</v>
      </c>
      <c r="K412" s="471" t="str">
        <f t="shared" si="40"/>
        <v>C2002Tot</v>
      </c>
      <c r="L412" s="471" t="str">
        <f t="shared" si="41"/>
        <v>連合B3</v>
      </c>
      <c r="P412" s="533" t="s">
        <v>1324</v>
      </c>
      <c r="Q412" s="533" t="s">
        <v>1325</v>
      </c>
      <c r="R412" s="534" t="str">
        <f t="shared" si="42"/>
        <v>2002</v>
      </c>
      <c r="S412" s="534" t="str">
        <f t="shared" si="43"/>
        <v>連合B3</v>
      </c>
      <c r="T412" s="538" t="str">
        <f t="shared" si="44"/>
        <v>20</v>
      </c>
      <c r="U412" s="538" t="str">
        <f t="shared" si="45"/>
        <v>02</v>
      </c>
      <c r="V412" s="471" t="s">
        <v>1136</v>
      </c>
      <c r="Y412" s="472">
        <f t="shared" si="46"/>
        <v>5.85</v>
      </c>
      <c r="Z412" s="540">
        <f t="shared" si="47"/>
        <v>0.46</v>
      </c>
      <c r="AA412" s="471">
        <v>0</v>
      </c>
    </row>
    <row r="413" spans="1:27">
      <c r="A413" s="451" t="str">
        <f>CONCATENATE(VLOOKUP(B413,★営業所!$A$1:$B$5,2,FALSE),VLOOKUP(D413,★サイズ表記!$D$4:$E$55,2,FALSE),VLOOKUP(F413,★折込地区!$A$1:$B$11,2,FALSE))</f>
        <v>C2003Tot</v>
      </c>
      <c r="B413" s="457" t="s">
        <v>116</v>
      </c>
      <c r="C413" s="452" t="str">
        <f>VLOOKUP(B413,★営業所!$A$1:$B$5,2,FALSE)</f>
        <v>C</v>
      </c>
      <c r="D413" s="465" t="s">
        <v>965</v>
      </c>
      <c r="E413" s="452" t="str">
        <f>VLOOKUP(D413,★サイズ表記!$D$4:$E$55,2,FALSE)</f>
        <v>2003</v>
      </c>
      <c r="F413" s="457" t="s">
        <v>282</v>
      </c>
      <c r="G413" s="452" t="str">
        <f>VLOOKUP(F413,★折込地区!$A$1:$B$11,2,FALSE)</f>
        <v>Tot</v>
      </c>
      <c r="H413" s="453">
        <f>INDEX(★サイズ表記!$I$4:$Q$55, MATCH(E413,★サイズ表記!$E$4:$E$55,0), MATCH(G413,★サイズ表記!$I$3:$R$3,0))</f>
        <v>10.5</v>
      </c>
      <c r="K413" s="471" t="str">
        <f t="shared" si="40"/>
        <v>C2003Tot</v>
      </c>
      <c r="L413" s="471" t="str">
        <f t="shared" si="41"/>
        <v>連合B2</v>
      </c>
      <c r="P413" s="533" t="s">
        <v>1324</v>
      </c>
      <c r="Q413" s="533" t="s">
        <v>1325</v>
      </c>
      <c r="R413" s="534" t="str">
        <f t="shared" si="42"/>
        <v>2003</v>
      </c>
      <c r="S413" s="534" t="str">
        <f t="shared" si="43"/>
        <v>連合B2</v>
      </c>
      <c r="T413" s="538" t="str">
        <f t="shared" si="44"/>
        <v>20</v>
      </c>
      <c r="U413" s="538" t="str">
        <f t="shared" si="45"/>
        <v>03</v>
      </c>
      <c r="V413" s="471" t="s">
        <v>1136</v>
      </c>
      <c r="Y413" s="472">
        <f t="shared" si="46"/>
        <v>10.5</v>
      </c>
      <c r="Z413" s="540">
        <f t="shared" si="47"/>
        <v>0.84</v>
      </c>
      <c r="AA413" s="471">
        <v>0</v>
      </c>
    </row>
    <row r="414" spans="1:27">
      <c r="A414" s="451" t="str">
        <f>CONCATENATE(VLOOKUP(B414,★営業所!$A$1:$B$5,2,FALSE),VLOOKUP(D414,★サイズ表記!$D$4:$E$55,2,FALSE),VLOOKUP(F414,★折込地区!$A$1:$B$11,2,FALSE))</f>
        <v>C2004Tot</v>
      </c>
      <c r="B414" s="457" t="s">
        <v>116</v>
      </c>
      <c r="C414" s="452" t="str">
        <f>VLOOKUP(B414,★営業所!$A$1:$B$5,2,FALSE)</f>
        <v>C</v>
      </c>
      <c r="D414" s="465" t="s">
        <v>966</v>
      </c>
      <c r="E414" s="452" t="str">
        <f>VLOOKUP(D414,★サイズ表記!$D$4:$E$55,2,FALSE)</f>
        <v>2004</v>
      </c>
      <c r="F414" s="457" t="s">
        <v>282</v>
      </c>
      <c r="G414" s="452" t="str">
        <f>VLOOKUP(F414,★折込地区!$A$1:$B$11,2,FALSE)</f>
        <v>Tot</v>
      </c>
      <c r="H414" s="453">
        <f>INDEX(★サイズ表記!$I$4:$Q$55, MATCH(E414,★サイズ表記!$E$4:$E$55,0), MATCH(G414,★サイズ表記!$I$3:$R$3,0))</f>
        <v>10.5</v>
      </c>
      <c r="K414" s="471" t="str">
        <f t="shared" si="40"/>
        <v>C2004Tot</v>
      </c>
      <c r="L414" s="471" t="str">
        <f t="shared" si="41"/>
        <v>連合3つ折り</v>
      </c>
      <c r="P414" s="533" t="s">
        <v>1324</v>
      </c>
      <c r="Q414" s="533" t="s">
        <v>1325</v>
      </c>
      <c r="R414" s="534" t="str">
        <f t="shared" si="42"/>
        <v>2004</v>
      </c>
      <c r="S414" s="534" t="str">
        <f t="shared" si="43"/>
        <v>連合3つ折り</v>
      </c>
      <c r="T414" s="538" t="str">
        <f t="shared" si="44"/>
        <v>20</v>
      </c>
      <c r="U414" s="538" t="str">
        <f t="shared" si="45"/>
        <v>04</v>
      </c>
      <c r="V414" s="471" t="s">
        <v>1136</v>
      </c>
      <c r="Y414" s="472">
        <f t="shared" si="46"/>
        <v>10.5</v>
      </c>
      <c r="Z414" s="540">
        <f t="shared" si="47"/>
        <v>0.84</v>
      </c>
      <c r="AA414" s="471">
        <v>0</v>
      </c>
    </row>
    <row r="415" spans="1:27">
      <c r="A415" s="451" t="str">
        <f>CONCATENATE(VLOOKUP(B415,★営業所!$A$1:$B$5,2,FALSE),VLOOKUP(D415,★サイズ表記!$D$4:$E$55,2,FALSE),VLOOKUP(F415,★折込地区!$A$1:$B$11,2,FALSE))</f>
        <v>C2005Tot</v>
      </c>
      <c r="B415" s="457" t="s">
        <v>116</v>
      </c>
      <c r="C415" s="452" t="str">
        <f>VLOOKUP(B415,★営業所!$A$1:$B$5,2,FALSE)</f>
        <v>C</v>
      </c>
      <c r="D415" s="465" t="s">
        <v>967</v>
      </c>
      <c r="E415" s="452" t="str">
        <f>VLOOKUP(D415,★サイズ表記!$D$4:$E$55,2,FALSE)</f>
        <v>2005</v>
      </c>
      <c r="F415" s="457" t="s">
        <v>282</v>
      </c>
      <c r="G415" s="452" t="str">
        <f>VLOOKUP(F415,★折込地区!$A$1:$B$11,2,FALSE)</f>
        <v>Tot</v>
      </c>
      <c r="H415" s="453">
        <f>INDEX(★サイズ表記!$I$4:$Q$55, MATCH(E415,★サイズ表記!$E$4:$E$55,0), MATCH(G415,★サイズ表記!$I$3:$R$3,0))</f>
        <v>4.7</v>
      </c>
      <c r="K415" s="471" t="str">
        <f t="shared" si="40"/>
        <v>C2005Tot</v>
      </c>
      <c r="L415" s="471" t="str">
        <f t="shared" si="41"/>
        <v>連合B4厚紙</v>
      </c>
      <c r="P415" s="533" t="s">
        <v>1324</v>
      </c>
      <c r="Q415" s="533" t="s">
        <v>1325</v>
      </c>
      <c r="R415" s="534" t="str">
        <f t="shared" si="42"/>
        <v>2005</v>
      </c>
      <c r="S415" s="534" t="str">
        <f t="shared" si="43"/>
        <v>連合B4厚紙</v>
      </c>
      <c r="T415" s="538" t="str">
        <f t="shared" si="44"/>
        <v>20</v>
      </c>
      <c r="U415" s="538" t="str">
        <f t="shared" si="45"/>
        <v>05</v>
      </c>
      <c r="V415" s="471" t="s">
        <v>1136</v>
      </c>
      <c r="Y415" s="472">
        <f t="shared" si="46"/>
        <v>4.7</v>
      </c>
      <c r="Z415" s="540">
        <f t="shared" si="47"/>
        <v>0.37</v>
      </c>
      <c r="AA415" s="471">
        <v>0</v>
      </c>
    </row>
    <row r="416" spans="1:27">
      <c r="A416" s="451" t="str">
        <f>CONCATENATE(VLOOKUP(B416,★営業所!$A$1:$B$5,2,FALSE),VLOOKUP(D416,★サイズ表記!$D$4:$E$55,2,FALSE),VLOOKUP(F416,★折込地区!$A$1:$B$11,2,FALSE))</f>
        <v>C2006Tot</v>
      </c>
      <c r="B416" s="457" t="s">
        <v>116</v>
      </c>
      <c r="C416" s="452" t="str">
        <f>VLOOKUP(B416,★営業所!$A$1:$B$5,2,FALSE)</f>
        <v>C</v>
      </c>
      <c r="D416" s="465" t="s">
        <v>968</v>
      </c>
      <c r="E416" s="452" t="str">
        <f>VLOOKUP(D416,★サイズ表記!$D$4:$E$55,2,FALSE)</f>
        <v>2006</v>
      </c>
      <c r="F416" s="457" t="s">
        <v>282</v>
      </c>
      <c r="G416" s="452" t="str">
        <f>VLOOKUP(F416,★折込地区!$A$1:$B$11,2,FALSE)</f>
        <v>Tot</v>
      </c>
      <c r="H416" s="453">
        <f>INDEX(★サイズ表記!$I$4:$Q$55, MATCH(E416,★サイズ表記!$E$4:$E$55,0), MATCH(G416,★サイズ表記!$I$3:$R$3,0))</f>
        <v>7.35</v>
      </c>
      <c r="K416" s="471" t="str">
        <f t="shared" si="40"/>
        <v>C2006Tot</v>
      </c>
      <c r="L416" s="471" t="str">
        <f t="shared" si="41"/>
        <v>連合2つ折り極小</v>
      </c>
      <c r="P416" s="533" t="s">
        <v>1324</v>
      </c>
      <c r="Q416" s="533" t="s">
        <v>1325</v>
      </c>
      <c r="R416" s="534" t="str">
        <f t="shared" si="42"/>
        <v>2006</v>
      </c>
      <c r="S416" s="534" t="str">
        <f t="shared" si="43"/>
        <v>連合2つ折り極小</v>
      </c>
      <c r="T416" s="538" t="str">
        <f t="shared" si="44"/>
        <v>20</v>
      </c>
      <c r="U416" s="538" t="str">
        <f t="shared" si="45"/>
        <v>06</v>
      </c>
      <c r="V416" s="471" t="s">
        <v>1136</v>
      </c>
      <c r="Y416" s="472">
        <f t="shared" si="46"/>
        <v>7.35</v>
      </c>
      <c r="Z416" s="540">
        <f t="shared" si="47"/>
        <v>0.57999999999999996</v>
      </c>
      <c r="AA416" s="471">
        <v>0</v>
      </c>
    </row>
    <row r="417" spans="1:27">
      <c r="A417" s="451" t="str">
        <f>CONCATENATE(VLOOKUP(B417,★営業所!$A$1:$B$5,2,FALSE),VLOOKUP(D417,★サイズ表記!$D$4:$E$55,2,FALSE),VLOOKUP(F417,★折込地区!$A$1:$B$11,2,FALSE))</f>
        <v>C2007Tot</v>
      </c>
      <c r="B417" s="457" t="s">
        <v>116</v>
      </c>
      <c r="C417" s="452" t="str">
        <f>VLOOKUP(B417,★営業所!$A$1:$B$5,2,FALSE)</f>
        <v>C</v>
      </c>
      <c r="D417" s="465" t="s">
        <v>1365</v>
      </c>
      <c r="E417" s="452" t="str">
        <f>VLOOKUP(D417,★サイズ表記!$D$4:$E$55,2,FALSE)</f>
        <v>2007</v>
      </c>
      <c r="F417" s="457" t="s">
        <v>282</v>
      </c>
      <c r="G417" s="452" t="str">
        <f>VLOOKUP(F417,★折込地区!$A$1:$B$11,2,FALSE)</f>
        <v>Tot</v>
      </c>
      <c r="H417" s="453">
        <f>INDEX(★サイズ表記!$I$4:$Q$55, MATCH(E417,★サイズ表記!$E$4:$E$55,0), MATCH(G417,★サイズ表記!$I$3:$R$3,0))</f>
        <v>10.050000000000001</v>
      </c>
      <c r="K417" s="471" t="str">
        <f t="shared" si="40"/>
        <v>C2007Tot</v>
      </c>
      <c r="L417" s="471" t="str">
        <f t="shared" si="41"/>
        <v>連合タブ6P</v>
      </c>
      <c r="P417" s="533" t="s">
        <v>1324</v>
      </c>
      <c r="Q417" s="533" t="s">
        <v>1325</v>
      </c>
      <c r="R417" s="534" t="str">
        <f t="shared" si="42"/>
        <v>2007</v>
      </c>
      <c r="S417" s="534" t="str">
        <f t="shared" si="43"/>
        <v>連合タブ6P</v>
      </c>
      <c r="T417" s="538" t="str">
        <f t="shared" si="44"/>
        <v>20</v>
      </c>
      <c r="U417" s="538" t="str">
        <f t="shared" si="45"/>
        <v>07</v>
      </c>
      <c r="V417" s="471" t="s">
        <v>1136</v>
      </c>
      <c r="Y417" s="472">
        <f t="shared" si="46"/>
        <v>10.050000000000001</v>
      </c>
      <c r="Z417" s="540">
        <f t="shared" si="47"/>
        <v>0.8</v>
      </c>
      <c r="AA417" s="471">
        <v>0</v>
      </c>
    </row>
    <row r="418" spans="1:27">
      <c r="A418" s="451" t="str">
        <f>CONCATENATE(VLOOKUP(B418,★営業所!$A$1:$B$5,2,FALSE),VLOOKUP(D418,★サイズ表記!$D$4:$E$55,2,FALSE),VLOOKUP(F418,★折込地区!$A$1:$B$11,2,FALSE))</f>
        <v>C2008Tot</v>
      </c>
      <c r="B418" s="457" t="s">
        <v>116</v>
      </c>
      <c r="C418" s="452" t="str">
        <f>VLOOKUP(B418,★営業所!$A$1:$B$5,2,FALSE)</f>
        <v>C</v>
      </c>
      <c r="D418" s="465" t="s">
        <v>1366</v>
      </c>
      <c r="E418" s="452" t="str">
        <f>VLOOKUP(D418,★サイズ表記!$D$4:$E$55,2,FALSE)</f>
        <v>2008</v>
      </c>
      <c r="F418" s="457" t="s">
        <v>282</v>
      </c>
      <c r="G418" s="452" t="str">
        <f>VLOOKUP(F418,★折込地区!$A$1:$B$11,2,FALSE)</f>
        <v>Tot</v>
      </c>
      <c r="H418" s="453">
        <f>INDEX(★サイズ表記!$I$4:$Q$55, MATCH(E418,★サイズ表記!$E$4:$E$55,0), MATCH(G418,★サイズ表記!$I$3:$R$3,0))</f>
        <v>10.5</v>
      </c>
      <c r="K418" s="471" t="str">
        <f t="shared" si="40"/>
        <v>C2008Tot</v>
      </c>
      <c r="L418" s="471" t="str">
        <f t="shared" si="41"/>
        <v>連合タブ8P</v>
      </c>
      <c r="P418" s="533" t="s">
        <v>1324</v>
      </c>
      <c r="Q418" s="533" t="s">
        <v>1325</v>
      </c>
      <c r="R418" s="534" t="str">
        <f t="shared" si="42"/>
        <v>2008</v>
      </c>
      <c r="S418" s="534" t="str">
        <f t="shared" si="43"/>
        <v>連合タブ8P</v>
      </c>
      <c r="T418" s="538" t="str">
        <f t="shared" si="44"/>
        <v>20</v>
      </c>
      <c r="U418" s="538" t="str">
        <f t="shared" si="45"/>
        <v>08</v>
      </c>
      <c r="V418" s="471" t="s">
        <v>1136</v>
      </c>
      <c r="Y418" s="472">
        <f t="shared" si="46"/>
        <v>10.5</v>
      </c>
      <c r="Z418" s="540">
        <f t="shared" si="47"/>
        <v>0.84</v>
      </c>
      <c r="AA418" s="471">
        <v>0</v>
      </c>
    </row>
    <row r="419" spans="1:27">
      <c r="A419" s="451" t="str">
        <f>CONCATENATE(VLOOKUP(B419,★営業所!$A$1:$B$5,2,FALSE),VLOOKUP(D419,★サイズ表記!$D$4:$E$55,2,FALSE),VLOOKUP(F419,★折込地区!$A$1:$B$11,2,FALSE))</f>
        <v>C2009Tot</v>
      </c>
      <c r="B419" s="457" t="s">
        <v>116</v>
      </c>
      <c r="C419" s="452" t="str">
        <f>VLOOKUP(B419,★営業所!$A$1:$B$5,2,FALSE)</f>
        <v>C</v>
      </c>
      <c r="D419" s="465" t="s">
        <v>1364</v>
      </c>
      <c r="E419" s="452" t="str">
        <f>VLOOKUP(D419,★サイズ表記!$D$4:$E$55,2,FALSE)</f>
        <v>2009</v>
      </c>
      <c r="F419" s="457" t="s">
        <v>282</v>
      </c>
      <c r="G419" s="452" t="str">
        <f>VLOOKUP(F419,★折込地区!$A$1:$B$11,2,FALSE)</f>
        <v>Tot</v>
      </c>
      <c r="H419" s="453">
        <f>INDEX(★サイズ表記!$I$4:$Q$55, MATCH(E419,★サイズ表記!$E$4:$E$55,0), MATCH(G419,★サイズ表記!$I$3:$R$3,0))</f>
        <v>16.350000000000001</v>
      </c>
      <c r="K419" s="471" t="str">
        <f t="shared" si="40"/>
        <v>C2009Tot</v>
      </c>
      <c r="L419" s="471" t="str">
        <f t="shared" si="41"/>
        <v>連合タブ12P</v>
      </c>
      <c r="P419" s="533" t="s">
        <v>1324</v>
      </c>
      <c r="Q419" s="533" t="s">
        <v>1325</v>
      </c>
      <c r="R419" s="534" t="str">
        <f t="shared" si="42"/>
        <v>2009</v>
      </c>
      <c r="S419" s="534" t="str">
        <f t="shared" si="43"/>
        <v>連合タブ12P</v>
      </c>
      <c r="T419" s="538" t="str">
        <f t="shared" si="44"/>
        <v>20</v>
      </c>
      <c r="U419" s="538" t="str">
        <f t="shared" si="45"/>
        <v>09</v>
      </c>
      <c r="V419" s="471" t="s">
        <v>1136</v>
      </c>
      <c r="Y419" s="472">
        <f t="shared" si="46"/>
        <v>16.350000000000001</v>
      </c>
      <c r="Z419" s="540">
        <f t="shared" si="47"/>
        <v>1.3</v>
      </c>
      <c r="AA419" s="471">
        <v>0</v>
      </c>
    </row>
    <row r="420" spans="1:27">
      <c r="A420" s="451" t="str">
        <f>CONCATENATE(VLOOKUP(B420,★営業所!$A$1:$B$5,2,FALSE),VLOOKUP(D420,★サイズ表記!$D$4:$E$55,2,FALSE),VLOOKUP(F420,★折込地区!$A$1:$B$11,2,FALSE))</f>
        <v>C3001Tot</v>
      </c>
      <c r="B420" s="457" t="s">
        <v>116</v>
      </c>
      <c r="C420" s="452" t="str">
        <f>VLOOKUP(B420,★営業所!$A$1:$B$5,2,FALSE)</f>
        <v>C</v>
      </c>
      <c r="D420" s="465" t="s">
        <v>969</v>
      </c>
      <c r="E420" s="452" t="str">
        <f>VLOOKUP(D420,★サイズ表記!$D$4:$E$55,2,FALSE)</f>
        <v>3001</v>
      </c>
      <c r="F420" s="457" t="s">
        <v>282</v>
      </c>
      <c r="G420" s="452" t="str">
        <f>VLOOKUP(F420,★折込地区!$A$1:$B$11,2,FALSE)</f>
        <v>Tot</v>
      </c>
      <c r="H420" s="453">
        <f>INDEX(★サイズ表記!$I$4:$Q$55, MATCH(E420,★サイズ表記!$E$4:$E$55,0), MATCH(G420,★サイズ表記!$I$3:$R$3,0))</f>
        <v>4.2</v>
      </c>
      <c r="K420" s="471" t="str">
        <f t="shared" si="40"/>
        <v>C3001Tot</v>
      </c>
      <c r="L420" s="471" t="str">
        <f t="shared" si="41"/>
        <v>政治B4</v>
      </c>
      <c r="P420" s="533" t="s">
        <v>1324</v>
      </c>
      <c r="Q420" s="533" t="s">
        <v>1325</v>
      </c>
      <c r="R420" s="534" t="str">
        <f t="shared" si="42"/>
        <v>3001</v>
      </c>
      <c r="S420" s="534" t="str">
        <f t="shared" si="43"/>
        <v>政治B4</v>
      </c>
      <c r="T420" s="538" t="str">
        <f t="shared" si="44"/>
        <v>30</v>
      </c>
      <c r="U420" s="538" t="str">
        <f t="shared" si="45"/>
        <v>01</v>
      </c>
      <c r="V420" s="471" t="s">
        <v>1136</v>
      </c>
      <c r="Y420" s="472">
        <f t="shared" si="46"/>
        <v>4.2</v>
      </c>
      <c r="Z420" s="540">
        <f t="shared" si="47"/>
        <v>0.33</v>
      </c>
      <c r="AA420" s="471">
        <v>0</v>
      </c>
    </row>
    <row r="421" spans="1:27">
      <c r="A421" s="451" t="str">
        <f>CONCATENATE(VLOOKUP(B421,★営業所!$A$1:$B$5,2,FALSE),VLOOKUP(D421,★サイズ表記!$D$4:$E$55,2,FALSE),VLOOKUP(F421,★折込地区!$A$1:$B$11,2,FALSE))</f>
        <v>C3002Tot</v>
      </c>
      <c r="B421" s="457" t="s">
        <v>116</v>
      </c>
      <c r="C421" s="452" t="str">
        <f>VLOOKUP(B421,★営業所!$A$1:$B$5,2,FALSE)</f>
        <v>C</v>
      </c>
      <c r="D421" s="465" t="s">
        <v>970</v>
      </c>
      <c r="E421" s="452" t="str">
        <f>VLOOKUP(D421,★サイズ表記!$D$4:$E$55,2,FALSE)</f>
        <v>3002</v>
      </c>
      <c r="F421" s="457" t="s">
        <v>282</v>
      </c>
      <c r="G421" s="452" t="str">
        <f>VLOOKUP(F421,★折込地区!$A$1:$B$11,2,FALSE)</f>
        <v>Tot</v>
      </c>
      <c r="H421" s="453">
        <f>INDEX(★サイズ表記!$I$4:$Q$55, MATCH(E421,★サイズ表記!$E$4:$E$55,0), MATCH(G421,★サイズ表記!$I$3:$R$3,0))</f>
        <v>5.85</v>
      </c>
      <c r="K421" s="471" t="str">
        <f t="shared" si="40"/>
        <v>C3002Tot</v>
      </c>
      <c r="L421" s="471" t="str">
        <f t="shared" si="41"/>
        <v>政治B3</v>
      </c>
      <c r="P421" s="533" t="s">
        <v>1324</v>
      </c>
      <c r="Q421" s="533" t="s">
        <v>1325</v>
      </c>
      <c r="R421" s="534" t="str">
        <f t="shared" si="42"/>
        <v>3002</v>
      </c>
      <c r="S421" s="534" t="str">
        <f t="shared" si="43"/>
        <v>政治B3</v>
      </c>
      <c r="T421" s="538" t="str">
        <f t="shared" si="44"/>
        <v>30</v>
      </c>
      <c r="U421" s="538" t="str">
        <f t="shared" si="45"/>
        <v>02</v>
      </c>
      <c r="V421" s="471" t="s">
        <v>1136</v>
      </c>
      <c r="Y421" s="472">
        <f t="shared" si="46"/>
        <v>5.85</v>
      </c>
      <c r="Z421" s="540">
        <f t="shared" si="47"/>
        <v>0.46</v>
      </c>
      <c r="AA421" s="471">
        <v>0</v>
      </c>
    </row>
    <row r="422" spans="1:27">
      <c r="A422" s="451" t="str">
        <f>CONCATENATE(VLOOKUP(B422,★営業所!$A$1:$B$5,2,FALSE),VLOOKUP(D422,★サイズ表記!$D$4:$E$55,2,FALSE),VLOOKUP(F422,★折込地区!$A$1:$B$11,2,FALSE))</f>
        <v>C3003Tot</v>
      </c>
      <c r="B422" s="457" t="s">
        <v>116</v>
      </c>
      <c r="C422" s="452" t="str">
        <f>VLOOKUP(B422,★営業所!$A$1:$B$5,2,FALSE)</f>
        <v>C</v>
      </c>
      <c r="D422" s="465" t="s">
        <v>971</v>
      </c>
      <c r="E422" s="452" t="str">
        <f>VLOOKUP(D422,★サイズ表記!$D$4:$E$55,2,FALSE)</f>
        <v>3003</v>
      </c>
      <c r="F422" s="457" t="s">
        <v>282</v>
      </c>
      <c r="G422" s="452" t="str">
        <f>VLOOKUP(F422,★折込地区!$A$1:$B$11,2,FALSE)</f>
        <v>Tot</v>
      </c>
      <c r="H422" s="453">
        <f>INDEX(★サイズ表記!$I$4:$Q$55, MATCH(E422,★サイズ表記!$E$4:$E$55,0), MATCH(G422,★サイズ表記!$I$3:$R$3,0))</f>
        <v>10.5</v>
      </c>
      <c r="K422" s="471" t="str">
        <f t="shared" si="40"/>
        <v>C3003Tot</v>
      </c>
      <c r="L422" s="471" t="str">
        <f t="shared" si="41"/>
        <v>政治B2</v>
      </c>
      <c r="P422" s="533" t="s">
        <v>1324</v>
      </c>
      <c r="Q422" s="533" t="s">
        <v>1325</v>
      </c>
      <c r="R422" s="534" t="str">
        <f t="shared" si="42"/>
        <v>3003</v>
      </c>
      <c r="S422" s="534" t="str">
        <f t="shared" si="43"/>
        <v>政治B2</v>
      </c>
      <c r="T422" s="538" t="str">
        <f t="shared" si="44"/>
        <v>30</v>
      </c>
      <c r="U422" s="538" t="str">
        <f t="shared" si="45"/>
        <v>03</v>
      </c>
      <c r="V422" s="471" t="s">
        <v>1136</v>
      </c>
      <c r="Y422" s="472">
        <f t="shared" si="46"/>
        <v>10.5</v>
      </c>
      <c r="Z422" s="540">
        <f t="shared" si="47"/>
        <v>0.84</v>
      </c>
      <c r="AA422" s="471">
        <v>0</v>
      </c>
    </row>
    <row r="423" spans="1:27">
      <c r="A423" s="451" t="str">
        <f>CONCATENATE(VLOOKUP(B423,★営業所!$A$1:$B$5,2,FALSE),VLOOKUP(D423,★サイズ表記!$D$4:$E$55,2,FALSE),VLOOKUP(F423,★折込地区!$A$1:$B$11,2,FALSE))</f>
        <v>C3004Tot</v>
      </c>
      <c r="B423" s="457" t="s">
        <v>116</v>
      </c>
      <c r="C423" s="452" t="str">
        <f>VLOOKUP(B423,★営業所!$A$1:$B$5,2,FALSE)</f>
        <v>C</v>
      </c>
      <c r="D423" s="465" t="s">
        <v>972</v>
      </c>
      <c r="E423" s="452" t="str">
        <f>VLOOKUP(D423,★サイズ表記!$D$4:$E$55,2,FALSE)</f>
        <v>3004</v>
      </c>
      <c r="F423" s="457" t="s">
        <v>282</v>
      </c>
      <c r="G423" s="452" t="str">
        <f>VLOOKUP(F423,★折込地区!$A$1:$B$11,2,FALSE)</f>
        <v>Tot</v>
      </c>
      <c r="H423" s="453">
        <f>INDEX(★サイズ表記!$I$4:$Q$55, MATCH(E423,★サイズ表記!$E$4:$E$55,0), MATCH(G423,★サイズ表記!$I$3:$R$3,0))</f>
        <v>10.5</v>
      </c>
      <c r="K423" s="471" t="str">
        <f t="shared" si="40"/>
        <v>C3004Tot</v>
      </c>
      <c r="L423" s="471" t="str">
        <f t="shared" si="41"/>
        <v>政治3つ折り</v>
      </c>
      <c r="P423" s="533" t="s">
        <v>1324</v>
      </c>
      <c r="Q423" s="533" t="s">
        <v>1325</v>
      </c>
      <c r="R423" s="534" t="str">
        <f t="shared" si="42"/>
        <v>3004</v>
      </c>
      <c r="S423" s="534" t="str">
        <f t="shared" si="43"/>
        <v>政治3つ折り</v>
      </c>
      <c r="T423" s="538" t="str">
        <f t="shared" si="44"/>
        <v>30</v>
      </c>
      <c r="U423" s="538" t="str">
        <f t="shared" si="45"/>
        <v>04</v>
      </c>
      <c r="V423" s="471" t="s">
        <v>1136</v>
      </c>
      <c r="Y423" s="472">
        <f t="shared" si="46"/>
        <v>10.5</v>
      </c>
      <c r="Z423" s="540">
        <f t="shared" si="47"/>
        <v>0.84</v>
      </c>
      <c r="AA423" s="471">
        <v>0</v>
      </c>
    </row>
    <row r="424" spans="1:27">
      <c r="A424" s="451" t="str">
        <f>CONCATENATE(VLOOKUP(B424,★営業所!$A$1:$B$5,2,FALSE),VLOOKUP(D424,★サイズ表記!$D$4:$E$55,2,FALSE),VLOOKUP(F424,★折込地区!$A$1:$B$11,2,FALSE))</f>
        <v>C3005Tot</v>
      </c>
      <c r="B424" s="457" t="s">
        <v>116</v>
      </c>
      <c r="C424" s="452" t="str">
        <f>VLOOKUP(B424,★営業所!$A$1:$B$5,2,FALSE)</f>
        <v>C</v>
      </c>
      <c r="D424" s="465" t="s">
        <v>973</v>
      </c>
      <c r="E424" s="452" t="str">
        <f>VLOOKUP(D424,★サイズ表記!$D$4:$E$55,2,FALSE)</f>
        <v>3005</v>
      </c>
      <c r="F424" s="457" t="s">
        <v>282</v>
      </c>
      <c r="G424" s="452" t="str">
        <f>VLOOKUP(F424,★折込地区!$A$1:$B$11,2,FALSE)</f>
        <v>Tot</v>
      </c>
      <c r="H424" s="453">
        <f>INDEX(★サイズ表記!$I$4:$Q$55, MATCH(E424,★サイズ表記!$E$4:$E$55,0), MATCH(G424,★サイズ表記!$I$3:$R$3,0))</f>
        <v>7.35</v>
      </c>
      <c r="K424" s="471" t="str">
        <f t="shared" ref="K424:K585" si="48">A424</f>
        <v>C3005Tot</v>
      </c>
      <c r="L424" s="471" t="str">
        <f t="shared" ref="L424:L585" si="49">D424</f>
        <v>政治2つ折り極小</v>
      </c>
      <c r="P424" s="533" t="s">
        <v>1324</v>
      </c>
      <c r="Q424" s="533" t="s">
        <v>1325</v>
      </c>
      <c r="R424" s="534" t="str">
        <f t="shared" si="42"/>
        <v>3005</v>
      </c>
      <c r="S424" s="534" t="str">
        <f t="shared" si="43"/>
        <v>政治2つ折り極小</v>
      </c>
      <c r="T424" s="538" t="str">
        <f t="shared" si="44"/>
        <v>30</v>
      </c>
      <c r="U424" s="538" t="str">
        <f t="shared" si="45"/>
        <v>05</v>
      </c>
      <c r="V424" s="471" t="s">
        <v>1136</v>
      </c>
      <c r="Y424" s="472">
        <f t="shared" si="46"/>
        <v>7.35</v>
      </c>
      <c r="Z424" s="540">
        <f t="shared" si="47"/>
        <v>0.57999999999999996</v>
      </c>
      <c r="AA424" s="471">
        <v>0</v>
      </c>
    </row>
    <row r="425" spans="1:27">
      <c r="A425" s="451" t="str">
        <f>CONCATENATE(VLOOKUP(B425,★営業所!$A$1:$B$5,2,FALSE),VLOOKUP(D425,★サイズ表記!$D$4:$E$55,2,FALSE),VLOOKUP(F425,★折込地区!$A$1:$B$11,2,FALSE))</f>
        <v>C3006Tot</v>
      </c>
      <c r="B425" s="457" t="s">
        <v>116</v>
      </c>
      <c r="C425" s="452" t="str">
        <f>VLOOKUP(B425,★営業所!$A$1:$B$5,2,FALSE)</f>
        <v>C</v>
      </c>
      <c r="D425" s="465" t="s">
        <v>974</v>
      </c>
      <c r="E425" s="452" t="str">
        <f>VLOOKUP(D425,★サイズ表記!$D$4:$E$55,2,FALSE)</f>
        <v>3006</v>
      </c>
      <c r="F425" s="457" t="s">
        <v>282</v>
      </c>
      <c r="G425" s="452" t="str">
        <f>VLOOKUP(F425,★折込地区!$A$1:$B$11,2,FALSE)</f>
        <v>Tot</v>
      </c>
      <c r="H425" s="453">
        <f>INDEX(★サイズ表記!$I$4:$Q$55, MATCH(E425,★サイズ表記!$E$4:$E$55,0), MATCH(G425,★サイズ表記!$I$3:$R$3,0))</f>
        <v>4.7</v>
      </c>
      <c r="K425" s="471" t="str">
        <f t="shared" si="48"/>
        <v>C3006Tot</v>
      </c>
      <c r="L425" s="471" t="str">
        <f t="shared" si="49"/>
        <v>政治B4厚紙</v>
      </c>
      <c r="P425" s="533" t="s">
        <v>1324</v>
      </c>
      <c r="Q425" s="533" t="s">
        <v>1325</v>
      </c>
      <c r="R425" s="534" t="str">
        <f t="shared" ref="R425:R586" si="50">E425</f>
        <v>3006</v>
      </c>
      <c r="S425" s="534" t="str">
        <f t="shared" ref="S425:S586" si="51">L425</f>
        <v>政治B4厚紙</v>
      </c>
      <c r="T425" s="538" t="str">
        <f t="shared" ref="T425:T586" si="52">LEFT($E425,2)</f>
        <v>30</v>
      </c>
      <c r="U425" s="538" t="str">
        <f t="shared" ref="U425:U586" si="53">RIGHT($E425,2)</f>
        <v>06</v>
      </c>
      <c r="V425" s="471" t="s">
        <v>1136</v>
      </c>
      <c r="Y425" s="472">
        <f t="shared" ref="Y425:Y586" si="54">$H425</f>
        <v>4.7</v>
      </c>
      <c r="Z425" s="540">
        <f t="shared" ref="Z425:Z586" si="55">ROUNDDOWN($H425*8/100,2)</f>
        <v>0.37</v>
      </c>
      <c r="AA425" s="471">
        <v>0</v>
      </c>
    </row>
    <row r="426" spans="1:27">
      <c r="A426" s="451" t="str">
        <f>CONCATENATE(VLOOKUP(B426,★営業所!$A$1:$B$5,2,FALSE),VLOOKUP(D426,★サイズ表記!$D$4:$E$55,2,FALSE),VLOOKUP(F426,★折込地区!$A$1:$B$11,2,FALSE))</f>
        <v>C3007Tot</v>
      </c>
      <c r="B426" s="457" t="s">
        <v>116</v>
      </c>
      <c r="C426" s="452" t="str">
        <f>VLOOKUP(B426,★営業所!$A$1:$B$5,2,FALSE)</f>
        <v>C</v>
      </c>
      <c r="D426" s="465" t="s">
        <v>1362</v>
      </c>
      <c r="E426" s="452" t="str">
        <f>VLOOKUP(D426,★サイズ表記!$D$4:$E$55,2,FALSE)</f>
        <v>3007</v>
      </c>
      <c r="F426" s="457" t="s">
        <v>282</v>
      </c>
      <c r="G426" s="452" t="str">
        <f>VLOOKUP(F426,★折込地区!$A$1:$B$11,2,FALSE)</f>
        <v>Tot</v>
      </c>
      <c r="H426" s="453">
        <f>INDEX(★サイズ表記!$I$4:$Q$55, MATCH(E426,★サイズ表記!$E$4:$E$55,0), MATCH(G426,★サイズ表記!$I$3:$R$3,0))</f>
        <v>10.050000000000001</v>
      </c>
      <c r="K426" s="471" t="str">
        <f t="shared" si="48"/>
        <v>C3007Tot</v>
      </c>
      <c r="L426" s="471" t="str">
        <f t="shared" si="49"/>
        <v>政治タブ6P</v>
      </c>
      <c r="P426" s="533" t="s">
        <v>1324</v>
      </c>
      <c r="Q426" s="533" t="s">
        <v>1325</v>
      </c>
      <c r="R426" s="534" t="str">
        <f t="shared" si="50"/>
        <v>3007</v>
      </c>
      <c r="S426" s="534" t="str">
        <f t="shared" si="51"/>
        <v>政治タブ6P</v>
      </c>
      <c r="T426" s="538" t="str">
        <f t="shared" si="52"/>
        <v>30</v>
      </c>
      <c r="U426" s="538" t="str">
        <f t="shared" si="53"/>
        <v>07</v>
      </c>
      <c r="V426" s="471" t="s">
        <v>1136</v>
      </c>
      <c r="Y426" s="472">
        <f t="shared" si="54"/>
        <v>10.050000000000001</v>
      </c>
      <c r="Z426" s="540">
        <f t="shared" si="55"/>
        <v>0.8</v>
      </c>
      <c r="AA426" s="471">
        <v>0</v>
      </c>
    </row>
    <row r="427" spans="1:27">
      <c r="A427" s="451" t="str">
        <f>CONCATENATE(VLOOKUP(B427,★営業所!$A$1:$B$5,2,FALSE),VLOOKUP(D427,★サイズ表記!$D$4:$E$55,2,FALSE),VLOOKUP(F427,★折込地区!$A$1:$B$11,2,FALSE))</f>
        <v>C3008Tot</v>
      </c>
      <c r="B427" s="457" t="s">
        <v>116</v>
      </c>
      <c r="C427" s="452" t="str">
        <f>VLOOKUP(B427,★営業所!$A$1:$B$5,2,FALSE)</f>
        <v>C</v>
      </c>
      <c r="D427" s="465" t="s">
        <v>1363</v>
      </c>
      <c r="E427" s="452" t="str">
        <f>VLOOKUP(D427,★サイズ表記!$D$4:$E$55,2,FALSE)</f>
        <v>3008</v>
      </c>
      <c r="F427" s="457" t="s">
        <v>282</v>
      </c>
      <c r="G427" s="452" t="str">
        <f>VLOOKUP(F427,★折込地区!$A$1:$B$11,2,FALSE)</f>
        <v>Tot</v>
      </c>
      <c r="H427" s="453">
        <f>INDEX(★サイズ表記!$I$4:$Q$55, MATCH(E427,★サイズ表記!$E$4:$E$55,0), MATCH(G427,★サイズ表記!$I$3:$R$3,0))</f>
        <v>10.5</v>
      </c>
      <c r="K427" s="471" t="str">
        <f t="shared" si="48"/>
        <v>C3008Tot</v>
      </c>
      <c r="L427" s="471" t="str">
        <f t="shared" si="49"/>
        <v>政治タブ8P</v>
      </c>
      <c r="P427" s="533" t="s">
        <v>1324</v>
      </c>
      <c r="Q427" s="533" t="s">
        <v>1325</v>
      </c>
      <c r="R427" s="534" t="str">
        <f t="shared" si="50"/>
        <v>3008</v>
      </c>
      <c r="S427" s="534" t="str">
        <f t="shared" si="51"/>
        <v>政治タブ8P</v>
      </c>
      <c r="T427" s="538" t="str">
        <f t="shared" si="52"/>
        <v>30</v>
      </c>
      <c r="U427" s="538" t="str">
        <f t="shared" si="53"/>
        <v>08</v>
      </c>
      <c r="V427" s="471" t="s">
        <v>1136</v>
      </c>
      <c r="Y427" s="472">
        <f t="shared" si="54"/>
        <v>10.5</v>
      </c>
      <c r="Z427" s="540">
        <f t="shared" si="55"/>
        <v>0.84</v>
      </c>
      <c r="AA427" s="471">
        <v>0</v>
      </c>
    </row>
    <row r="428" spans="1:27">
      <c r="A428" s="451" t="str">
        <f>CONCATENATE(VLOOKUP(B428,★営業所!$A$1:$B$5,2,FALSE),VLOOKUP(D428,★サイズ表記!$D$4:$E$55,2,FALSE),VLOOKUP(F428,★折込地区!$A$1:$B$11,2,FALSE))</f>
        <v>C3009Tot</v>
      </c>
      <c r="B428" s="457" t="s">
        <v>116</v>
      </c>
      <c r="C428" s="452" t="str">
        <f>VLOOKUP(B428,★営業所!$A$1:$B$5,2,FALSE)</f>
        <v>C</v>
      </c>
      <c r="D428" s="465" t="s">
        <v>1361</v>
      </c>
      <c r="E428" s="452" t="str">
        <f>VLOOKUP(D428,★サイズ表記!$D$4:$E$55,2,FALSE)</f>
        <v>3009</v>
      </c>
      <c r="F428" s="457" t="s">
        <v>282</v>
      </c>
      <c r="G428" s="452" t="str">
        <f>VLOOKUP(F428,★折込地区!$A$1:$B$11,2,FALSE)</f>
        <v>Tot</v>
      </c>
      <c r="H428" s="453">
        <f>INDEX(★サイズ表記!$I$4:$Q$55, MATCH(E428,★サイズ表記!$E$4:$E$55,0), MATCH(G428,★サイズ表記!$I$3:$R$3,0))</f>
        <v>16.350000000000001</v>
      </c>
      <c r="K428" s="471" t="str">
        <f t="shared" si="48"/>
        <v>C3009Tot</v>
      </c>
      <c r="L428" s="471" t="str">
        <f t="shared" si="49"/>
        <v>政治タブ12P</v>
      </c>
      <c r="P428" s="533" t="s">
        <v>1324</v>
      </c>
      <c r="Q428" s="533" t="s">
        <v>1325</v>
      </c>
      <c r="R428" s="534" t="str">
        <f t="shared" si="50"/>
        <v>3009</v>
      </c>
      <c r="S428" s="534" t="str">
        <f t="shared" si="51"/>
        <v>政治タブ12P</v>
      </c>
      <c r="T428" s="538" t="str">
        <f t="shared" si="52"/>
        <v>30</v>
      </c>
      <c r="U428" s="538" t="str">
        <f t="shared" si="53"/>
        <v>09</v>
      </c>
      <c r="V428" s="471" t="s">
        <v>1136</v>
      </c>
      <c r="Y428" s="472">
        <f t="shared" si="54"/>
        <v>16.350000000000001</v>
      </c>
      <c r="Z428" s="540">
        <f t="shared" si="55"/>
        <v>1.3</v>
      </c>
      <c r="AA428" s="471">
        <v>0</v>
      </c>
    </row>
    <row r="429" spans="1:27">
      <c r="A429" s="451" t="str">
        <f>CONCATENATE(VLOOKUP(B429,★営業所!$A$1:$B$5,2,FALSE),VLOOKUP(D429,★サイズ表記!$D$4:$E$55,2,FALSE),VLOOKUP(F429,★折込地区!$A$1:$B$11,2,FALSE))</f>
        <v>C4001Tot</v>
      </c>
      <c r="B429" s="457" t="s">
        <v>116</v>
      </c>
      <c r="C429" s="452" t="str">
        <f>VLOOKUP(B429,★営業所!$A$1:$B$5,2,FALSE)</f>
        <v>C</v>
      </c>
      <c r="D429" s="465" t="s">
        <v>1358</v>
      </c>
      <c r="E429" s="452" t="str">
        <f>VLOOKUP(D429,★サイズ表記!$D$4:$E$55,2,FALSE)</f>
        <v>4001</v>
      </c>
      <c r="F429" s="457" t="s">
        <v>282</v>
      </c>
      <c r="G429" s="452" t="str">
        <f>VLOOKUP(F429,★折込地区!$A$1:$B$11,2,FALSE)</f>
        <v>Tot</v>
      </c>
      <c r="H429" s="453">
        <f>INDEX(★サイズ表記!$I$4:$Q$55, MATCH(E429,★サイズ表記!$E$4:$E$55,0), MATCH(G429,★サイズ表記!$I$3:$R$3,0))</f>
        <v>6.7</v>
      </c>
      <c r="K429" s="471" t="str">
        <f t="shared" si="48"/>
        <v>C4001Tot</v>
      </c>
      <c r="L429" s="471" t="str">
        <f t="shared" si="49"/>
        <v>タブ6P</v>
      </c>
      <c r="P429" s="533" t="s">
        <v>1324</v>
      </c>
      <c r="Q429" s="533" t="s">
        <v>1325</v>
      </c>
      <c r="R429" s="534" t="str">
        <f t="shared" si="50"/>
        <v>4001</v>
      </c>
      <c r="S429" s="534" t="str">
        <f t="shared" si="51"/>
        <v>タブ6P</v>
      </c>
      <c r="T429" s="538" t="str">
        <f t="shared" si="52"/>
        <v>40</v>
      </c>
      <c r="U429" s="538" t="str">
        <f t="shared" si="53"/>
        <v>01</v>
      </c>
      <c r="V429" s="471" t="s">
        <v>1136</v>
      </c>
      <c r="Y429" s="472">
        <f t="shared" si="54"/>
        <v>6.7</v>
      </c>
      <c r="Z429" s="540">
        <f t="shared" si="55"/>
        <v>0.53</v>
      </c>
      <c r="AA429" s="471">
        <v>0</v>
      </c>
    </row>
    <row r="430" spans="1:27">
      <c r="A430" s="451" t="str">
        <f>CONCATENATE(VLOOKUP(B430,★営業所!$A$1:$B$5,2,FALSE),VLOOKUP(D430,★サイズ表記!$D$4:$E$55,2,FALSE),VLOOKUP(F430,★折込地区!$A$1:$B$11,2,FALSE))</f>
        <v>C4002Tot</v>
      </c>
      <c r="B430" s="457" t="s">
        <v>116</v>
      </c>
      <c r="C430" s="452" t="str">
        <f>VLOOKUP(B430,★営業所!$A$1:$B$5,2,FALSE)</f>
        <v>C</v>
      </c>
      <c r="D430" s="465" t="s">
        <v>1359</v>
      </c>
      <c r="E430" s="452" t="str">
        <f>VLOOKUP(D430,★サイズ表記!$D$4:$E$55,2,FALSE)</f>
        <v>4002</v>
      </c>
      <c r="F430" s="457" t="s">
        <v>282</v>
      </c>
      <c r="G430" s="452" t="str">
        <f>VLOOKUP(F430,★折込地区!$A$1:$B$11,2,FALSE)</f>
        <v>Tot</v>
      </c>
      <c r="H430" s="453">
        <f>INDEX(★サイズ表記!$I$4:$Q$55, MATCH(E430,★サイズ表記!$E$4:$E$55,0), MATCH(G430,★サイズ表記!$I$3:$R$3,0))</f>
        <v>7</v>
      </c>
      <c r="K430" s="471" t="str">
        <f t="shared" si="48"/>
        <v>C4002Tot</v>
      </c>
      <c r="L430" s="471" t="str">
        <f t="shared" si="49"/>
        <v>タブ8P</v>
      </c>
      <c r="P430" s="533" t="s">
        <v>1324</v>
      </c>
      <c r="Q430" s="533" t="s">
        <v>1325</v>
      </c>
      <c r="R430" s="534" t="str">
        <f t="shared" si="50"/>
        <v>4002</v>
      </c>
      <c r="S430" s="534" t="str">
        <f t="shared" si="51"/>
        <v>タブ8P</v>
      </c>
      <c r="T430" s="538" t="str">
        <f t="shared" si="52"/>
        <v>40</v>
      </c>
      <c r="U430" s="538" t="str">
        <f t="shared" si="53"/>
        <v>02</v>
      </c>
      <c r="V430" s="471" t="s">
        <v>1136</v>
      </c>
      <c r="Y430" s="472">
        <f t="shared" si="54"/>
        <v>7</v>
      </c>
      <c r="Z430" s="540">
        <f t="shared" si="55"/>
        <v>0.56000000000000005</v>
      </c>
      <c r="AA430" s="471">
        <v>0</v>
      </c>
    </row>
    <row r="431" spans="1:27">
      <c r="A431" s="451" t="str">
        <f>CONCATENATE(VLOOKUP(B431,★営業所!$A$1:$B$5,2,FALSE),VLOOKUP(D431,★サイズ表記!$D$4:$E$55,2,FALSE),VLOOKUP(F431,★折込地区!$A$1:$B$11,2,FALSE))</f>
        <v>C4003Tot</v>
      </c>
      <c r="B431" s="457" t="s">
        <v>116</v>
      </c>
      <c r="C431" s="452" t="str">
        <f>VLOOKUP(B431,★営業所!$A$1:$B$5,2,FALSE)</f>
        <v>C</v>
      </c>
      <c r="D431" s="465" t="s">
        <v>1360</v>
      </c>
      <c r="E431" s="452" t="str">
        <f>VLOOKUP(D431,★サイズ表記!$D$4:$E$55,2,FALSE)</f>
        <v>4003</v>
      </c>
      <c r="F431" s="457" t="s">
        <v>282</v>
      </c>
      <c r="G431" s="452" t="str">
        <f>VLOOKUP(F431,★折込地区!$A$1:$B$11,2,FALSE)</f>
        <v>Tot</v>
      </c>
      <c r="H431" s="453">
        <f>INDEX(★サイズ表記!$I$4:$Q$55, MATCH(E431,★サイズ表記!$E$4:$E$55,0), MATCH(G431,★サイズ表記!$I$3:$R$3,0))</f>
        <v>8</v>
      </c>
      <c r="K431" s="471" t="str">
        <f t="shared" si="48"/>
        <v>C4003Tot</v>
      </c>
      <c r="L431" s="471" t="str">
        <f t="shared" si="49"/>
        <v>タブ8Pホチキス止め</v>
      </c>
      <c r="P431" s="533" t="s">
        <v>1324</v>
      </c>
      <c r="Q431" s="533" t="s">
        <v>1325</v>
      </c>
      <c r="R431" s="534" t="str">
        <f t="shared" si="50"/>
        <v>4003</v>
      </c>
      <c r="S431" s="534" t="str">
        <f t="shared" si="51"/>
        <v>タブ8Pホチキス止め</v>
      </c>
      <c r="T431" s="538" t="str">
        <f t="shared" si="52"/>
        <v>40</v>
      </c>
      <c r="U431" s="538" t="str">
        <f t="shared" si="53"/>
        <v>03</v>
      </c>
      <c r="V431" s="471" t="s">
        <v>1136</v>
      </c>
      <c r="Y431" s="472">
        <f t="shared" si="54"/>
        <v>8</v>
      </c>
      <c r="Z431" s="540">
        <f t="shared" si="55"/>
        <v>0.64</v>
      </c>
      <c r="AA431" s="471">
        <v>0</v>
      </c>
    </row>
    <row r="432" spans="1:27">
      <c r="A432" s="451" t="str">
        <f>CONCATENATE(VLOOKUP(B432,★営業所!$A$1:$B$5,2,FALSE),VLOOKUP(D432,★サイズ表記!$D$4:$E$55,2,FALSE),VLOOKUP(F432,★折込地区!$A$1:$B$11,2,FALSE))</f>
        <v>C4004Tot</v>
      </c>
      <c r="B432" s="457" t="s">
        <v>116</v>
      </c>
      <c r="C432" s="452" t="str">
        <f>VLOOKUP(B432,★営業所!$A$1:$B$5,2,FALSE)</f>
        <v>C</v>
      </c>
      <c r="D432" s="465" t="s">
        <v>1350</v>
      </c>
      <c r="E432" s="452" t="str">
        <f>VLOOKUP(D432,★サイズ表記!$D$4:$E$55,2,FALSE)</f>
        <v>4004</v>
      </c>
      <c r="F432" s="457" t="s">
        <v>282</v>
      </c>
      <c r="G432" s="452" t="str">
        <f>VLOOKUP(F432,★折込地区!$A$1:$B$11,2,FALSE)</f>
        <v>Tot</v>
      </c>
      <c r="H432" s="453">
        <f>INDEX(★サイズ表記!$I$4:$Q$55, MATCH(E432,★サイズ表記!$E$4:$E$55,0), MATCH(G432,★サイズ表記!$I$3:$R$3,0))</f>
        <v>9.8000000000000007</v>
      </c>
      <c r="K432" s="471" t="str">
        <f t="shared" si="48"/>
        <v>C4004Tot</v>
      </c>
      <c r="L432" s="471" t="str">
        <f t="shared" si="49"/>
        <v>タブ10P</v>
      </c>
      <c r="P432" s="533" t="s">
        <v>1324</v>
      </c>
      <c r="Q432" s="533" t="s">
        <v>1325</v>
      </c>
      <c r="R432" s="534" t="str">
        <f t="shared" si="50"/>
        <v>4004</v>
      </c>
      <c r="S432" s="534" t="str">
        <f t="shared" si="51"/>
        <v>タブ10P</v>
      </c>
      <c r="T432" s="538" t="str">
        <f t="shared" si="52"/>
        <v>40</v>
      </c>
      <c r="U432" s="538" t="str">
        <f t="shared" si="53"/>
        <v>04</v>
      </c>
      <c r="V432" s="471" t="s">
        <v>1136</v>
      </c>
      <c r="Y432" s="472">
        <f t="shared" si="54"/>
        <v>9.8000000000000007</v>
      </c>
      <c r="Z432" s="540">
        <f t="shared" si="55"/>
        <v>0.78</v>
      </c>
      <c r="AA432" s="471">
        <v>0</v>
      </c>
    </row>
    <row r="433" spans="1:27">
      <c r="A433" s="451" t="str">
        <f>CONCATENATE(VLOOKUP(B433,★営業所!$A$1:$B$5,2,FALSE),VLOOKUP(D433,★サイズ表記!$D$4:$E$55,2,FALSE),VLOOKUP(F433,★折込地区!$A$1:$B$11,2,FALSE))</f>
        <v>C4005Tot</v>
      </c>
      <c r="B433" s="457" t="s">
        <v>116</v>
      </c>
      <c r="C433" s="452" t="str">
        <f>VLOOKUP(B433,★営業所!$A$1:$B$5,2,FALSE)</f>
        <v>C</v>
      </c>
      <c r="D433" s="465" t="s">
        <v>1351</v>
      </c>
      <c r="E433" s="452" t="str">
        <f>VLOOKUP(D433,★サイズ表記!$D$4:$E$55,2,FALSE)</f>
        <v>4005</v>
      </c>
      <c r="F433" s="457" t="s">
        <v>282</v>
      </c>
      <c r="G433" s="452" t="str">
        <f>VLOOKUP(F433,★折込地区!$A$1:$B$11,2,FALSE)</f>
        <v>Tot</v>
      </c>
      <c r="H433" s="453">
        <f>INDEX(★サイズ表記!$I$4:$Q$55, MATCH(E433,★サイズ表記!$E$4:$E$55,0), MATCH(G433,★サイズ表記!$I$3:$R$3,0))</f>
        <v>10.9</v>
      </c>
      <c r="K433" s="471" t="str">
        <f t="shared" si="48"/>
        <v>C4005Tot</v>
      </c>
      <c r="L433" s="471" t="str">
        <f t="shared" si="49"/>
        <v>タブ12P</v>
      </c>
      <c r="P433" s="533" t="s">
        <v>1324</v>
      </c>
      <c r="Q433" s="533" t="s">
        <v>1325</v>
      </c>
      <c r="R433" s="534" t="str">
        <f t="shared" si="50"/>
        <v>4005</v>
      </c>
      <c r="S433" s="534" t="str">
        <f t="shared" si="51"/>
        <v>タブ12P</v>
      </c>
      <c r="T433" s="538" t="str">
        <f t="shared" si="52"/>
        <v>40</v>
      </c>
      <c r="U433" s="538" t="str">
        <f t="shared" si="53"/>
        <v>05</v>
      </c>
      <c r="V433" s="471" t="s">
        <v>1136</v>
      </c>
      <c r="Y433" s="472">
        <f t="shared" si="54"/>
        <v>10.9</v>
      </c>
      <c r="Z433" s="540">
        <f t="shared" si="55"/>
        <v>0.87</v>
      </c>
      <c r="AA433" s="471">
        <v>0</v>
      </c>
    </row>
    <row r="434" spans="1:27">
      <c r="A434" s="451" t="str">
        <f>CONCATENATE(VLOOKUP(B434,★営業所!$A$1:$B$5,2,FALSE),VLOOKUP(D434,★サイズ表記!$D$4:$E$55,2,FALSE),VLOOKUP(F434,★折込地区!$A$1:$B$11,2,FALSE))</f>
        <v>C4006Tot</v>
      </c>
      <c r="B434" s="457" t="s">
        <v>116</v>
      </c>
      <c r="C434" s="452" t="str">
        <f>VLOOKUP(B434,★営業所!$A$1:$B$5,2,FALSE)</f>
        <v>C</v>
      </c>
      <c r="D434" s="465" t="s">
        <v>1352</v>
      </c>
      <c r="E434" s="452" t="str">
        <f>VLOOKUP(D434,★サイズ表記!$D$4:$E$55,2,FALSE)</f>
        <v>4006</v>
      </c>
      <c r="F434" s="457" t="s">
        <v>282</v>
      </c>
      <c r="G434" s="452" t="str">
        <f>VLOOKUP(F434,★折込地区!$A$1:$B$11,2,FALSE)</f>
        <v>Tot</v>
      </c>
      <c r="H434" s="453">
        <f>INDEX(★サイズ表記!$I$4:$Q$55, MATCH(E434,★サイズ表記!$E$4:$E$55,0), MATCH(G434,★サイズ表記!$I$3:$R$3,0))</f>
        <v>13.7</v>
      </c>
      <c r="K434" s="471" t="str">
        <f t="shared" si="48"/>
        <v>C4006Tot</v>
      </c>
      <c r="L434" s="471" t="str">
        <f t="shared" si="49"/>
        <v>タブ14P</v>
      </c>
      <c r="P434" s="533" t="s">
        <v>1324</v>
      </c>
      <c r="Q434" s="533" t="s">
        <v>1325</v>
      </c>
      <c r="R434" s="534" t="str">
        <f t="shared" si="50"/>
        <v>4006</v>
      </c>
      <c r="S434" s="534" t="str">
        <f t="shared" si="51"/>
        <v>タブ14P</v>
      </c>
      <c r="T434" s="538" t="str">
        <f t="shared" si="52"/>
        <v>40</v>
      </c>
      <c r="U434" s="538" t="str">
        <f t="shared" si="53"/>
        <v>06</v>
      </c>
      <c r="V434" s="471" t="s">
        <v>1136</v>
      </c>
      <c r="Y434" s="472">
        <f t="shared" si="54"/>
        <v>13.7</v>
      </c>
      <c r="Z434" s="540">
        <f t="shared" si="55"/>
        <v>1.0900000000000001</v>
      </c>
      <c r="AA434" s="471">
        <v>0</v>
      </c>
    </row>
    <row r="435" spans="1:27">
      <c r="A435" s="451" t="str">
        <f>CONCATENATE(VLOOKUP(B435,★営業所!$A$1:$B$5,2,FALSE),VLOOKUP(D435,★サイズ表記!$D$4:$E$55,2,FALSE),VLOOKUP(F435,★折込地区!$A$1:$B$11,2,FALSE))</f>
        <v>C4007Tot</v>
      </c>
      <c r="B435" s="457" t="s">
        <v>116</v>
      </c>
      <c r="C435" s="452" t="str">
        <f>VLOOKUP(B435,★営業所!$A$1:$B$5,2,FALSE)</f>
        <v>C</v>
      </c>
      <c r="D435" s="465" t="s">
        <v>1353</v>
      </c>
      <c r="E435" s="452" t="str">
        <f>VLOOKUP(D435,★サイズ表記!$D$4:$E$55,2,FALSE)</f>
        <v>4007</v>
      </c>
      <c r="F435" s="457" t="s">
        <v>282</v>
      </c>
      <c r="G435" s="452" t="str">
        <f>VLOOKUP(F435,★折込地区!$A$1:$B$11,2,FALSE)</f>
        <v>Tot</v>
      </c>
      <c r="H435" s="453">
        <f>INDEX(★サイズ表記!$I$4:$Q$55, MATCH(E435,★サイズ表記!$E$4:$E$55,0), MATCH(G435,★サイズ表記!$I$3:$R$3,0))</f>
        <v>15</v>
      </c>
      <c r="K435" s="471" t="str">
        <f t="shared" si="48"/>
        <v>C4007Tot</v>
      </c>
      <c r="L435" s="471" t="str">
        <f t="shared" si="49"/>
        <v>タブ16P</v>
      </c>
      <c r="P435" s="533" t="s">
        <v>1324</v>
      </c>
      <c r="Q435" s="533" t="s">
        <v>1325</v>
      </c>
      <c r="R435" s="534" t="str">
        <f t="shared" si="50"/>
        <v>4007</v>
      </c>
      <c r="S435" s="534" t="str">
        <f t="shared" si="51"/>
        <v>タブ16P</v>
      </c>
      <c r="T435" s="538" t="str">
        <f t="shared" si="52"/>
        <v>40</v>
      </c>
      <c r="U435" s="538" t="str">
        <f t="shared" si="53"/>
        <v>07</v>
      </c>
      <c r="V435" s="471" t="s">
        <v>1136</v>
      </c>
      <c r="Y435" s="472">
        <f t="shared" si="54"/>
        <v>15</v>
      </c>
      <c r="Z435" s="540">
        <f t="shared" si="55"/>
        <v>1.2</v>
      </c>
      <c r="AA435" s="471">
        <v>0</v>
      </c>
    </row>
    <row r="436" spans="1:27">
      <c r="A436" s="451" t="str">
        <f>CONCATENATE(VLOOKUP(B436,★営業所!$A$1:$B$5,2,FALSE),VLOOKUP(D436,★サイズ表記!$D$4:$E$55,2,FALSE),VLOOKUP(F436,★折込地区!$A$1:$B$11,2,FALSE))</f>
        <v>C4008Tot</v>
      </c>
      <c r="B436" s="457" t="s">
        <v>116</v>
      </c>
      <c r="C436" s="452" t="str">
        <f>VLOOKUP(B436,★営業所!$A$1:$B$5,2,FALSE)</f>
        <v>C</v>
      </c>
      <c r="D436" s="465" t="s">
        <v>1355</v>
      </c>
      <c r="E436" s="452" t="str">
        <f>VLOOKUP(D436,★サイズ表記!$D$4:$E$55,2,FALSE)</f>
        <v>4008</v>
      </c>
      <c r="F436" s="457" t="s">
        <v>282</v>
      </c>
      <c r="G436" s="452" t="str">
        <f>VLOOKUP(F436,★折込地区!$A$1:$B$11,2,FALSE)</f>
        <v>Tot</v>
      </c>
      <c r="H436" s="453">
        <f>INDEX(★サイズ表記!$I$4:$Q$55, MATCH(E436,★サイズ表記!$E$4:$E$55,0), MATCH(G436,★サイズ表記!$I$3:$R$3,0))</f>
        <v>17.8</v>
      </c>
      <c r="K436" s="471" t="str">
        <f t="shared" si="48"/>
        <v>C4008Tot</v>
      </c>
      <c r="L436" s="471" t="str">
        <f t="shared" si="49"/>
        <v>タブ18P</v>
      </c>
      <c r="P436" s="533" t="s">
        <v>1324</v>
      </c>
      <c r="Q436" s="533" t="s">
        <v>1325</v>
      </c>
      <c r="R436" s="534" t="str">
        <f t="shared" si="50"/>
        <v>4008</v>
      </c>
      <c r="S436" s="534" t="str">
        <f t="shared" si="51"/>
        <v>タブ18P</v>
      </c>
      <c r="T436" s="538" t="str">
        <f t="shared" si="52"/>
        <v>40</v>
      </c>
      <c r="U436" s="538" t="str">
        <f t="shared" si="53"/>
        <v>08</v>
      </c>
      <c r="V436" s="471" t="s">
        <v>1136</v>
      </c>
      <c r="Y436" s="472">
        <f t="shared" si="54"/>
        <v>17.8</v>
      </c>
      <c r="Z436" s="540">
        <f t="shared" si="55"/>
        <v>1.42</v>
      </c>
      <c r="AA436" s="471">
        <v>0</v>
      </c>
    </row>
    <row r="437" spans="1:27">
      <c r="A437" s="451" t="str">
        <f>CONCATENATE(VLOOKUP(B437,★営業所!$A$1:$B$5,2,FALSE),VLOOKUP(D437,★サイズ表記!$D$4:$E$55,2,FALSE),VLOOKUP(F437,★折込地区!$A$1:$B$11,2,FALSE))</f>
        <v>C4009Tot</v>
      </c>
      <c r="B437" s="457" t="s">
        <v>116</v>
      </c>
      <c r="C437" s="452" t="str">
        <f>VLOOKUP(B437,★営業所!$A$1:$B$5,2,FALSE)</f>
        <v>C</v>
      </c>
      <c r="D437" s="465" t="s">
        <v>1356</v>
      </c>
      <c r="E437" s="452" t="str">
        <f>VLOOKUP(D437,★サイズ表記!$D$4:$E$55,2,FALSE)</f>
        <v>4009</v>
      </c>
      <c r="F437" s="457" t="s">
        <v>282</v>
      </c>
      <c r="G437" s="452" t="str">
        <f>VLOOKUP(F437,★折込地区!$A$1:$B$11,2,FALSE)</f>
        <v>Tot</v>
      </c>
      <c r="H437" s="453">
        <f>INDEX(★サイズ表記!$I$4:$Q$55, MATCH(E437,★サイズ表記!$E$4:$E$55,0), MATCH(G437,★サイズ表記!$I$3:$R$3,0))</f>
        <v>18.899999999999999</v>
      </c>
      <c r="K437" s="471" t="str">
        <f t="shared" si="48"/>
        <v>C4009Tot</v>
      </c>
      <c r="L437" s="471" t="str">
        <f t="shared" si="49"/>
        <v>タブ20P</v>
      </c>
      <c r="P437" s="533" t="s">
        <v>1324</v>
      </c>
      <c r="Q437" s="533" t="s">
        <v>1325</v>
      </c>
      <c r="R437" s="534" t="str">
        <f t="shared" si="50"/>
        <v>4009</v>
      </c>
      <c r="S437" s="534" t="str">
        <f t="shared" si="51"/>
        <v>タブ20P</v>
      </c>
      <c r="T437" s="538" t="str">
        <f t="shared" si="52"/>
        <v>40</v>
      </c>
      <c r="U437" s="538" t="str">
        <f t="shared" si="53"/>
        <v>09</v>
      </c>
      <c r="V437" s="471" t="s">
        <v>1136</v>
      </c>
      <c r="Y437" s="472">
        <f t="shared" si="54"/>
        <v>18.899999999999999</v>
      </c>
      <c r="Z437" s="540">
        <f t="shared" si="55"/>
        <v>1.51</v>
      </c>
      <c r="AA437" s="471">
        <v>0</v>
      </c>
    </row>
    <row r="438" spans="1:27">
      <c r="A438" s="451" t="str">
        <f>CONCATENATE(VLOOKUP(B438,★営業所!$A$1:$B$5,2,FALSE),VLOOKUP(D438,★サイズ表記!$D$4:$E$55,2,FALSE),VLOOKUP(F438,★折込地区!$A$1:$B$11,2,FALSE))</f>
        <v>C4010Tot</v>
      </c>
      <c r="B438" s="457" t="s">
        <v>116</v>
      </c>
      <c r="C438" s="452" t="str">
        <f>VLOOKUP(B438,★営業所!$A$1:$B$5,2,FALSE)</f>
        <v>C</v>
      </c>
      <c r="D438" s="465" t="s">
        <v>1354</v>
      </c>
      <c r="E438" s="452" t="str">
        <f>VLOOKUP(D438,★サイズ表記!$D$4:$E$55,2,FALSE)</f>
        <v>4010</v>
      </c>
      <c r="F438" s="457" t="s">
        <v>282</v>
      </c>
      <c r="G438" s="452" t="str">
        <f>VLOOKUP(F438,★折込地区!$A$1:$B$11,2,FALSE)</f>
        <v>Tot</v>
      </c>
      <c r="H438" s="453">
        <f>INDEX(★サイズ表記!$I$4:$Q$55, MATCH(E438,★サイズ表記!$E$4:$E$55,0), MATCH(G438,★サイズ表記!$I$3:$R$3,0))</f>
        <v>16</v>
      </c>
      <c r="K438" s="471" t="str">
        <f t="shared" si="48"/>
        <v>C4010Tot</v>
      </c>
      <c r="L438" s="471" t="str">
        <f t="shared" si="49"/>
        <v>タブ16Pホチキス止め</v>
      </c>
      <c r="P438" s="533" t="s">
        <v>1324</v>
      </c>
      <c r="Q438" s="533" t="s">
        <v>1325</v>
      </c>
      <c r="R438" s="534" t="str">
        <f t="shared" si="50"/>
        <v>4010</v>
      </c>
      <c r="S438" s="534" t="str">
        <f t="shared" si="51"/>
        <v>タブ16Pホチキス止め</v>
      </c>
      <c r="T438" s="538" t="str">
        <f t="shared" si="52"/>
        <v>40</v>
      </c>
      <c r="U438" s="538" t="str">
        <f t="shared" si="53"/>
        <v>10</v>
      </c>
      <c r="V438" s="471" t="s">
        <v>1136</v>
      </c>
      <c r="Y438" s="472">
        <f t="shared" si="54"/>
        <v>16</v>
      </c>
      <c r="Z438" s="540">
        <f t="shared" si="55"/>
        <v>1.28</v>
      </c>
      <c r="AA438" s="471">
        <v>0</v>
      </c>
    </row>
    <row r="439" spans="1:27">
      <c r="A439" s="451" t="str">
        <f>CONCATENATE(VLOOKUP(B439,★営業所!$A$1:$B$5,2,FALSE),VLOOKUP(D439,★サイズ表記!$D$4:$E$55,2,FALSE),VLOOKUP(F439,★折込地区!$A$1:$B$11,2,FALSE))</f>
        <v>C4011Tot</v>
      </c>
      <c r="B439" s="457" t="s">
        <v>116</v>
      </c>
      <c r="C439" s="452" t="str">
        <f>VLOOKUP(B439,★営業所!$A$1:$B$5,2,FALSE)</f>
        <v>C</v>
      </c>
      <c r="D439" s="465" t="s">
        <v>1357</v>
      </c>
      <c r="E439" s="452" t="str">
        <f>VLOOKUP(D439,★サイズ表記!$D$4:$E$55,2,FALSE)</f>
        <v>4011</v>
      </c>
      <c r="F439" s="457" t="s">
        <v>282</v>
      </c>
      <c r="G439" s="452" t="str">
        <f>VLOOKUP(F439,★折込地区!$A$1:$B$11,2,FALSE)</f>
        <v>Tot</v>
      </c>
      <c r="H439" s="453">
        <f>INDEX(★サイズ表記!$I$4:$Q$55, MATCH(E439,★サイズ表記!$E$4:$E$55,0), MATCH(G439,★サイズ表記!$I$3:$R$3,0))</f>
        <v>0</v>
      </c>
      <c r="K439" s="471" t="str">
        <f t="shared" si="48"/>
        <v>C4011Tot</v>
      </c>
      <c r="L439" s="471" t="str">
        <f t="shared" si="49"/>
        <v>タブ40P</v>
      </c>
      <c r="P439" s="533" t="s">
        <v>1324</v>
      </c>
      <c r="Q439" s="533" t="s">
        <v>1325</v>
      </c>
      <c r="R439" s="534" t="str">
        <f t="shared" si="50"/>
        <v>4011</v>
      </c>
      <c r="S439" s="534" t="str">
        <f t="shared" si="51"/>
        <v>タブ40P</v>
      </c>
      <c r="T439" s="538" t="str">
        <f t="shared" si="52"/>
        <v>40</v>
      </c>
      <c r="U439" s="538" t="str">
        <f t="shared" si="53"/>
        <v>11</v>
      </c>
      <c r="V439" s="471" t="s">
        <v>1136</v>
      </c>
      <c r="Y439" s="472">
        <f t="shared" si="54"/>
        <v>0</v>
      </c>
      <c r="Z439" s="540">
        <f t="shared" si="55"/>
        <v>0</v>
      </c>
      <c r="AA439" s="471">
        <v>0</v>
      </c>
    </row>
    <row r="440" spans="1:27">
      <c r="A440" s="451" t="str">
        <f>CONCATENATE(VLOOKUP(B440,★営業所!$A$1:$B$5,2,FALSE),VLOOKUP(D440,★サイズ表記!$D$4:$E$55,2,FALSE),VLOOKUP(F440,★折込地区!$A$1:$B$11,2,FALSE))</f>
        <v>C9001Tot</v>
      </c>
      <c r="B440" s="457" t="s">
        <v>116</v>
      </c>
      <c r="C440" s="452" t="str">
        <f>VLOOKUP(B440,★営業所!$A$1:$B$5,2,FALSE)</f>
        <v>C</v>
      </c>
      <c r="D440" s="465" t="s">
        <v>975</v>
      </c>
      <c r="E440" s="452" t="str">
        <f>VLOOKUP(D440,★サイズ表記!$D$4:$E$55,2,FALSE)</f>
        <v>9001</v>
      </c>
      <c r="F440" s="457" t="s">
        <v>282</v>
      </c>
      <c r="G440" s="452" t="str">
        <f>VLOOKUP(F440,★折込地区!$A$1:$B$11,2,FALSE)</f>
        <v>Tot</v>
      </c>
      <c r="H440" s="453">
        <f>INDEX(★サイズ表記!$I$4:$Q$55, MATCH(E440,★サイズ表記!$E$4:$E$55,0), MATCH(G440,★サイズ表記!$I$3:$R$3,0))</f>
        <v>7</v>
      </c>
      <c r="K440" s="471" t="str">
        <f t="shared" si="48"/>
        <v>C9001Tot</v>
      </c>
      <c r="L440" s="471" t="str">
        <f t="shared" si="49"/>
        <v>うさぎの耳</v>
      </c>
      <c r="P440" s="533" t="s">
        <v>1324</v>
      </c>
      <c r="Q440" s="533" t="s">
        <v>1325</v>
      </c>
      <c r="R440" s="534" t="str">
        <f t="shared" si="50"/>
        <v>9001</v>
      </c>
      <c r="S440" s="534" t="str">
        <f t="shared" si="51"/>
        <v>うさぎの耳</v>
      </c>
      <c r="T440" s="538" t="str">
        <f t="shared" si="52"/>
        <v>90</v>
      </c>
      <c r="U440" s="538" t="str">
        <f t="shared" si="53"/>
        <v>01</v>
      </c>
      <c r="V440" s="471" t="s">
        <v>1136</v>
      </c>
      <c r="Y440" s="472">
        <f t="shared" si="54"/>
        <v>7</v>
      </c>
      <c r="Z440" s="540">
        <f t="shared" si="55"/>
        <v>0.56000000000000005</v>
      </c>
      <c r="AA440" s="471">
        <v>0</v>
      </c>
    </row>
    <row r="441" spans="1:27">
      <c r="A441" s="451" t="str">
        <f>CONCATENATE(VLOOKUP(B441,★営業所!$A$1:$B$5,2,FALSE),VLOOKUP(D441,★サイズ表記!$D$4:$E$55,2,FALSE),VLOOKUP(F441,★折込地区!$A$1:$B$11,2,FALSE))</f>
        <v>C9002Tot</v>
      </c>
      <c r="B441" s="457" t="s">
        <v>116</v>
      </c>
      <c r="C441" s="452" t="str">
        <f>VLOOKUP(B441,★営業所!$A$1:$B$5,2,FALSE)</f>
        <v>C</v>
      </c>
      <c r="D441" s="465" t="s">
        <v>976</v>
      </c>
      <c r="E441" s="452" t="str">
        <f>VLOOKUP(D441,★サイズ表記!$D$4:$E$55,2,FALSE)</f>
        <v>9002</v>
      </c>
      <c r="F441" s="457" t="s">
        <v>282</v>
      </c>
      <c r="G441" s="452" t="str">
        <f>VLOOKUP(F441,★折込地区!$A$1:$B$11,2,FALSE)</f>
        <v>Tot</v>
      </c>
      <c r="H441" s="453">
        <f>INDEX(★サイズ表記!$I$4:$Q$55, MATCH(E441,★サイズ表記!$E$4:$E$55,0), MATCH(G441,★サイズ表記!$I$3:$R$3,0))</f>
        <v>5</v>
      </c>
      <c r="K441" s="471" t="str">
        <f t="shared" si="48"/>
        <v>C9002Tot</v>
      </c>
      <c r="L441" s="471" t="str">
        <f t="shared" si="49"/>
        <v>ユーキャン（題字）</v>
      </c>
      <c r="P441" s="533" t="s">
        <v>1324</v>
      </c>
      <c r="Q441" s="533" t="s">
        <v>1325</v>
      </c>
      <c r="R441" s="534" t="str">
        <f t="shared" si="50"/>
        <v>9002</v>
      </c>
      <c r="S441" s="534" t="str">
        <f t="shared" si="51"/>
        <v>ユーキャン（題字）</v>
      </c>
      <c r="T441" s="538" t="str">
        <f t="shared" si="52"/>
        <v>90</v>
      </c>
      <c r="U441" s="538" t="str">
        <f t="shared" si="53"/>
        <v>02</v>
      </c>
      <c r="V441" s="471" t="s">
        <v>1136</v>
      </c>
      <c r="Y441" s="472">
        <f t="shared" si="54"/>
        <v>5</v>
      </c>
      <c r="Z441" s="540">
        <f t="shared" si="55"/>
        <v>0.4</v>
      </c>
      <c r="AA441" s="471">
        <v>0</v>
      </c>
    </row>
    <row r="442" spans="1:27">
      <c r="A442" s="451" t="str">
        <f>CONCATENATE(VLOOKUP(B442,★営業所!$A$1:$B$5,2,FALSE),VLOOKUP(D442,★サイズ表記!$D$4:$E$55,2,FALSE),VLOOKUP(F442,★折込地区!$A$1:$B$11,2,FALSE))</f>
        <v>C9003Tot</v>
      </c>
      <c r="B442" s="457" t="s">
        <v>116</v>
      </c>
      <c r="C442" s="452" t="str">
        <f>VLOOKUP(B442,★営業所!$A$1:$B$5,2,FALSE)</f>
        <v>C</v>
      </c>
      <c r="D442" s="465" t="s">
        <v>977</v>
      </c>
      <c r="E442" s="452" t="str">
        <f>VLOOKUP(D442,★サイズ表記!$D$4:$E$55,2,FALSE)</f>
        <v>9003</v>
      </c>
      <c r="F442" s="457" t="s">
        <v>282</v>
      </c>
      <c r="G442" s="452" t="str">
        <f>VLOOKUP(F442,★折込地区!$A$1:$B$11,2,FALSE)</f>
        <v>Tot</v>
      </c>
      <c r="H442" s="453">
        <f>INDEX(★サイズ表記!$I$4:$Q$55, MATCH(E442,★サイズ表記!$E$4:$E$55,0), MATCH(G442,★サイズ表記!$I$3:$R$3,0))</f>
        <v>4.9000000000000004</v>
      </c>
      <c r="K442" s="471" t="str">
        <f t="shared" si="48"/>
        <v>C9003Tot</v>
      </c>
      <c r="L442" s="471" t="str">
        <f t="shared" si="49"/>
        <v>横長B3</v>
      </c>
      <c r="P442" s="533" t="s">
        <v>1324</v>
      </c>
      <c r="Q442" s="533" t="s">
        <v>1325</v>
      </c>
      <c r="R442" s="534" t="str">
        <f t="shared" si="50"/>
        <v>9003</v>
      </c>
      <c r="S442" s="534" t="str">
        <f t="shared" si="51"/>
        <v>横長B3</v>
      </c>
      <c r="T442" s="538" t="str">
        <f t="shared" si="52"/>
        <v>90</v>
      </c>
      <c r="U442" s="538" t="str">
        <f t="shared" si="53"/>
        <v>03</v>
      </c>
      <c r="V442" s="471" t="s">
        <v>1136</v>
      </c>
      <c r="Y442" s="472">
        <f t="shared" si="54"/>
        <v>4.9000000000000004</v>
      </c>
      <c r="Z442" s="540">
        <f t="shared" si="55"/>
        <v>0.39</v>
      </c>
      <c r="AA442" s="471">
        <v>0</v>
      </c>
    </row>
    <row r="443" spans="1:27">
      <c r="A443" s="451" t="str">
        <f>CONCATENATE(VLOOKUP(B443,★営業所!$A$1:$B$5,2,FALSE),VLOOKUP(D443,★サイズ表記!$D$4:$E$55,2,FALSE),VLOOKUP(F443,★折込地区!$A$1:$B$11,2,FALSE))</f>
        <v>C9004Tot</v>
      </c>
      <c r="B443" s="457" t="s">
        <v>116</v>
      </c>
      <c r="C443" s="452" t="str">
        <f>VLOOKUP(B443,★営業所!$A$1:$B$5,2,FALSE)</f>
        <v>C</v>
      </c>
      <c r="D443" s="465" t="s">
        <v>978</v>
      </c>
      <c r="E443" s="452" t="str">
        <f>VLOOKUP(D443,★サイズ表記!$D$4:$E$55,2,FALSE)</f>
        <v>9004</v>
      </c>
      <c r="F443" s="457" t="s">
        <v>282</v>
      </c>
      <c r="G443" s="452" t="str">
        <f>VLOOKUP(F443,★折込地区!$A$1:$B$11,2,FALSE)</f>
        <v>Tot</v>
      </c>
      <c r="H443" s="453">
        <f>INDEX(★サイズ表記!$I$4:$Q$55, MATCH(E443,★サイズ表記!$E$4:$E$55,0), MATCH(G443,★サイズ表記!$I$3:$R$3,0))</f>
        <v>5</v>
      </c>
      <c r="K443" s="471" t="str">
        <f t="shared" si="48"/>
        <v>C9004Tot</v>
      </c>
      <c r="L443" s="471" t="str">
        <f t="shared" si="49"/>
        <v>AD-BAG</v>
      </c>
      <c r="P443" s="533" t="s">
        <v>1324</v>
      </c>
      <c r="Q443" s="533" t="s">
        <v>1325</v>
      </c>
      <c r="R443" s="534" t="str">
        <f t="shared" si="50"/>
        <v>9004</v>
      </c>
      <c r="S443" s="534" t="str">
        <f t="shared" si="51"/>
        <v>AD-BAG</v>
      </c>
      <c r="T443" s="538" t="str">
        <f t="shared" si="52"/>
        <v>90</v>
      </c>
      <c r="U443" s="538" t="str">
        <f t="shared" si="53"/>
        <v>04</v>
      </c>
      <c r="V443" s="471" t="s">
        <v>1136</v>
      </c>
      <c r="Y443" s="472">
        <f t="shared" si="54"/>
        <v>5</v>
      </c>
      <c r="Z443" s="540">
        <f t="shared" si="55"/>
        <v>0.4</v>
      </c>
      <c r="AA443" s="471">
        <v>0</v>
      </c>
    </row>
    <row r="444" spans="1:27">
      <c r="A444" s="451" t="str">
        <f>CONCATENATE(VLOOKUP(B444,★営業所!$A$1:$B$5,2,FALSE),VLOOKUP(D444,★サイズ表記!$D$4:$E$55,2,FALSE),VLOOKUP(F444,★折込地区!$A$1:$B$11,2,FALSE))</f>
        <v>C9005Tot</v>
      </c>
      <c r="B444" s="457" t="s">
        <v>116</v>
      </c>
      <c r="C444" s="452" t="str">
        <f>VLOOKUP(B444,★営業所!$A$1:$B$5,2,FALSE)</f>
        <v>C</v>
      </c>
      <c r="D444" s="465" t="s">
        <v>979</v>
      </c>
      <c r="E444" s="452" t="str">
        <f>VLOOKUP(D444,★サイズ表記!$D$4:$E$55,2,FALSE)</f>
        <v>9005</v>
      </c>
      <c r="F444" s="457" t="s">
        <v>282</v>
      </c>
      <c r="G444" s="452" t="str">
        <f>VLOOKUP(F444,★折込地区!$A$1:$B$11,2,FALSE)</f>
        <v>Tot</v>
      </c>
      <c r="H444" s="453">
        <f>INDEX(★サイズ表記!$I$4:$Q$55, MATCH(E444,★サイズ表記!$E$4:$E$55,0), MATCH(G444,★サイズ表記!$I$3:$R$3,0))</f>
        <v>5</v>
      </c>
      <c r="K444" s="471" t="str">
        <f t="shared" si="48"/>
        <v>C9005Tot</v>
      </c>
      <c r="L444" s="471" t="str">
        <f t="shared" si="49"/>
        <v>封筒</v>
      </c>
      <c r="P444" s="533" t="s">
        <v>1324</v>
      </c>
      <c r="Q444" s="533" t="s">
        <v>1325</v>
      </c>
      <c r="R444" s="534" t="str">
        <f t="shared" si="50"/>
        <v>9005</v>
      </c>
      <c r="S444" s="534" t="str">
        <f t="shared" si="51"/>
        <v>封筒</v>
      </c>
      <c r="T444" s="538" t="str">
        <f t="shared" si="52"/>
        <v>90</v>
      </c>
      <c r="U444" s="538" t="str">
        <f t="shared" si="53"/>
        <v>05</v>
      </c>
      <c r="V444" s="471" t="s">
        <v>1136</v>
      </c>
      <c r="Y444" s="472">
        <f t="shared" si="54"/>
        <v>5</v>
      </c>
      <c r="Z444" s="540">
        <f t="shared" si="55"/>
        <v>0.4</v>
      </c>
      <c r="AA444" s="471">
        <v>0</v>
      </c>
    </row>
    <row r="445" spans="1:27">
      <c r="A445" s="451" t="str">
        <f>CONCATENATE(VLOOKUP(B445,★営業所!$A$1:$B$5,2,FALSE),VLOOKUP(D445,★サイズ表記!$D$4:$E$55,2,FALSE),VLOOKUP(F445,★折込地区!$A$1:$B$11,2,FALSE))</f>
        <v>C9006Tot</v>
      </c>
      <c r="B445" s="457" t="s">
        <v>116</v>
      </c>
      <c r="C445" s="452" t="str">
        <f>VLOOKUP(B445,★営業所!$A$1:$B$5,2,FALSE)</f>
        <v>C</v>
      </c>
      <c r="D445" s="465" t="s">
        <v>980</v>
      </c>
      <c r="E445" s="452" t="str">
        <f>VLOOKUP(D445,★サイズ表記!$D$4:$E$55,2,FALSE)</f>
        <v>9006</v>
      </c>
      <c r="F445" s="457" t="s">
        <v>282</v>
      </c>
      <c r="G445" s="452" t="str">
        <f>VLOOKUP(F445,★折込地区!$A$1:$B$11,2,FALSE)</f>
        <v>Tot</v>
      </c>
      <c r="H445" s="453">
        <f>INDEX(★サイズ表記!$I$4:$Q$55, MATCH(E445,★サイズ表記!$E$4:$E$55,0), MATCH(G445,★サイズ表記!$I$3:$R$3,0))</f>
        <v>3.9</v>
      </c>
      <c r="K445" s="471" t="str">
        <f t="shared" si="48"/>
        <v>C9006Tot</v>
      </c>
      <c r="L445" s="471" t="str">
        <f t="shared" si="49"/>
        <v>圧着</v>
      </c>
      <c r="P445" s="533" t="s">
        <v>1324</v>
      </c>
      <c r="Q445" s="533" t="s">
        <v>1325</v>
      </c>
      <c r="R445" s="534" t="str">
        <f t="shared" si="50"/>
        <v>9006</v>
      </c>
      <c r="S445" s="534" t="str">
        <f t="shared" si="51"/>
        <v>圧着</v>
      </c>
      <c r="T445" s="538" t="str">
        <f t="shared" si="52"/>
        <v>90</v>
      </c>
      <c r="U445" s="538" t="str">
        <f t="shared" si="53"/>
        <v>06</v>
      </c>
      <c r="V445" s="471" t="s">
        <v>1136</v>
      </c>
      <c r="Y445" s="472">
        <f t="shared" si="54"/>
        <v>3.9</v>
      </c>
      <c r="Z445" s="540">
        <f t="shared" si="55"/>
        <v>0.31</v>
      </c>
      <c r="AA445" s="471">
        <v>0</v>
      </c>
    </row>
    <row r="446" spans="1:27">
      <c r="A446" s="451" t="str">
        <f>CONCATENATE(VLOOKUP(B446,★営業所!$A$1:$B$5,2,FALSE),VLOOKUP(D446,★サイズ表記!$D$4:$E$55,2,FALSE),VLOOKUP(F446,★折込地区!$A$1:$B$11,2,FALSE))</f>
        <v>C9007Tot</v>
      </c>
      <c r="B446" s="457" t="s">
        <v>116</v>
      </c>
      <c r="C446" s="452" t="str">
        <f>VLOOKUP(B446,★営業所!$A$1:$B$5,2,FALSE)</f>
        <v>C</v>
      </c>
      <c r="D446" s="465" t="s">
        <v>981</v>
      </c>
      <c r="E446" s="452" t="str">
        <f>VLOOKUP(D446,★サイズ表記!$D$4:$E$55,2,FALSE)</f>
        <v>9007</v>
      </c>
      <c r="F446" s="457" t="s">
        <v>282</v>
      </c>
      <c r="G446" s="452" t="str">
        <f>VLOOKUP(F446,★折込地区!$A$1:$B$11,2,FALSE)</f>
        <v>Tot</v>
      </c>
      <c r="H446" s="453">
        <f>INDEX(★サイズ表記!$I$4:$Q$55, MATCH(E446,★サイズ表記!$E$4:$E$55,0), MATCH(G446,★サイズ表記!$I$3:$R$3,0))</f>
        <v>4.4000000000000004</v>
      </c>
      <c r="K446" s="471" t="str">
        <f t="shared" si="48"/>
        <v>C9007Tot</v>
      </c>
      <c r="L446" s="471" t="str">
        <f t="shared" si="49"/>
        <v>圧着厚紙</v>
      </c>
      <c r="P446" s="533" t="s">
        <v>1324</v>
      </c>
      <c r="Q446" s="533" t="s">
        <v>1325</v>
      </c>
      <c r="R446" s="534" t="str">
        <f t="shared" si="50"/>
        <v>9007</v>
      </c>
      <c r="S446" s="534" t="str">
        <f t="shared" si="51"/>
        <v>圧着厚紙</v>
      </c>
      <c r="T446" s="538" t="str">
        <f t="shared" si="52"/>
        <v>90</v>
      </c>
      <c r="U446" s="538" t="str">
        <f t="shared" si="53"/>
        <v>07</v>
      </c>
      <c r="V446" s="471" t="s">
        <v>1136</v>
      </c>
      <c r="Y446" s="472">
        <f t="shared" si="54"/>
        <v>4.4000000000000004</v>
      </c>
      <c r="Z446" s="540">
        <f t="shared" si="55"/>
        <v>0.35</v>
      </c>
      <c r="AA446" s="471">
        <v>0</v>
      </c>
    </row>
    <row r="447" spans="1:27">
      <c r="A447" s="451" t="str">
        <f>CONCATENATE(VLOOKUP(B447,★営業所!$A$1:$B$5,2,FALSE),VLOOKUP(D447,★サイズ表記!$D$4:$E$55,2,FALSE),VLOOKUP(F447,★折込地区!$A$1:$B$11,2,FALSE))</f>
        <v>C1001Kry</v>
      </c>
      <c r="B447" s="457" t="s">
        <v>116</v>
      </c>
      <c r="C447" s="452" t="str">
        <f>VLOOKUP(B447,★営業所!$A$1:$B$5,2,FALSE)</f>
        <v>C</v>
      </c>
      <c r="D447" s="465" t="s">
        <v>948</v>
      </c>
      <c r="E447" s="452" t="str">
        <f>VLOOKUP(D447,★サイズ表記!$D$4:$E$55,2,FALSE)</f>
        <v>1001</v>
      </c>
      <c r="F447" s="457" t="s">
        <v>1602</v>
      </c>
      <c r="G447" s="452" t="str">
        <f>VLOOKUP(F447,★折込地区!$A$1:$B$11,2,FALSE)</f>
        <v>Kry</v>
      </c>
      <c r="H447" s="453">
        <f>INDEX(★サイズ表記!$I$4:$Q$55, MATCH(E447,★サイズ表記!$E$4:$E$55,0), MATCH(G447,★サイズ表記!$I$3:$R$3,0))</f>
        <v>2.8</v>
      </c>
      <c r="K447" s="471" t="str">
        <f t="shared" si="48"/>
        <v>C1001Kry</v>
      </c>
      <c r="L447" s="471" t="str">
        <f t="shared" si="49"/>
        <v>B4（折り無し）</v>
      </c>
      <c r="P447" s="533" t="s">
        <v>1324</v>
      </c>
      <c r="Q447" s="533" t="s">
        <v>1325</v>
      </c>
      <c r="R447" s="534" t="str">
        <f t="shared" si="50"/>
        <v>1001</v>
      </c>
      <c r="S447" s="534" t="str">
        <f t="shared" si="51"/>
        <v>B4（折り無し）</v>
      </c>
      <c r="T447" s="538" t="str">
        <f t="shared" si="52"/>
        <v>10</v>
      </c>
      <c r="U447" s="538" t="str">
        <f t="shared" si="53"/>
        <v>01</v>
      </c>
      <c r="V447" s="471" t="s">
        <v>1136</v>
      </c>
      <c r="Y447" s="472">
        <f t="shared" si="54"/>
        <v>2.8</v>
      </c>
      <c r="Z447" s="540">
        <f t="shared" si="55"/>
        <v>0.22</v>
      </c>
      <c r="AA447" s="471">
        <v>0</v>
      </c>
    </row>
    <row r="448" spans="1:27">
      <c r="A448" s="451" t="str">
        <f>CONCATENATE(VLOOKUP(B448,★営業所!$A$1:$B$5,2,FALSE),VLOOKUP(D448,★サイズ表記!$D$4:$E$55,2,FALSE),VLOOKUP(F448,★折込地区!$A$1:$B$11,2,FALSE))</f>
        <v>C1002Kry</v>
      </c>
      <c r="B448" s="457" t="s">
        <v>116</v>
      </c>
      <c r="C448" s="452" t="str">
        <f>VLOOKUP(B448,★営業所!$A$1:$B$5,2,FALSE)</f>
        <v>C</v>
      </c>
      <c r="D448" s="465" t="s">
        <v>950</v>
      </c>
      <c r="E448" s="452" t="str">
        <f>VLOOKUP(D448,★サイズ表記!$D$4:$E$55,2,FALSE)</f>
        <v>1002</v>
      </c>
      <c r="F448" s="457" t="s">
        <v>1602</v>
      </c>
      <c r="G448" s="452" t="str">
        <f>VLOOKUP(F448,★折込地区!$A$1:$B$11,2,FALSE)</f>
        <v>Kry</v>
      </c>
      <c r="H448" s="453">
        <f>INDEX(★サイズ表記!$I$4:$Q$55, MATCH(E448,★サイズ表記!$E$4:$E$55,0), MATCH(G448,★サイズ表記!$I$3:$R$3,0))</f>
        <v>3.9</v>
      </c>
      <c r="K448" s="471" t="str">
        <f t="shared" si="48"/>
        <v>C1002Kry</v>
      </c>
      <c r="L448" s="471" t="str">
        <f t="shared" si="49"/>
        <v>B3（2つ折り）</v>
      </c>
      <c r="P448" s="533" t="s">
        <v>1324</v>
      </c>
      <c r="Q448" s="533" t="s">
        <v>1325</v>
      </c>
      <c r="R448" s="534" t="str">
        <f t="shared" si="50"/>
        <v>1002</v>
      </c>
      <c r="S448" s="534" t="str">
        <f t="shared" si="51"/>
        <v>B3（2つ折り）</v>
      </c>
      <c r="T448" s="538" t="str">
        <f t="shared" si="52"/>
        <v>10</v>
      </c>
      <c r="U448" s="538" t="str">
        <f t="shared" si="53"/>
        <v>02</v>
      </c>
      <c r="V448" s="471" t="s">
        <v>1136</v>
      </c>
      <c r="Y448" s="472">
        <f t="shared" si="54"/>
        <v>3.9</v>
      </c>
      <c r="Z448" s="540">
        <f t="shared" si="55"/>
        <v>0.31</v>
      </c>
      <c r="AA448" s="471">
        <v>0</v>
      </c>
    </row>
    <row r="449" spans="1:27">
      <c r="A449" s="451" t="str">
        <f>CONCATENATE(VLOOKUP(B449,★営業所!$A$1:$B$5,2,FALSE),VLOOKUP(D449,★サイズ表記!$D$4:$E$55,2,FALSE),VLOOKUP(F449,★折込地区!$A$1:$B$11,2,FALSE))</f>
        <v>C1003Kry</v>
      </c>
      <c r="B449" s="457" t="s">
        <v>116</v>
      </c>
      <c r="C449" s="452" t="str">
        <f>VLOOKUP(B449,★営業所!$A$1:$B$5,2,FALSE)</f>
        <v>C</v>
      </c>
      <c r="D449" s="465" t="s">
        <v>951</v>
      </c>
      <c r="E449" s="452" t="str">
        <f>VLOOKUP(D449,★サイズ表記!$D$4:$E$55,2,FALSE)</f>
        <v>1003</v>
      </c>
      <c r="F449" s="457" t="s">
        <v>1602</v>
      </c>
      <c r="G449" s="452" t="str">
        <f>VLOOKUP(F449,★折込地区!$A$1:$B$11,2,FALSE)</f>
        <v>Kry</v>
      </c>
      <c r="H449" s="453">
        <f>INDEX(★サイズ表記!$I$4:$Q$55, MATCH(E449,★サイズ表記!$E$4:$E$55,0), MATCH(G449,★サイズ表記!$I$3:$R$3,0))</f>
        <v>7</v>
      </c>
      <c r="K449" s="471" t="str">
        <f t="shared" si="48"/>
        <v>C1003Kry</v>
      </c>
      <c r="L449" s="471" t="str">
        <f t="shared" si="49"/>
        <v>3つ折り</v>
      </c>
      <c r="P449" s="533" t="s">
        <v>1324</v>
      </c>
      <c r="Q449" s="533" t="s">
        <v>1325</v>
      </c>
      <c r="R449" s="534" t="str">
        <f t="shared" si="50"/>
        <v>1003</v>
      </c>
      <c r="S449" s="534" t="str">
        <f t="shared" si="51"/>
        <v>3つ折り</v>
      </c>
      <c r="T449" s="538" t="str">
        <f t="shared" si="52"/>
        <v>10</v>
      </c>
      <c r="U449" s="538" t="str">
        <f t="shared" si="53"/>
        <v>03</v>
      </c>
      <c r="V449" s="471" t="s">
        <v>1136</v>
      </c>
      <c r="Y449" s="472">
        <f t="shared" si="54"/>
        <v>7</v>
      </c>
      <c r="Z449" s="540">
        <f t="shared" si="55"/>
        <v>0.56000000000000005</v>
      </c>
      <c r="AA449" s="471">
        <v>0</v>
      </c>
    </row>
    <row r="450" spans="1:27">
      <c r="A450" s="451" t="str">
        <f>CONCATENATE(VLOOKUP(B450,★営業所!$A$1:$B$5,2,FALSE),VLOOKUP(D450,★サイズ表記!$D$4:$E$55,2,FALSE),VLOOKUP(F450,★折込地区!$A$1:$B$11,2,FALSE))</f>
        <v>C1004Kry</v>
      </c>
      <c r="B450" s="457" t="s">
        <v>116</v>
      </c>
      <c r="C450" s="452" t="str">
        <f>VLOOKUP(B450,★営業所!$A$1:$B$5,2,FALSE)</f>
        <v>C</v>
      </c>
      <c r="D450" s="465" t="s">
        <v>947</v>
      </c>
      <c r="E450" s="452" t="str">
        <f>VLOOKUP(D450,★サイズ表記!$D$4:$E$55,2,FALSE)</f>
        <v>1004</v>
      </c>
      <c r="F450" s="457" t="s">
        <v>1602</v>
      </c>
      <c r="G450" s="452" t="str">
        <f>VLOOKUP(F450,★折込地区!$A$1:$B$11,2,FALSE)</f>
        <v>Kry</v>
      </c>
      <c r="H450" s="453">
        <f>INDEX(★サイズ表記!$I$4:$Q$55, MATCH(E450,★サイズ表記!$E$4:$E$55,0), MATCH(G450,★サイズ表記!$I$3:$R$3,0))</f>
        <v>7</v>
      </c>
      <c r="K450" s="471" t="str">
        <f t="shared" si="48"/>
        <v>C1004Kry</v>
      </c>
      <c r="L450" s="471" t="str">
        <f t="shared" si="49"/>
        <v>観音折</v>
      </c>
      <c r="P450" s="533" t="s">
        <v>1324</v>
      </c>
      <c r="Q450" s="533" t="s">
        <v>1325</v>
      </c>
      <c r="R450" s="534" t="str">
        <f t="shared" si="50"/>
        <v>1004</v>
      </c>
      <c r="S450" s="534" t="str">
        <f t="shared" si="51"/>
        <v>観音折</v>
      </c>
      <c r="T450" s="538" t="str">
        <f t="shared" si="52"/>
        <v>10</v>
      </c>
      <c r="U450" s="538" t="str">
        <f t="shared" si="53"/>
        <v>04</v>
      </c>
      <c r="V450" s="471" t="s">
        <v>1136</v>
      </c>
      <c r="Y450" s="472">
        <f t="shared" si="54"/>
        <v>7</v>
      </c>
      <c r="Z450" s="540">
        <f t="shared" si="55"/>
        <v>0.56000000000000005</v>
      </c>
      <c r="AA450" s="471">
        <v>0</v>
      </c>
    </row>
    <row r="451" spans="1:27">
      <c r="A451" s="451" t="str">
        <f>CONCATENATE(VLOOKUP(B451,★営業所!$A$1:$B$5,2,FALSE),VLOOKUP(D451,★サイズ表記!$D$4:$E$55,2,FALSE),VLOOKUP(F451,★折込地区!$A$1:$B$11,2,FALSE))</f>
        <v>C1005Kry</v>
      </c>
      <c r="B451" s="457" t="s">
        <v>116</v>
      </c>
      <c r="C451" s="452" t="str">
        <f>VLOOKUP(B451,★営業所!$A$1:$B$5,2,FALSE)</f>
        <v>C</v>
      </c>
      <c r="D451" s="465" t="s">
        <v>952</v>
      </c>
      <c r="E451" s="452" t="str">
        <f>VLOOKUP(D451,★サイズ表記!$D$4:$E$55,2,FALSE)</f>
        <v>1005</v>
      </c>
      <c r="F451" s="457" t="s">
        <v>1602</v>
      </c>
      <c r="G451" s="452" t="str">
        <f>VLOOKUP(F451,★折込地区!$A$1:$B$11,2,FALSE)</f>
        <v>Kry</v>
      </c>
      <c r="H451" s="453">
        <f>INDEX(★サイズ表記!$I$4:$Q$55, MATCH(E451,★サイズ表記!$E$4:$E$55,0), MATCH(G451,★サイズ表記!$I$3:$R$3,0))</f>
        <v>7</v>
      </c>
      <c r="K451" s="471" t="str">
        <f t="shared" si="48"/>
        <v>C1005Kry</v>
      </c>
      <c r="L451" s="471" t="str">
        <f t="shared" si="49"/>
        <v>B2（4つ折り）</v>
      </c>
      <c r="P451" s="533" t="s">
        <v>1324</v>
      </c>
      <c r="Q451" s="533" t="s">
        <v>1325</v>
      </c>
      <c r="R451" s="534" t="str">
        <f t="shared" si="50"/>
        <v>1005</v>
      </c>
      <c r="S451" s="534" t="str">
        <f t="shared" si="51"/>
        <v>B2（4つ折り）</v>
      </c>
      <c r="T451" s="538" t="str">
        <f t="shared" si="52"/>
        <v>10</v>
      </c>
      <c r="U451" s="538" t="str">
        <f t="shared" si="53"/>
        <v>05</v>
      </c>
      <c r="V451" s="471" t="s">
        <v>1136</v>
      </c>
      <c r="Y451" s="472">
        <f t="shared" si="54"/>
        <v>7</v>
      </c>
      <c r="Z451" s="540">
        <f t="shared" si="55"/>
        <v>0.56000000000000005</v>
      </c>
      <c r="AA451" s="471">
        <v>0</v>
      </c>
    </row>
    <row r="452" spans="1:27">
      <c r="A452" s="451" t="str">
        <f>CONCATENATE(VLOOKUP(B452,★営業所!$A$1:$B$5,2,FALSE),VLOOKUP(D452,★サイズ表記!$D$4:$E$55,2,FALSE),VLOOKUP(F452,★折込地区!$A$1:$B$11,2,FALSE))</f>
        <v>C1006Kry</v>
      </c>
      <c r="B452" s="457" t="s">
        <v>116</v>
      </c>
      <c r="C452" s="452" t="str">
        <f>VLOOKUP(B452,★営業所!$A$1:$B$5,2,FALSE)</f>
        <v>C</v>
      </c>
      <c r="D452" s="465" t="s">
        <v>955</v>
      </c>
      <c r="E452" s="452" t="str">
        <f>VLOOKUP(D452,★サイズ表記!$D$4:$E$55,2,FALSE)</f>
        <v>1006</v>
      </c>
      <c r="F452" s="457" t="s">
        <v>1602</v>
      </c>
      <c r="G452" s="452" t="str">
        <f>VLOOKUP(F452,★折込地区!$A$1:$B$11,2,FALSE)</f>
        <v>Kry</v>
      </c>
      <c r="H452" s="453">
        <f>INDEX(★サイズ表記!$I$4:$Q$55, MATCH(E452,★サイズ表記!$E$4:$E$55,0), MATCH(G452,★サイズ表記!$I$3:$R$3,0))</f>
        <v>15</v>
      </c>
      <c r="K452" s="471" t="str">
        <f t="shared" si="48"/>
        <v>C1006Kry</v>
      </c>
      <c r="L452" s="471" t="str">
        <f t="shared" si="49"/>
        <v>B1（8折り）</v>
      </c>
      <c r="P452" s="533" t="s">
        <v>1324</v>
      </c>
      <c r="Q452" s="533" t="s">
        <v>1325</v>
      </c>
      <c r="R452" s="534" t="str">
        <f t="shared" si="50"/>
        <v>1006</v>
      </c>
      <c r="S452" s="534" t="str">
        <f t="shared" si="51"/>
        <v>B1（8折り）</v>
      </c>
      <c r="T452" s="538" t="str">
        <f t="shared" si="52"/>
        <v>10</v>
      </c>
      <c r="U452" s="538" t="str">
        <f t="shared" si="53"/>
        <v>06</v>
      </c>
      <c r="V452" s="471" t="s">
        <v>1136</v>
      </c>
      <c r="Y452" s="472">
        <f t="shared" si="54"/>
        <v>15</v>
      </c>
      <c r="Z452" s="540">
        <f t="shared" si="55"/>
        <v>1.2</v>
      </c>
      <c r="AA452" s="471">
        <v>0</v>
      </c>
    </row>
    <row r="453" spans="1:27">
      <c r="A453" s="451" t="str">
        <f>CONCATENATE(VLOOKUP(B453,★営業所!$A$1:$B$5,2,FALSE),VLOOKUP(D453,★サイズ表記!$D$4:$E$55,2,FALSE),VLOOKUP(F453,★折込地区!$A$1:$B$11,2,FALSE))</f>
        <v>C1007Kry</v>
      </c>
      <c r="B453" s="457" t="s">
        <v>116</v>
      </c>
      <c r="C453" s="452" t="str">
        <f>VLOOKUP(B453,★営業所!$A$1:$B$5,2,FALSE)</f>
        <v>C</v>
      </c>
      <c r="D453" s="465" t="s">
        <v>956</v>
      </c>
      <c r="E453" s="452" t="str">
        <f>VLOOKUP(D453,★サイズ表記!$D$4:$E$55,2,FALSE)</f>
        <v>1007</v>
      </c>
      <c r="F453" s="457" t="s">
        <v>1602</v>
      </c>
      <c r="G453" s="452" t="str">
        <f>VLOOKUP(F453,★折込地区!$A$1:$B$11,2,FALSE)</f>
        <v>Kry</v>
      </c>
      <c r="H453" s="453">
        <f>INDEX(★サイズ表記!$I$4:$Q$55, MATCH(E453,★サイズ表記!$E$4:$E$55,0), MATCH(G453,★サイズ表記!$I$3:$R$3,0))</f>
        <v>3.3</v>
      </c>
      <c r="K453" s="471" t="str">
        <f t="shared" si="48"/>
        <v>C1007Kry</v>
      </c>
      <c r="L453" s="471" t="str">
        <f t="shared" si="49"/>
        <v>B4厚紙</v>
      </c>
      <c r="P453" s="533" t="s">
        <v>1324</v>
      </c>
      <c r="Q453" s="533" t="s">
        <v>1325</v>
      </c>
      <c r="R453" s="534" t="str">
        <f t="shared" si="50"/>
        <v>1007</v>
      </c>
      <c r="S453" s="534" t="str">
        <f t="shared" si="51"/>
        <v>B4厚紙</v>
      </c>
      <c r="T453" s="538" t="str">
        <f t="shared" si="52"/>
        <v>10</v>
      </c>
      <c r="U453" s="538" t="str">
        <f t="shared" si="53"/>
        <v>07</v>
      </c>
      <c r="V453" s="471" t="s">
        <v>1136</v>
      </c>
      <c r="Y453" s="472">
        <f t="shared" si="54"/>
        <v>3.3</v>
      </c>
      <c r="Z453" s="540">
        <f t="shared" si="55"/>
        <v>0.26</v>
      </c>
      <c r="AA453" s="471">
        <v>0</v>
      </c>
    </row>
    <row r="454" spans="1:27">
      <c r="A454" s="451" t="str">
        <f>CONCATENATE(VLOOKUP(B454,★営業所!$A$1:$B$5,2,FALSE),VLOOKUP(D454,★サイズ表記!$D$4:$E$55,2,FALSE),VLOOKUP(F454,★折込地区!$A$1:$B$11,2,FALSE))</f>
        <v>C1008Kry</v>
      </c>
      <c r="B454" s="457" t="s">
        <v>116</v>
      </c>
      <c r="C454" s="452" t="str">
        <f>VLOOKUP(B454,★営業所!$A$1:$B$5,2,FALSE)</f>
        <v>C</v>
      </c>
      <c r="D454" s="465" t="s">
        <v>957</v>
      </c>
      <c r="E454" s="452" t="str">
        <f>VLOOKUP(D454,★サイズ表記!$D$4:$E$55,2,FALSE)</f>
        <v>1008</v>
      </c>
      <c r="F454" s="457" t="s">
        <v>1602</v>
      </c>
      <c r="G454" s="452" t="str">
        <f>VLOOKUP(F454,★折込地区!$A$1:$B$11,2,FALSE)</f>
        <v>Kry</v>
      </c>
      <c r="H454" s="453">
        <f>INDEX(★サイズ表記!$I$4:$Q$55, MATCH(E454,★サイズ表記!$E$4:$E$55,0), MATCH(G454,★サイズ表記!$I$3:$R$3,0))</f>
        <v>4.4000000000000004</v>
      </c>
      <c r="K454" s="471" t="str">
        <f t="shared" si="48"/>
        <v>C1008Kry</v>
      </c>
      <c r="L454" s="471" t="str">
        <f t="shared" si="49"/>
        <v>B3厚紙</v>
      </c>
      <c r="P454" s="533" t="s">
        <v>1324</v>
      </c>
      <c r="Q454" s="533" t="s">
        <v>1325</v>
      </c>
      <c r="R454" s="534" t="str">
        <f t="shared" si="50"/>
        <v>1008</v>
      </c>
      <c r="S454" s="534" t="str">
        <f t="shared" si="51"/>
        <v>B3厚紙</v>
      </c>
      <c r="T454" s="538" t="str">
        <f t="shared" si="52"/>
        <v>10</v>
      </c>
      <c r="U454" s="538" t="str">
        <f t="shared" si="53"/>
        <v>08</v>
      </c>
      <c r="V454" s="471" t="s">
        <v>1136</v>
      </c>
      <c r="Y454" s="472">
        <f t="shared" si="54"/>
        <v>4.4000000000000004</v>
      </c>
      <c r="Z454" s="540">
        <f t="shared" si="55"/>
        <v>0.35</v>
      </c>
      <c r="AA454" s="471">
        <v>0</v>
      </c>
    </row>
    <row r="455" spans="1:27">
      <c r="A455" s="451" t="str">
        <f>CONCATENATE(VLOOKUP(B455,★営業所!$A$1:$B$5,2,FALSE),VLOOKUP(D455,★サイズ表記!$D$4:$E$55,2,FALSE),VLOOKUP(F455,★折込地区!$A$1:$B$11,2,FALSE))</f>
        <v>C1009Kry</v>
      </c>
      <c r="B455" s="457" t="s">
        <v>116</v>
      </c>
      <c r="C455" s="452" t="str">
        <f>VLOOKUP(B455,★営業所!$A$1:$B$5,2,FALSE)</f>
        <v>C</v>
      </c>
      <c r="D455" s="465" t="s">
        <v>958</v>
      </c>
      <c r="E455" s="452" t="str">
        <f>VLOOKUP(D455,★サイズ表記!$D$4:$E$55,2,FALSE)</f>
        <v>1009</v>
      </c>
      <c r="F455" s="457" t="s">
        <v>1602</v>
      </c>
      <c r="G455" s="452" t="str">
        <f>VLOOKUP(F455,★折込地区!$A$1:$B$11,2,FALSE)</f>
        <v>Kry</v>
      </c>
      <c r="H455" s="453">
        <f>INDEX(★サイズ表記!$I$4:$Q$55, MATCH(E455,★サイズ表記!$E$4:$E$55,0), MATCH(G455,★サイズ表記!$I$3:$R$3,0))</f>
        <v>7.5</v>
      </c>
      <c r="K455" s="471" t="str">
        <f t="shared" si="48"/>
        <v>C1009Kry</v>
      </c>
      <c r="L455" s="471" t="str">
        <f t="shared" si="49"/>
        <v>B2厚紙</v>
      </c>
      <c r="P455" s="533" t="s">
        <v>1324</v>
      </c>
      <c r="Q455" s="533" t="s">
        <v>1325</v>
      </c>
      <c r="R455" s="534" t="str">
        <f t="shared" si="50"/>
        <v>1009</v>
      </c>
      <c r="S455" s="534" t="str">
        <f t="shared" si="51"/>
        <v>B2厚紙</v>
      </c>
      <c r="T455" s="538" t="str">
        <f t="shared" si="52"/>
        <v>10</v>
      </c>
      <c r="U455" s="538" t="str">
        <f t="shared" si="53"/>
        <v>09</v>
      </c>
      <c r="V455" s="471" t="s">
        <v>1136</v>
      </c>
      <c r="Y455" s="472">
        <f t="shared" si="54"/>
        <v>7.5</v>
      </c>
      <c r="Z455" s="540">
        <f t="shared" si="55"/>
        <v>0.6</v>
      </c>
      <c r="AA455" s="471">
        <v>0</v>
      </c>
    </row>
    <row r="456" spans="1:27">
      <c r="A456" s="451" t="str">
        <f>CONCATENATE(VLOOKUP(B456,★営業所!$A$1:$B$5,2,FALSE),VLOOKUP(D456,★サイズ表記!$D$4:$E$55,2,FALSE),VLOOKUP(F456,★折込地区!$A$1:$B$11,2,FALSE))</f>
        <v>C1010Kry</v>
      </c>
      <c r="B456" s="457" t="s">
        <v>116</v>
      </c>
      <c r="C456" s="452" t="str">
        <f>VLOOKUP(B456,★営業所!$A$1:$B$5,2,FALSE)</f>
        <v>C</v>
      </c>
      <c r="D456" s="465" t="s">
        <v>959</v>
      </c>
      <c r="E456" s="452" t="str">
        <f>VLOOKUP(D456,★サイズ表記!$D$4:$E$55,2,FALSE)</f>
        <v>1010</v>
      </c>
      <c r="F456" s="457" t="s">
        <v>1602</v>
      </c>
      <c r="G456" s="452" t="str">
        <f>VLOOKUP(F456,★折込地区!$A$1:$B$11,2,FALSE)</f>
        <v>Kry</v>
      </c>
      <c r="H456" s="453">
        <f>INDEX(★サイズ表記!$I$4:$Q$55, MATCH(E456,★サイズ表記!$E$4:$E$55,0), MATCH(G456,★サイズ表記!$I$3:$R$3,0))</f>
        <v>4.2</v>
      </c>
      <c r="K456" s="471" t="str">
        <f t="shared" si="48"/>
        <v>C1010Kry</v>
      </c>
      <c r="L456" s="471" t="str">
        <f t="shared" si="49"/>
        <v>B4以下変形</v>
      </c>
      <c r="P456" s="533" t="s">
        <v>1324</v>
      </c>
      <c r="Q456" s="533" t="s">
        <v>1325</v>
      </c>
      <c r="R456" s="534" t="str">
        <f t="shared" si="50"/>
        <v>1010</v>
      </c>
      <c r="S456" s="534" t="str">
        <f t="shared" si="51"/>
        <v>B4以下変形</v>
      </c>
      <c r="T456" s="538" t="str">
        <f t="shared" si="52"/>
        <v>10</v>
      </c>
      <c r="U456" s="538" t="str">
        <f t="shared" si="53"/>
        <v>10</v>
      </c>
      <c r="V456" s="471" t="s">
        <v>1136</v>
      </c>
      <c r="Y456" s="472">
        <f t="shared" si="54"/>
        <v>4.2</v>
      </c>
      <c r="Z456" s="540">
        <f t="shared" si="55"/>
        <v>0.33</v>
      </c>
      <c r="AA456" s="471">
        <v>0</v>
      </c>
    </row>
    <row r="457" spans="1:27">
      <c r="A457" s="451" t="str">
        <f>CONCATENATE(VLOOKUP(B457,★営業所!$A$1:$B$5,2,FALSE),VLOOKUP(D457,★サイズ表記!$D$4:$E$55,2,FALSE),VLOOKUP(F457,★折込地区!$A$1:$B$11,2,FALSE))</f>
        <v>C1011Kry</v>
      </c>
      <c r="B457" s="457" t="s">
        <v>116</v>
      </c>
      <c r="C457" s="452" t="str">
        <f>VLOOKUP(B457,★営業所!$A$1:$B$5,2,FALSE)</f>
        <v>C</v>
      </c>
      <c r="D457" s="465" t="s">
        <v>960</v>
      </c>
      <c r="E457" s="452" t="str">
        <f>VLOOKUP(D457,★サイズ表記!$D$4:$E$55,2,FALSE)</f>
        <v>1011</v>
      </c>
      <c r="F457" s="457" t="s">
        <v>1602</v>
      </c>
      <c r="G457" s="452" t="str">
        <f>VLOOKUP(F457,★折込地区!$A$1:$B$11,2,FALSE)</f>
        <v>Kry</v>
      </c>
      <c r="H457" s="453">
        <f>INDEX(★サイズ表記!$I$4:$Q$55, MATCH(E457,★サイズ表記!$E$4:$E$55,0), MATCH(G457,★サイズ表記!$I$3:$R$3,0))</f>
        <v>3.8</v>
      </c>
      <c r="K457" s="471" t="str">
        <f t="shared" si="48"/>
        <v>C1011Kry</v>
      </c>
      <c r="L457" s="471" t="str">
        <f t="shared" si="49"/>
        <v>B4シール付き</v>
      </c>
      <c r="P457" s="533" t="s">
        <v>1324</v>
      </c>
      <c r="Q457" s="533" t="s">
        <v>1325</v>
      </c>
      <c r="R457" s="534" t="str">
        <f t="shared" si="50"/>
        <v>1011</v>
      </c>
      <c r="S457" s="534" t="str">
        <f t="shared" si="51"/>
        <v>B4シール付き</v>
      </c>
      <c r="T457" s="538" t="str">
        <f t="shared" si="52"/>
        <v>10</v>
      </c>
      <c r="U457" s="538" t="str">
        <f t="shared" si="53"/>
        <v>11</v>
      </c>
      <c r="V457" s="471" t="s">
        <v>1136</v>
      </c>
      <c r="Y457" s="472">
        <f t="shared" si="54"/>
        <v>3.8</v>
      </c>
      <c r="Z457" s="540">
        <f t="shared" si="55"/>
        <v>0.3</v>
      </c>
      <c r="AA457" s="471">
        <v>0</v>
      </c>
    </row>
    <row r="458" spans="1:27">
      <c r="A458" s="451" t="str">
        <f>CONCATENATE(VLOOKUP(B458,★営業所!$A$1:$B$5,2,FALSE),VLOOKUP(D458,★サイズ表記!$D$4:$E$55,2,FALSE),VLOOKUP(F458,★折込地区!$A$1:$B$11,2,FALSE))</f>
        <v>C1012Kry</v>
      </c>
      <c r="B458" s="457" t="s">
        <v>116</v>
      </c>
      <c r="C458" s="452" t="str">
        <f>VLOOKUP(B458,★営業所!$A$1:$B$5,2,FALSE)</f>
        <v>C</v>
      </c>
      <c r="D458" s="465" t="s">
        <v>961</v>
      </c>
      <c r="E458" s="452" t="str">
        <f>VLOOKUP(D458,★サイズ表記!$D$4:$E$55,2,FALSE)</f>
        <v>1012</v>
      </c>
      <c r="F458" s="457" t="s">
        <v>1602</v>
      </c>
      <c r="G458" s="452" t="str">
        <f>VLOOKUP(F458,★折込地区!$A$1:$B$11,2,FALSE)</f>
        <v>Kry</v>
      </c>
      <c r="H458" s="453">
        <f>INDEX(★サイズ表記!$I$4:$Q$55, MATCH(E458,★サイズ表記!$E$4:$E$55,0), MATCH(G458,★サイズ表記!$I$3:$R$3,0))</f>
        <v>4.9000000000000004</v>
      </c>
      <c r="K458" s="471" t="str">
        <f t="shared" si="48"/>
        <v>C1012Kry</v>
      </c>
      <c r="L458" s="471" t="str">
        <f t="shared" si="49"/>
        <v>B3シール付き</v>
      </c>
      <c r="P458" s="533" t="s">
        <v>1324</v>
      </c>
      <c r="Q458" s="533" t="s">
        <v>1325</v>
      </c>
      <c r="R458" s="534" t="str">
        <f t="shared" si="50"/>
        <v>1012</v>
      </c>
      <c r="S458" s="534" t="str">
        <f t="shared" si="51"/>
        <v>B3シール付き</v>
      </c>
      <c r="T458" s="538" t="str">
        <f t="shared" si="52"/>
        <v>10</v>
      </c>
      <c r="U458" s="538" t="str">
        <f t="shared" si="53"/>
        <v>12</v>
      </c>
      <c r="V458" s="471" t="s">
        <v>1136</v>
      </c>
      <c r="Y458" s="472">
        <f t="shared" si="54"/>
        <v>4.9000000000000004</v>
      </c>
      <c r="Z458" s="540">
        <f t="shared" si="55"/>
        <v>0.39</v>
      </c>
      <c r="AA458" s="471">
        <v>0</v>
      </c>
    </row>
    <row r="459" spans="1:27">
      <c r="A459" s="451" t="str">
        <f>CONCATENATE(VLOOKUP(B459,★営業所!$A$1:$B$5,2,FALSE),VLOOKUP(D459,★サイズ表記!$D$4:$E$55,2,FALSE),VLOOKUP(F459,★折込地区!$A$1:$B$11,2,FALSE))</f>
        <v>C1013Kry</v>
      </c>
      <c r="B459" s="457" t="s">
        <v>116</v>
      </c>
      <c r="C459" s="452" t="str">
        <f>VLOOKUP(B459,★営業所!$A$1:$B$5,2,FALSE)</f>
        <v>C</v>
      </c>
      <c r="D459" s="465" t="s">
        <v>962</v>
      </c>
      <c r="E459" s="452" t="str">
        <f>VLOOKUP(D459,★サイズ表記!$D$4:$E$55,2,FALSE)</f>
        <v>1013</v>
      </c>
      <c r="F459" s="457" t="s">
        <v>1602</v>
      </c>
      <c r="G459" s="452" t="str">
        <f>VLOOKUP(F459,★折込地区!$A$1:$B$11,2,FALSE)</f>
        <v>Kry</v>
      </c>
      <c r="H459" s="453">
        <f>INDEX(★サイズ表記!$I$4:$Q$55, MATCH(E459,★サイズ表記!$E$4:$E$55,0), MATCH(G459,★サイズ表記!$I$3:$R$3,0))</f>
        <v>3.8</v>
      </c>
      <c r="K459" s="471" t="str">
        <f t="shared" si="48"/>
        <v>C1013Kry</v>
      </c>
      <c r="L459" s="471" t="str">
        <f t="shared" si="49"/>
        <v>B4スクラッチ付き</v>
      </c>
      <c r="P459" s="533" t="s">
        <v>1324</v>
      </c>
      <c r="Q459" s="533" t="s">
        <v>1325</v>
      </c>
      <c r="R459" s="534" t="str">
        <f t="shared" si="50"/>
        <v>1013</v>
      </c>
      <c r="S459" s="534" t="str">
        <f t="shared" si="51"/>
        <v>B4スクラッチ付き</v>
      </c>
      <c r="T459" s="538" t="str">
        <f t="shared" si="52"/>
        <v>10</v>
      </c>
      <c r="U459" s="538" t="str">
        <f t="shared" si="53"/>
        <v>13</v>
      </c>
      <c r="V459" s="471" t="s">
        <v>1136</v>
      </c>
      <c r="Y459" s="472">
        <f t="shared" si="54"/>
        <v>3.8</v>
      </c>
      <c r="Z459" s="540">
        <f t="shared" si="55"/>
        <v>0.3</v>
      </c>
      <c r="AA459" s="471">
        <v>0</v>
      </c>
    </row>
    <row r="460" spans="1:27">
      <c r="A460" s="451" t="str">
        <f>CONCATENATE(VLOOKUP(B460,★営業所!$A$1:$B$5,2,FALSE),VLOOKUP(D460,★サイズ表記!$D$4:$E$55,2,FALSE),VLOOKUP(F460,★折込地区!$A$1:$B$11,2,FALSE))</f>
        <v>C2001Kry</v>
      </c>
      <c r="B460" s="457" t="s">
        <v>116</v>
      </c>
      <c r="C460" s="452" t="str">
        <f>VLOOKUP(B460,★営業所!$A$1:$B$5,2,FALSE)</f>
        <v>C</v>
      </c>
      <c r="D460" s="465" t="s">
        <v>963</v>
      </c>
      <c r="E460" s="452" t="str">
        <f>VLOOKUP(D460,★サイズ表記!$D$4:$E$55,2,FALSE)</f>
        <v>2001</v>
      </c>
      <c r="F460" s="457" t="s">
        <v>1602</v>
      </c>
      <c r="G460" s="452" t="str">
        <f>VLOOKUP(F460,★折込地区!$A$1:$B$11,2,FALSE)</f>
        <v>Kry</v>
      </c>
      <c r="H460" s="453">
        <f>INDEX(★サイズ表記!$I$4:$Q$55, MATCH(E460,★サイズ表記!$E$4:$E$55,0), MATCH(G460,★サイズ表記!$I$3:$R$3,0))</f>
        <v>4.2</v>
      </c>
      <c r="K460" s="471" t="str">
        <f t="shared" si="48"/>
        <v>C2001Kry</v>
      </c>
      <c r="L460" s="471" t="str">
        <f t="shared" si="49"/>
        <v>連合B4</v>
      </c>
      <c r="P460" s="533" t="s">
        <v>1324</v>
      </c>
      <c r="Q460" s="533" t="s">
        <v>1325</v>
      </c>
      <c r="R460" s="534" t="str">
        <f t="shared" si="50"/>
        <v>2001</v>
      </c>
      <c r="S460" s="534" t="str">
        <f t="shared" si="51"/>
        <v>連合B4</v>
      </c>
      <c r="T460" s="538" t="str">
        <f t="shared" si="52"/>
        <v>20</v>
      </c>
      <c r="U460" s="538" t="str">
        <f t="shared" si="53"/>
        <v>01</v>
      </c>
      <c r="V460" s="471" t="s">
        <v>1136</v>
      </c>
      <c r="Y460" s="472">
        <f t="shared" si="54"/>
        <v>4.2</v>
      </c>
      <c r="Z460" s="540">
        <f t="shared" si="55"/>
        <v>0.33</v>
      </c>
      <c r="AA460" s="471">
        <v>0</v>
      </c>
    </row>
    <row r="461" spans="1:27">
      <c r="A461" s="451" t="str">
        <f>CONCATENATE(VLOOKUP(B461,★営業所!$A$1:$B$5,2,FALSE),VLOOKUP(D461,★サイズ表記!$D$4:$E$55,2,FALSE),VLOOKUP(F461,★折込地区!$A$1:$B$11,2,FALSE))</f>
        <v>C2002Kry</v>
      </c>
      <c r="B461" s="457" t="s">
        <v>116</v>
      </c>
      <c r="C461" s="452" t="str">
        <f>VLOOKUP(B461,★営業所!$A$1:$B$5,2,FALSE)</f>
        <v>C</v>
      </c>
      <c r="D461" s="465" t="s">
        <v>964</v>
      </c>
      <c r="E461" s="452" t="str">
        <f>VLOOKUP(D461,★サイズ表記!$D$4:$E$55,2,FALSE)</f>
        <v>2002</v>
      </c>
      <c r="F461" s="457" t="s">
        <v>1602</v>
      </c>
      <c r="G461" s="452" t="str">
        <f>VLOOKUP(F461,★折込地区!$A$1:$B$11,2,FALSE)</f>
        <v>Kry</v>
      </c>
      <c r="H461" s="453">
        <f>INDEX(★サイズ表記!$I$4:$Q$55, MATCH(E461,★サイズ表記!$E$4:$E$55,0), MATCH(G461,★サイズ表記!$I$3:$R$3,0))</f>
        <v>5.85</v>
      </c>
      <c r="K461" s="471" t="str">
        <f t="shared" si="48"/>
        <v>C2002Kry</v>
      </c>
      <c r="L461" s="471" t="str">
        <f t="shared" si="49"/>
        <v>連合B3</v>
      </c>
      <c r="P461" s="533" t="s">
        <v>1324</v>
      </c>
      <c r="Q461" s="533" t="s">
        <v>1325</v>
      </c>
      <c r="R461" s="534" t="str">
        <f t="shared" si="50"/>
        <v>2002</v>
      </c>
      <c r="S461" s="534" t="str">
        <f t="shared" si="51"/>
        <v>連合B3</v>
      </c>
      <c r="T461" s="538" t="str">
        <f t="shared" si="52"/>
        <v>20</v>
      </c>
      <c r="U461" s="538" t="str">
        <f t="shared" si="53"/>
        <v>02</v>
      </c>
      <c r="V461" s="471" t="s">
        <v>1136</v>
      </c>
      <c r="Y461" s="472">
        <f t="shared" si="54"/>
        <v>5.85</v>
      </c>
      <c r="Z461" s="540">
        <f t="shared" si="55"/>
        <v>0.46</v>
      </c>
      <c r="AA461" s="471">
        <v>0</v>
      </c>
    </row>
    <row r="462" spans="1:27">
      <c r="A462" s="451" t="str">
        <f>CONCATENATE(VLOOKUP(B462,★営業所!$A$1:$B$5,2,FALSE),VLOOKUP(D462,★サイズ表記!$D$4:$E$55,2,FALSE),VLOOKUP(F462,★折込地区!$A$1:$B$11,2,FALSE))</f>
        <v>C2003Kry</v>
      </c>
      <c r="B462" s="457" t="s">
        <v>116</v>
      </c>
      <c r="C462" s="452" t="str">
        <f>VLOOKUP(B462,★営業所!$A$1:$B$5,2,FALSE)</f>
        <v>C</v>
      </c>
      <c r="D462" s="465" t="s">
        <v>965</v>
      </c>
      <c r="E462" s="452" t="str">
        <f>VLOOKUP(D462,★サイズ表記!$D$4:$E$55,2,FALSE)</f>
        <v>2003</v>
      </c>
      <c r="F462" s="457" t="s">
        <v>1602</v>
      </c>
      <c r="G462" s="452" t="str">
        <f>VLOOKUP(F462,★折込地区!$A$1:$B$11,2,FALSE)</f>
        <v>Kry</v>
      </c>
      <c r="H462" s="453">
        <f>INDEX(★サイズ表記!$I$4:$Q$55, MATCH(E462,★サイズ表記!$E$4:$E$55,0), MATCH(G462,★サイズ表記!$I$3:$R$3,0))</f>
        <v>10.5</v>
      </c>
      <c r="K462" s="471" t="str">
        <f t="shared" si="48"/>
        <v>C2003Kry</v>
      </c>
      <c r="L462" s="471" t="str">
        <f t="shared" si="49"/>
        <v>連合B2</v>
      </c>
      <c r="P462" s="533" t="s">
        <v>1324</v>
      </c>
      <c r="Q462" s="533" t="s">
        <v>1325</v>
      </c>
      <c r="R462" s="534" t="str">
        <f t="shared" si="50"/>
        <v>2003</v>
      </c>
      <c r="S462" s="534" t="str">
        <f t="shared" si="51"/>
        <v>連合B2</v>
      </c>
      <c r="T462" s="538" t="str">
        <f t="shared" si="52"/>
        <v>20</v>
      </c>
      <c r="U462" s="538" t="str">
        <f t="shared" si="53"/>
        <v>03</v>
      </c>
      <c r="V462" s="471" t="s">
        <v>1136</v>
      </c>
      <c r="Y462" s="472">
        <f t="shared" si="54"/>
        <v>10.5</v>
      </c>
      <c r="Z462" s="540">
        <f t="shared" si="55"/>
        <v>0.84</v>
      </c>
      <c r="AA462" s="471">
        <v>0</v>
      </c>
    </row>
    <row r="463" spans="1:27">
      <c r="A463" s="451" t="str">
        <f>CONCATENATE(VLOOKUP(B463,★営業所!$A$1:$B$5,2,FALSE),VLOOKUP(D463,★サイズ表記!$D$4:$E$55,2,FALSE),VLOOKUP(F463,★折込地区!$A$1:$B$11,2,FALSE))</f>
        <v>C2004Kry</v>
      </c>
      <c r="B463" s="457" t="s">
        <v>116</v>
      </c>
      <c r="C463" s="452" t="str">
        <f>VLOOKUP(B463,★営業所!$A$1:$B$5,2,FALSE)</f>
        <v>C</v>
      </c>
      <c r="D463" s="465" t="s">
        <v>966</v>
      </c>
      <c r="E463" s="452" t="str">
        <f>VLOOKUP(D463,★サイズ表記!$D$4:$E$55,2,FALSE)</f>
        <v>2004</v>
      </c>
      <c r="F463" s="457" t="s">
        <v>1602</v>
      </c>
      <c r="G463" s="452" t="str">
        <f>VLOOKUP(F463,★折込地区!$A$1:$B$11,2,FALSE)</f>
        <v>Kry</v>
      </c>
      <c r="H463" s="453">
        <f>INDEX(★サイズ表記!$I$4:$Q$55, MATCH(E463,★サイズ表記!$E$4:$E$55,0), MATCH(G463,★サイズ表記!$I$3:$R$3,0))</f>
        <v>10.5</v>
      </c>
      <c r="K463" s="471" t="str">
        <f t="shared" si="48"/>
        <v>C2004Kry</v>
      </c>
      <c r="L463" s="471" t="str">
        <f t="shared" si="49"/>
        <v>連合3つ折り</v>
      </c>
      <c r="P463" s="533" t="s">
        <v>1324</v>
      </c>
      <c r="Q463" s="533" t="s">
        <v>1325</v>
      </c>
      <c r="R463" s="534" t="str">
        <f t="shared" si="50"/>
        <v>2004</v>
      </c>
      <c r="S463" s="534" t="str">
        <f t="shared" si="51"/>
        <v>連合3つ折り</v>
      </c>
      <c r="T463" s="538" t="str">
        <f t="shared" si="52"/>
        <v>20</v>
      </c>
      <c r="U463" s="538" t="str">
        <f t="shared" si="53"/>
        <v>04</v>
      </c>
      <c r="V463" s="471" t="s">
        <v>1136</v>
      </c>
      <c r="Y463" s="472">
        <f t="shared" si="54"/>
        <v>10.5</v>
      </c>
      <c r="Z463" s="540">
        <f t="shared" si="55"/>
        <v>0.84</v>
      </c>
      <c r="AA463" s="471">
        <v>0</v>
      </c>
    </row>
    <row r="464" spans="1:27">
      <c r="A464" s="451" t="str">
        <f>CONCATENATE(VLOOKUP(B464,★営業所!$A$1:$B$5,2,FALSE),VLOOKUP(D464,★サイズ表記!$D$4:$E$55,2,FALSE),VLOOKUP(F464,★折込地区!$A$1:$B$11,2,FALSE))</f>
        <v>C2005Kry</v>
      </c>
      <c r="B464" s="457" t="s">
        <v>116</v>
      </c>
      <c r="C464" s="452" t="str">
        <f>VLOOKUP(B464,★営業所!$A$1:$B$5,2,FALSE)</f>
        <v>C</v>
      </c>
      <c r="D464" s="465" t="s">
        <v>967</v>
      </c>
      <c r="E464" s="452" t="str">
        <f>VLOOKUP(D464,★サイズ表記!$D$4:$E$55,2,FALSE)</f>
        <v>2005</v>
      </c>
      <c r="F464" s="457" t="s">
        <v>1602</v>
      </c>
      <c r="G464" s="452" t="str">
        <f>VLOOKUP(F464,★折込地区!$A$1:$B$11,2,FALSE)</f>
        <v>Kry</v>
      </c>
      <c r="H464" s="453">
        <f>INDEX(★サイズ表記!$I$4:$Q$55, MATCH(E464,★サイズ表記!$E$4:$E$55,0), MATCH(G464,★サイズ表記!$I$3:$R$3,0))</f>
        <v>4.7</v>
      </c>
      <c r="K464" s="471" t="str">
        <f t="shared" si="48"/>
        <v>C2005Kry</v>
      </c>
      <c r="L464" s="471" t="str">
        <f t="shared" si="49"/>
        <v>連合B4厚紙</v>
      </c>
      <c r="P464" s="533" t="s">
        <v>1324</v>
      </c>
      <c r="Q464" s="533" t="s">
        <v>1325</v>
      </c>
      <c r="R464" s="534" t="str">
        <f t="shared" si="50"/>
        <v>2005</v>
      </c>
      <c r="S464" s="534" t="str">
        <f t="shared" si="51"/>
        <v>連合B4厚紙</v>
      </c>
      <c r="T464" s="538" t="str">
        <f t="shared" si="52"/>
        <v>20</v>
      </c>
      <c r="U464" s="538" t="str">
        <f t="shared" si="53"/>
        <v>05</v>
      </c>
      <c r="V464" s="471" t="s">
        <v>1136</v>
      </c>
      <c r="Y464" s="472">
        <f t="shared" si="54"/>
        <v>4.7</v>
      </c>
      <c r="Z464" s="540">
        <f t="shared" si="55"/>
        <v>0.37</v>
      </c>
      <c r="AA464" s="471">
        <v>0</v>
      </c>
    </row>
    <row r="465" spans="1:27">
      <c r="A465" s="451" t="str">
        <f>CONCATENATE(VLOOKUP(B465,★営業所!$A$1:$B$5,2,FALSE),VLOOKUP(D465,★サイズ表記!$D$4:$E$55,2,FALSE),VLOOKUP(F465,★折込地区!$A$1:$B$11,2,FALSE))</f>
        <v>C2006Kry</v>
      </c>
      <c r="B465" s="457" t="s">
        <v>116</v>
      </c>
      <c r="C465" s="452" t="str">
        <f>VLOOKUP(B465,★営業所!$A$1:$B$5,2,FALSE)</f>
        <v>C</v>
      </c>
      <c r="D465" s="465" t="s">
        <v>968</v>
      </c>
      <c r="E465" s="452" t="str">
        <f>VLOOKUP(D465,★サイズ表記!$D$4:$E$55,2,FALSE)</f>
        <v>2006</v>
      </c>
      <c r="F465" s="457" t="s">
        <v>1602</v>
      </c>
      <c r="G465" s="452" t="str">
        <f>VLOOKUP(F465,★折込地区!$A$1:$B$11,2,FALSE)</f>
        <v>Kry</v>
      </c>
      <c r="H465" s="453">
        <f>INDEX(★サイズ表記!$I$4:$Q$55, MATCH(E465,★サイズ表記!$E$4:$E$55,0), MATCH(G465,★サイズ表記!$I$3:$R$3,0))</f>
        <v>7.35</v>
      </c>
      <c r="K465" s="471" t="str">
        <f t="shared" si="48"/>
        <v>C2006Kry</v>
      </c>
      <c r="L465" s="471" t="str">
        <f t="shared" si="49"/>
        <v>連合2つ折り極小</v>
      </c>
      <c r="P465" s="533" t="s">
        <v>1324</v>
      </c>
      <c r="Q465" s="533" t="s">
        <v>1325</v>
      </c>
      <c r="R465" s="534" t="str">
        <f t="shared" si="50"/>
        <v>2006</v>
      </c>
      <c r="S465" s="534" t="str">
        <f t="shared" si="51"/>
        <v>連合2つ折り極小</v>
      </c>
      <c r="T465" s="538" t="str">
        <f t="shared" si="52"/>
        <v>20</v>
      </c>
      <c r="U465" s="538" t="str">
        <f t="shared" si="53"/>
        <v>06</v>
      </c>
      <c r="V465" s="471" t="s">
        <v>1136</v>
      </c>
      <c r="Y465" s="472">
        <f t="shared" si="54"/>
        <v>7.35</v>
      </c>
      <c r="Z465" s="540">
        <f t="shared" si="55"/>
        <v>0.57999999999999996</v>
      </c>
      <c r="AA465" s="471">
        <v>0</v>
      </c>
    </row>
    <row r="466" spans="1:27">
      <c r="A466" s="451" t="str">
        <f>CONCATENATE(VLOOKUP(B466,★営業所!$A$1:$B$5,2,FALSE),VLOOKUP(D466,★サイズ表記!$D$4:$E$55,2,FALSE),VLOOKUP(F466,★折込地区!$A$1:$B$11,2,FALSE))</f>
        <v>C2007Kry</v>
      </c>
      <c r="B466" s="457" t="s">
        <v>116</v>
      </c>
      <c r="C466" s="452" t="str">
        <f>VLOOKUP(B466,★営業所!$A$1:$B$5,2,FALSE)</f>
        <v>C</v>
      </c>
      <c r="D466" s="465" t="s">
        <v>1365</v>
      </c>
      <c r="E466" s="452" t="str">
        <f>VLOOKUP(D466,★サイズ表記!$D$4:$E$55,2,FALSE)</f>
        <v>2007</v>
      </c>
      <c r="F466" s="457" t="s">
        <v>1602</v>
      </c>
      <c r="G466" s="452" t="str">
        <f>VLOOKUP(F466,★折込地区!$A$1:$B$11,2,FALSE)</f>
        <v>Kry</v>
      </c>
      <c r="H466" s="453">
        <f>INDEX(★サイズ表記!$I$4:$Q$55, MATCH(E466,★サイズ表記!$E$4:$E$55,0), MATCH(G466,★サイズ表記!$I$3:$R$3,0))</f>
        <v>10.050000000000001</v>
      </c>
      <c r="K466" s="471" t="str">
        <f t="shared" si="48"/>
        <v>C2007Kry</v>
      </c>
      <c r="L466" s="471" t="str">
        <f t="shared" si="49"/>
        <v>連合タブ6P</v>
      </c>
      <c r="P466" s="533" t="s">
        <v>1324</v>
      </c>
      <c r="Q466" s="533" t="s">
        <v>1325</v>
      </c>
      <c r="R466" s="534" t="str">
        <f t="shared" si="50"/>
        <v>2007</v>
      </c>
      <c r="S466" s="534" t="str">
        <f t="shared" si="51"/>
        <v>連合タブ6P</v>
      </c>
      <c r="T466" s="538" t="str">
        <f t="shared" si="52"/>
        <v>20</v>
      </c>
      <c r="U466" s="538" t="str">
        <f t="shared" si="53"/>
        <v>07</v>
      </c>
      <c r="V466" s="471" t="s">
        <v>1136</v>
      </c>
      <c r="Y466" s="472">
        <f t="shared" si="54"/>
        <v>10.050000000000001</v>
      </c>
      <c r="Z466" s="540">
        <f t="shared" si="55"/>
        <v>0.8</v>
      </c>
      <c r="AA466" s="471">
        <v>0</v>
      </c>
    </row>
    <row r="467" spans="1:27">
      <c r="A467" s="451" t="str">
        <f>CONCATENATE(VLOOKUP(B467,★営業所!$A$1:$B$5,2,FALSE),VLOOKUP(D467,★サイズ表記!$D$4:$E$55,2,FALSE),VLOOKUP(F467,★折込地区!$A$1:$B$11,2,FALSE))</f>
        <v>C2008Kry</v>
      </c>
      <c r="B467" s="457" t="s">
        <v>116</v>
      </c>
      <c r="C467" s="452" t="str">
        <f>VLOOKUP(B467,★営業所!$A$1:$B$5,2,FALSE)</f>
        <v>C</v>
      </c>
      <c r="D467" s="465" t="s">
        <v>1366</v>
      </c>
      <c r="E467" s="452" t="str">
        <f>VLOOKUP(D467,★サイズ表記!$D$4:$E$55,2,FALSE)</f>
        <v>2008</v>
      </c>
      <c r="F467" s="457" t="s">
        <v>1602</v>
      </c>
      <c r="G467" s="452" t="str">
        <f>VLOOKUP(F467,★折込地区!$A$1:$B$11,2,FALSE)</f>
        <v>Kry</v>
      </c>
      <c r="H467" s="453">
        <f>INDEX(★サイズ表記!$I$4:$Q$55, MATCH(E467,★サイズ表記!$E$4:$E$55,0), MATCH(G467,★サイズ表記!$I$3:$R$3,0))</f>
        <v>10.5</v>
      </c>
      <c r="K467" s="471" t="str">
        <f t="shared" si="48"/>
        <v>C2008Kry</v>
      </c>
      <c r="L467" s="471" t="str">
        <f t="shared" si="49"/>
        <v>連合タブ8P</v>
      </c>
      <c r="P467" s="533" t="s">
        <v>1324</v>
      </c>
      <c r="Q467" s="533" t="s">
        <v>1325</v>
      </c>
      <c r="R467" s="534" t="str">
        <f t="shared" si="50"/>
        <v>2008</v>
      </c>
      <c r="S467" s="534" t="str">
        <f t="shared" si="51"/>
        <v>連合タブ8P</v>
      </c>
      <c r="T467" s="538" t="str">
        <f t="shared" si="52"/>
        <v>20</v>
      </c>
      <c r="U467" s="538" t="str">
        <f t="shared" si="53"/>
        <v>08</v>
      </c>
      <c r="V467" s="471" t="s">
        <v>1136</v>
      </c>
      <c r="Y467" s="472">
        <f t="shared" si="54"/>
        <v>10.5</v>
      </c>
      <c r="Z467" s="540">
        <f t="shared" si="55"/>
        <v>0.84</v>
      </c>
      <c r="AA467" s="471">
        <v>0</v>
      </c>
    </row>
    <row r="468" spans="1:27">
      <c r="A468" s="451" t="str">
        <f>CONCATENATE(VLOOKUP(B468,★営業所!$A$1:$B$5,2,FALSE),VLOOKUP(D468,★サイズ表記!$D$4:$E$55,2,FALSE),VLOOKUP(F468,★折込地区!$A$1:$B$11,2,FALSE))</f>
        <v>C2009Kry</v>
      </c>
      <c r="B468" s="457" t="s">
        <v>116</v>
      </c>
      <c r="C468" s="452" t="str">
        <f>VLOOKUP(B468,★営業所!$A$1:$B$5,2,FALSE)</f>
        <v>C</v>
      </c>
      <c r="D468" s="465" t="s">
        <v>1364</v>
      </c>
      <c r="E468" s="452" t="str">
        <f>VLOOKUP(D468,★サイズ表記!$D$4:$E$55,2,FALSE)</f>
        <v>2009</v>
      </c>
      <c r="F468" s="457" t="s">
        <v>1602</v>
      </c>
      <c r="G468" s="452" t="str">
        <f>VLOOKUP(F468,★折込地区!$A$1:$B$11,2,FALSE)</f>
        <v>Kry</v>
      </c>
      <c r="H468" s="453">
        <f>INDEX(★サイズ表記!$I$4:$Q$55, MATCH(E468,★サイズ表記!$E$4:$E$55,0), MATCH(G468,★サイズ表記!$I$3:$R$3,0))</f>
        <v>16.350000000000001</v>
      </c>
      <c r="K468" s="471" t="str">
        <f t="shared" si="48"/>
        <v>C2009Kry</v>
      </c>
      <c r="L468" s="471" t="str">
        <f t="shared" si="49"/>
        <v>連合タブ12P</v>
      </c>
      <c r="P468" s="533" t="s">
        <v>1324</v>
      </c>
      <c r="Q468" s="533" t="s">
        <v>1325</v>
      </c>
      <c r="R468" s="534" t="str">
        <f t="shared" si="50"/>
        <v>2009</v>
      </c>
      <c r="S468" s="534" t="str">
        <f t="shared" si="51"/>
        <v>連合タブ12P</v>
      </c>
      <c r="T468" s="538" t="str">
        <f t="shared" si="52"/>
        <v>20</v>
      </c>
      <c r="U468" s="538" t="str">
        <f t="shared" si="53"/>
        <v>09</v>
      </c>
      <c r="V468" s="471" t="s">
        <v>1136</v>
      </c>
      <c r="Y468" s="472">
        <f t="shared" si="54"/>
        <v>16.350000000000001</v>
      </c>
      <c r="Z468" s="540">
        <f t="shared" si="55"/>
        <v>1.3</v>
      </c>
      <c r="AA468" s="471">
        <v>0</v>
      </c>
    </row>
    <row r="469" spans="1:27">
      <c r="A469" s="451" t="str">
        <f>CONCATENATE(VLOOKUP(B469,★営業所!$A$1:$B$5,2,FALSE),VLOOKUP(D469,★サイズ表記!$D$4:$E$55,2,FALSE),VLOOKUP(F469,★折込地区!$A$1:$B$11,2,FALSE))</f>
        <v>C3001Kry</v>
      </c>
      <c r="B469" s="457" t="s">
        <v>116</v>
      </c>
      <c r="C469" s="452" t="str">
        <f>VLOOKUP(B469,★営業所!$A$1:$B$5,2,FALSE)</f>
        <v>C</v>
      </c>
      <c r="D469" s="465" t="s">
        <v>969</v>
      </c>
      <c r="E469" s="452" t="str">
        <f>VLOOKUP(D469,★サイズ表記!$D$4:$E$55,2,FALSE)</f>
        <v>3001</v>
      </c>
      <c r="F469" s="457" t="s">
        <v>1602</v>
      </c>
      <c r="G469" s="452" t="str">
        <f>VLOOKUP(F469,★折込地区!$A$1:$B$11,2,FALSE)</f>
        <v>Kry</v>
      </c>
      <c r="H469" s="453">
        <f>INDEX(★サイズ表記!$I$4:$Q$55, MATCH(E469,★サイズ表記!$E$4:$E$55,0), MATCH(G469,★サイズ表記!$I$3:$R$3,0))</f>
        <v>4.2</v>
      </c>
      <c r="K469" s="471" t="str">
        <f t="shared" si="48"/>
        <v>C3001Kry</v>
      </c>
      <c r="L469" s="471" t="str">
        <f t="shared" si="49"/>
        <v>政治B4</v>
      </c>
      <c r="P469" s="533" t="s">
        <v>1324</v>
      </c>
      <c r="Q469" s="533" t="s">
        <v>1325</v>
      </c>
      <c r="R469" s="534" t="str">
        <f t="shared" si="50"/>
        <v>3001</v>
      </c>
      <c r="S469" s="534" t="str">
        <f t="shared" si="51"/>
        <v>政治B4</v>
      </c>
      <c r="T469" s="538" t="str">
        <f t="shared" si="52"/>
        <v>30</v>
      </c>
      <c r="U469" s="538" t="str">
        <f t="shared" si="53"/>
        <v>01</v>
      </c>
      <c r="V469" s="471" t="s">
        <v>1136</v>
      </c>
      <c r="Y469" s="472">
        <f t="shared" si="54"/>
        <v>4.2</v>
      </c>
      <c r="Z469" s="540">
        <f t="shared" si="55"/>
        <v>0.33</v>
      </c>
      <c r="AA469" s="471">
        <v>0</v>
      </c>
    </row>
    <row r="470" spans="1:27">
      <c r="A470" s="451" t="str">
        <f>CONCATENATE(VLOOKUP(B470,★営業所!$A$1:$B$5,2,FALSE),VLOOKUP(D470,★サイズ表記!$D$4:$E$55,2,FALSE),VLOOKUP(F470,★折込地区!$A$1:$B$11,2,FALSE))</f>
        <v>C3002Kry</v>
      </c>
      <c r="B470" s="457" t="s">
        <v>116</v>
      </c>
      <c r="C470" s="452" t="str">
        <f>VLOOKUP(B470,★営業所!$A$1:$B$5,2,FALSE)</f>
        <v>C</v>
      </c>
      <c r="D470" s="465" t="s">
        <v>970</v>
      </c>
      <c r="E470" s="452" t="str">
        <f>VLOOKUP(D470,★サイズ表記!$D$4:$E$55,2,FALSE)</f>
        <v>3002</v>
      </c>
      <c r="F470" s="457" t="s">
        <v>1602</v>
      </c>
      <c r="G470" s="452" t="str">
        <f>VLOOKUP(F470,★折込地区!$A$1:$B$11,2,FALSE)</f>
        <v>Kry</v>
      </c>
      <c r="H470" s="453">
        <f>INDEX(★サイズ表記!$I$4:$Q$55, MATCH(E470,★サイズ表記!$E$4:$E$55,0), MATCH(G470,★サイズ表記!$I$3:$R$3,0))</f>
        <v>5.85</v>
      </c>
      <c r="K470" s="471" t="str">
        <f t="shared" si="48"/>
        <v>C3002Kry</v>
      </c>
      <c r="L470" s="471" t="str">
        <f t="shared" si="49"/>
        <v>政治B3</v>
      </c>
      <c r="P470" s="533" t="s">
        <v>1324</v>
      </c>
      <c r="Q470" s="533" t="s">
        <v>1325</v>
      </c>
      <c r="R470" s="534" t="str">
        <f t="shared" si="50"/>
        <v>3002</v>
      </c>
      <c r="S470" s="534" t="str">
        <f t="shared" si="51"/>
        <v>政治B3</v>
      </c>
      <c r="T470" s="538" t="str">
        <f t="shared" si="52"/>
        <v>30</v>
      </c>
      <c r="U470" s="538" t="str">
        <f t="shared" si="53"/>
        <v>02</v>
      </c>
      <c r="V470" s="471" t="s">
        <v>1136</v>
      </c>
      <c r="Y470" s="472">
        <f t="shared" si="54"/>
        <v>5.85</v>
      </c>
      <c r="Z470" s="540">
        <f t="shared" si="55"/>
        <v>0.46</v>
      </c>
      <c r="AA470" s="471">
        <v>0</v>
      </c>
    </row>
    <row r="471" spans="1:27">
      <c r="A471" s="451" t="str">
        <f>CONCATENATE(VLOOKUP(B471,★営業所!$A$1:$B$5,2,FALSE),VLOOKUP(D471,★サイズ表記!$D$4:$E$55,2,FALSE),VLOOKUP(F471,★折込地区!$A$1:$B$11,2,FALSE))</f>
        <v>C3003Kry</v>
      </c>
      <c r="B471" s="457" t="s">
        <v>116</v>
      </c>
      <c r="C471" s="452" t="str">
        <f>VLOOKUP(B471,★営業所!$A$1:$B$5,2,FALSE)</f>
        <v>C</v>
      </c>
      <c r="D471" s="465" t="s">
        <v>971</v>
      </c>
      <c r="E471" s="452" t="str">
        <f>VLOOKUP(D471,★サイズ表記!$D$4:$E$55,2,FALSE)</f>
        <v>3003</v>
      </c>
      <c r="F471" s="457" t="s">
        <v>1602</v>
      </c>
      <c r="G471" s="452" t="str">
        <f>VLOOKUP(F471,★折込地区!$A$1:$B$11,2,FALSE)</f>
        <v>Kry</v>
      </c>
      <c r="H471" s="453">
        <f>INDEX(★サイズ表記!$I$4:$Q$55, MATCH(E471,★サイズ表記!$E$4:$E$55,0), MATCH(G471,★サイズ表記!$I$3:$R$3,0))</f>
        <v>10.5</v>
      </c>
      <c r="K471" s="471" t="str">
        <f t="shared" si="48"/>
        <v>C3003Kry</v>
      </c>
      <c r="L471" s="471" t="str">
        <f t="shared" si="49"/>
        <v>政治B2</v>
      </c>
      <c r="P471" s="533" t="s">
        <v>1324</v>
      </c>
      <c r="Q471" s="533" t="s">
        <v>1325</v>
      </c>
      <c r="R471" s="534" t="str">
        <f t="shared" si="50"/>
        <v>3003</v>
      </c>
      <c r="S471" s="534" t="str">
        <f t="shared" si="51"/>
        <v>政治B2</v>
      </c>
      <c r="T471" s="538" t="str">
        <f t="shared" si="52"/>
        <v>30</v>
      </c>
      <c r="U471" s="538" t="str">
        <f t="shared" si="53"/>
        <v>03</v>
      </c>
      <c r="V471" s="471" t="s">
        <v>1136</v>
      </c>
      <c r="Y471" s="472">
        <f t="shared" si="54"/>
        <v>10.5</v>
      </c>
      <c r="Z471" s="540">
        <f t="shared" si="55"/>
        <v>0.84</v>
      </c>
      <c r="AA471" s="471">
        <v>0</v>
      </c>
    </row>
    <row r="472" spans="1:27">
      <c r="A472" s="451" t="str">
        <f>CONCATENATE(VLOOKUP(B472,★営業所!$A$1:$B$5,2,FALSE),VLOOKUP(D472,★サイズ表記!$D$4:$E$55,2,FALSE),VLOOKUP(F472,★折込地区!$A$1:$B$11,2,FALSE))</f>
        <v>C3004Kry</v>
      </c>
      <c r="B472" s="457" t="s">
        <v>116</v>
      </c>
      <c r="C472" s="452" t="str">
        <f>VLOOKUP(B472,★営業所!$A$1:$B$5,2,FALSE)</f>
        <v>C</v>
      </c>
      <c r="D472" s="465" t="s">
        <v>972</v>
      </c>
      <c r="E472" s="452" t="str">
        <f>VLOOKUP(D472,★サイズ表記!$D$4:$E$55,2,FALSE)</f>
        <v>3004</v>
      </c>
      <c r="F472" s="457" t="s">
        <v>1602</v>
      </c>
      <c r="G472" s="452" t="str">
        <f>VLOOKUP(F472,★折込地区!$A$1:$B$11,2,FALSE)</f>
        <v>Kry</v>
      </c>
      <c r="H472" s="453">
        <f>INDEX(★サイズ表記!$I$4:$Q$55, MATCH(E472,★サイズ表記!$E$4:$E$55,0), MATCH(G472,★サイズ表記!$I$3:$R$3,0))</f>
        <v>10.5</v>
      </c>
      <c r="K472" s="471" t="str">
        <f t="shared" si="48"/>
        <v>C3004Kry</v>
      </c>
      <c r="L472" s="471" t="str">
        <f t="shared" si="49"/>
        <v>政治3つ折り</v>
      </c>
      <c r="P472" s="533" t="s">
        <v>1324</v>
      </c>
      <c r="Q472" s="533" t="s">
        <v>1325</v>
      </c>
      <c r="R472" s="534" t="str">
        <f t="shared" si="50"/>
        <v>3004</v>
      </c>
      <c r="S472" s="534" t="str">
        <f t="shared" si="51"/>
        <v>政治3つ折り</v>
      </c>
      <c r="T472" s="538" t="str">
        <f t="shared" si="52"/>
        <v>30</v>
      </c>
      <c r="U472" s="538" t="str">
        <f t="shared" si="53"/>
        <v>04</v>
      </c>
      <c r="V472" s="471" t="s">
        <v>1136</v>
      </c>
      <c r="Y472" s="472">
        <f t="shared" si="54"/>
        <v>10.5</v>
      </c>
      <c r="Z472" s="540">
        <f t="shared" si="55"/>
        <v>0.84</v>
      </c>
      <c r="AA472" s="471">
        <v>0</v>
      </c>
    </row>
    <row r="473" spans="1:27">
      <c r="A473" s="451" t="str">
        <f>CONCATENATE(VLOOKUP(B473,★営業所!$A$1:$B$5,2,FALSE),VLOOKUP(D473,★サイズ表記!$D$4:$E$55,2,FALSE),VLOOKUP(F473,★折込地区!$A$1:$B$11,2,FALSE))</f>
        <v>C3005Kry</v>
      </c>
      <c r="B473" s="457" t="s">
        <v>116</v>
      </c>
      <c r="C473" s="452" t="str">
        <f>VLOOKUP(B473,★営業所!$A$1:$B$5,2,FALSE)</f>
        <v>C</v>
      </c>
      <c r="D473" s="465" t="s">
        <v>973</v>
      </c>
      <c r="E473" s="452" t="str">
        <f>VLOOKUP(D473,★サイズ表記!$D$4:$E$55,2,FALSE)</f>
        <v>3005</v>
      </c>
      <c r="F473" s="457" t="s">
        <v>1602</v>
      </c>
      <c r="G473" s="452" t="str">
        <f>VLOOKUP(F473,★折込地区!$A$1:$B$11,2,FALSE)</f>
        <v>Kry</v>
      </c>
      <c r="H473" s="453">
        <f>INDEX(★サイズ表記!$I$4:$Q$55, MATCH(E473,★サイズ表記!$E$4:$E$55,0), MATCH(G473,★サイズ表記!$I$3:$R$3,0))</f>
        <v>7.35</v>
      </c>
      <c r="K473" s="471" t="str">
        <f t="shared" ref="K473:K521" si="56">A473</f>
        <v>C3005Kry</v>
      </c>
      <c r="L473" s="471" t="str">
        <f t="shared" ref="L473:L521" si="57">D473</f>
        <v>政治2つ折り極小</v>
      </c>
      <c r="P473" s="533" t="s">
        <v>1324</v>
      </c>
      <c r="Q473" s="533" t="s">
        <v>1325</v>
      </c>
      <c r="R473" s="534" t="str">
        <f t="shared" si="50"/>
        <v>3005</v>
      </c>
      <c r="S473" s="534" t="str">
        <f t="shared" si="51"/>
        <v>政治2つ折り極小</v>
      </c>
      <c r="T473" s="538" t="str">
        <f t="shared" si="52"/>
        <v>30</v>
      </c>
      <c r="U473" s="538" t="str">
        <f t="shared" si="53"/>
        <v>05</v>
      </c>
      <c r="V473" s="471" t="s">
        <v>1136</v>
      </c>
      <c r="Y473" s="472">
        <f t="shared" si="54"/>
        <v>7.35</v>
      </c>
      <c r="Z473" s="540">
        <f t="shared" si="55"/>
        <v>0.57999999999999996</v>
      </c>
      <c r="AA473" s="471">
        <v>0</v>
      </c>
    </row>
    <row r="474" spans="1:27">
      <c r="A474" s="451" t="str">
        <f>CONCATENATE(VLOOKUP(B474,★営業所!$A$1:$B$5,2,FALSE),VLOOKUP(D474,★サイズ表記!$D$4:$E$55,2,FALSE),VLOOKUP(F474,★折込地区!$A$1:$B$11,2,FALSE))</f>
        <v>C3006Kry</v>
      </c>
      <c r="B474" s="457" t="s">
        <v>116</v>
      </c>
      <c r="C474" s="452" t="str">
        <f>VLOOKUP(B474,★営業所!$A$1:$B$5,2,FALSE)</f>
        <v>C</v>
      </c>
      <c r="D474" s="465" t="s">
        <v>974</v>
      </c>
      <c r="E474" s="452" t="str">
        <f>VLOOKUP(D474,★サイズ表記!$D$4:$E$55,2,FALSE)</f>
        <v>3006</v>
      </c>
      <c r="F474" s="457" t="s">
        <v>1602</v>
      </c>
      <c r="G474" s="452" t="str">
        <f>VLOOKUP(F474,★折込地区!$A$1:$B$11,2,FALSE)</f>
        <v>Kry</v>
      </c>
      <c r="H474" s="453">
        <f>INDEX(★サイズ表記!$I$4:$Q$55, MATCH(E474,★サイズ表記!$E$4:$E$55,0), MATCH(G474,★サイズ表記!$I$3:$R$3,0))</f>
        <v>4.7</v>
      </c>
      <c r="K474" s="471" t="str">
        <f t="shared" si="56"/>
        <v>C3006Kry</v>
      </c>
      <c r="L474" s="471" t="str">
        <f t="shared" si="57"/>
        <v>政治B4厚紙</v>
      </c>
      <c r="P474" s="533" t="s">
        <v>1324</v>
      </c>
      <c r="Q474" s="533" t="s">
        <v>1325</v>
      </c>
      <c r="R474" s="534" t="str">
        <f t="shared" ref="R474:R522" si="58">E474</f>
        <v>3006</v>
      </c>
      <c r="S474" s="534" t="str">
        <f t="shared" ref="S474:S522" si="59">L474</f>
        <v>政治B4厚紙</v>
      </c>
      <c r="T474" s="538" t="str">
        <f t="shared" si="52"/>
        <v>30</v>
      </c>
      <c r="U474" s="538" t="str">
        <f t="shared" si="53"/>
        <v>06</v>
      </c>
      <c r="V474" s="471" t="s">
        <v>1136</v>
      </c>
      <c r="Y474" s="472">
        <f t="shared" si="54"/>
        <v>4.7</v>
      </c>
      <c r="Z474" s="540">
        <f t="shared" si="55"/>
        <v>0.37</v>
      </c>
      <c r="AA474" s="471">
        <v>0</v>
      </c>
    </row>
    <row r="475" spans="1:27">
      <c r="A475" s="451" t="str">
        <f>CONCATENATE(VLOOKUP(B475,★営業所!$A$1:$B$5,2,FALSE),VLOOKUP(D475,★サイズ表記!$D$4:$E$55,2,FALSE),VLOOKUP(F475,★折込地区!$A$1:$B$11,2,FALSE))</f>
        <v>C3007Kry</v>
      </c>
      <c r="B475" s="457" t="s">
        <v>116</v>
      </c>
      <c r="C475" s="452" t="str">
        <f>VLOOKUP(B475,★営業所!$A$1:$B$5,2,FALSE)</f>
        <v>C</v>
      </c>
      <c r="D475" s="465" t="s">
        <v>1362</v>
      </c>
      <c r="E475" s="452" t="str">
        <f>VLOOKUP(D475,★サイズ表記!$D$4:$E$55,2,FALSE)</f>
        <v>3007</v>
      </c>
      <c r="F475" s="457" t="s">
        <v>1602</v>
      </c>
      <c r="G475" s="452" t="str">
        <f>VLOOKUP(F475,★折込地区!$A$1:$B$11,2,FALSE)</f>
        <v>Kry</v>
      </c>
      <c r="H475" s="453">
        <f>INDEX(★サイズ表記!$I$4:$Q$55, MATCH(E475,★サイズ表記!$E$4:$E$55,0), MATCH(G475,★サイズ表記!$I$3:$R$3,0))</f>
        <v>10.050000000000001</v>
      </c>
      <c r="K475" s="471" t="str">
        <f t="shared" si="56"/>
        <v>C3007Kry</v>
      </c>
      <c r="L475" s="471" t="str">
        <f t="shared" si="57"/>
        <v>政治タブ6P</v>
      </c>
      <c r="P475" s="533" t="s">
        <v>1324</v>
      </c>
      <c r="Q475" s="533" t="s">
        <v>1325</v>
      </c>
      <c r="R475" s="534" t="str">
        <f t="shared" si="58"/>
        <v>3007</v>
      </c>
      <c r="S475" s="534" t="str">
        <f t="shared" si="59"/>
        <v>政治タブ6P</v>
      </c>
      <c r="T475" s="538" t="str">
        <f t="shared" si="52"/>
        <v>30</v>
      </c>
      <c r="U475" s="538" t="str">
        <f t="shared" si="53"/>
        <v>07</v>
      </c>
      <c r="V475" s="471" t="s">
        <v>1136</v>
      </c>
      <c r="Y475" s="472">
        <f t="shared" si="54"/>
        <v>10.050000000000001</v>
      </c>
      <c r="Z475" s="540">
        <f t="shared" si="55"/>
        <v>0.8</v>
      </c>
      <c r="AA475" s="471">
        <v>0</v>
      </c>
    </row>
    <row r="476" spans="1:27">
      <c r="A476" s="451" t="str">
        <f>CONCATENATE(VLOOKUP(B476,★営業所!$A$1:$B$5,2,FALSE),VLOOKUP(D476,★サイズ表記!$D$4:$E$55,2,FALSE),VLOOKUP(F476,★折込地区!$A$1:$B$11,2,FALSE))</f>
        <v>C3008Kry</v>
      </c>
      <c r="B476" s="457" t="s">
        <v>116</v>
      </c>
      <c r="C476" s="452" t="str">
        <f>VLOOKUP(B476,★営業所!$A$1:$B$5,2,FALSE)</f>
        <v>C</v>
      </c>
      <c r="D476" s="465" t="s">
        <v>1363</v>
      </c>
      <c r="E476" s="452" t="str">
        <f>VLOOKUP(D476,★サイズ表記!$D$4:$E$55,2,FALSE)</f>
        <v>3008</v>
      </c>
      <c r="F476" s="457" t="s">
        <v>1602</v>
      </c>
      <c r="G476" s="452" t="str">
        <f>VLOOKUP(F476,★折込地区!$A$1:$B$11,2,FALSE)</f>
        <v>Kry</v>
      </c>
      <c r="H476" s="453">
        <f>INDEX(★サイズ表記!$I$4:$Q$55, MATCH(E476,★サイズ表記!$E$4:$E$55,0), MATCH(G476,★サイズ表記!$I$3:$R$3,0))</f>
        <v>10.5</v>
      </c>
      <c r="K476" s="471" t="str">
        <f t="shared" si="56"/>
        <v>C3008Kry</v>
      </c>
      <c r="L476" s="471" t="str">
        <f t="shared" si="57"/>
        <v>政治タブ8P</v>
      </c>
      <c r="P476" s="533" t="s">
        <v>1324</v>
      </c>
      <c r="Q476" s="533" t="s">
        <v>1325</v>
      </c>
      <c r="R476" s="534" t="str">
        <f t="shared" si="58"/>
        <v>3008</v>
      </c>
      <c r="S476" s="534" t="str">
        <f t="shared" si="59"/>
        <v>政治タブ8P</v>
      </c>
      <c r="T476" s="538" t="str">
        <f t="shared" si="52"/>
        <v>30</v>
      </c>
      <c r="U476" s="538" t="str">
        <f t="shared" si="53"/>
        <v>08</v>
      </c>
      <c r="V476" s="471" t="s">
        <v>1136</v>
      </c>
      <c r="Y476" s="472">
        <f t="shared" si="54"/>
        <v>10.5</v>
      </c>
      <c r="Z476" s="540">
        <f t="shared" si="55"/>
        <v>0.84</v>
      </c>
      <c r="AA476" s="471">
        <v>0</v>
      </c>
    </row>
    <row r="477" spans="1:27">
      <c r="A477" s="451" t="str">
        <f>CONCATENATE(VLOOKUP(B477,★営業所!$A$1:$B$5,2,FALSE),VLOOKUP(D477,★サイズ表記!$D$4:$E$55,2,FALSE),VLOOKUP(F477,★折込地区!$A$1:$B$11,2,FALSE))</f>
        <v>C3009Kry</v>
      </c>
      <c r="B477" s="457" t="s">
        <v>116</v>
      </c>
      <c r="C477" s="452" t="str">
        <f>VLOOKUP(B477,★営業所!$A$1:$B$5,2,FALSE)</f>
        <v>C</v>
      </c>
      <c r="D477" s="465" t="s">
        <v>1361</v>
      </c>
      <c r="E477" s="452" t="str">
        <f>VLOOKUP(D477,★サイズ表記!$D$4:$E$55,2,FALSE)</f>
        <v>3009</v>
      </c>
      <c r="F477" s="457" t="s">
        <v>1602</v>
      </c>
      <c r="G477" s="452" t="str">
        <f>VLOOKUP(F477,★折込地区!$A$1:$B$11,2,FALSE)</f>
        <v>Kry</v>
      </c>
      <c r="H477" s="453">
        <f>INDEX(★サイズ表記!$I$4:$Q$55, MATCH(E477,★サイズ表記!$E$4:$E$55,0), MATCH(G477,★サイズ表記!$I$3:$R$3,0))</f>
        <v>16.350000000000001</v>
      </c>
      <c r="K477" s="471" t="str">
        <f t="shared" si="56"/>
        <v>C3009Kry</v>
      </c>
      <c r="L477" s="471" t="str">
        <f t="shared" si="57"/>
        <v>政治タブ12P</v>
      </c>
      <c r="P477" s="533" t="s">
        <v>1324</v>
      </c>
      <c r="Q477" s="533" t="s">
        <v>1325</v>
      </c>
      <c r="R477" s="534" t="str">
        <f t="shared" si="58"/>
        <v>3009</v>
      </c>
      <c r="S477" s="534" t="str">
        <f t="shared" si="59"/>
        <v>政治タブ12P</v>
      </c>
      <c r="T477" s="538" t="str">
        <f t="shared" si="52"/>
        <v>30</v>
      </c>
      <c r="U477" s="538" t="str">
        <f t="shared" si="53"/>
        <v>09</v>
      </c>
      <c r="V477" s="471" t="s">
        <v>1136</v>
      </c>
      <c r="Y477" s="472">
        <f t="shared" si="54"/>
        <v>16.350000000000001</v>
      </c>
      <c r="Z477" s="540">
        <f t="shared" si="55"/>
        <v>1.3</v>
      </c>
      <c r="AA477" s="471">
        <v>0</v>
      </c>
    </row>
    <row r="478" spans="1:27">
      <c r="A478" s="451" t="str">
        <f>CONCATENATE(VLOOKUP(B478,★営業所!$A$1:$B$5,2,FALSE),VLOOKUP(D478,★サイズ表記!$D$4:$E$55,2,FALSE),VLOOKUP(F478,★折込地区!$A$1:$B$11,2,FALSE))</f>
        <v>C4001Kry</v>
      </c>
      <c r="B478" s="457" t="s">
        <v>116</v>
      </c>
      <c r="C478" s="452" t="str">
        <f>VLOOKUP(B478,★営業所!$A$1:$B$5,2,FALSE)</f>
        <v>C</v>
      </c>
      <c r="D478" s="465" t="s">
        <v>1358</v>
      </c>
      <c r="E478" s="452" t="str">
        <f>VLOOKUP(D478,★サイズ表記!$D$4:$E$55,2,FALSE)</f>
        <v>4001</v>
      </c>
      <c r="F478" s="457" t="s">
        <v>1602</v>
      </c>
      <c r="G478" s="452" t="str">
        <f>VLOOKUP(F478,★折込地区!$A$1:$B$11,2,FALSE)</f>
        <v>Kry</v>
      </c>
      <c r="H478" s="453">
        <f>INDEX(★サイズ表記!$I$4:$Q$55, MATCH(E478,★サイズ表記!$E$4:$E$55,0), MATCH(G478,★サイズ表記!$I$3:$R$3,0))</f>
        <v>6.7</v>
      </c>
      <c r="K478" s="471" t="str">
        <f t="shared" si="56"/>
        <v>C4001Kry</v>
      </c>
      <c r="L478" s="471" t="str">
        <f t="shared" si="57"/>
        <v>タブ6P</v>
      </c>
      <c r="P478" s="533" t="s">
        <v>1324</v>
      </c>
      <c r="Q478" s="533" t="s">
        <v>1325</v>
      </c>
      <c r="R478" s="534" t="str">
        <f t="shared" si="58"/>
        <v>4001</v>
      </c>
      <c r="S478" s="534" t="str">
        <f t="shared" si="59"/>
        <v>タブ6P</v>
      </c>
      <c r="T478" s="538" t="str">
        <f t="shared" si="52"/>
        <v>40</v>
      </c>
      <c r="U478" s="538" t="str">
        <f t="shared" si="53"/>
        <v>01</v>
      </c>
      <c r="V478" s="471" t="s">
        <v>1136</v>
      </c>
      <c r="Y478" s="472">
        <f t="shared" si="54"/>
        <v>6.7</v>
      </c>
      <c r="Z478" s="540">
        <f t="shared" si="55"/>
        <v>0.53</v>
      </c>
      <c r="AA478" s="471">
        <v>0</v>
      </c>
    </row>
    <row r="479" spans="1:27">
      <c r="A479" s="451" t="str">
        <f>CONCATENATE(VLOOKUP(B479,★営業所!$A$1:$B$5,2,FALSE),VLOOKUP(D479,★サイズ表記!$D$4:$E$55,2,FALSE),VLOOKUP(F479,★折込地区!$A$1:$B$11,2,FALSE))</f>
        <v>C4002Kry</v>
      </c>
      <c r="B479" s="457" t="s">
        <v>116</v>
      </c>
      <c r="C479" s="452" t="str">
        <f>VLOOKUP(B479,★営業所!$A$1:$B$5,2,FALSE)</f>
        <v>C</v>
      </c>
      <c r="D479" s="465" t="s">
        <v>1359</v>
      </c>
      <c r="E479" s="452" t="str">
        <f>VLOOKUP(D479,★サイズ表記!$D$4:$E$55,2,FALSE)</f>
        <v>4002</v>
      </c>
      <c r="F479" s="457" t="s">
        <v>1602</v>
      </c>
      <c r="G479" s="452" t="str">
        <f>VLOOKUP(F479,★折込地区!$A$1:$B$11,2,FALSE)</f>
        <v>Kry</v>
      </c>
      <c r="H479" s="453">
        <f>INDEX(★サイズ表記!$I$4:$Q$55, MATCH(E479,★サイズ表記!$E$4:$E$55,0), MATCH(G479,★サイズ表記!$I$3:$R$3,0))</f>
        <v>7</v>
      </c>
      <c r="K479" s="471" t="str">
        <f t="shared" si="56"/>
        <v>C4002Kry</v>
      </c>
      <c r="L479" s="471" t="str">
        <f t="shared" si="57"/>
        <v>タブ8P</v>
      </c>
      <c r="P479" s="533" t="s">
        <v>1324</v>
      </c>
      <c r="Q479" s="533" t="s">
        <v>1325</v>
      </c>
      <c r="R479" s="534" t="str">
        <f t="shared" si="58"/>
        <v>4002</v>
      </c>
      <c r="S479" s="534" t="str">
        <f t="shared" si="59"/>
        <v>タブ8P</v>
      </c>
      <c r="T479" s="538" t="str">
        <f t="shared" si="52"/>
        <v>40</v>
      </c>
      <c r="U479" s="538" t="str">
        <f t="shared" si="53"/>
        <v>02</v>
      </c>
      <c r="V479" s="471" t="s">
        <v>1136</v>
      </c>
      <c r="Y479" s="472">
        <f t="shared" si="54"/>
        <v>7</v>
      </c>
      <c r="Z479" s="540">
        <f t="shared" si="55"/>
        <v>0.56000000000000005</v>
      </c>
      <c r="AA479" s="471">
        <v>0</v>
      </c>
    </row>
    <row r="480" spans="1:27">
      <c r="A480" s="451" t="str">
        <f>CONCATENATE(VLOOKUP(B480,★営業所!$A$1:$B$5,2,FALSE),VLOOKUP(D480,★サイズ表記!$D$4:$E$55,2,FALSE),VLOOKUP(F480,★折込地区!$A$1:$B$11,2,FALSE))</f>
        <v>C4003Kry</v>
      </c>
      <c r="B480" s="457" t="s">
        <v>116</v>
      </c>
      <c r="C480" s="452" t="str">
        <f>VLOOKUP(B480,★営業所!$A$1:$B$5,2,FALSE)</f>
        <v>C</v>
      </c>
      <c r="D480" s="465" t="s">
        <v>1360</v>
      </c>
      <c r="E480" s="452" t="str">
        <f>VLOOKUP(D480,★サイズ表記!$D$4:$E$55,2,FALSE)</f>
        <v>4003</v>
      </c>
      <c r="F480" s="457" t="s">
        <v>1602</v>
      </c>
      <c r="G480" s="452" t="str">
        <f>VLOOKUP(F480,★折込地区!$A$1:$B$11,2,FALSE)</f>
        <v>Kry</v>
      </c>
      <c r="H480" s="453">
        <f>INDEX(★サイズ表記!$I$4:$Q$55, MATCH(E480,★サイズ表記!$E$4:$E$55,0), MATCH(G480,★サイズ表記!$I$3:$R$3,0))</f>
        <v>8</v>
      </c>
      <c r="K480" s="471" t="str">
        <f t="shared" si="56"/>
        <v>C4003Kry</v>
      </c>
      <c r="L480" s="471" t="str">
        <f t="shared" si="57"/>
        <v>タブ8Pホチキス止め</v>
      </c>
      <c r="P480" s="533" t="s">
        <v>1324</v>
      </c>
      <c r="Q480" s="533" t="s">
        <v>1325</v>
      </c>
      <c r="R480" s="534" t="str">
        <f t="shared" si="58"/>
        <v>4003</v>
      </c>
      <c r="S480" s="534" t="str">
        <f t="shared" si="59"/>
        <v>タブ8Pホチキス止め</v>
      </c>
      <c r="T480" s="538" t="str">
        <f t="shared" si="52"/>
        <v>40</v>
      </c>
      <c r="U480" s="538" t="str">
        <f t="shared" si="53"/>
        <v>03</v>
      </c>
      <c r="V480" s="471" t="s">
        <v>1136</v>
      </c>
      <c r="Y480" s="472">
        <f t="shared" si="54"/>
        <v>8</v>
      </c>
      <c r="Z480" s="540">
        <f t="shared" si="55"/>
        <v>0.64</v>
      </c>
      <c r="AA480" s="471">
        <v>0</v>
      </c>
    </row>
    <row r="481" spans="1:27">
      <c r="A481" s="451" t="str">
        <f>CONCATENATE(VLOOKUP(B481,★営業所!$A$1:$B$5,2,FALSE),VLOOKUP(D481,★サイズ表記!$D$4:$E$55,2,FALSE),VLOOKUP(F481,★折込地区!$A$1:$B$11,2,FALSE))</f>
        <v>C4004Kry</v>
      </c>
      <c r="B481" s="457" t="s">
        <v>116</v>
      </c>
      <c r="C481" s="452" t="str">
        <f>VLOOKUP(B481,★営業所!$A$1:$B$5,2,FALSE)</f>
        <v>C</v>
      </c>
      <c r="D481" s="465" t="s">
        <v>1350</v>
      </c>
      <c r="E481" s="452" t="str">
        <f>VLOOKUP(D481,★サイズ表記!$D$4:$E$55,2,FALSE)</f>
        <v>4004</v>
      </c>
      <c r="F481" s="457" t="s">
        <v>1602</v>
      </c>
      <c r="G481" s="452" t="str">
        <f>VLOOKUP(F481,★折込地区!$A$1:$B$11,2,FALSE)</f>
        <v>Kry</v>
      </c>
      <c r="H481" s="453">
        <f>INDEX(★サイズ表記!$I$4:$Q$55, MATCH(E481,★サイズ表記!$E$4:$E$55,0), MATCH(G481,★サイズ表記!$I$3:$R$3,0))</f>
        <v>9.8000000000000007</v>
      </c>
      <c r="K481" s="471" t="str">
        <f t="shared" si="56"/>
        <v>C4004Kry</v>
      </c>
      <c r="L481" s="471" t="str">
        <f t="shared" si="57"/>
        <v>タブ10P</v>
      </c>
      <c r="P481" s="533" t="s">
        <v>1324</v>
      </c>
      <c r="Q481" s="533" t="s">
        <v>1325</v>
      </c>
      <c r="R481" s="534" t="str">
        <f t="shared" si="58"/>
        <v>4004</v>
      </c>
      <c r="S481" s="534" t="str">
        <f t="shared" si="59"/>
        <v>タブ10P</v>
      </c>
      <c r="T481" s="538" t="str">
        <f t="shared" si="52"/>
        <v>40</v>
      </c>
      <c r="U481" s="538" t="str">
        <f t="shared" si="53"/>
        <v>04</v>
      </c>
      <c r="V481" s="471" t="s">
        <v>1136</v>
      </c>
      <c r="Y481" s="472">
        <f t="shared" si="54"/>
        <v>9.8000000000000007</v>
      </c>
      <c r="Z481" s="540">
        <f t="shared" si="55"/>
        <v>0.78</v>
      </c>
      <c r="AA481" s="471">
        <v>0</v>
      </c>
    </row>
    <row r="482" spans="1:27">
      <c r="A482" s="451" t="str">
        <f>CONCATENATE(VLOOKUP(B482,★営業所!$A$1:$B$5,2,FALSE),VLOOKUP(D482,★サイズ表記!$D$4:$E$55,2,FALSE),VLOOKUP(F482,★折込地区!$A$1:$B$11,2,FALSE))</f>
        <v>C4005Kry</v>
      </c>
      <c r="B482" s="457" t="s">
        <v>116</v>
      </c>
      <c r="C482" s="452" t="str">
        <f>VLOOKUP(B482,★営業所!$A$1:$B$5,2,FALSE)</f>
        <v>C</v>
      </c>
      <c r="D482" s="465" t="s">
        <v>1351</v>
      </c>
      <c r="E482" s="452" t="str">
        <f>VLOOKUP(D482,★サイズ表記!$D$4:$E$55,2,FALSE)</f>
        <v>4005</v>
      </c>
      <c r="F482" s="457" t="s">
        <v>1602</v>
      </c>
      <c r="G482" s="452" t="str">
        <f>VLOOKUP(F482,★折込地区!$A$1:$B$11,2,FALSE)</f>
        <v>Kry</v>
      </c>
      <c r="H482" s="453">
        <f>INDEX(★サイズ表記!$I$4:$Q$55, MATCH(E482,★サイズ表記!$E$4:$E$55,0), MATCH(G482,★サイズ表記!$I$3:$R$3,0))</f>
        <v>10.9</v>
      </c>
      <c r="K482" s="471" t="str">
        <f t="shared" si="56"/>
        <v>C4005Kry</v>
      </c>
      <c r="L482" s="471" t="str">
        <f t="shared" si="57"/>
        <v>タブ12P</v>
      </c>
      <c r="P482" s="533" t="s">
        <v>1324</v>
      </c>
      <c r="Q482" s="533" t="s">
        <v>1325</v>
      </c>
      <c r="R482" s="534" t="str">
        <f t="shared" si="58"/>
        <v>4005</v>
      </c>
      <c r="S482" s="534" t="str">
        <f t="shared" si="59"/>
        <v>タブ12P</v>
      </c>
      <c r="T482" s="538" t="str">
        <f t="shared" si="52"/>
        <v>40</v>
      </c>
      <c r="U482" s="538" t="str">
        <f t="shared" si="53"/>
        <v>05</v>
      </c>
      <c r="V482" s="471" t="s">
        <v>1136</v>
      </c>
      <c r="Y482" s="472">
        <f t="shared" si="54"/>
        <v>10.9</v>
      </c>
      <c r="Z482" s="540">
        <f t="shared" si="55"/>
        <v>0.87</v>
      </c>
      <c r="AA482" s="471">
        <v>0</v>
      </c>
    </row>
    <row r="483" spans="1:27">
      <c r="A483" s="451" t="str">
        <f>CONCATENATE(VLOOKUP(B483,★営業所!$A$1:$B$5,2,FALSE),VLOOKUP(D483,★サイズ表記!$D$4:$E$55,2,FALSE),VLOOKUP(F483,★折込地区!$A$1:$B$11,2,FALSE))</f>
        <v>C4006Kry</v>
      </c>
      <c r="B483" s="457" t="s">
        <v>116</v>
      </c>
      <c r="C483" s="452" t="str">
        <f>VLOOKUP(B483,★営業所!$A$1:$B$5,2,FALSE)</f>
        <v>C</v>
      </c>
      <c r="D483" s="465" t="s">
        <v>1352</v>
      </c>
      <c r="E483" s="452" t="str">
        <f>VLOOKUP(D483,★サイズ表記!$D$4:$E$55,2,FALSE)</f>
        <v>4006</v>
      </c>
      <c r="F483" s="457" t="s">
        <v>1602</v>
      </c>
      <c r="G483" s="452" t="str">
        <f>VLOOKUP(F483,★折込地区!$A$1:$B$11,2,FALSE)</f>
        <v>Kry</v>
      </c>
      <c r="H483" s="453">
        <f>INDEX(★サイズ表記!$I$4:$Q$55, MATCH(E483,★サイズ表記!$E$4:$E$55,0), MATCH(G483,★サイズ表記!$I$3:$R$3,0))</f>
        <v>13.7</v>
      </c>
      <c r="K483" s="471" t="str">
        <f t="shared" si="56"/>
        <v>C4006Kry</v>
      </c>
      <c r="L483" s="471" t="str">
        <f t="shared" si="57"/>
        <v>タブ14P</v>
      </c>
      <c r="P483" s="533" t="s">
        <v>1324</v>
      </c>
      <c r="Q483" s="533" t="s">
        <v>1325</v>
      </c>
      <c r="R483" s="534" t="str">
        <f t="shared" si="58"/>
        <v>4006</v>
      </c>
      <c r="S483" s="534" t="str">
        <f t="shared" si="59"/>
        <v>タブ14P</v>
      </c>
      <c r="T483" s="538" t="str">
        <f t="shared" si="52"/>
        <v>40</v>
      </c>
      <c r="U483" s="538" t="str">
        <f t="shared" si="53"/>
        <v>06</v>
      </c>
      <c r="V483" s="471" t="s">
        <v>1136</v>
      </c>
      <c r="Y483" s="472">
        <f t="shared" si="54"/>
        <v>13.7</v>
      </c>
      <c r="Z483" s="540">
        <f t="shared" si="55"/>
        <v>1.0900000000000001</v>
      </c>
      <c r="AA483" s="471">
        <v>0</v>
      </c>
    </row>
    <row r="484" spans="1:27">
      <c r="A484" s="451" t="str">
        <f>CONCATENATE(VLOOKUP(B484,★営業所!$A$1:$B$5,2,FALSE),VLOOKUP(D484,★サイズ表記!$D$4:$E$55,2,FALSE),VLOOKUP(F484,★折込地区!$A$1:$B$11,2,FALSE))</f>
        <v>C4007Kry</v>
      </c>
      <c r="B484" s="457" t="s">
        <v>116</v>
      </c>
      <c r="C484" s="452" t="str">
        <f>VLOOKUP(B484,★営業所!$A$1:$B$5,2,FALSE)</f>
        <v>C</v>
      </c>
      <c r="D484" s="465" t="s">
        <v>1353</v>
      </c>
      <c r="E484" s="452" t="str">
        <f>VLOOKUP(D484,★サイズ表記!$D$4:$E$55,2,FALSE)</f>
        <v>4007</v>
      </c>
      <c r="F484" s="457" t="s">
        <v>1602</v>
      </c>
      <c r="G484" s="452" t="str">
        <f>VLOOKUP(F484,★折込地区!$A$1:$B$11,2,FALSE)</f>
        <v>Kry</v>
      </c>
      <c r="H484" s="453">
        <f>INDEX(★サイズ表記!$I$4:$Q$55, MATCH(E484,★サイズ表記!$E$4:$E$55,0), MATCH(G484,★サイズ表記!$I$3:$R$3,0))</f>
        <v>15</v>
      </c>
      <c r="K484" s="471" t="str">
        <f t="shared" si="56"/>
        <v>C4007Kry</v>
      </c>
      <c r="L484" s="471" t="str">
        <f t="shared" si="57"/>
        <v>タブ16P</v>
      </c>
      <c r="P484" s="533" t="s">
        <v>1324</v>
      </c>
      <c r="Q484" s="533" t="s">
        <v>1325</v>
      </c>
      <c r="R484" s="534" t="str">
        <f t="shared" si="58"/>
        <v>4007</v>
      </c>
      <c r="S484" s="534" t="str">
        <f t="shared" si="59"/>
        <v>タブ16P</v>
      </c>
      <c r="T484" s="538" t="str">
        <f t="shared" si="52"/>
        <v>40</v>
      </c>
      <c r="U484" s="538" t="str">
        <f t="shared" si="53"/>
        <v>07</v>
      </c>
      <c r="V484" s="471" t="s">
        <v>1136</v>
      </c>
      <c r="Y484" s="472">
        <f t="shared" si="54"/>
        <v>15</v>
      </c>
      <c r="Z484" s="540">
        <f t="shared" si="55"/>
        <v>1.2</v>
      </c>
      <c r="AA484" s="471">
        <v>0</v>
      </c>
    </row>
    <row r="485" spans="1:27">
      <c r="A485" s="451" t="str">
        <f>CONCATENATE(VLOOKUP(B485,★営業所!$A$1:$B$5,2,FALSE),VLOOKUP(D485,★サイズ表記!$D$4:$E$55,2,FALSE),VLOOKUP(F485,★折込地区!$A$1:$B$11,2,FALSE))</f>
        <v>C4008Kry</v>
      </c>
      <c r="B485" s="457" t="s">
        <v>116</v>
      </c>
      <c r="C485" s="452" t="str">
        <f>VLOOKUP(B485,★営業所!$A$1:$B$5,2,FALSE)</f>
        <v>C</v>
      </c>
      <c r="D485" s="465" t="s">
        <v>1355</v>
      </c>
      <c r="E485" s="452" t="str">
        <f>VLOOKUP(D485,★サイズ表記!$D$4:$E$55,2,FALSE)</f>
        <v>4008</v>
      </c>
      <c r="F485" s="457" t="s">
        <v>1602</v>
      </c>
      <c r="G485" s="452" t="str">
        <f>VLOOKUP(F485,★折込地区!$A$1:$B$11,2,FALSE)</f>
        <v>Kry</v>
      </c>
      <c r="H485" s="453">
        <f>INDEX(★サイズ表記!$I$4:$Q$55, MATCH(E485,★サイズ表記!$E$4:$E$55,0), MATCH(G485,★サイズ表記!$I$3:$R$3,0))</f>
        <v>17.8</v>
      </c>
      <c r="K485" s="471" t="str">
        <f t="shared" si="56"/>
        <v>C4008Kry</v>
      </c>
      <c r="L485" s="471" t="str">
        <f t="shared" si="57"/>
        <v>タブ18P</v>
      </c>
      <c r="P485" s="533" t="s">
        <v>1324</v>
      </c>
      <c r="Q485" s="533" t="s">
        <v>1325</v>
      </c>
      <c r="R485" s="534" t="str">
        <f t="shared" si="58"/>
        <v>4008</v>
      </c>
      <c r="S485" s="534" t="str">
        <f t="shared" si="59"/>
        <v>タブ18P</v>
      </c>
      <c r="T485" s="538" t="str">
        <f t="shared" si="52"/>
        <v>40</v>
      </c>
      <c r="U485" s="538" t="str">
        <f t="shared" si="53"/>
        <v>08</v>
      </c>
      <c r="V485" s="471" t="s">
        <v>1136</v>
      </c>
      <c r="Y485" s="472">
        <f t="shared" si="54"/>
        <v>17.8</v>
      </c>
      <c r="Z485" s="540">
        <f t="shared" si="55"/>
        <v>1.42</v>
      </c>
      <c r="AA485" s="471">
        <v>0</v>
      </c>
    </row>
    <row r="486" spans="1:27">
      <c r="A486" s="451" t="str">
        <f>CONCATENATE(VLOOKUP(B486,★営業所!$A$1:$B$5,2,FALSE),VLOOKUP(D486,★サイズ表記!$D$4:$E$55,2,FALSE),VLOOKUP(F486,★折込地区!$A$1:$B$11,2,FALSE))</f>
        <v>C4009Kry</v>
      </c>
      <c r="B486" s="457" t="s">
        <v>116</v>
      </c>
      <c r="C486" s="452" t="str">
        <f>VLOOKUP(B486,★営業所!$A$1:$B$5,2,FALSE)</f>
        <v>C</v>
      </c>
      <c r="D486" s="465" t="s">
        <v>1356</v>
      </c>
      <c r="E486" s="452" t="str">
        <f>VLOOKUP(D486,★サイズ表記!$D$4:$E$55,2,FALSE)</f>
        <v>4009</v>
      </c>
      <c r="F486" s="457" t="s">
        <v>1602</v>
      </c>
      <c r="G486" s="452" t="str">
        <f>VLOOKUP(F486,★折込地区!$A$1:$B$11,2,FALSE)</f>
        <v>Kry</v>
      </c>
      <c r="H486" s="453">
        <f>INDEX(★サイズ表記!$I$4:$Q$55, MATCH(E486,★サイズ表記!$E$4:$E$55,0), MATCH(G486,★サイズ表記!$I$3:$R$3,0))</f>
        <v>18.899999999999999</v>
      </c>
      <c r="K486" s="471" t="str">
        <f t="shared" si="56"/>
        <v>C4009Kry</v>
      </c>
      <c r="L486" s="471" t="str">
        <f t="shared" si="57"/>
        <v>タブ20P</v>
      </c>
      <c r="P486" s="533" t="s">
        <v>1324</v>
      </c>
      <c r="Q486" s="533" t="s">
        <v>1325</v>
      </c>
      <c r="R486" s="534" t="str">
        <f t="shared" si="58"/>
        <v>4009</v>
      </c>
      <c r="S486" s="534" t="str">
        <f t="shared" si="59"/>
        <v>タブ20P</v>
      </c>
      <c r="T486" s="538" t="str">
        <f t="shared" si="52"/>
        <v>40</v>
      </c>
      <c r="U486" s="538" t="str">
        <f t="shared" si="53"/>
        <v>09</v>
      </c>
      <c r="V486" s="471" t="s">
        <v>1136</v>
      </c>
      <c r="Y486" s="472">
        <f t="shared" si="54"/>
        <v>18.899999999999999</v>
      </c>
      <c r="Z486" s="540">
        <f t="shared" si="55"/>
        <v>1.51</v>
      </c>
      <c r="AA486" s="471">
        <v>0</v>
      </c>
    </row>
    <row r="487" spans="1:27">
      <c r="A487" s="451" t="str">
        <f>CONCATENATE(VLOOKUP(B487,★営業所!$A$1:$B$5,2,FALSE),VLOOKUP(D487,★サイズ表記!$D$4:$E$55,2,FALSE),VLOOKUP(F487,★折込地区!$A$1:$B$11,2,FALSE))</f>
        <v>C4010Kry</v>
      </c>
      <c r="B487" s="457" t="s">
        <v>116</v>
      </c>
      <c r="C487" s="452" t="str">
        <f>VLOOKUP(B487,★営業所!$A$1:$B$5,2,FALSE)</f>
        <v>C</v>
      </c>
      <c r="D487" s="465" t="s">
        <v>1354</v>
      </c>
      <c r="E487" s="452" t="str">
        <f>VLOOKUP(D487,★サイズ表記!$D$4:$E$55,2,FALSE)</f>
        <v>4010</v>
      </c>
      <c r="F487" s="457" t="s">
        <v>1602</v>
      </c>
      <c r="G487" s="452" t="str">
        <f>VLOOKUP(F487,★折込地区!$A$1:$B$11,2,FALSE)</f>
        <v>Kry</v>
      </c>
      <c r="H487" s="453">
        <f>INDEX(★サイズ表記!$I$4:$Q$55, MATCH(E487,★サイズ表記!$E$4:$E$55,0), MATCH(G487,★サイズ表記!$I$3:$R$3,0))</f>
        <v>16</v>
      </c>
      <c r="K487" s="471" t="str">
        <f t="shared" si="56"/>
        <v>C4010Kry</v>
      </c>
      <c r="L487" s="471" t="str">
        <f t="shared" si="57"/>
        <v>タブ16Pホチキス止め</v>
      </c>
      <c r="P487" s="533" t="s">
        <v>1324</v>
      </c>
      <c r="Q487" s="533" t="s">
        <v>1325</v>
      </c>
      <c r="R487" s="534" t="str">
        <f t="shared" si="58"/>
        <v>4010</v>
      </c>
      <c r="S487" s="534" t="str">
        <f t="shared" si="59"/>
        <v>タブ16Pホチキス止め</v>
      </c>
      <c r="T487" s="538" t="str">
        <f t="shared" si="52"/>
        <v>40</v>
      </c>
      <c r="U487" s="538" t="str">
        <f t="shared" si="53"/>
        <v>10</v>
      </c>
      <c r="V487" s="471" t="s">
        <v>1136</v>
      </c>
      <c r="Y487" s="472">
        <f t="shared" si="54"/>
        <v>16</v>
      </c>
      <c r="Z487" s="540">
        <f t="shared" si="55"/>
        <v>1.28</v>
      </c>
      <c r="AA487" s="471">
        <v>0</v>
      </c>
    </row>
    <row r="488" spans="1:27">
      <c r="A488" s="451" t="str">
        <f>CONCATENATE(VLOOKUP(B488,★営業所!$A$1:$B$5,2,FALSE),VLOOKUP(D488,★サイズ表記!$D$4:$E$55,2,FALSE),VLOOKUP(F488,★折込地区!$A$1:$B$11,2,FALSE))</f>
        <v>C4011Kry</v>
      </c>
      <c r="B488" s="457" t="s">
        <v>116</v>
      </c>
      <c r="C488" s="452" t="str">
        <f>VLOOKUP(B488,★営業所!$A$1:$B$5,2,FALSE)</f>
        <v>C</v>
      </c>
      <c r="D488" s="465" t="s">
        <v>1357</v>
      </c>
      <c r="E488" s="452" t="str">
        <f>VLOOKUP(D488,★サイズ表記!$D$4:$E$55,2,FALSE)</f>
        <v>4011</v>
      </c>
      <c r="F488" s="457" t="s">
        <v>1602</v>
      </c>
      <c r="G488" s="452" t="str">
        <f>VLOOKUP(F488,★折込地区!$A$1:$B$11,2,FALSE)</f>
        <v>Kry</v>
      </c>
      <c r="H488" s="453">
        <f>INDEX(★サイズ表記!$I$4:$Q$55, MATCH(E488,★サイズ表記!$E$4:$E$55,0), MATCH(G488,★サイズ表記!$I$3:$R$3,0))</f>
        <v>0</v>
      </c>
      <c r="K488" s="471" t="str">
        <f t="shared" si="56"/>
        <v>C4011Kry</v>
      </c>
      <c r="L488" s="471" t="str">
        <f t="shared" si="57"/>
        <v>タブ40P</v>
      </c>
      <c r="P488" s="533" t="s">
        <v>1324</v>
      </c>
      <c r="Q488" s="533" t="s">
        <v>1325</v>
      </c>
      <c r="R488" s="534" t="str">
        <f t="shared" si="58"/>
        <v>4011</v>
      </c>
      <c r="S488" s="534" t="str">
        <f t="shared" si="59"/>
        <v>タブ40P</v>
      </c>
      <c r="T488" s="538" t="str">
        <f t="shared" si="52"/>
        <v>40</v>
      </c>
      <c r="U488" s="538" t="str">
        <f t="shared" si="53"/>
        <v>11</v>
      </c>
      <c r="V488" s="471" t="s">
        <v>1136</v>
      </c>
      <c r="Y488" s="472">
        <f t="shared" si="54"/>
        <v>0</v>
      </c>
      <c r="Z488" s="540">
        <f t="shared" si="55"/>
        <v>0</v>
      </c>
      <c r="AA488" s="471">
        <v>0</v>
      </c>
    </row>
    <row r="489" spans="1:27">
      <c r="A489" s="451" t="str">
        <f>CONCATENATE(VLOOKUP(B489,★営業所!$A$1:$B$5,2,FALSE),VLOOKUP(D489,★サイズ表記!$D$4:$E$55,2,FALSE),VLOOKUP(F489,★折込地区!$A$1:$B$11,2,FALSE))</f>
        <v>C9001Kry</v>
      </c>
      <c r="B489" s="457" t="s">
        <v>116</v>
      </c>
      <c r="C489" s="452" t="str">
        <f>VLOOKUP(B489,★営業所!$A$1:$B$5,2,FALSE)</f>
        <v>C</v>
      </c>
      <c r="D489" s="465" t="s">
        <v>975</v>
      </c>
      <c r="E489" s="452" t="str">
        <f>VLOOKUP(D489,★サイズ表記!$D$4:$E$55,2,FALSE)</f>
        <v>9001</v>
      </c>
      <c r="F489" s="457" t="s">
        <v>1602</v>
      </c>
      <c r="G489" s="452" t="str">
        <f>VLOOKUP(F489,★折込地区!$A$1:$B$11,2,FALSE)</f>
        <v>Kry</v>
      </c>
      <c r="H489" s="453">
        <f>INDEX(★サイズ表記!$I$4:$Q$55, MATCH(E489,★サイズ表記!$E$4:$E$55,0), MATCH(G489,★サイズ表記!$I$3:$R$3,0))</f>
        <v>7</v>
      </c>
      <c r="K489" s="471" t="str">
        <f t="shared" si="56"/>
        <v>C9001Kry</v>
      </c>
      <c r="L489" s="471" t="str">
        <f t="shared" si="57"/>
        <v>うさぎの耳</v>
      </c>
      <c r="P489" s="533" t="s">
        <v>1324</v>
      </c>
      <c r="Q489" s="533" t="s">
        <v>1325</v>
      </c>
      <c r="R489" s="534" t="str">
        <f t="shared" si="58"/>
        <v>9001</v>
      </c>
      <c r="S489" s="534" t="str">
        <f t="shared" si="59"/>
        <v>うさぎの耳</v>
      </c>
      <c r="T489" s="538" t="str">
        <f t="shared" si="52"/>
        <v>90</v>
      </c>
      <c r="U489" s="538" t="str">
        <f t="shared" si="53"/>
        <v>01</v>
      </c>
      <c r="V489" s="471" t="s">
        <v>1136</v>
      </c>
      <c r="Y489" s="472">
        <f t="shared" si="54"/>
        <v>7</v>
      </c>
      <c r="Z489" s="540">
        <f t="shared" si="55"/>
        <v>0.56000000000000005</v>
      </c>
      <c r="AA489" s="471">
        <v>0</v>
      </c>
    </row>
    <row r="490" spans="1:27">
      <c r="A490" s="451" t="str">
        <f>CONCATENATE(VLOOKUP(B490,★営業所!$A$1:$B$5,2,FALSE),VLOOKUP(D490,★サイズ表記!$D$4:$E$55,2,FALSE),VLOOKUP(F490,★折込地区!$A$1:$B$11,2,FALSE))</f>
        <v>C9002Kry</v>
      </c>
      <c r="B490" s="457" t="s">
        <v>116</v>
      </c>
      <c r="C490" s="452" t="str">
        <f>VLOOKUP(B490,★営業所!$A$1:$B$5,2,FALSE)</f>
        <v>C</v>
      </c>
      <c r="D490" s="465" t="s">
        <v>976</v>
      </c>
      <c r="E490" s="452" t="str">
        <f>VLOOKUP(D490,★サイズ表記!$D$4:$E$55,2,FALSE)</f>
        <v>9002</v>
      </c>
      <c r="F490" s="457" t="s">
        <v>1602</v>
      </c>
      <c r="G490" s="452" t="str">
        <f>VLOOKUP(F490,★折込地区!$A$1:$B$11,2,FALSE)</f>
        <v>Kry</v>
      </c>
      <c r="H490" s="453">
        <f>INDEX(★サイズ表記!$I$4:$Q$55, MATCH(E490,★サイズ表記!$E$4:$E$55,0), MATCH(G490,★サイズ表記!$I$3:$R$3,0))</f>
        <v>5</v>
      </c>
      <c r="K490" s="471" t="str">
        <f t="shared" si="56"/>
        <v>C9002Kry</v>
      </c>
      <c r="L490" s="471" t="str">
        <f t="shared" si="57"/>
        <v>ユーキャン（題字）</v>
      </c>
      <c r="P490" s="533" t="s">
        <v>1324</v>
      </c>
      <c r="Q490" s="533" t="s">
        <v>1325</v>
      </c>
      <c r="R490" s="534" t="str">
        <f t="shared" si="58"/>
        <v>9002</v>
      </c>
      <c r="S490" s="534" t="str">
        <f t="shared" si="59"/>
        <v>ユーキャン（題字）</v>
      </c>
      <c r="T490" s="538" t="str">
        <f t="shared" si="52"/>
        <v>90</v>
      </c>
      <c r="U490" s="538" t="str">
        <f t="shared" si="53"/>
        <v>02</v>
      </c>
      <c r="V490" s="471" t="s">
        <v>1136</v>
      </c>
      <c r="Y490" s="472">
        <f t="shared" si="54"/>
        <v>5</v>
      </c>
      <c r="Z490" s="540">
        <f t="shared" si="55"/>
        <v>0.4</v>
      </c>
      <c r="AA490" s="471">
        <v>0</v>
      </c>
    </row>
    <row r="491" spans="1:27">
      <c r="A491" s="451" t="str">
        <f>CONCATENATE(VLOOKUP(B491,★営業所!$A$1:$B$5,2,FALSE),VLOOKUP(D491,★サイズ表記!$D$4:$E$55,2,FALSE),VLOOKUP(F491,★折込地区!$A$1:$B$11,2,FALSE))</f>
        <v>C9003Kry</v>
      </c>
      <c r="B491" s="457" t="s">
        <v>116</v>
      </c>
      <c r="C491" s="452" t="str">
        <f>VLOOKUP(B491,★営業所!$A$1:$B$5,2,FALSE)</f>
        <v>C</v>
      </c>
      <c r="D491" s="465" t="s">
        <v>977</v>
      </c>
      <c r="E491" s="452" t="str">
        <f>VLOOKUP(D491,★サイズ表記!$D$4:$E$55,2,FALSE)</f>
        <v>9003</v>
      </c>
      <c r="F491" s="457" t="s">
        <v>1602</v>
      </c>
      <c r="G491" s="452" t="str">
        <f>VLOOKUP(F491,★折込地区!$A$1:$B$11,2,FALSE)</f>
        <v>Kry</v>
      </c>
      <c r="H491" s="453">
        <f>INDEX(★サイズ表記!$I$4:$Q$55, MATCH(E491,★サイズ表記!$E$4:$E$55,0), MATCH(G491,★サイズ表記!$I$3:$R$3,0))</f>
        <v>4.9000000000000004</v>
      </c>
      <c r="K491" s="471" t="str">
        <f t="shared" si="56"/>
        <v>C9003Kry</v>
      </c>
      <c r="L491" s="471" t="str">
        <f t="shared" si="57"/>
        <v>横長B3</v>
      </c>
      <c r="P491" s="533" t="s">
        <v>1324</v>
      </c>
      <c r="Q491" s="533" t="s">
        <v>1325</v>
      </c>
      <c r="R491" s="534" t="str">
        <f t="shared" si="58"/>
        <v>9003</v>
      </c>
      <c r="S491" s="534" t="str">
        <f t="shared" si="59"/>
        <v>横長B3</v>
      </c>
      <c r="T491" s="538" t="str">
        <f t="shared" si="52"/>
        <v>90</v>
      </c>
      <c r="U491" s="538" t="str">
        <f t="shared" si="53"/>
        <v>03</v>
      </c>
      <c r="V491" s="471" t="s">
        <v>1136</v>
      </c>
      <c r="Y491" s="472">
        <f t="shared" si="54"/>
        <v>4.9000000000000004</v>
      </c>
      <c r="Z491" s="540">
        <f t="shared" si="55"/>
        <v>0.39</v>
      </c>
      <c r="AA491" s="471">
        <v>0</v>
      </c>
    </row>
    <row r="492" spans="1:27">
      <c r="A492" s="451" t="str">
        <f>CONCATENATE(VLOOKUP(B492,★営業所!$A$1:$B$5,2,FALSE),VLOOKUP(D492,★サイズ表記!$D$4:$E$55,2,FALSE),VLOOKUP(F492,★折込地区!$A$1:$B$11,2,FALSE))</f>
        <v>C9004Kry</v>
      </c>
      <c r="B492" s="457" t="s">
        <v>116</v>
      </c>
      <c r="C492" s="452" t="str">
        <f>VLOOKUP(B492,★営業所!$A$1:$B$5,2,FALSE)</f>
        <v>C</v>
      </c>
      <c r="D492" s="465" t="s">
        <v>978</v>
      </c>
      <c r="E492" s="452" t="str">
        <f>VLOOKUP(D492,★サイズ表記!$D$4:$E$55,2,FALSE)</f>
        <v>9004</v>
      </c>
      <c r="F492" s="457" t="s">
        <v>1602</v>
      </c>
      <c r="G492" s="452" t="str">
        <f>VLOOKUP(F492,★折込地区!$A$1:$B$11,2,FALSE)</f>
        <v>Kry</v>
      </c>
      <c r="H492" s="453">
        <f>INDEX(★サイズ表記!$I$4:$Q$55, MATCH(E492,★サイズ表記!$E$4:$E$55,0), MATCH(G492,★サイズ表記!$I$3:$R$3,0))</f>
        <v>5</v>
      </c>
      <c r="K492" s="471" t="str">
        <f t="shared" si="56"/>
        <v>C9004Kry</v>
      </c>
      <c r="L492" s="471" t="str">
        <f t="shared" si="57"/>
        <v>AD-BAG</v>
      </c>
      <c r="P492" s="533" t="s">
        <v>1324</v>
      </c>
      <c r="Q492" s="533" t="s">
        <v>1325</v>
      </c>
      <c r="R492" s="534" t="str">
        <f t="shared" si="58"/>
        <v>9004</v>
      </c>
      <c r="S492" s="534" t="str">
        <f t="shared" si="59"/>
        <v>AD-BAG</v>
      </c>
      <c r="T492" s="538" t="str">
        <f t="shared" si="52"/>
        <v>90</v>
      </c>
      <c r="U492" s="538" t="str">
        <f t="shared" si="53"/>
        <v>04</v>
      </c>
      <c r="V492" s="471" t="s">
        <v>1136</v>
      </c>
      <c r="Y492" s="472">
        <f t="shared" si="54"/>
        <v>5</v>
      </c>
      <c r="Z492" s="540">
        <f t="shared" si="55"/>
        <v>0.4</v>
      </c>
      <c r="AA492" s="471">
        <v>0</v>
      </c>
    </row>
    <row r="493" spans="1:27">
      <c r="A493" s="451" t="str">
        <f>CONCATENATE(VLOOKUP(B493,★営業所!$A$1:$B$5,2,FALSE),VLOOKUP(D493,★サイズ表記!$D$4:$E$55,2,FALSE),VLOOKUP(F493,★折込地区!$A$1:$B$11,2,FALSE))</f>
        <v>C9005Kry</v>
      </c>
      <c r="B493" s="457" t="s">
        <v>116</v>
      </c>
      <c r="C493" s="452" t="str">
        <f>VLOOKUP(B493,★営業所!$A$1:$B$5,2,FALSE)</f>
        <v>C</v>
      </c>
      <c r="D493" s="465" t="s">
        <v>979</v>
      </c>
      <c r="E493" s="452" t="str">
        <f>VLOOKUP(D493,★サイズ表記!$D$4:$E$55,2,FALSE)</f>
        <v>9005</v>
      </c>
      <c r="F493" s="457" t="s">
        <v>1602</v>
      </c>
      <c r="G493" s="452" t="str">
        <f>VLOOKUP(F493,★折込地区!$A$1:$B$11,2,FALSE)</f>
        <v>Kry</v>
      </c>
      <c r="H493" s="453">
        <f>INDEX(★サイズ表記!$I$4:$Q$55, MATCH(E493,★サイズ表記!$E$4:$E$55,0), MATCH(G493,★サイズ表記!$I$3:$R$3,0))</f>
        <v>5</v>
      </c>
      <c r="K493" s="471" t="str">
        <f t="shared" si="56"/>
        <v>C9005Kry</v>
      </c>
      <c r="L493" s="471" t="str">
        <f t="shared" si="57"/>
        <v>封筒</v>
      </c>
      <c r="P493" s="533" t="s">
        <v>1324</v>
      </c>
      <c r="Q493" s="533" t="s">
        <v>1325</v>
      </c>
      <c r="R493" s="534" t="str">
        <f t="shared" si="58"/>
        <v>9005</v>
      </c>
      <c r="S493" s="534" t="str">
        <f t="shared" si="59"/>
        <v>封筒</v>
      </c>
      <c r="T493" s="538" t="str">
        <f t="shared" si="52"/>
        <v>90</v>
      </c>
      <c r="U493" s="538" t="str">
        <f t="shared" si="53"/>
        <v>05</v>
      </c>
      <c r="V493" s="471" t="s">
        <v>1136</v>
      </c>
      <c r="Y493" s="472">
        <f t="shared" si="54"/>
        <v>5</v>
      </c>
      <c r="Z493" s="540">
        <f t="shared" si="55"/>
        <v>0.4</v>
      </c>
      <c r="AA493" s="471">
        <v>0</v>
      </c>
    </row>
    <row r="494" spans="1:27">
      <c r="A494" s="451" t="str">
        <f>CONCATENATE(VLOOKUP(B494,★営業所!$A$1:$B$5,2,FALSE),VLOOKUP(D494,★サイズ表記!$D$4:$E$55,2,FALSE),VLOOKUP(F494,★折込地区!$A$1:$B$11,2,FALSE))</f>
        <v>C9006Kry</v>
      </c>
      <c r="B494" s="457" t="s">
        <v>116</v>
      </c>
      <c r="C494" s="452" t="str">
        <f>VLOOKUP(B494,★営業所!$A$1:$B$5,2,FALSE)</f>
        <v>C</v>
      </c>
      <c r="D494" s="465" t="s">
        <v>980</v>
      </c>
      <c r="E494" s="452" t="str">
        <f>VLOOKUP(D494,★サイズ表記!$D$4:$E$55,2,FALSE)</f>
        <v>9006</v>
      </c>
      <c r="F494" s="457" t="s">
        <v>1602</v>
      </c>
      <c r="G494" s="452" t="str">
        <f>VLOOKUP(F494,★折込地区!$A$1:$B$11,2,FALSE)</f>
        <v>Kry</v>
      </c>
      <c r="H494" s="453">
        <f>INDEX(★サイズ表記!$I$4:$Q$55, MATCH(E494,★サイズ表記!$E$4:$E$55,0), MATCH(G494,★サイズ表記!$I$3:$R$3,0))</f>
        <v>3.9</v>
      </c>
      <c r="K494" s="471" t="str">
        <f t="shared" si="56"/>
        <v>C9006Kry</v>
      </c>
      <c r="L494" s="471" t="str">
        <f t="shared" si="57"/>
        <v>圧着</v>
      </c>
      <c r="P494" s="533" t="s">
        <v>1324</v>
      </c>
      <c r="Q494" s="533" t="s">
        <v>1325</v>
      </c>
      <c r="R494" s="534" t="str">
        <f t="shared" si="58"/>
        <v>9006</v>
      </c>
      <c r="S494" s="534" t="str">
        <f t="shared" si="59"/>
        <v>圧着</v>
      </c>
      <c r="T494" s="538" t="str">
        <f t="shared" si="52"/>
        <v>90</v>
      </c>
      <c r="U494" s="538" t="str">
        <f t="shared" si="53"/>
        <v>06</v>
      </c>
      <c r="V494" s="471" t="s">
        <v>1136</v>
      </c>
      <c r="Y494" s="472">
        <f t="shared" si="54"/>
        <v>3.9</v>
      </c>
      <c r="Z494" s="540">
        <f t="shared" si="55"/>
        <v>0.31</v>
      </c>
      <c r="AA494" s="471">
        <v>0</v>
      </c>
    </row>
    <row r="495" spans="1:27">
      <c r="A495" s="451" t="str">
        <f>CONCATENATE(VLOOKUP(B495,★営業所!$A$1:$B$5,2,FALSE),VLOOKUP(D495,★サイズ表記!$D$4:$E$55,2,FALSE),VLOOKUP(F495,★折込地区!$A$1:$B$11,2,FALSE))</f>
        <v>C9007Kry</v>
      </c>
      <c r="B495" s="457" t="s">
        <v>116</v>
      </c>
      <c r="C495" s="452" t="str">
        <f>VLOOKUP(B495,★営業所!$A$1:$B$5,2,FALSE)</f>
        <v>C</v>
      </c>
      <c r="D495" s="465" t="s">
        <v>981</v>
      </c>
      <c r="E495" s="452" t="str">
        <f>VLOOKUP(D495,★サイズ表記!$D$4:$E$55,2,FALSE)</f>
        <v>9007</v>
      </c>
      <c r="F495" s="457" t="s">
        <v>1602</v>
      </c>
      <c r="G495" s="452" t="str">
        <f>VLOOKUP(F495,★折込地区!$A$1:$B$11,2,FALSE)</f>
        <v>Kry</v>
      </c>
      <c r="H495" s="453">
        <f>INDEX(★サイズ表記!$I$4:$Q$55, MATCH(E495,★サイズ表記!$E$4:$E$55,0), MATCH(G495,★サイズ表記!$I$3:$R$3,0))</f>
        <v>4.4000000000000004</v>
      </c>
      <c r="K495" s="471" t="str">
        <f t="shared" si="56"/>
        <v>C9007Kry</v>
      </c>
      <c r="L495" s="471" t="str">
        <f t="shared" si="57"/>
        <v>圧着厚紙</v>
      </c>
      <c r="P495" s="533" t="s">
        <v>1324</v>
      </c>
      <c r="Q495" s="533" t="s">
        <v>1325</v>
      </c>
      <c r="R495" s="534" t="str">
        <f t="shared" si="58"/>
        <v>9007</v>
      </c>
      <c r="S495" s="534" t="str">
        <f t="shared" si="59"/>
        <v>圧着厚紙</v>
      </c>
      <c r="T495" s="538" t="str">
        <f t="shared" si="52"/>
        <v>90</v>
      </c>
      <c r="U495" s="538" t="str">
        <f t="shared" si="53"/>
        <v>07</v>
      </c>
      <c r="V495" s="471" t="s">
        <v>1136</v>
      </c>
      <c r="Y495" s="472">
        <f t="shared" si="54"/>
        <v>4.4000000000000004</v>
      </c>
      <c r="Z495" s="540">
        <f t="shared" si="55"/>
        <v>0.35</v>
      </c>
      <c r="AA495" s="471">
        <v>0</v>
      </c>
    </row>
    <row r="496" spans="1:27">
      <c r="A496" s="451" t="str">
        <f>CONCATENATE(VLOOKUP(B496,★営業所!$A$1:$B$5,2,FALSE),VLOOKUP(D496,★サイズ表記!$D$4:$E$55,2,FALSE),VLOOKUP(F496,★折込地区!$A$1:$B$11,2,FALSE))</f>
        <v>C1001Yng</v>
      </c>
      <c r="B496" s="457" t="s">
        <v>116</v>
      </c>
      <c r="C496" s="452" t="str">
        <f>VLOOKUP(B496,★営業所!$A$1:$B$5,2,FALSE)</f>
        <v>C</v>
      </c>
      <c r="D496" s="465" t="s">
        <v>948</v>
      </c>
      <c r="E496" s="452" t="str">
        <f>VLOOKUP(D496,★サイズ表記!$D$4:$E$55,2,FALSE)</f>
        <v>1001</v>
      </c>
      <c r="F496" s="457" t="s">
        <v>1603</v>
      </c>
      <c r="G496" s="452" t="str">
        <f>VLOOKUP(F496,★折込地区!$A$1:$B$11,2,FALSE)</f>
        <v>Yng</v>
      </c>
      <c r="H496" s="453">
        <f>INDEX(★サイズ表記!$I$4:$Q$55, MATCH(E496,★サイズ表記!$E$4:$E$55,0), MATCH(G496,★サイズ表記!$I$3:$R$3,0))</f>
        <v>2.8</v>
      </c>
      <c r="K496" s="471" t="str">
        <f t="shared" si="56"/>
        <v>C1001Yng</v>
      </c>
      <c r="L496" s="471" t="str">
        <f t="shared" si="57"/>
        <v>B4（折り無し）</v>
      </c>
      <c r="P496" s="533" t="s">
        <v>1324</v>
      </c>
      <c r="Q496" s="533" t="s">
        <v>1325</v>
      </c>
      <c r="R496" s="534" t="str">
        <f t="shared" si="58"/>
        <v>1001</v>
      </c>
      <c r="S496" s="534" t="str">
        <f t="shared" si="59"/>
        <v>B4（折り無し）</v>
      </c>
      <c r="T496" s="538" t="str">
        <f t="shared" si="52"/>
        <v>10</v>
      </c>
      <c r="U496" s="538" t="str">
        <f t="shared" si="53"/>
        <v>01</v>
      </c>
      <c r="V496" s="471" t="s">
        <v>1136</v>
      </c>
      <c r="Y496" s="472">
        <f t="shared" si="54"/>
        <v>2.8</v>
      </c>
      <c r="Z496" s="540">
        <f t="shared" si="55"/>
        <v>0.22</v>
      </c>
      <c r="AA496" s="471">
        <v>0</v>
      </c>
    </row>
    <row r="497" spans="1:27">
      <c r="A497" s="451" t="str">
        <f>CONCATENATE(VLOOKUP(B497,★営業所!$A$1:$B$5,2,FALSE),VLOOKUP(D497,★サイズ表記!$D$4:$E$55,2,FALSE),VLOOKUP(F497,★折込地区!$A$1:$B$11,2,FALSE))</f>
        <v>C1002Yng</v>
      </c>
      <c r="B497" s="457" t="s">
        <v>116</v>
      </c>
      <c r="C497" s="452" t="str">
        <f>VLOOKUP(B497,★営業所!$A$1:$B$5,2,FALSE)</f>
        <v>C</v>
      </c>
      <c r="D497" s="465" t="s">
        <v>950</v>
      </c>
      <c r="E497" s="452" t="str">
        <f>VLOOKUP(D497,★サイズ表記!$D$4:$E$55,2,FALSE)</f>
        <v>1002</v>
      </c>
      <c r="F497" s="457" t="s">
        <v>1603</v>
      </c>
      <c r="G497" s="452" t="str">
        <f>VLOOKUP(F497,★折込地区!$A$1:$B$11,2,FALSE)</f>
        <v>Yng</v>
      </c>
      <c r="H497" s="453">
        <f>INDEX(★サイズ表記!$I$4:$Q$55, MATCH(E497,★サイズ表記!$E$4:$E$55,0), MATCH(G497,★サイズ表記!$I$3:$R$3,0))</f>
        <v>3.9</v>
      </c>
      <c r="K497" s="471" t="str">
        <f t="shared" si="56"/>
        <v>C1002Yng</v>
      </c>
      <c r="L497" s="471" t="str">
        <f t="shared" si="57"/>
        <v>B3（2つ折り）</v>
      </c>
      <c r="P497" s="533" t="s">
        <v>1324</v>
      </c>
      <c r="Q497" s="533" t="s">
        <v>1325</v>
      </c>
      <c r="R497" s="534" t="str">
        <f t="shared" si="58"/>
        <v>1002</v>
      </c>
      <c r="S497" s="534" t="str">
        <f t="shared" si="59"/>
        <v>B3（2つ折り）</v>
      </c>
      <c r="T497" s="538" t="str">
        <f t="shared" si="52"/>
        <v>10</v>
      </c>
      <c r="U497" s="538" t="str">
        <f t="shared" si="53"/>
        <v>02</v>
      </c>
      <c r="V497" s="471" t="s">
        <v>1136</v>
      </c>
      <c r="Y497" s="472">
        <f t="shared" si="54"/>
        <v>3.9</v>
      </c>
      <c r="Z497" s="540">
        <f t="shared" si="55"/>
        <v>0.31</v>
      </c>
      <c r="AA497" s="471">
        <v>0</v>
      </c>
    </row>
    <row r="498" spans="1:27">
      <c r="A498" s="451" t="str">
        <f>CONCATENATE(VLOOKUP(B498,★営業所!$A$1:$B$5,2,FALSE),VLOOKUP(D498,★サイズ表記!$D$4:$E$55,2,FALSE),VLOOKUP(F498,★折込地区!$A$1:$B$11,2,FALSE))</f>
        <v>C1003Yng</v>
      </c>
      <c r="B498" s="457" t="s">
        <v>116</v>
      </c>
      <c r="C498" s="452" t="str">
        <f>VLOOKUP(B498,★営業所!$A$1:$B$5,2,FALSE)</f>
        <v>C</v>
      </c>
      <c r="D498" s="465" t="s">
        <v>951</v>
      </c>
      <c r="E498" s="452" t="str">
        <f>VLOOKUP(D498,★サイズ表記!$D$4:$E$55,2,FALSE)</f>
        <v>1003</v>
      </c>
      <c r="F498" s="457" t="s">
        <v>1603</v>
      </c>
      <c r="G498" s="452" t="str">
        <f>VLOOKUP(F498,★折込地区!$A$1:$B$11,2,FALSE)</f>
        <v>Yng</v>
      </c>
      <c r="H498" s="453">
        <f>INDEX(★サイズ表記!$I$4:$Q$55, MATCH(E498,★サイズ表記!$E$4:$E$55,0), MATCH(G498,★サイズ表記!$I$3:$R$3,0))</f>
        <v>7</v>
      </c>
      <c r="K498" s="471" t="str">
        <f t="shared" si="56"/>
        <v>C1003Yng</v>
      </c>
      <c r="L498" s="471" t="str">
        <f t="shared" si="57"/>
        <v>3つ折り</v>
      </c>
      <c r="P498" s="533" t="s">
        <v>1324</v>
      </c>
      <c r="Q498" s="533" t="s">
        <v>1325</v>
      </c>
      <c r="R498" s="534" t="str">
        <f t="shared" si="58"/>
        <v>1003</v>
      </c>
      <c r="S498" s="534" t="str">
        <f t="shared" si="59"/>
        <v>3つ折り</v>
      </c>
      <c r="T498" s="538" t="str">
        <f t="shared" si="52"/>
        <v>10</v>
      </c>
      <c r="U498" s="538" t="str">
        <f t="shared" si="53"/>
        <v>03</v>
      </c>
      <c r="V498" s="471" t="s">
        <v>1136</v>
      </c>
      <c r="Y498" s="472">
        <f t="shared" si="54"/>
        <v>7</v>
      </c>
      <c r="Z498" s="540">
        <f t="shared" si="55"/>
        <v>0.56000000000000005</v>
      </c>
      <c r="AA498" s="471">
        <v>0</v>
      </c>
    </row>
    <row r="499" spans="1:27">
      <c r="A499" s="451" t="str">
        <f>CONCATENATE(VLOOKUP(B499,★営業所!$A$1:$B$5,2,FALSE),VLOOKUP(D499,★サイズ表記!$D$4:$E$55,2,FALSE),VLOOKUP(F499,★折込地区!$A$1:$B$11,2,FALSE))</f>
        <v>C1004Yng</v>
      </c>
      <c r="B499" s="457" t="s">
        <v>116</v>
      </c>
      <c r="C499" s="452" t="str">
        <f>VLOOKUP(B499,★営業所!$A$1:$B$5,2,FALSE)</f>
        <v>C</v>
      </c>
      <c r="D499" s="465" t="s">
        <v>947</v>
      </c>
      <c r="E499" s="452" t="str">
        <f>VLOOKUP(D499,★サイズ表記!$D$4:$E$55,2,FALSE)</f>
        <v>1004</v>
      </c>
      <c r="F499" s="457" t="s">
        <v>1603</v>
      </c>
      <c r="G499" s="452" t="str">
        <f>VLOOKUP(F499,★折込地区!$A$1:$B$11,2,FALSE)</f>
        <v>Yng</v>
      </c>
      <c r="H499" s="453">
        <f>INDEX(★サイズ表記!$I$4:$Q$55, MATCH(E499,★サイズ表記!$E$4:$E$55,0), MATCH(G499,★サイズ表記!$I$3:$R$3,0))</f>
        <v>7</v>
      </c>
      <c r="K499" s="471" t="str">
        <f t="shared" si="56"/>
        <v>C1004Yng</v>
      </c>
      <c r="L499" s="471" t="str">
        <f t="shared" si="57"/>
        <v>観音折</v>
      </c>
      <c r="P499" s="533" t="s">
        <v>1324</v>
      </c>
      <c r="Q499" s="533" t="s">
        <v>1325</v>
      </c>
      <c r="R499" s="534" t="str">
        <f t="shared" si="58"/>
        <v>1004</v>
      </c>
      <c r="S499" s="534" t="str">
        <f t="shared" si="59"/>
        <v>観音折</v>
      </c>
      <c r="T499" s="538" t="str">
        <f t="shared" si="52"/>
        <v>10</v>
      </c>
      <c r="U499" s="538" t="str">
        <f t="shared" si="53"/>
        <v>04</v>
      </c>
      <c r="V499" s="471" t="s">
        <v>1136</v>
      </c>
      <c r="Y499" s="472">
        <f t="shared" si="54"/>
        <v>7</v>
      </c>
      <c r="Z499" s="540">
        <f t="shared" si="55"/>
        <v>0.56000000000000005</v>
      </c>
      <c r="AA499" s="471">
        <v>0</v>
      </c>
    </row>
    <row r="500" spans="1:27">
      <c r="A500" s="451" t="str">
        <f>CONCATENATE(VLOOKUP(B500,★営業所!$A$1:$B$5,2,FALSE),VLOOKUP(D500,★サイズ表記!$D$4:$E$55,2,FALSE),VLOOKUP(F500,★折込地区!$A$1:$B$11,2,FALSE))</f>
        <v>C1005Yng</v>
      </c>
      <c r="B500" s="457" t="s">
        <v>116</v>
      </c>
      <c r="C500" s="452" t="str">
        <f>VLOOKUP(B500,★営業所!$A$1:$B$5,2,FALSE)</f>
        <v>C</v>
      </c>
      <c r="D500" s="465" t="s">
        <v>952</v>
      </c>
      <c r="E500" s="452" t="str">
        <f>VLOOKUP(D500,★サイズ表記!$D$4:$E$55,2,FALSE)</f>
        <v>1005</v>
      </c>
      <c r="F500" s="457" t="s">
        <v>1603</v>
      </c>
      <c r="G500" s="452" t="str">
        <f>VLOOKUP(F500,★折込地区!$A$1:$B$11,2,FALSE)</f>
        <v>Yng</v>
      </c>
      <c r="H500" s="453">
        <f>INDEX(★サイズ表記!$I$4:$Q$55, MATCH(E500,★サイズ表記!$E$4:$E$55,0), MATCH(G500,★サイズ表記!$I$3:$R$3,0))</f>
        <v>7</v>
      </c>
      <c r="K500" s="471" t="str">
        <f t="shared" si="56"/>
        <v>C1005Yng</v>
      </c>
      <c r="L500" s="471" t="str">
        <f t="shared" si="57"/>
        <v>B2（4つ折り）</v>
      </c>
      <c r="P500" s="533" t="s">
        <v>1324</v>
      </c>
      <c r="Q500" s="533" t="s">
        <v>1325</v>
      </c>
      <c r="R500" s="534" t="str">
        <f t="shared" si="58"/>
        <v>1005</v>
      </c>
      <c r="S500" s="534" t="str">
        <f t="shared" si="59"/>
        <v>B2（4つ折り）</v>
      </c>
      <c r="T500" s="538" t="str">
        <f t="shared" si="52"/>
        <v>10</v>
      </c>
      <c r="U500" s="538" t="str">
        <f t="shared" si="53"/>
        <v>05</v>
      </c>
      <c r="V500" s="471" t="s">
        <v>1136</v>
      </c>
      <c r="Y500" s="472">
        <f t="shared" si="54"/>
        <v>7</v>
      </c>
      <c r="Z500" s="540">
        <f t="shared" si="55"/>
        <v>0.56000000000000005</v>
      </c>
      <c r="AA500" s="471">
        <v>0</v>
      </c>
    </row>
    <row r="501" spans="1:27">
      <c r="A501" s="451" t="str">
        <f>CONCATENATE(VLOOKUP(B501,★営業所!$A$1:$B$5,2,FALSE),VLOOKUP(D501,★サイズ表記!$D$4:$E$55,2,FALSE),VLOOKUP(F501,★折込地区!$A$1:$B$11,2,FALSE))</f>
        <v>C1006Yng</v>
      </c>
      <c r="B501" s="457" t="s">
        <v>116</v>
      </c>
      <c r="C501" s="452" t="str">
        <f>VLOOKUP(B501,★営業所!$A$1:$B$5,2,FALSE)</f>
        <v>C</v>
      </c>
      <c r="D501" s="465" t="s">
        <v>955</v>
      </c>
      <c r="E501" s="452" t="str">
        <f>VLOOKUP(D501,★サイズ表記!$D$4:$E$55,2,FALSE)</f>
        <v>1006</v>
      </c>
      <c r="F501" s="457" t="s">
        <v>1603</v>
      </c>
      <c r="G501" s="452" t="str">
        <f>VLOOKUP(F501,★折込地区!$A$1:$B$11,2,FALSE)</f>
        <v>Yng</v>
      </c>
      <c r="H501" s="453">
        <f>INDEX(★サイズ表記!$I$4:$Q$55, MATCH(E501,★サイズ表記!$E$4:$E$55,0), MATCH(G501,★サイズ表記!$I$3:$R$3,0))</f>
        <v>15</v>
      </c>
      <c r="K501" s="471" t="str">
        <f t="shared" si="56"/>
        <v>C1006Yng</v>
      </c>
      <c r="L501" s="471" t="str">
        <f t="shared" si="57"/>
        <v>B1（8折り）</v>
      </c>
      <c r="P501" s="533" t="s">
        <v>1324</v>
      </c>
      <c r="Q501" s="533" t="s">
        <v>1325</v>
      </c>
      <c r="R501" s="534" t="str">
        <f t="shared" si="58"/>
        <v>1006</v>
      </c>
      <c r="S501" s="534" t="str">
        <f t="shared" si="59"/>
        <v>B1（8折り）</v>
      </c>
      <c r="T501" s="538" t="str">
        <f t="shared" si="52"/>
        <v>10</v>
      </c>
      <c r="U501" s="538" t="str">
        <f t="shared" si="53"/>
        <v>06</v>
      </c>
      <c r="V501" s="471" t="s">
        <v>1136</v>
      </c>
      <c r="Y501" s="472">
        <f t="shared" si="54"/>
        <v>15</v>
      </c>
      <c r="Z501" s="540">
        <f t="shared" si="55"/>
        <v>1.2</v>
      </c>
      <c r="AA501" s="471">
        <v>0</v>
      </c>
    </row>
    <row r="502" spans="1:27">
      <c r="A502" s="451" t="str">
        <f>CONCATENATE(VLOOKUP(B502,★営業所!$A$1:$B$5,2,FALSE),VLOOKUP(D502,★サイズ表記!$D$4:$E$55,2,FALSE),VLOOKUP(F502,★折込地区!$A$1:$B$11,2,FALSE))</f>
        <v>C1007Yng</v>
      </c>
      <c r="B502" s="457" t="s">
        <v>116</v>
      </c>
      <c r="C502" s="452" t="str">
        <f>VLOOKUP(B502,★営業所!$A$1:$B$5,2,FALSE)</f>
        <v>C</v>
      </c>
      <c r="D502" s="465" t="s">
        <v>956</v>
      </c>
      <c r="E502" s="452" t="str">
        <f>VLOOKUP(D502,★サイズ表記!$D$4:$E$55,2,FALSE)</f>
        <v>1007</v>
      </c>
      <c r="F502" s="457" t="s">
        <v>1603</v>
      </c>
      <c r="G502" s="452" t="str">
        <f>VLOOKUP(F502,★折込地区!$A$1:$B$11,2,FALSE)</f>
        <v>Yng</v>
      </c>
      <c r="H502" s="453">
        <f>INDEX(★サイズ表記!$I$4:$Q$55, MATCH(E502,★サイズ表記!$E$4:$E$55,0), MATCH(G502,★サイズ表記!$I$3:$R$3,0))</f>
        <v>3.3</v>
      </c>
      <c r="K502" s="471" t="str">
        <f t="shared" si="56"/>
        <v>C1007Yng</v>
      </c>
      <c r="L502" s="471" t="str">
        <f t="shared" si="57"/>
        <v>B4厚紙</v>
      </c>
      <c r="P502" s="533" t="s">
        <v>1324</v>
      </c>
      <c r="Q502" s="533" t="s">
        <v>1325</v>
      </c>
      <c r="R502" s="534" t="str">
        <f t="shared" si="58"/>
        <v>1007</v>
      </c>
      <c r="S502" s="534" t="str">
        <f t="shared" si="59"/>
        <v>B4厚紙</v>
      </c>
      <c r="T502" s="538" t="str">
        <f t="shared" si="52"/>
        <v>10</v>
      </c>
      <c r="U502" s="538" t="str">
        <f t="shared" si="53"/>
        <v>07</v>
      </c>
      <c r="V502" s="471" t="s">
        <v>1136</v>
      </c>
      <c r="Y502" s="472">
        <f t="shared" si="54"/>
        <v>3.3</v>
      </c>
      <c r="Z502" s="540">
        <f t="shared" si="55"/>
        <v>0.26</v>
      </c>
      <c r="AA502" s="471">
        <v>0</v>
      </c>
    </row>
    <row r="503" spans="1:27">
      <c r="A503" s="451" t="str">
        <f>CONCATENATE(VLOOKUP(B503,★営業所!$A$1:$B$5,2,FALSE),VLOOKUP(D503,★サイズ表記!$D$4:$E$55,2,FALSE),VLOOKUP(F503,★折込地区!$A$1:$B$11,2,FALSE))</f>
        <v>C1008Yng</v>
      </c>
      <c r="B503" s="457" t="s">
        <v>116</v>
      </c>
      <c r="C503" s="452" t="str">
        <f>VLOOKUP(B503,★営業所!$A$1:$B$5,2,FALSE)</f>
        <v>C</v>
      </c>
      <c r="D503" s="465" t="s">
        <v>957</v>
      </c>
      <c r="E503" s="452" t="str">
        <f>VLOOKUP(D503,★サイズ表記!$D$4:$E$55,2,FALSE)</f>
        <v>1008</v>
      </c>
      <c r="F503" s="457" t="s">
        <v>1603</v>
      </c>
      <c r="G503" s="452" t="str">
        <f>VLOOKUP(F503,★折込地区!$A$1:$B$11,2,FALSE)</f>
        <v>Yng</v>
      </c>
      <c r="H503" s="453">
        <f>INDEX(★サイズ表記!$I$4:$Q$55, MATCH(E503,★サイズ表記!$E$4:$E$55,0), MATCH(G503,★サイズ表記!$I$3:$R$3,0))</f>
        <v>4.4000000000000004</v>
      </c>
      <c r="K503" s="471" t="str">
        <f t="shared" si="56"/>
        <v>C1008Yng</v>
      </c>
      <c r="L503" s="471" t="str">
        <f t="shared" si="57"/>
        <v>B3厚紙</v>
      </c>
      <c r="P503" s="533" t="s">
        <v>1324</v>
      </c>
      <c r="Q503" s="533" t="s">
        <v>1325</v>
      </c>
      <c r="R503" s="534" t="str">
        <f t="shared" si="58"/>
        <v>1008</v>
      </c>
      <c r="S503" s="534" t="str">
        <f t="shared" si="59"/>
        <v>B3厚紙</v>
      </c>
      <c r="T503" s="538" t="str">
        <f t="shared" si="52"/>
        <v>10</v>
      </c>
      <c r="U503" s="538" t="str">
        <f t="shared" si="53"/>
        <v>08</v>
      </c>
      <c r="V503" s="471" t="s">
        <v>1136</v>
      </c>
      <c r="Y503" s="472">
        <f t="shared" si="54"/>
        <v>4.4000000000000004</v>
      </c>
      <c r="Z503" s="540">
        <f t="shared" si="55"/>
        <v>0.35</v>
      </c>
      <c r="AA503" s="471">
        <v>0</v>
      </c>
    </row>
    <row r="504" spans="1:27">
      <c r="A504" s="451" t="str">
        <f>CONCATENATE(VLOOKUP(B504,★営業所!$A$1:$B$5,2,FALSE),VLOOKUP(D504,★サイズ表記!$D$4:$E$55,2,FALSE),VLOOKUP(F504,★折込地区!$A$1:$B$11,2,FALSE))</f>
        <v>C1009Yng</v>
      </c>
      <c r="B504" s="457" t="s">
        <v>116</v>
      </c>
      <c r="C504" s="452" t="str">
        <f>VLOOKUP(B504,★営業所!$A$1:$B$5,2,FALSE)</f>
        <v>C</v>
      </c>
      <c r="D504" s="465" t="s">
        <v>958</v>
      </c>
      <c r="E504" s="452" t="str">
        <f>VLOOKUP(D504,★サイズ表記!$D$4:$E$55,2,FALSE)</f>
        <v>1009</v>
      </c>
      <c r="F504" s="457" t="s">
        <v>1603</v>
      </c>
      <c r="G504" s="452" t="str">
        <f>VLOOKUP(F504,★折込地区!$A$1:$B$11,2,FALSE)</f>
        <v>Yng</v>
      </c>
      <c r="H504" s="453">
        <f>INDEX(★サイズ表記!$I$4:$Q$55, MATCH(E504,★サイズ表記!$E$4:$E$55,0), MATCH(G504,★サイズ表記!$I$3:$R$3,0))</f>
        <v>7.5</v>
      </c>
      <c r="K504" s="471" t="str">
        <f t="shared" si="56"/>
        <v>C1009Yng</v>
      </c>
      <c r="L504" s="471" t="str">
        <f t="shared" si="57"/>
        <v>B2厚紙</v>
      </c>
      <c r="P504" s="533" t="s">
        <v>1324</v>
      </c>
      <c r="Q504" s="533" t="s">
        <v>1325</v>
      </c>
      <c r="R504" s="534" t="str">
        <f t="shared" si="58"/>
        <v>1009</v>
      </c>
      <c r="S504" s="534" t="str">
        <f t="shared" si="59"/>
        <v>B2厚紙</v>
      </c>
      <c r="T504" s="538" t="str">
        <f t="shared" si="52"/>
        <v>10</v>
      </c>
      <c r="U504" s="538" t="str">
        <f t="shared" si="53"/>
        <v>09</v>
      </c>
      <c r="V504" s="471" t="s">
        <v>1136</v>
      </c>
      <c r="Y504" s="472">
        <f t="shared" si="54"/>
        <v>7.5</v>
      </c>
      <c r="Z504" s="540">
        <f t="shared" si="55"/>
        <v>0.6</v>
      </c>
      <c r="AA504" s="471">
        <v>0</v>
      </c>
    </row>
    <row r="505" spans="1:27">
      <c r="A505" s="451" t="str">
        <f>CONCATENATE(VLOOKUP(B505,★営業所!$A$1:$B$5,2,FALSE),VLOOKUP(D505,★サイズ表記!$D$4:$E$55,2,FALSE),VLOOKUP(F505,★折込地区!$A$1:$B$11,2,FALSE))</f>
        <v>C1010Yng</v>
      </c>
      <c r="B505" s="457" t="s">
        <v>116</v>
      </c>
      <c r="C505" s="452" t="str">
        <f>VLOOKUP(B505,★営業所!$A$1:$B$5,2,FALSE)</f>
        <v>C</v>
      </c>
      <c r="D505" s="465" t="s">
        <v>959</v>
      </c>
      <c r="E505" s="452" t="str">
        <f>VLOOKUP(D505,★サイズ表記!$D$4:$E$55,2,FALSE)</f>
        <v>1010</v>
      </c>
      <c r="F505" s="457" t="s">
        <v>1603</v>
      </c>
      <c r="G505" s="452" t="str">
        <f>VLOOKUP(F505,★折込地区!$A$1:$B$11,2,FALSE)</f>
        <v>Yng</v>
      </c>
      <c r="H505" s="453">
        <f>INDEX(★サイズ表記!$I$4:$Q$55, MATCH(E505,★サイズ表記!$E$4:$E$55,0), MATCH(G505,★サイズ表記!$I$3:$R$3,0))</f>
        <v>4.2</v>
      </c>
      <c r="K505" s="471" t="str">
        <f t="shared" si="56"/>
        <v>C1010Yng</v>
      </c>
      <c r="L505" s="471" t="str">
        <f t="shared" si="57"/>
        <v>B4以下変形</v>
      </c>
      <c r="P505" s="533" t="s">
        <v>1324</v>
      </c>
      <c r="Q505" s="533" t="s">
        <v>1325</v>
      </c>
      <c r="R505" s="534" t="str">
        <f t="shared" si="58"/>
        <v>1010</v>
      </c>
      <c r="S505" s="534" t="str">
        <f t="shared" si="59"/>
        <v>B4以下変形</v>
      </c>
      <c r="T505" s="538" t="str">
        <f t="shared" si="52"/>
        <v>10</v>
      </c>
      <c r="U505" s="538" t="str">
        <f t="shared" si="53"/>
        <v>10</v>
      </c>
      <c r="V505" s="471" t="s">
        <v>1136</v>
      </c>
      <c r="Y505" s="472">
        <f t="shared" si="54"/>
        <v>4.2</v>
      </c>
      <c r="Z505" s="540">
        <f t="shared" si="55"/>
        <v>0.33</v>
      </c>
      <c r="AA505" s="471">
        <v>0</v>
      </c>
    </row>
    <row r="506" spans="1:27">
      <c r="A506" s="451" t="str">
        <f>CONCATENATE(VLOOKUP(B506,★営業所!$A$1:$B$5,2,FALSE),VLOOKUP(D506,★サイズ表記!$D$4:$E$55,2,FALSE),VLOOKUP(F506,★折込地区!$A$1:$B$11,2,FALSE))</f>
        <v>C1011Yng</v>
      </c>
      <c r="B506" s="457" t="s">
        <v>116</v>
      </c>
      <c r="C506" s="452" t="str">
        <f>VLOOKUP(B506,★営業所!$A$1:$B$5,2,FALSE)</f>
        <v>C</v>
      </c>
      <c r="D506" s="465" t="s">
        <v>960</v>
      </c>
      <c r="E506" s="452" t="str">
        <f>VLOOKUP(D506,★サイズ表記!$D$4:$E$55,2,FALSE)</f>
        <v>1011</v>
      </c>
      <c r="F506" s="457" t="s">
        <v>1603</v>
      </c>
      <c r="G506" s="452" t="str">
        <f>VLOOKUP(F506,★折込地区!$A$1:$B$11,2,FALSE)</f>
        <v>Yng</v>
      </c>
      <c r="H506" s="453">
        <f>INDEX(★サイズ表記!$I$4:$Q$55, MATCH(E506,★サイズ表記!$E$4:$E$55,0), MATCH(G506,★サイズ表記!$I$3:$R$3,0))</f>
        <v>3.8</v>
      </c>
      <c r="K506" s="471" t="str">
        <f t="shared" si="56"/>
        <v>C1011Yng</v>
      </c>
      <c r="L506" s="471" t="str">
        <f t="shared" si="57"/>
        <v>B4シール付き</v>
      </c>
      <c r="P506" s="533" t="s">
        <v>1324</v>
      </c>
      <c r="Q506" s="533" t="s">
        <v>1325</v>
      </c>
      <c r="R506" s="534" t="str">
        <f t="shared" si="58"/>
        <v>1011</v>
      </c>
      <c r="S506" s="534" t="str">
        <f t="shared" si="59"/>
        <v>B4シール付き</v>
      </c>
      <c r="T506" s="538" t="str">
        <f t="shared" si="52"/>
        <v>10</v>
      </c>
      <c r="U506" s="538" t="str">
        <f t="shared" si="53"/>
        <v>11</v>
      </c>
      <c r="V506" s="471" t="s">
        <v>1136</v>
      </c>
      <c r="Y506" s="472">
        <f t="shared" si="54"/>
        <v>3.8</v>
      </c>
      <c r="Z506" s="540">
        <f t="shared" si="55"/>
        <v>0.3</v>
      </c>
      <c r="AA506" s="471">
        <v>0</v>
      </c>
    </row>
    <row r="507" spans="1:27">
      <c r="A507" s="451" t="str">
        <f>CONCATENATE(VLOOKUP(B507,★営業所!$A$1:$B$5,2,FALSE),VLOOKUP(D507,★サイズ表記!$D$4:$E$55,2,FALSE),VLOOKUP(F507,★折込地区!$A$1:$B$11,2,FALSE))</f>
        <v>C1012Yng</v>
      </c>
      <c r="B507" s="457" t="s">
        <v>116</v>
      </c>
      <c r="C507" s="452" t="str">
        <f>VLOOKUP(B507,★営業所!$A$1:$B$5,2,FALSE)</f>
        <v>C</v>
      </c>
      <c r="D507" s="465" t="s">
        <v>961</v>
      </c>
      <c r="E507" s="452" t="str">
        <f>VLOOKUP(D507,★サイズ表記!$D$4:$E$55,2,FALSE)</f>
        <v>1012</v>
      </c>
      <c r="F507" s="457" t="s">
        <v>1603</v>
      </c>
      <c r="G507" s="452" t="str">
        <f>VLOOKUP(F507,★折込地区!$A$1:$B$11,2,FALSE)</f>
        <v>Yng</v>
      </c>
      <c r="H507" s="453">
        <f>INDEX(★サイズ表記!$I$4:$Q$55, MATCH(E507,★サイズ表記!$E$4:$E$55,0), MATCH(G507,★サイズ表記!$I$3:$R$3,0))</f>
        <v>4.9000000000000004</v>
      </c>
      <c r="K507" s="471" t="str">
        <f t="shared" si="56"/>
        <v>C1012Yng</v>
      </c>
      <c r="L507" s="471" t="str">
        <f t="shared" si="57"/>
        <v>B3シール付き</v>
      </c>
      <c r="P507" s="533" t="s">
        <v>1324</v>
      </c>
      <c r="Q507" s="533" t="s">
        <v>1325</v>
      </c>
      <c r="R507" s="534" t="str">
        <f t="shared" si="58"/>
        <v>1012</v>
      </c>
      <c r="S507" s="534" t="str">
        <f t="shared" si="59"/>
        <v>B3シール付き</v>
      </c>
      <c r="T507" s="538" t="str">
        <f t="shared" si="52"/>
        <v>10</v>
      </c>
      <c r="U507" s="538" t="str">
        <f t="shared" si="53"/>
        <v>12</v>
      </c>
      <c r="V507" s="471" t="s">
        <v>1136</v>
      </c>
      <c r="Y507" s="472">
        <f t="shared" si="54"/>
        <v>4.9000000000000004</v>
      </c>
      <c r="Z507" s="540">
        <f t="shared" si="55"/>
        <v>0.39</v>
      </c>
      <c r="AA507" s="471">
        <v>0</v>
      </c>
    </row>
    <row r="508" spans="1:27">
      <c r="A508" s="451" t="str">
        <f>CONCATENATE(VLOOKUP(B508,★営業所!$A$1:$B$5,2,FALSE),VLOOKUP(D508,★サイズ表記!$D$4:$E$55,2,FALSE),VLOOKUP(F508,★折込地区!$A$1:$B$11,2,FALSE))</f>
        <v>C1013Yng</v>
      </c>
      <c r="B508" s="457" t="s">
        <v>116</v>
      </c>
      <c r="C508" s="452" t="str">
        <f>VLOOKUP(B508,★営業所!$A$1:$B$5,2,FALSE)</f>
        <v>C</v>
      </c>
      <c r="D508" s="465" t="s">
        <v>962</v>
      </c>
      <c r="E508" s="452" t="str">
        <f>VLOOKUP(D508,★サイズ表記!$D$4:$E$55,2,FALSE)</f>
        <v>1013</v>
      </c>
      <c r="F508" s="457" t="s">
        <v>1603</v>
      </c>
      <c r="G508" s="452" t="str">
        <f>VLOOKUP(F508,★折込地区!$A$1:$B$11,2,FALSE)</f>
        <v>Yng</v>
      </c>
      <c r="H508" s="453">
        <f>INDEX(★サイズ表記!$I$4:$Q$55, MATCH(E508,★サイズ表記!$E$4:$E$55,0), MATCH(G508,★サイズ表記!$I$3:$R$3,0))</f>
        <v>3.8</v>
      </c>
      <c r="K508" s="471" t="str">
        <f t="shared" si="56"/>
        <v>C1013Yng</v>
      </c>
      <c r="L508" s="471" t="str">
        <f t="shared" si="57"/>
        <v>B4スクラッチ付き</v>
      </c>
      <c r="P508" s="533" t="s">
        <v>1324</v>
      </c>
      <c r="Q508" s="533" t="s">
        <v>1325</v>
      </c>
      <c r="R508" s="534" t="str">
        <f t="shared" si="58"/>
        <v>1013</v>
      </c>
      <c r="S508" s="534" t="str">
        <f t="shared" si="59"/>
        <v>B4スクラッチ付き</v>
      </c>
      <c r="T508" s="538" t="str">
        <f t="shared" si="52"/>
        <v>10</v>
      </c>
      <c r="U508" s="538" t="str">
        <f t="shared" si="53"/>
        <v>13</v>
      </c>
      <c r="V508" s="471" t="s">
        <v>1136</v>
      </c>
      <c r="Y508" s="472">
        <f t="shared" si="54"/>
        <v>3.8</v>
      </c>
      <c r="Z508" s="540">
        <f t="shared" si="55"/>
        <v>0.3</v>
      </c>
      <c r="AA508" s="471">
        <v>0</v>
      </c>
    </row>
    <row r="509" spans="1:27">
      <c r="A509" s="451" t="str">
        <f>CONCATENATE(VLOOKUP(B509,★営業所!$A$1:$B$5,2,FALSE),VLOOKUP(D509,★サイズ表記!$D$4:$E$55,2,FALSE),VLOOKUP(F509,★折込地区!$A$1:$B$11,2,FALSE))</f>
        <v>C2001Yng</v>
      </c>
      <c r="B509" s="457" t="s">
        <v>116</v>
      </c>
      <c r="C509" s="452" t="str">
        <f>VLOOKUP(B509,★営業所!$A$1:$B$5,2,FALSE)</f>
        <v>C</v>
      </c>
      <c r="D509" s="465" t="s">
        <v>963</v>
      </c>
      <c r="E509" s="452" t="str">
        <f>VLOOKUP(D509,★サイズ表記!$D$4:$E$55,2,FALSE)</f>
        <v>2001</v>
      </c>
      <c r="F509" s="457" t="s">
        <v>1603</v>
      </c>
      <c r="G509" s="452" t="str">
        <f>VLOOKUP(F509,★折込地区!$A$1:$B$11,2,FALSE)</f>
        <v>Yng</v>
      </c>
      <c r="H509" s="453">
        <f>INDEX(★サイズ表記!$I$4:$Q$55, MATCH(E509,★サイズ表記!$E$4:$E$55,0), MATCH(G509,★サイズ表記!$I$3:$R$3,0))</f>
        <v>4.2</v>
      </c>
      <c r="K509" s="471" t="str">
        <f t="shared" si="56"/>
        <v>C2001Yng</v>
      </c>
      <c r="L509" s="471" t="str">
        <f t="shared" si="57"/>
        <v>連合B4</v>
      </c>
      <c r="P509" s="533" t="s">
        <v>1324</v>
      </c>
      <c r="Q509" s="533" t="s">
        <v>1325</v>
      </c>
      <c r="R509" s="534" t="str">
        <f t="shared" si="58"/>
        <v>2001</v>
      </c>
      <c r="S509" s="534" t="str">
        <f t="shared" si="59"/>
        <v>連合B4</v>
      </c>
      <c r="T509" s="538" t="str">
        <f t="shared" si="52"/>
        <v>20</v>
      </c>
      <c r="U509" s="538" t="str">
        <f t="shared" si="53"/>
        <v>01</v>
      </c>
      <c r="V509" s="471" t="s">
        <v>1136</v>
      </c>
      <c r="Y509" s="472">
        <f t="shared" si="54"/>
        <v>4.2</v>
      </c>
      <c r="Z509" s="540">
        <f t="shared" si="55"/>
        <v>0.33</v>
      </c>
      <c r="AA509" s="471">
        <v>0</v>
      </c>
    </row>
    <row r="510" spans="1:27">
      <c r="A510" s="451" t="str">
        <f>CONCATENATE(VLOOKUP(B510,★営業所!$A$1:$B$5,2,FALSE),VLOOKUP(D510,★サイズ表記!$D$4:$E$55,2,FALSE),VLOOKUP(F510,★折込地区!$A$1:$B$11,2,FALSE))</f>
        <v>C2002Yng</v>
      </c>
      <c r="B510" s="457" t="s">
        <v>116</v>
      </c>
      <c r="C510" s="452" t="str">
        <f>VLOOKUP(B510,★営業所!$A$1:$B$5,2,FALSE)</f>
        <v>C</v>
      </c>
      <c r="D510" s="465" t="s">
        <v>964</v>
      </c>
      <c r="E510" s="452" t="str">
        <f>VLOOKUP(D510,★サイズ表記!$D$4:$E$55,2,FALSE)</f>
        <v>2002</v>
      </c>
      <c r="F510" s="457" t="s">
        <v>1603</v>
      </c>
      <c r="G510" s="452" t="str">
        <f>VLOOKUP(F510,★折込地区!$A$1:$B$11,2,FALSE)</f>
        <v>Yng</v>
      </c>
      <c r="H510" s="453">
        <f>INDEX(★サイズ表記!$I$4:$Q$55, MATCH(E510,★サイズ表記!$E$4:$E$55,0), MATCH(G510,★サイズ表記!$I$3:$R$3,0))</f>
        <v>5.85</v>
      </c>
      <c r="K510" s="471" t="str">
        <f t="shared" si="56"/>
        <v>C2002Yng</v>
      </c>
      <c r="L510" s="471" t="str">
        <f t="shared" si="57"/>
        <v>連合B3</v>
      </c>
      <c r="P510" s="533" t="s">
        <v>1324</v>
      </c>
      <c r="Q510" s="533" t="s">
        <v>1325</v>
      </c>
      <c r="R510" s="534" t="str">
        <f t="shared" si="58"/>
        <v>2002</v>
      </c>
      <c r="S510" s="534" t="str">
        <f t="shared" si="59"/>
        <v>連合B3</v>
      </c>
      <c r="T510" s="538" t="str">
        <f t="shared" si="52"/>
        <v>20</v>
      </c>
      <c r="U510" s="538" t="str">
        <f t="shared" si="53"/>
        <v>02</v>
      </c>
      <c r="V510" s="471" t="s">
        <v>1136</v>
      </c>
      <c r="Y510" s="472">
        <f t="shared" si="54"/>
        <v>5.85</v>
      </c>
      <c r="Z510" s="540">
        <f t="shared" si="55"/>
        <v>0.46</v>
      </c>
      <c r="AA510" s="471">
        <v>0</v>
      </c>
    </row>
    <row r="511" spans="1:27">
      <c r="A511" s="451" t="str">
        <f>CONCATENATE(VLOOKUP(B511,★営業所!$A$1:$B$5,2,FALSE),VLOOKUP(D511,★サイズ表記!$D$4:$E$55,2,FALSE),VLOOKUP(F511,★折込地区!$A$1:$B$11,2,FALSE))</f>
        <v>C2003Yng</v>
      </c>
      <c r="B511" s="457" t="s">
        <v>116</v>
      </c>
      <c r="C511" s="452" t="str">
        <f>VLOOKUP(B511,★営業所!$A$1:$B$5,2,FALSE)</f>
        <v>C</v>
      </c>
      <c r="D511" s="465" t="s">
        <v>965</v>
      </c>
      <c r="E511" s="452" t="str">
        <f>VLOOKUP(D511,★サイズ表記!$D$4:$E$55,2,FALSE)</f>
        <v>2003</v>
      </c>
      <c r="F511" s="457" t="s">
        <v>1603</v>
      </c>
      <c r="G511" s="452" t="str">
        <f>VLOOKUP(F511,★折込地区!$A$1:$B$11,2,FALSE)</f>
        <v>Yng</v>
      </c>
      <c r="H511" s="453">
        <f>INDEX(★サイズ表記!$I$4:$Q$55, MATCH(E511,★サイズ表記!$E$4:$E$55,0), MATCH(G511,★サイズ表記!$I$3:$R$3,0))</f>
        <v>10.5</v>
      </c>
      <c r="K511" s="471" t="str">
        <f t="shared" si="56"/>
        <v>C2003Yng</v>
      </c>
      <c r="L511" s="471" t="str">
        <f t="shared" si="57"/>
        <v>連合B2</v>
      </c>
      <c r="P511" s="533" t="s">
        <v>1324</v>
      </c>
      <c r="Q511" s="533" t="s">
        <v>1325</v>
      </c>
      <c r="R511" s="534" t="str">
        <f t="shared" si="58"/>
        <v>2003</v>
      </c>
      <c r="S511" s="534" t="str">
        <f t="shared" si="59"/>
        <v>連合B2</v>
      </c>
      <c r="T511" s="538" t="str">
        <f t="shared" si="52"/>
        <v>20</v>
      </c>
      <c r="U511" s="538" t="str">
        <f t="shared" si="53"/>
        <v>03</v>
      </c>
      <c r="V511" s="471" t="s">
        <v>1136</v>
      </c>
      <c r="Y511" s="472">
        <f t="shared" si="54"/>
        <v>10.5</v>
      </c>
      <c r="Z511" s="540">
        <f t="shared" si="55"/>
        <v>0.84</v>
      </c>
      <c r="AA511" s="471">
        <v>0</v>
      </c>
    </row>
    <row r="512" spans="1:27">
      <c r="A512" s="451" t="str">
        <f>CONCATENATE(VLOOKUP(B512,★営業所!$A$1:$B$5,2,FALSE),VLOOKUP(D512,★サイズ表記!$D$4:$E$55,2,FALSE),VLOOKUP(F512,★折込地区!$A$1:$B$11,2,FALSE))</f>
        <v>C2004Yng</v>
      </c>
      <c r="B512" s="457" t="s">
        <v>116</v>
      </c>
      <c r="C512" s="452" t="str">
        <f>VLOOKUP(B512,★営業所!$A$1:$B$5,2,FALSE)</f>
        <v>C</v>
      </c>
      <c r="D512" s="465" t="s">
        <v>966</v>
      </c>
      <c r="E512" s="452" t="str">
        <f>VLOOKUP(D512,★サイズ表記!$D$4:$E$55,2,FALSE)</f>
        <v>2004</v>
      </c>
      <c r="F512" s="457" t="s">
        <v>1603</v>
      </c>
      <c r="G512" s="452" t="str">
        <f>VLOOKUP(F512,★折込地区!$A$1:$B$11,2,FALSE)</f>
        <v>Yng</v>
      </c>
      <c r="H512" s="453">
        <f>INDEX(★サイズ表記!$I$4:$Q$55, MATCH(E512,★サイズ表記!$E$4:$E$55,0), MATCH(G512,★サイズ表記!$I$3:$R$3,0))</f>
        <v>10.5</v>
      </c>
      <c r="K512" s="471" t="str">
        <f t="shared" si="56"/>
        <v>C2004Yng</v>
      </c>
      <c r="L512" s="471" t="str">
        <f t="shared" si="57"/>
        <v>連合3つ折り</v>
      </c>
      <c r="P512" s="533" t="s">
        <v>1324</v>
      </c>
      <c r="Q512" s="533" t="s">
        <v>1325</v>
      </c>
      <c r="R512" s="534" t="str">
        <f t="shared" si="58"/>
        <v>2004</v>
      </c>
      <c r="S512" s="534" t="str">
        <f t="shared" si="59"/>
        <v>連合3つ折り</v>
      </c>
      <c r="T512" s="538" t="str">
        <f t="shared" si="52"/>
        <v>20</v>
      </c>
      <c r="U512" s="538" t="str">
        <f t="shared" si="53"/>
        <v>04</v>
      </c>
      <c r="V512" s="471" t="s">
        <v>1136</v>
      </c>
      <c r="Y512" s="472">
        <f t="shared" si="54"/>
        <v>10.5</v>
      </c>
      <c r="Z512" s="540">
        <f t="shared" si="55"/>
        <v>0.84</v>
      </c>
      <c r="AA512" s="471">
        <v>0</v>
      </c>
    </row>
    <row r="513" spans="1:27">
      <c r="A513" s="451" t="str">
        <f>CONCATENATE(VLOOKUP(B513,★営業所!$A$1:$B$5,2,FALSE),VLOOKUP(D513,★サイズ表記!$D$4:$E$55,2,FALSE),VLOOKUP(F513,★折込地区!$A$1:$B$11,2,FALSE))</f>
        <v>C2005Yng</v>
      </c>
      <c r="B513" s="457" t="s">
        <v>116</v>
      </c>
      <c r="C513" s="452" t="str">
        <f>VLOOKUP(B513,★営業所!$A$1:$B$5,2,FALSE)</f>
        <v>C</v>
      </c>
      <c r="D513" s="465" t="s">
        <v>967</v>
      </c>
      <c r="E513" s="452" t="str">
        <f>VLOOKUP(D513,★サイズ表記!$D$4:$E$55,2,FALSE)</f>
        <v>2005</v>
      </c>
      <c r="F513" s="457" t="s">
        <v>1603</v>
      </c>
      <c r="G513" s="452" t="str">
        <f>VLOOKUP(F513,★折込地区!$A$1:$B$11,2,FALSE)</f>
        <v>Yng</v>
      </c>
      <c r="H513" s="453">
        <f>INDEX(★サイズ表記!$I$4:$Q$55, MATCH(E513,★サイズ表記!$E$4:$E$55,0), MATCH(G513,★サイズ表記!$I$3:$R$3,0))</f>
        <v>4.7</v>
      </c>
      <c r="K513" s="471" t="str">
        <f t="shared" si="56"/>
        <v>C2005Yng</v>
      </c>
      <c r="L513" s="471" t="str">
        <f t="shared" si="57"/>
        <v>連合B4厚紙</v>
      </c>
      <c r="P513" s="533" t="s">
        <v>1324</v>
      </c>
      <c r="Q513" s="533" t="s">
        <v>1325</v>
      </c>
      <c r="R513" s="534" t="str">
        <f t="shared" si="58"/>
        <v>2005</v>
      </c>
      <c r="S513" s="534" t="str">
        <f t="shared" si="59"/>
        <v>連合B4厚紙</v>
      </c>
      <c r="T513" s="538" t="str">
        <f t="shared" si="52"/>
        <v>20</v>
      </c>
      <c r="U513" s="538" t="str">
        <f t="shared" si="53"/>
        <v>05</v>
      </c>
      <c r="V513" s="471" t="s">
        <v>1136</v>
      </c>
      <c r="Y513" s="472">
        <f t="shared" si="54"/>
        <v>4.7</v>
      </c>
      <c r="Z513" s="540">
        <f t="shared" si="55"/>
        <v>0.37</v>
      </c>
      <c r="AA513" s="471">
        <v>0</v>
      </c>
    </row>
    <row r="514" spans="1:27">
      <c r="A514" s="451" t="str">
        <f>CONCATENATE(VLOOKUP(B514,★営業所!$A$1:$B$5,2,FALSE),VLOOKUP(D514,★サイズ表記!$D$4:$E$55,2,FALSE),VLOOKUP(F514,★折込地区!$A$1:$B$11,2,FALSE))</f>
        <v>C2006Yng</v>
      </c>
      <c r="B514" s="457" t="s">
        <v>116</v>
      </c>
      <c r="C514" s="452" t="str">
        <f>VLOOKUP(B514,★営業所!$A$1:$B$5,2,FALSE)</f>
        <v>C</v>
      </c>
      <c r="D514" s="465" t="s">
        <v>968</v>
      </c>
      <c r="E514" s="452" t="str">
        <f>VLOOKUP(D514,★サイズ表記!$D$4:$E$55,2,FALSE)</f>
        <v>2006</v>
      </c>
      <c r="F514" s="457" t="s">
        <v>1603</v>
      </c>
      <c r="G514" s="452" t="str">
        <f>VLOOKUP(F514,★折込地区!$A$1:$B$11,2,FALSE)</f>
        <v>Yng</v>
      </c>
      <c r="H514" s="453">
        <f>INDEX(★サイズ表記!$I$4:$Q$55, MATCH(E514,★サイズ表記!$E$4:$E$55,0), MATCH(G514,★サイズ表記!$I$3:$R$3,0))</f>
        <v>7.35</v>
      </c>
      <c r="K514" s="471" t="str">
        <f t="shared" si="56"/>
        <v>C2006Yng</v>
      </c>
      <c r="L514" s="471" t="str">
        <f t="shared" si="57"/>
        <v>連合2つ折り極小</v>
      </c>
      <c r="P514" s="533" t="s">
        <v>1324</v>
      </c>
      <c r="Q514" s="533" t="s">
        <v>1325</v>
      </c>
      <c r="R514" s="534" t="str">
        <f t="shared" si="58"/>
        <v>2006</v>
      </c>
      <c r="S514" s="534" t="str">
        <f t="shared" si="59"/>
        <v>連合2つ折り極小</v>
      </c>
      <c r="T514" s="538" t="str">
        <f t="shared" si="52"/>
        <v>20</v>
      </c>
      <c r="U514" s="538" t="str">
        <f t="shared" si="53"/>
        <v>06</v>
      </c>
      <c r="V514" s="471" t="s">
        <v>1136</v>
      </c>
      <c r="Y514" s="472">
        <f t="shared" si="54"/>
        <v>7.35</v>
      </c>
      <c r="Z514" s="540">
        <f t="shared" si="55"/>
        <v>0.57999999999999996</v>
      </c>
      <c r="AA514" s="471">
        <v>0</v>
      </c>
    </row>
    <row r="515" spans="1:27">
      <c r="A515" s="451" t="str">
        <f>CONCATENATE(VLOOKUP(B515,★営業所!$A$1:$B$5,2,FALSE),VLOOKUP(D515,★サイズ表記!$D$4:$E$55,2,FALSE),VLOOKUP(F515,★折込地区!$A$1:$B$11,2,FALSE))</f>
        <v>C2007Yng</v>
      </c>
      <c r="B515" s="457" t="s">
        <v>116</v>
      </c>
      <c r="C515" s="452" t="str">
        <f>VLOOKUP(B515,★営業所!$A$1:$B$5,2,FALSE)</f>
        <v>C</v>
      </c>
      <c r="D515" s="465" t="s">
        <v>1365</v>
      </c>
      <c r="E515" s="452" t="str">
        <f>VLOOKUP(D515,★サイズ表記!$D$4:$E$55,2,FALSE)</f>
        <v>2007</v>
      </c>
      <c r="F515" s="457" t="s">
        <v>1603</v>
      </c>
      <c r="G515" s="452" t="str">
        <f>VLOOKUP(F515,★折込地区!$A$1:$B$11,2,FALSE)</f>
        <v>Yng</v>
      </c>
      <c r="H515" s="453">
        <f>INDEX(★サイズ表記!$I$4:$Q$55, MATCH(E515,★サイズ表記!$E$4:$E$55,0), MATCH(G515,★サイズ表記!$I$3:$R$3,0))</f>
        <v>10.050000000000001</v>
      </c>
      <c r="K515" s="471" t="str">
        <f t="shared" si="56"/>
        <v>C2007Yng</v>
      </c>
      <c r="L515" s="471" t="str">
        <f t="shared" si="57"/>
        <v>連合タブ6P</v>
      </c>
      <c r="P515" s="533" t="s">
        <v>1324</v>
      </c>
      <c r="Q515" s="533" t="s">
        <v>1325</v>
      </c>
      <c r="R515" s="534" t="str">
        <f t="shared" si="58"/>
        <v>2007</v>
      </c>
      <c r="S515" s="534" t="str">
        <f t="shared" si="59"/>
        <v>連合タブ6P</v>
      </c>
      <c r="T515" s="538" t="str">
        <f t="shared" si="52"/>
        <v>20</v>
      </c>
      <c r="U515" s="538" t="str">
        <f t="shared" si="53"/>
        <v>07</v>
      </c>
      <c r="V515" s="471" t="s">
        <v>1136</v>
      </c>
      <c r="Y515" s="472">
        <f t="shared" si="54"/>
        <v>10.050000000000001</v>
      </c>
      <c r="Z515" s="540">
        <f t="shared" si="55"/>
        <v>0.8</v>
      </c>
      <c r="AA515" s="471">
        <v>0</v>
      </c>
    </row>
    <row r="516" spans="1:27">
      <c r="A516" s="451" t="str">
        <f>CONCATENATE(VLOOKUP(B516,★営業所!$A$1:$B$5,2,FALSE),VLOOKUP(D516,★サイズ表記!$D$4:$E$55,2,FALSE),VLOOKUP(F516,★折込地区!$A$1:$B$11,2,FALSE))</f>
        <v>C2008Yng</v>
      </c>
      <c r="B516" s="457" t="s">
        <v>116</v>
      </c>
      <c r="C516" s="452" t="str">
        <f>VLOOKUP(B516,★営業所!$A$1:$B$5,2,FALSE)</f>
        <v>C</v>
      </c>
      <c r="D516" s="465" t="s">
        <v>1366</v>
      </c>
      <c r="E516" s="452" t="str">
        <f>VLOOKUP(D516,★サイズ表記!$D$4:$E$55,2,FALSE)</f>
        <v>2008</v>
      </c>
      <c r="F516" s="457" t="s">
        <v>1603</v>
      </c>
      <c r="G516" s="452" t="str">
        <f>VLOOKUP(F516,★折込地区!$A$1:$B$11,2,FALSE)</f>
        <v>Yng</v>
      </c>
      <c r="H516" s="453">
        <f>INDEX(★サイズ表記!$I$4:$Q$55, MATCH(E516,★サイズ表記!$E$4:$E$55,0), MATCH(G516,★サイズ表記!$I$3:$R$3,0))</f>
        <v>10.5</v>
      </c>
      <c r="K516" s="471" t="str">
        <f t="shared" si="56"/>
        <v>C2008Yng</v>
      </c>
      <c r="L516" s="471" t="str">
        <f t="shared" si="57"/>
        <v>連合タブ8P</v>
      </c>
      <c r="P516" s="533" t="s">
        <v>1324</v>
      </c>
      <c r="Q516" s="533" t="s">
        <v>1325</v>
      </c>
      <c r="R516" s="534" t="str">
        <f t="shared" si="58"/>
        <v>2008</v>
      </c>
      <c r="S516" s="534" t="str">
        <f t="shared" si="59"/>
        <v>連合タブ8P</v>
      </c>
      <c r="T516" s="538" t="str">
        <f t="shared" si="52"/>
        <v>20</v>
      </c>
      <c r="U516" s="538" t="str">
        <f t="shared" si="53"/>
        <v>08</v>
      </c>
      <c r="V516" s="471" t="s">
        <v>1136</v>
      </c>
      <c r="Y516" s="472">
        <f t="shared" si="54"/>
        <v>10.5</v>
      </c>
      <c r="Z516" s="540">
        <f t="shared" si="55"/>
        <v>0.84</v>
      </c>
      <c r="AA516" s="471">
        <v>0</v>
      </c>
    </row>
    <row r="517" spans="1:27">
      <c r="A517" s="451" t="str">
        <f>CONCATENATE(VLOOKUP(B517,★営業所!$A$1:$B$5,2,FALSE),VLOOKUP(D517,★サイズ表記!$D$4:$E$55,2,FALSE),VLOOKUP(F517,★折込地区!$A$1:$B$11,2,FALSE))</f>
        <v>C2009Yng</v>
      </c>
      <c r="B517" s="457" t="s">
        <v>116</v>
      </c>
      <c r="C517" s="452" t="str">
        <f>VLOOKUP(B517,★営業所!$A$1:$B$5,2,FALSE)</f>
        <v>C</v>
      </c>
      <c r="D517" s="465" t="s">
        <v>1364</v>
      </c>
      <c r="E517" s="452" t="str">
        <f>VLOOKUP(D517,★サイズ表記!$D$4:$E$55,2,FALSE)</f>
        <v>2009</v>
      </c>
      <c r="F517" s="457" t="s">
        <v>1603</v>
      </c>
      <c r="G517" s="452" t="str">
        <f>VLOOKUP(F517,★折込地区!$A$1:$B$11,2,FALSE)</f>
        <v>Yng</v>
      </c>
      <c r="H517" s="453">
        <f>INDEX(★サイズ表記!$I$4:$Q$55, MATCH(E517,★サイズ表記!$E$4:$E$55,0), MATCH(G517,★サイズ表記!$I$3:$R$3,0))</f>
        <v>16.350000000000001</v>
      </c>
      <c r="K517" s="471" t="str">
        <f t="shared" si="56"/>
        <v>C2009Yng</v>
      </c>
      <c r="L517" s="471" t="str">
        <f t="shared" si="57"/>
        <v>連合タブ12P</v>
      </c>
      <c r="P517" s="533" t="s">
        <v>1324</v>
      </c>
      <c r="Q517" s="533" t="s">
        <v>1325</v>
      </c>
      <c r="R517" s="534" t="str">
        <f t="shared" si="58"/>
        <v>2009</v>
      </c>
      <c r="S517" s="534" t="str">
        <f t="shared" si="59"/>
        <v>連合タブ12P</v>
      </c>
      <c r="T517" s="538" t="str">
        <f t="shared" si="52"/>
        <v>20</v>
      </c>
      <c r="U517" s="538" t="str">
        <f t="shared" si="53"/>
        <v>09</v>
      </c>
      <c r="V517" s="471" t="s">
        <v>1136</v>
      </c>
      <c r="Y517" s="472">
        <f t="shared" si="54"/>
        <v>16.350000000000001</v>
      </c>
      <c r="Z517" s="540">
        <f t="shared" si="55"/>
        <v>1.3</v>
      </c>
      <c r="AA517" s="471">
        <v>0</v>
      </c>
    </row>
    <row r="518" spans="1:27">
      <c r="A518" s="451" t="str">
        <f>CONCATENATE(VLOOKUP(B518,★営業所!$A$1:$B$5,2,FALSE),VLOOKUP(D518,★サイズ表記!$D$4:$E$55,2,FALSE),VLOOKUP(F518,★折込地区!$A$1:$B$11,2,FALSE))</f>
        <v>C3001Yng</v>
      </c>
      <c r="B518" s="457" t="s">
        <v>116</v>
      </c>
      <c r="C518" s="452" t="str">
        <f>VLOOKUP(B518,★営業所!$A$1:$B$5,2,FALSE)</f>
        <v>C</v>
      </c>
      <c r="D518" s="465" t="s">
        <v>969</v>
      </c>
      <c r="E518" s="452" t="str">
        <f>VLOOKUP(D518,★サイズ表記!$D$4:$E$55,2,FALSE)</f>
        <v>3001</v>
      </c>
      <c r="F518" s="457" t="s">
        <v>1603</v>
      </c>
      <c r="G518" s="452" t="str">
        <f>VLOOKUP(F518,★折込地区!$A$1:$B$11,2,FALSE)</f>
        <v>Yng</v>
      </c>
      <c r="H518" s="453">
        <f>INDEX(★サイズ表記!$I$4:$Q$55, MATCH(E518,★サイズ表記!$E$4:$E$55,0), MATCH(G518,★サイズ表記!$I$3:$R$3,0))</f>
        <v>4.2</v>
      </c>
      <c r="K518" s="471" t="str">
        <f t="shared" si="56"/>
        <v>C3001Yng</v>
      </c>
      <c r="L518" s="471" t="str">
        <f t="shared" si="57"/>
        <v>政治B4</v>
      </c>
      <c r="P518" s="533" t="s">
        <v>1324</v>
      </c>
      <c r="Q518" s="533" t="s">
        <v>1325</v>
      </c>
      <c r="R518" s="534" t="str">
        <f t="shared" si="58"/>
        <v>3001</v>
      </c>
      <c r="S518" s="534" t="str">
        <f t="shared" si="59"/>
        <v>政治B4</v>
      </c>
      <c r="T518" s="538" t="str">
        <f t="shared" si="52"/>
        <v>30</v>
      </c>
      <c r="U518" s="538" t="str">
        <f t="shared" si="53"/>
        <v>01</v>
      </c>
      <c r="V518" s="471" t="s">
        <v>1136</v>
      </c>
      <c r="Y518" s="472">
        <f t="shared" si="54"/>
        <v>4.2</v>
      </c>
      <c r="Z518" s="540">
        <f t="shared" si="55"/>
        <v>0.33</v>
      </c>
      <c r="AA518" s="471">
        <v>0</v>
      </c>
    </row>
    <row r="519" spans="1:27">
      <c r="A519" s="451" t="str">
        <f>CONCATENATE(VLOOKUP(B519,★営業所!$A$1:$B$5,2,FALSE),VLOOKUP(D519,★サイズ表記!$D$4:$E$55,2,FALSE),VLOOKUP(F519,★折込地区!$A$1:$B$11,2,FALSE))</f>
        <v>C3002Yng</v>
      </c>
      <c r="B519" s="457" t="s">
        <v>116</v>
      </c>
      <c r="C519" s="452" t="str">
        <f>VLOOKUP(B519,★営業所!$A$1:$B$5,2,FALSE)</f>
        <v>C</v>
      </c>
      <c r="D519" s="465" t="s">
        <v>970</v>
      </c>
      <c r="E519" s="452" t="str">
        <f>VLOOKUP(D519,★サイズ表記!$D$4:$E$55,2,FALSE)</f>
        <v>3002</v>
      </c>
      <c r="F519" s="457" t="s">
        <v>1603</v>
      </c>
      <c r="G519" s="452" t="str">
        <f>VLOOKUP(F519,★折込地区!$A$1:$B$11,2,FALSE)</f>
        <v>Yng</v>
      </c>
      <c r="H519" s="453">
        <f>INDEX(★サイズ表記!$I$4:$Q$55, MATCH(E519,★サイズ表記!$E$4:$E$55,0), MATCH(G519,★サイズ表記!$I$3:$R$3,0))</f>
        <v>5.85</v>
      </c>
      <c r="K519" s="471" t="str">
        <f t="shared" si="56"/>
        <v>C3002Yng</v>
      </c>
      <c r="L519" s="471" t="str">
        <f t="shared" si="57"/>
        <v>政治B3</v>
      </c>
      <c r="P519" s="533" t="s">
        <v>1324</v>
      </c>
      <c r="Q519" s="533" t="s">
        <v>1325</v>
      </c>
      <c r="R519" s="534" t="str">
        <f t="shared" si="58"/>
        <v>3002</v>
      </c>
      <c r="S519" s="534" t="str">
        <f t="shared" si="59"/>
        <v>政治B3</v>
      </c>
      <c r="T519" s="538" t="str">
        <f t="shared" si="52"/>
        <v>30</v>
      </c>
      <c r="U519" s="538" t="str">
        <f t="shared" si="53"/>
        <v>02</v>
      </c>
      <c r="V519" s="471" t="s">
        <v>1136</v>
      </c>
      <c r="Y519" s="472">
        <f t="shared" si="54"/>
        <v>5.85</v>
      </c>
      <c r="Z519" s="540">
        <f t="shared" si="55"/>
        <v>0.46</v>
      </c>
      <c r="AA519" s="471">
        <v>0</v>
      </c>
    </row>
    <row r="520" spans="1:27">
      <c r="A520" s="451" t="str">
        <f>CONCATENATE(VLOOKUP(B520,★営業所!$A$1:$B$5,2,FALSE),VLOOKUP(D520,★サイズ表記!$D$4:$E$55,2,FALSE),VLOOKUP(F520,★折込地区!$A$1:$B$11,2,FALSE))</f>
        <v>C3003Yng</v>
      </c>
      <c r="B520" s="457" t="s">
        <v>116</v>
      </c>
      <c r="C520" s="452" t="str">
        <f>VLOOKUP(B520,★営業所!$A$1:$B$5,2,FALSE)</f>
        <v>C</v>
      </c>
      <c r="D520" s="465" t="s">
        <v>971</v>
      </c>
      <c r="E520" s="452" t="str">
        <f>VLOOKUP(D520,★サイズ表記!$D$4:$E$55,2,FALSE)</f>
        <v>3003</v>
      </c>
      <c r="F520" s="457" t="s">
        <v>1603</v>
      </c>
      <c r="G520" s="452" t="str">
        <f>VLOOKUP(F520,★折込地区!$A$1:$B$11,2,FALSE)</f>
        <v>Yng</v>
      </c>
      <c r="H520" s="453">
        <f>INDEX(★サイズ表記!$I$4:$Q$55, MATCH(E520,★サイズ表記!$E$4:$E$55,0), MATCH(G520,★サイズ表記!$I$3:$R$3,0))</f>
        <v>10.5</v>
      </c>
      <c r="K520" s="471" t="str">
        <f t="shared" si="56"/>
        <v>C3003Yng</v>
      </c>
      <c r="L520" s="471" t="str">
        <f t="shared" si="57"/>
        <v>政治B2</v>
      </c>
      <c r="P520" s="533" t="s">
        <v>1324</v>
      </c>
      <c r="Q520" s="533" t="s">
        <v>1325</v>
      </c>
      <c r="R520" s="534" t="str">
        <f t="shared" si="58"/>
        <v>3003</v>
      </c>
      <c r="S520" s="534" t="str">
        <f t="shared" si="59"/>
        <v>政治B2</v>
      </c>
      <c r="T520" s="538" t="str">
        <f t="shared" si="52"/>
        <v>30</v>
      </c>
      <c r="U520" s="538" t="str">
        <f t="shared" si="53"/>
        <v>03</v>
      </c>
      <c r="V520" s="471" t="s">
        <v>1136</v>
      </c>
      <c r="Y520" s="472">
        <f t="shared" si="54"/>
        <v>10.5</v>
      </c>
      <c r="Z520" s="540">
        <f t="shared" si="55"/>
        <v>0.84</v>
      </c>
      <c r="AA520" s="471">
        <v>0</v>
      </c>
    </row>
    <row r="521" spans="1:27">
      <c r="A521" s="451" t="str">
        <f>CONCATENATE(VLOOKUP(B521,★営業所!$A$1:$B$5,2,FALSE),VLOOKUP(D521,★サイズ表記!$D$4:$E$55,2,FALSE),VLOOKUP(F521,★折込地区!$A$1:$B$11,2,FALSE))</f>
        <v>C3004Yng</v>
      </c>
      <c r="B521" s="457" t="s">
        <v>116</v>
      </c>
      <c r="C521" s="452" t="str">
        <f>VLOOKUP(B521,★営業所!$A$1:$B$5,2,FALSE)</f>
        <v>C</v>
      </c>
      <c r="D521" s="465" t="s">
        <v>972</v>
      </c>
      <c r="E521" s="452" t="str">
        <f>VLOOKUP(D521,★サイズ表記!$D$4:$E$55,2,FALSE)</f>
        <v>3004</v>
      </c>
      <c r="F521" s="457" t="s">
        <v>1603</v>
      </c>
      <c r="G521" s="452" t="str">
        <f>VLOOKUP(F521,★折込地区!$A$1:$B$11,2,FALSE)</f>
        <v>Yng</v>
      </c>
      <c r="H521" s="453">
        <f>INDEX(★サイズ表記!$I$4:$Q$55, MATCH(E521,★サイズ表記!$E$4:$E$55,0), MATCH(G521,★サイズ表記!$I$3:$R$3,0))</f>
        <v>10.5</v>
      </c>
      <c r="K521" s="471" t="str">
        <f t="shared" si="56"/>
        <v>C3004Yng</v>
      </c>
      <c r="L521" s="471" t="str">
        <f t="shared" si="57"/>
        <v>政治3つ折り</v>
      </c>
      <c r="P521" s="533" t="s">
        <v>1324</v>
      </c>
      <c r="Q521" s="533" t="s">
        <v>1325</v>
      </c>
      <c r="R521" s="534" t="str">
        <f t="shared" si="58"/>
        <v>3004</v>
      </c>
      <c r="S521" s="534" t="str">
        <f t="shared" si="59"/>
        <v>政治3つ折り</v>
      </c>
      <c r="T521" s="538" t="str">
        <f t="shared" si="52"/>
        <v>30</v>
      </c>
      <c r="U521" s="538" t="str">
        <f t="shared" si="53"/>
        <v>04</v>
      </c>
      <c r="V521" s="471" t="s">
        <v>1136</v>
      </c>
      <c r="Y521" s="472">
        <f t="shared" si="54"/>
        <v>10.5</v>
      </c>
      <c r="Z521" s="540">
        <f t="shared" si="55"/>
        <v>0.84</v>
      </c>
      <c r="AA521" s="471">
        <v>0</v>
      </c>
    </row>
    <row r="522" spans="1:27">
      <c r="A522" s="451" t="str">
        <f>CONCATENATE(VLOOKUP(B522,★営業所!$A$1:$B$5,2,FALSE),VLOOKUP(D522,★サイズ表記!$D$4:$E$55,2,FALSE),VLOOKUP(F522,★折込地区!$A$1:$B$11,2,FALSE))</f>
        <v>C3005Yng</v>
      </c>
      <c r="B522" s="457" t="s">
        <v>116</v>
      </c>
      <c r="C522" s="452" t="str">
        <f>VLOOKUP(B522,★営業所!$A$1:$B$5,2,FALSE)</f>
        <v>C</v>
      </c>
      <c r="D522" s="465" t="s">
        <v>973</v>
      </c>
      <c r="E522" s="452" t="str">
        <f>VLOOKUP(D522,★サイズ表記!$D$4:$E$55,2,FALSE)</f>
        <v>3005</v>
      </c>
      <c r="F522" s="457" t="s">
        <v>1603</v>
      </c>
      <c r="G522" s="452" t="str">
        <f>VLOOKUP(F522,★折込地区!$A$1:$B$11,2,FALSE)</f>
        <v>Yng</v>
      </c>
      <c r="H522" s="453">
        <f>INDEX(★サイズ表記!$I$4:$Q$55, MATCH(E522,★サイズ表記!$E$4:$E$55,0), MATCH(G522,★サイズ表記!$I$3:$R$3,0))</f>
        <v>7.35</v>
      </c>
      <c r="K522" s="471" t="str">
        <f t="shared" ref="K522:K544" si="60">A522</f>
        <v>C3005Yng</v>
      </c>
      <c r="L522" s="471" t="str">
        <f t="shared" ref="L522:L544" si="61">D522</f>
        <v>政治2つ折り極小</v>
      </c>
      <c r="P522" s="533" t="s">
        <v>1324</v>
      </c>
      <c r="Q522" s="533" t="s">
        <v>1325</v>
      </c>
      <c r="R522" s="534" t="str">
        <f t="shared" si="58"/>
        <v>3005</v>
      </c>
      <c r="S522" s="534" t="str">
        <f t="shared" si="59"/>
        <v>政治2つ折り極小</v>
      </c>
      <c r="T522" s="538" t="str">
        <f t="shared" si="52"/>
        <v>30</v>
      </c>
      <c r="U522" s="538" t="str">
        <f t="shared" si="53"/>
        <v>05</v>
      </c>
      <c r="V522" s="471" t="s">
        <v>1136</v>
      </c>
      <c r="Y522" s="472">
        <f t="shared" si="54"/>
        <v>7.35</v>
      </c>
      <c r="Z522" s="540">
        <f t="shared" si="55"/>
        <v>0.57999999999999996</v>
      </c>
      <c r="AA522" s="471">
        <v>0</v>
      </c>
    </row>
    <row r="523" spans="1:27">
      <c r="A523" s="451" t="str">
        <f>CONCATENATE(VLOOKUP(B523,★営業所!$A$1:$B$5,2,FALSE),VLOOKUP(D523,★サイズ表記!$D$4:$E$55,2,FALSE),VLOOKUP(F523,★折込地区!$A$1:$B$11,2,FALSE))</f>
        <v>C3006Yng</v>
      </c>
      <c r="B523" s="457" t="s">
        <v>116</v>
      </c>
      <c r="C523" s="452" t="str">
        <f>VLOOKUP(B523,★営業所!$A$1:$B$5,2,FALSE)</f>
        <v>C</v>
      </c>
      <c r="D523" s="465" t="s">
        <v>974</v>
      </c>
      <c r="E523" s="452" t="str">
        <f>VLOOKUP(D523,★サイズ表記!$D$4:$E$55,2,FALSE)</f>
        <v>3006</v>
      </c>
      <c r="F523" s="457" t="s">
        <v>1603</v>
      </c>
      <c r="G523" s="452" t="str">
        <f>VLOOKUP(F523,★折込地区!$A$1:$B$11,2,FALSE)</f>
        <v>Yng</v>
      </c>
      <c r="H523" s="453">
        <f>INDEX(★サイズ表記!$I$4:$Q$55, MATCH(E523,★サイズ表記!$E$4:$E$55,0), MATCH(G523,★サイズ表記!$I$3:$R$3,0))</f>
        <v>4.7</v>
      </c>
      <c r="K523" s="471" t="str">
        <f t="shared" si="60"/>
        <v>C3006Yng</v>
      </c>
      <c r="L523" s="471" t="str">
        <f t="shared" si="61"/>
        <v>政治B4厚紙</v>
      </c>
      <c r="P523" s="533" t="s">
        <v>1324</v>
      </c>
      <c r="Q523" s="533" t="s">
        <v>1325</v>
      </c>
      <c r="R523" s="534" t="str">
        <f t="shared" ref="R523:R544" si="62">E523</f>
        <v>3006</v>
      </c>
      <c r="S523" s="534" t="str">
        <f t="shared" ref="S523:S544" si="63">L523</f>
        <v>政治B4厚紙</v>
      </c>
      <c r="T523" s="538" t="str">
        <f t="shared" si="52"/>
        <v>30</v>
      </c>
      <c r="U523" s="538" t="str">
        <f t="shared" si="53"/>
        <v>06</v>
      </c>
      <c r="V523" s="471" t="s">
        <v>1136</v>
      </c>
      <c r="Y523" s="472">
        <f t="shared" si="54"/>
        <v>4.7</v>
      </c>
      <c r="Z523" s="540">
        <f t="shared" si="55"/>
        <v>0.37</v>
      </c>
      <c r="AA523" s="471">
        <v>0</v>
      </c>
    </row>
    <row r="524" spans="1:27">
      <c r="A524" s="451" t="str">
        <f>CONCATENATE(VLOOKUP(B524,★営業所!$A$1:$B$5,2,FALSE),VLOOKUP(D524,★サイズ表記!$D$4:$E$55,2,FALSE),VLOOKUP(F524,★折込地区!$A$1:$B$11,2,FALSE))</f>
        <v>C3007Yng</v>
      </c>
      <c r="B524" s="457" t="s">
        <v>116</v>
      </c>
      <c r="C524" s="452" t="str">
        <f>VLOOKUP(B524,★営業所!$A$1:$B$5,2,FALSE)</f>
        <v>C</v>
      </c>
      <c r="D524" s="465" t="s">
        <v>1362</v>
      </c>
      <c r="E524" s="452" t="str">
        <f>VLOOKUP(D524,★サイズ表記!$D$4:$E$55,2,FALSE)</f>
        <v>3007</v>
      </c>
      <c r="F524" s="457" t="s">
        <v>1603</v>
      </c>
      <c r="G524" s="452" t="str">
        <f>VLOOKUP(F524,★折込地区!$A$1:$B$11,2,FALSE)</f>
        <v>Yng</v>
      </c>
      <c r="H524" s="453">
        <f>INDEX(★サイズ表記!$I$4:$Q$55, MATCH(E524,★サイズ表記!$E$4:$E$55,0), MATCH(G524,★サイズ表記!$I$3:$R$3,0))</f>
        <v>10.050000000000001</v>
      </c>
      <c r="K524" s="471" t="str">
        <f t="shared" si="60"/>
        <v>C3007Yng</v>
      </c>
      <c r="L524" s="471" t="str">
        <f t="shared" si="61"/>
        <v>政治タブ6P</v>
      </c>
      <c r="P524" s="533" t="s">
        <v>1324</v>
      </c>
      <c r="Q524" s="533" t="s">
        <v>1325</v>
      </c>
      <c r="R524" s="534" t="str">
        <f t="shared" si="62"/>
        <v>3007</v>
      </c>
      <c r="S524" s="534" t="str">
        <f t="shared" si="63"/>
        <v>政治タブ6P</v>
      </c>
      <c r="T524" s="538" t="str">
        <f t="shared" si="52"/>
        <v>30</v>
      </c>
      <c r="U524" s="538" t="str">
        <f t="shared" si="53"/>
        <v>07</v>
      </c>
      <c r="V524" s="471" t="s">
        <v>1136</v>
      </c>
      <c r="Y524" s="472">
        <f t="shared" si="54"/>
        <v>10.050000000000001</v>
      </c>
      <c r="Z524" s="540">
        <f t="shared" si="55"/>
        <v>0.8</v>
      </c>
      <c r="AA524" s="471">
        <v>0</v>
      </c>
    </row>
    <row r="525" spans="1:27">
      <c r="A525" s="451" t="str">
        <f>CONCATENATE(VLOOKUP(B525,★営業所!$A$1:$B$5,2,FALSE),VLOOKUP(D525,★サイズ表記!$D$4:$E$55,2,FALSE),VLOOKUP(F525,★折込地区!$A$1:$B$11,2,FALSE))</f>
        <v>C3008Yng</v>
      </c>
      <c r="B525" s="457" t="s">
        <v>116</v>
      </c>
      <c r="C525" s="452" t="str">
        <f>VLOOKUP(B525,★営業所!$A$1:$B$5,2,FALSE)</f>
        <v>C</v>
      </c>
      <c r="D525" s="465" t="s">
        <v>1363</v>
      </c>
      <c r="E525" s="452" t="str">
        <f>VLOOKUP(D525,★サイズ表記!$D$4:$E$55,2,FALSE)</f>
        <v>3008</v>
      </c>
      <c r="F525" s="457" t="s">
        <v>1603</v>
      </c>
      <c r="G525" s="452" t="str">
        <f>VLOOKUP(F525,★折込地区!$A$1:$B$11,2,FALSE)</f>
        <v>Yng</v>
      </c>
      <c r="H525" s="453">
        <f>INDEX(★サイズ表記!$I$4:$Q$55, MATCH(E525,★サイズ表記!$E$4:$E$55,0), MATCH(G525,★サイズ表記!$I$3:$R$3,0))</f>
        <v>10.5</v>
      </c>
      <c r="K525" s="471" t="str">
        <f t="shared" si="60"/>
        <v>C3008Yng</v>
      </c>
      <c r="L525" s="471" t="str">
        <f t="shared" si="61"/>
        <v>政治タブ8P</v>
      </c>
      <c r="P525" s="533" t="s">
        <v>1324</v>
      </c>
      <c r="Q525" s="533" t="s">
        <v>1325</v>
      </c>
      <c r="R525" s="534" t="str">
        <f t="shared" si="62"/>
        <v>3008</v>
      </c>
      <c r="S525" s="534" t="str">
        <f t="shared" si="63"/>
        <v>政治タブ8P</v>
      </c>
      <c r="T525" s="538" t="str">
        <f t="shared" si="52"/>
        <v>30</v>
      </c>
      <c r="U525" s="538" t="str">
        <f t="shared" si="53"/>
        <v>08</v>
      </c>
      <c r="V525" s="471" t="s">
        <v>1136</v>
      </c>
      <c r="Y525" s="472">
        <f t="shared" si="54"/>
        <v>10.5</v>
      </c>
      <c r="Z525" s="540">
        <f t="shared" si="55"/>
        <v>0.84</v>
      </c>
      <c r="AA525" s="471">
        <v>0</v>
      </c>
    </row>
    <row r="526" spans="1:27">
      <c r="A526" s="451" t="str">
        <f>CONCATENATE(VLOOKUP(B526,★営業所!$A$1:$B$5,2,FALSE),VLOOKUP(D526,★サイズ表記!$D$4:$E$55,2,FALSE),VLOOKUP(F526,★折込地区!$A$1:$B$11,2,FALSE))</f>
        <v>C3009Yng</v>
      </c>
      <c r="B526" s="457" t="s">
        <v>116</v>
      </c>
      <c r="C526" s="452" t="str">
        <f>VLOOKUP(B526,★営業所!$A$1:$B$5,2,FALSE)</f>
        <v>C</v>
      </c>
      <c r="D526" s="465" t="s">
        <v>1361</v>
      </c>
      <c r="E526" s="452" t="str">
        <f>VLOOKUP(D526,★サイズ表記!$D$4:$E$55,2,FALSE)</f>
        <v>3009</v>
      </c>
      <c r="F526" s="457" t="s">
        <v>1603</v>
      </c>
      <c r="G526" s="452" t="str">
        <f>VLOOKUP(F526,★折込地区!$A$1:$B$11,2,FALSE)</f>
        <v>Yng</v>
      </c>
      <c r="H526" s="453">
        <f>INDEX(★サイズ表記!$I$4:$Q$55, MATCH(E526,★サイズ表記!$E$4:$E$55,0), MATCH(G526,★サイズ表記!$I$3:$R$3,0))</f>
        <v>16.350000000000001</v>
      </c>
      <c r="K526" s="471" t="str">
        <f t="shared" si="60"/>
        <v>C3009Yng</v>
      </c>
      <c r="L526" s="471" t="str">
        <f t="shared" si="61"/>
        <v>政治タブ12P</v>
      </c>
      <c r="P526" s="533" t="s">
        <v>1324</v>
      </c>
      <c r="Q526" s="533" t="s">
        <v>1325</v>
      </c>
      <c r="R526" s="534" t="str">
        <f t="shared" si="62"/>
        <v>3009</v>
      </c>
      <c r="S526" s="534" t="str">
        <f t="shared" si="63"/>
        <v>政治タブ12P</v>
      </c>
      <c r="T526" s="538" t="str">
        <f t="shared" si="52"/>
        <v>30</v>
      </c>
      <c r="U526" s="538" t="str">
        <f t="shared" si="53"/>
        <v>09</v>
      </c>
      <c r="V526" s="471" t="s">
        <v>1136</v>
      </c>
      <c r="Y526" s="472">
        <f t="shared" si="54"/>
        <v>16.350000000000001</v>
      </c>
      <c r="Z526" s="540">
        <f t="shared" si="55"/>
        <v>1.3</v>
      </c>
      <c r="AA526" s="471">
        <v>0</v>
      </c>
    </row>
    <row r="527" spans="1:27">
      <c r="A527" s="451" t="str">
        <f>CONCATENATE(VLOOKUP(B527,★営業所!$A$1:$B$5,2,FALSE),VLOOKUP(D527,★サイズ表記!$D$4:$E$55,2,FALSE),VLOOKUP(F527,★折込地区!$A$1:$B$11,2,FALSE))</f>
        <v>C4001Yng</v>
      </c>
      <c r="B527" s="457" t="s">
        <v>116</v>
      </c>
      <c r="C527" s="452" t="str">
        <f>VLOOKUP(B527,★営業所!$A$1:$B$5,2,FALSE)</f>
        <v>C</v>
      </c>
      <c r="D527" s="465" t="s">
        <v>1358</v>
      </c>
      <c r="E527" s="452" t="str">
        <f>VLOOKUP(D527,★サイズ表記!$D$4:$E$55,2,FALSE)</f>
        <v>4001</v>
      </c>
      <c r="F527" s="457" t="s">
        <v>1603</v>
      </c>
      <c r="G527" s="452" t="str">
        <f>VLOOKUP(F527,★折込地区!$A$1:$B$11,2,FALSE)</f>
        <v>Yng</v>
      </c>
      <c r="H527" s="453">
        <f>INDEX(★サイズ表記!$I$4:$Q$55, MATCH(E527,★サイズ表記!$E$4:$E$55,0), MATCH(G527,★サイズ表記!$I$3:$R$3,0))</f>
        <v>6.7</v>
      </c>
      <c r="K527" s="471" t="str">
        <f t="shared" si="60"/>
        <v>C4001Yng</v>
      </c>
      <c r="L527" s="471" t="str">
        <f t="shared" si="61"/>
        <v>タブ6P</v>
      </c>
      <c r="P527" s="533" t="s">
        <v>1324</v>
      </c>
      <c r="Q527" s="533" t="s">
        <v>1325</v>
      </c>
      <c r="R527" s="534" t="str">
        <f t="shared" si="62"/>
        <v>4001</v>
      </c>
      <c r="S527" s="534" t="str">
        <f t="shared" si="63"/>
        <v>タブ6P</v>
      </c>
      <c r="T527" s="538" t="str">
        <f t="shared" si="52"/>
        <v>40</v>
      </c>
      <c r="U527" s="538" t="str">
        <f t="shared" si="53"/>
        <v>01</v>
      </c>
      <c r="V527" s="471" t="s">
        <v>1136</v>
      </c>
      <c r="Y527" s="472">
        <f t="shared" si="54"/>
        <v>6.7</v>
      </c>
      <c r="Z527" s="540">
        <f t="shared" si="55"/>
        <v>0.53</v>
      </c>
      <c r="AA527" s="471">
        <v>0</v>
      </c>
    </row>
    <row r="528" spans="1:27">
      <c r="A528" s="451" t="str">
        <f>CONCATENATE(VLOOKUP(B528,★営業所!$A$1:$B$5,2,FALSE),VLOOKUP(D528,★サイズ表記!$D$4:$E$55,2,FALSE),VLOOKUP(F528,★折込地区!$A$1:$B$11,2,FALSE))</f>
        <v>C4002Yng</v>
      </c>
      <c r="B528" s="457" t="s">
        <v>116</v>
      </c>
      <c r="C528" s="452" t="str">
        <f>VLOOKUP(B528,★営業所!$A$1:$B$5,2,FALSE)</f>
        <v>C</v>
      </c>
      <c r="D528" s="465" t="s">
        <v>1359</v>
      </c>
      <c r="E528" s="452" t="str">
        <f>VLOOKUP(D528,★サイズ表記!$D$4:$E$55,2,FALSE)</f>
        <v>4002</v>
      </c>
      <c r="F528" s="457" t="s">
        <v>1603</v>
      </c>
      <c r="G528" s="452" t="str">
        <f>VLOOKUP(F528,★折込地区!$A$1:$B$11,2,FALSE)</f>
        <v>Yng</v>
      </c>
      <c r="H528" s="453">
        <f>INDEX(★サイズ表記!$I$4:$Q$55, MATCH(E528,★サイズ表記!$E$4:$E$55,0), MATCH(G528,★サイズ表記!$I$3:$R$3,0))</f>
        <v>7</v>
      </c>
      <c r="K528" s="471" t="str">
        <f t="shared" si="60"/>
        <v>C4002Yng</v>
      </c>
      <c r="L528" s="471" t="str">
        <f t="shared" si="61"/>
        <v>タブ8P</v>
      </c>
      <c r="P528" s="533" t="s">
        <v>1324</v>
      </c>
      <c r="Q528" s="533" t="s">
        <v>1325</v>
      </c>
      <c r="R528" s="534" t="str">
        <f t="shared" si="62"/>
        <v>4002</v>
      </c>
      <c r="S528" s="534" t="str">
        <f t="shared" si="63"/>
        <v>タブ8P</v>
      </c>
      <c r="T528" s="538" t="str">
        <f t="shared" si="52"/>
        <v>40</v>
      </c>
      <c r="U528" s="538" t="str">
        <f t="shared" si="53"/>
        <v>02</v>
      </c>
      <c r="V528" s="471" t="s">
        <v>1136</v>
      </c>
      <c r="Y528" s="472">
        <f t="shared" si="54"/>
        <v>7</v>
      </c>
      <c r="Z528" s="540">
        <f t="shared" si="55"/>
        <v>0.56000000000000005</v>
      </c>
      <c r="AA528" s="471">
        <v>0</v>
      </c>
    </row>
    <row r="529" spans="1:27">
      <c r="A529" s="451" t="str">
        <f>CONCATENATE(VLOOKUP(B529,★営業所!$A$1:$B$5,2,FALSE),VLOOKUP(D529,★サイズ表記!$D$4:$E$55,2,FALSE),VLOOKUP(F529,★折込地区!$A$1:$B$11,2,FALSE))</f>
        <v>C4003Yng</v>
      </c>
      <c r="B529" s="457" t="s">
        <v>116</v>
      </c>
      <c r="C529" s="452" t="str">
        <f>VLOOKUP(B529,★営業所!$A$1:$B$5,2,FALSE)</f>
        <v>C</v>
      </c>
      <c r="D529" s="465" t="s">
        <v>1360</v>
      </c>
      <c r="E529" s="452" t="str">
        <f>VLOOKUP(D529,★サイズ表記!$D$4:$E$55,2,FALSE)</f>
        <v>4003</v>
      </c>
      <c r="F529" s="457" t="s">
        <v>1603</v>
      </c>
      <c r="G529" s="452" t="str">
        <f>VLOOKUP(F529,★折込地区!$A$1:$B$11,2,FALSE)</f>
        <v>Yng</v>
      </c>
      <c r="H529" s="453">
        <f>INDEX(★サイズ表記!$I$4:$Q$55, MATCH(E529,★サイズ表記!$E$4:$E$55,0), MATCH(G529,★サイズ表記!$I$3:$R$3,0))</f>
        <v>8</v>
      </c>
      <c r="K529" s="471" t="str">
        <f t="shared" si="60"/>
        <v>C4003Yng</v>
      </c>
      <c r="L529" s="471" t="str">
        <f t="shared" si="61"/>
        <v>タブ8Pホチキス止め</v>
      </c>
      <c r="P529" s="533" t="s">
        <v>1324</v>
      </c>
      <c r="Q529" s="533" t="s">
        <v>1325</v>
      </c>
      <c r="R529" s="534" t="str">
        <f t="shared" si="62"/>
        <v>4003</v>
      </c>
      <c r="S529" s="534" t="str">
        <f t="shared" si="63"/>
        <v>タブ8Pホチキス止め</v>
      </c>
      <c r="T529" s="538" t="str">
        <f t="shared" si="52"/>
        <v>40</v>
      </c>
      <c r="U529" s="538" t="str">
        <f t="shared" si="53"/>
        <v>03</v>
      </c>
      <c r="V529" s="471" t="s">
        <v>1136</v>
      </c>
      <c r="Y529" s="472">
        <f t="shared" si="54"/>
        <v>8</v>
      </c>
      <c r="Z529" s="540">
        <f t="shared" si="55"/>
        <v>0.64</v>
      </c>
      <c r="AA529" s="471">
        <v>0</v>
      </c>
    </row>
    <row r="530" spans="1:27">
      <c r="A530" s="451" t="str">
        <f>CONCATENATE(VLOOKUP(B530,★営業所!$A$1:$B$5,2,FALSE),VLOOKUP(D530,★サイズ表記!$D$4:$E$55,2,FALSE),VLOOKUP(F530,★折込地区!$A$1:$B$11,2,FALSE))</f>
        <v>C4004Yng</v>
      </c>
      <c r="B530" s="457" t="s">
        <v>116</v>
      </c>
      <c r="C530" s="452" t="str">
        <f>VLOOKUP(B530,★営業所!$A$1:$B$5,2,FALSE)</f>
        <v>C</v>
      </c>
      <c r="D530" s="465" t="s">
        <v>1350</v>
      </c>
      <c r="E530" s="452" t="str">
        <f>VLOOKUP(D530,★サイズ表記!$D$4:$E$55,2,FALSE)</f>
        <v>4004</v>
      </c>
      <c r="F530" s="457" t="s">
        <v>1603</v>
      </c>
      <c r="G530" s="452" t="str">
        <f>VLOOKUP(F530,★折込地区!$A$1:$B$11,2,FALSE)</f>
        <v>Yng</v>
      </c>
      <c r="H530" s="453">
        <f>INDEX(★サイズ表記!$I$4:$Q$55, MATCH(E530,★サイズ表記!$E$4:$E$55,0), MATCH(G530,★サイズ表記!$I$3:$R$3,0))</f>
        <v>9.8000000000000007</v>
      </c>
      <c r="K530" s="471" t="str">
        <f t="shared" si="60"/>
        <v>C4004Yng</v>
      </c>
      <c r="L530" s="471" t="str">
        <f t="shared" si="61"/>
        <v>タブ10P</v>
      </c>
      <c r="P530" s="533" t="s">
        <v>1324</v>
      </c>
      <c r="Q530" s="533" t="s">
        <v>1325</v>
      </c>
      <c r="R530" s="534" t="str">
        <f t="shared" si="62"/>
        <v>4004</v>
      </c>
      <c r="S530" s="534" t="str">
        <f t="shared" si="63"/>
        <v>タブ10P</v>
      </c>
      <c r="T530" s="538" t="str">
        <f t="shared" si="52"/>
        <v>40</v>
      </c>
      <c r="U530" s="538" t="str">
        <f t="shared" si="53"/>
        <v>04</v>
      </c>
      <c r="V530" s="471" t="s">
        <v>1136</v>
      </c>
      <c r="Y530" s="472">
        <f t="shared" si="54"/>
        <v>9.8000000000000007</v>
      </c>
      <c r="Z530" s="540">
        <f t="shared" si="55"/>
        <v>0.78</v>
      </c>
      <c r="AA530" s="471">
        <v>0</v>
      </c>
    </row>
    <row r="531" spans="1:27">
      <c r="A531" s="451" t="str">
        <f>CONCATENATE(VLOOKUP(B531,★営業所!$A$1:$B$5,2,FALSE),VLOOKUP(D531,★サイズ表記!$D$4:$E$55,2,FALSE),VLOOKUP(F531,★折込地区!$A$1:$B$11,2,FALSE))</f>
        <v>C4005Yng</v>
      </c>
      <c r="B531" s="457" t="s">
        <v>116</v>
      </c>
      <c r="C531" s="452" t="str">
        <f>VLOOKUP(B531,★営業所!$A$1:$B$5,2,FALSE)</f>
        <v>C</v>
      </c>
      <c r="D531" s="465" t="s">
        <v>1351</v>
      </c>
      <c r="E531" s="452" t="str">
        <f>VLOOKUP(D531,★サイズ表記!$D$4:$E$55,2,FALSE)</f>
        <v>4005</v>
      </c>
      <c r="F531" s="457" t="s">
        <v>1603</v>
      </c>
      <c r="G531" s="452" t="str">
        <f>VLOOKUP(F531,★折込地区!$A$1:$B$11,2,FALSE)</f>
        <v>Yng</v>
      </c>
      <c r="H531" s="453">
        <f>INDEX(★サイズ表記!$I$4:$Q$55, MATCH(E531,★サイズ表記!$E$4:$E$55,0), MATCH(G531,★サイズ表記!$I$3:$R$3,0))</f>
        <v>10.9</v>
      </c>
      <c r="K531" s="471" t="str">
        <f t="shared" si="60"/>
        <v>C4005Yng</v>
      </c>
      <c r="L531" s="471" t="str">
        <f t="shared" si="61"/>
        <v>タブ12P</v>
      </c>
      <c r="P531" s="533" t="s">
        <v>1324</v>
      </c>
      <c r="Q531" s="533" t="s">
        <v>1325</v>
      </c>
      <c r="R531" s="534" t="str">
        <f t="shared" si="62"/>
        <v>4005</v>
      </c>
      <c r="S531" s="534" t="str">
        <f t="shared" si="63"/>
        <v>タブ12P</v>
      </c>
      <c r="T531" s="538" t="str">
        <f t="shared" si="52"/>
        <v>40</v>
      </c>
      <c r="U531" s="538" t="str">
        <f t="shared" si="53"/>
        <v>05</v>
      </c>
      <c r="V531" s="471" t="s">
        <v>1136</v>
      </c>
      <c r="Y531" s="472">
        <f t="shared" si="54"/>
        <v>10.9</v>
      </c>
      <c r="Z531" s="540">
        <f t="shared" si="55"/>
        <v>0.87</v>
      </c>
      <c r="AA531" s="471">
        <v>0</v>
      </c>
    </row>
    <row r="532" spans="1:27">
      <c r="A532" s="451" t="str">
        <f>CONCATENATE(VLOOKUP(B532,★営業所!$A$1:$B$5,2,FALSE),VLOOKUP(D532,★サイズ表記!$D$4:$E$55,2,FALSE),VLOOKUP(F532,★折込地区!$A$1:$B$11,2,FALSE))</f>
        <v>C4006Yng</v>
      </c>
      <c r="B532" s="457" t="s">
        <v>116</v>
      </c>
      <c r="C532" s="452" t="str">
        <f>VLOOKUP(B532,★営業所!$A$1:$B$5,2,FALSE)</f>
        <v>C</v>
      </c>
      <c r="D532" s="465" t="s">
        <v>1352</v>
      </c>
      <c r="E532" s="452" t="str">
        <f>VLOOKUP(D532,★サイズ表記!$D$4:$E$55,2,FALSE)</f>
        <v>4006</v>
      </c>
      <c r="F532" s="457" t="s">
        <v>1603</v>
      </c>
      <c r="G532" s="452" t="str">
        <f>VLOOKUP(F532,★折込地区!$A$1:$B$11,2,FALSE)</f>
        <v>Yng</v>
      </c>
      <c r="H532" s="453">
        <f>INDEX(★サイズ表記!$I$4:$Q$55, MATCH(E532,★サイズ表記!$E$4:$E$55,0), MATCH(G532,★サイズ表記!$I$3:$R$3,0))</f>
        <v>13.7</v>
      </c>
      <c r="K532" s="471" t="str">
        <f t="shared" si="60"/>
        <v>C4006Yng</v>
      </c>
      <c r="L532" s="471" t="str">
        <f t="shared" si="61"/>
        <v>タブ14P</v>
      </c>
      <c r="P532" s="533" t="s">
        <v>1324</v>
      </c>
      <c r="Q532" s="533" t="s">
        <v>1325</v>
      </c>
      <c r="R532" s="534" t="str">
        <f t="shared" si="62"/>
        <v>4006</v>
      </c>
      <c r="S532" s="534" t="str">
        <f t="shared" si="63"/>
        <v>タブ14P</v>
      </c>
      <c r="T532" s="538" t="str">
        <f t="shared" si="52"/>
        <v>40</v>
      </c>
      <c r="U532" s="538" t="str">
        <f t="shared" si="53"/>
        <v>06</v>
      </c>
      <c r="V532" s="471" t="s">
        <v>1136</v>
      </c>
      <c r="Y532" s="472">
        <f t="shared" si="54"/>
        <v>13.7</v>
      </c>
      <c r="Z532" s="540">
        <f t="shared" si="55"/>
        <v>1.0900000000000001</v>
      </c>
      <c r="AA532" s="471">
        <v>0</v>
      </c>
    </row>
    <row r="533" spans="1:27">
      <c r="A533" s="451" t="str">
        <f>CONCATENATE(VLOOKUP(B533,★営業所!$A$1:$B$5,2,FALSE),VLOOKUP(D533,★サイズ表記!$D$4:$E$55,2,FALSE),VLOOKUP(F533,★折込地区!$A$1:$B$11,2,FALSE))</f>
        <v>C4007Yng</v>
      </c>
      <c r="B533" s="457" t="s">
        <v>116</v>
      </c>
      <c r="C533" s="452" t="str">
        <f>VLOOKUP(B533,★営業所!$A$1:$B$5,2,FALSE)</f>
        <v>C</v>
      </c>
      <c r="D533" s="465" t="s">
        <v>1353</v>
      </c>
      <c r="E533" s="452" t="str">
        <f>VLOOKUP(D533,★サイズ表記!$D$4:$E$55,2,FALSE)</f>
        <v>4007</v>
      </c>
      <c r="F533" s="457" t="s">
        <v>1603</v>
      </c>
      <c r="G533" s="452" t="str">
        <f>VLOOKUP(F533,★折込地区!$A$1:$B$11,2,FALSE)</f>
        <v>Yng</v>
      </c>
      <c r="H533" s="453">
        <f>INDEX(★サイズ表記!$I$4:$Q$55, MATCH(E533,★サイズ表記!$E$4:$E$55,0), MATCH(G533,★サイズ表記!$I$3:$R$3,0))</f>
        <v>15</v>
      </c>
      <c r="K533" s="471" t="str">
        <f t="shared" si="60"/>
        <v>C4007Yng</v>
      </c>
      <c r="L533" s="471" t="str">
        <f t="shared" si="61"/>
        <v>タブ16P</v>
      </c>
      <c r="P533" s="533" t="s">
        <v>1324</v>
      </c>
      <c r="Q533" s="533" t="s">
        <v>1325</v>
      </c>
      <c r="R533" s="534" t="str">
        <f t="shared" si="62"/>
        <v>4007</v>
      </c>
      <c r="S533" s="534" t="str">
        <f t="shared" si="63"/>
        <v>タブ16P</v>
      </c>
      <c r="T533" s="538" t="str">
        <f t="shared" si="52"/>
        <v>40</v>
      </c>
      <c r="U533" s="538" t="str">
        <f t="shared" si="53"/>
        <v>07</v>
      </c>
      <c r="V533" s="471" t="s">
        <v>1136</v>
      </c>
      <c r="Y533" s="472">
        <f t="shared" si="54"/>
        <v>15</v>
      </c>
      <c r="Z533" s="540">
        <f t="shared" si="55"/>
        <v>1.2</v>
      </c>
      <c r="AA533" s="471">
        <v>0</v>
      </c>
    </row>
    <row r="534" spans="1:27">
      <c r="A534" s="451" t="str">
        <f>CONCATENATE(VLOOKUP(B534,★営業所!$A$1:$B$5,2,FALSE),VLOOKUP(D534,★サイズ表記!$D$4:$E$55,2,FALSE),VLOOKUP(F534,★折込地区!$A$1:$B$11,2,FALSE))</f>
        <v>C4008Yng</v>
      </c>
      <c r="B534" s="457" t="s">
        <v>116</v>
      </c>
      <c r="C534" s="452" t="str">
        <f>VLOOKUP(B534,★営業所!$A$1:$B$5,2,FALSE)</f>
        <v>C</v>
      </c>
      <c r="D534" s="465" t="s">
        <v>1355</v>
      </c>
      <c r="E534" s="452" t="str">
        <f>VLOOKUP(D534,★サイズ表記!$D$4:$E$55,2,FALSE)</f>
        <v>4008</v>
      </c>
      <c r="F534" s="457" t="s">
        <v>1603</v>
      </c>
      <c r="G534" s="452" t="str">
        <f>VLOOKUP(F534,★折込地区!$A$1:$B$11,2,FALSE)</f>
        <v>Yng</v>
      </c>
      <c r="H534" s="453">
        <f>INDEX(★サイズ表記!$I$4:$Q$55, MATCH(E534,★サイズ表記!$E$4:$E$55,0), MATCH(G534,★サイズ表記!$I$3:$R$3,0))</f>
        <v>17.8</v>
      </c>
      <c r="K534" s="471" t="str">
        <f t="shared" si="60"/>
        <v>C4008Yng</v>
      </c>
      <c r="L534" s="471" t="str">
        <f t="shared" si="61"/>
        <v>タブ18P</v>
      </c>
      <c r="P534" s="533" t="s">
        <v>1324</v>
      </c>
      <c r="Q534" s="533" t="s">
        <v>1325</v>
      </c>
      <c r="R534" s="534" t="str">
        <f t="shared" si="62"/>
        <v>4008</v>
      </c>
      <c r="S534" s="534" t="str">
        <f t="shared" si="63"/>
        <v>タブ18P</v>
      </c>
      <c r="T534" s="538" t="str">
        <f t="shared" si="52"/>
        <v>40</v>
      </c>
      <c r="U534" s="538" t="str">
        <f t="shared" si="53"/>
        <v>08</v>
      </c>
      <c r="V534" s="471" t="s">
        <v>1136</v>
      </c>
      <c r="Y534" s="472">
        <f t="shared" si="54"/>
        <v>17.8</v>
      </c>
      <c r="Z534" s="540">
        <f t="shared" si="55"/>
        <v>1.42</v>
      </c>
      <c r="AA534" s="471">
        <v>0</v>
      </c>
    </row>
    <row r="535" spans="1:27">
      <c r="A535" s="451" t="str">
        <f>CONCATENATE(VLOOKUP(B535,★営業所!$A$1:$B$5,2,FALSE),VLOOKUP(D535,★サイズ表記!$D$4:$E$55,2,FALSE),VLOOKUP(F535,★折込地区!$A$1:$B$11,2,FALSE))</f>
        <v>C4009Yng</v>
      </c>
      <c r="B535" s="457" t="s">
        <v>116</v>
      </c>
      <c r="C535" s="452" t="str">
        <f>VLOOKUP(B535,★営業所!$A$1:$B$5,2,FALSE)</f>
        <v>C</v>
      </c>
      <c r="D535" s="465" t="s">
        <v>1356</v>
      </c>
      <c r="E535" s="452" t="str">
        <f>VLOOKUP(D535,★サイズ表記!$D$4:$E$55,2,FALSE)</f>
        <v>4009</v>
      </c>
      <c r="F535" s="457" t="s">
        <v>1603</v>
      </c>
      <c r="G535" s="452" t="str">
        <f>VLOOKUP(F535,★折込地区!$A$1:$B$11,2,FALSE)</f>
        <v>Yng</v>
      </c>
      <c r="H535" s="453">
        <f>INDEX(★サイズ表記!$I$4:$Q$55, MATCH(E535,★サイズ表記!$E$4:$E$55,0), MATCH(G535,★サイズ表記!$I$3:$R$3,0))</f>
        <v>18.899999999999999</v>
      </c>
      <c r="K535" s="471" t="str">
        <f t="shared" si="60"/>
        <v>C4009Yng</v>
      </c>
      <c r="L535" s="471" t="str">
        <f t="shared" si="61"/>
        <v>タブ20P</v>
      </c>
      <c r="P535" s="533" t="s">
        <v>1324</v>
      </c>
      <c r="Q535" s="533" t="s">
        <v>1325</v>
      </c>
      <c r="R535" s="534" t="str">
        <f t="shared" si="62"/>
        <v>4009</v>
      </c>
      <c r="S535" s="534" t="str">
        <f t="shared" si="63"/>
        <v>タブ20P</v>
      </c>
      <c r="T535" s="538" t="str">
        <f t="shared" si="52"/>
        <v>40</v>
      </c>
      <c r="U535" s="538" t="str">
        <f t="shared" si="53"/>
        <v>09</v>
      </c>
      <c r="V535" s="471" t="s">
        <v>1136</v>
      </c>
      <c r="Y535" s="472">
        <f t="shared" si="54"/>
        <v>18.899999999999999</v>
      </c>
      <c r="Z535" s="540">
        <f t="shared" si="55"/>
        <v>1.51</v>
      </c>
      <c r="AA535" s="471">
        <v>0</v>
      </c>
    </row>
    <row r="536" spans="1:27">
      <c r="A536" s="451" t="str">
        <f>CONCATENATE(VLOOKUP(B536,★営業所!$A$1:$B$5,2,FALSE),VLOOKUP(D536,★サイズ表記!$D$4:$E$55,2,FALSE),VLOOKUP(F536,★折込地区!$A$1:$B$11,2,FALSE))</f>
        <v>C4010Yng</v>
      </c>
      <c r="B536" s="457" t="s">
        <v>116</v>
      </c>
      <c r="C536" s="452" t="str">
        <f>VLOOKUP(B536,★営業所!$A$1:$B$5,2,FALSE)</f>
        <v>C</v>
      </c>
      <c r="D536" s="465" t="s">
        <v>1354</v>
      </c>
      <c r="E536" s="452" t="str">
        <f>VLOOKUP(D536,★サイズ表記!$D$4:$E$55,2,FALSE)</f>
        <v>4010</v>
      </c>
      <c r="F536" s="457" t="s">
        <v>1603</v>
      </c>
      <c r="G536" s="452" t="str">
        <f>VLOOKUP(F536,★折込地区!$A$1:$B$11,2,FALSE)</f>
        <v>Yng</v>
      </c>
      <c r="H536" s="453">
        <f>INDEX(★サイズ表記!$I$4:$Q$55, MATCH(E536,★サイズ表記!$E$4:$E$55,0), MATCH(G536,★サイズ表記!$I$3:$R$3,0))</f>
        <v>16</v>
      </c>
      <c r="K536" s="471" t="str">
        <f t="shared" si="60"/>
        <v>C4010Yng</v>
      </c>
      <c r="L536" s="471" t="str">
        <f t="shared" si="61"/>
        <v>タブ16Pホチキス止め</v>
      </c>
      <c r="P536" s="533" t="s">
        <v>1324</v>
      </c>
      <c r="Q536" s="533" t="s">
        <v>1325</v>
      </c>
      <c r="R536" s="534" t="str">
        <f t="shared" si="62"/>
        <v>4010</v>
      </c>
      <c r="S536" s="534" t="str">
        <f t="shared" si="63"/>
        <v>タブ16Pホチキス止め</v>
      </c>
      <c r="T536" s="538" t="str">
        <f t="shared" si="52"/>
        <v>40</v>
      </c>
      <c r="U536" s="538" t="str">
        <f t="shared" si="53"/>
        <v>10</v>
      </c>
      <c r="V536" s="471" t="s">
        <v>1136</v>
      </c>
      <c r="Y536" s="472">
        <f t="shared" si="54"/>
        <v>16</v>
      </c>
      <c r="Z536" s="540">
        <f t="shared" si="55"/>
        <v>1.28</v>
      </c>
      <c r="AA536" s="471">
        <v>0</v>
      </c>
    </row>
    <row r="537" spans="1:27">
      <c r="A537" s="451" t="str">
        <f>CONCATENATE(VLOOKUP(B537,★営業所!$A$1:$B$5,2,FALSE),VLOOKUP(D537,★サイズ表記!$D$4:$E$55,2,FALSE),VLOOKUP(F537,★折込地区!$A$1:$B$11,2,FALSE))</f>
        <v>C4011Yng</v>
      </c>
      <c r="B537" s="457" t="s">
        <v>116</v>
      </c>
      <c r="C537" s="452" t="str">
        <f>VLOOKUP(B537,★営業所!$A$1:$B$5,2,FALSE)</f>
        <v>C</v>
      </c>
      <c r="D537" s="465" t="s">
        <v>1357</v>
      </c>
      <c r="E537" s="452" t="str">
        <f>VLOOKUP(D537,★サイズ表記!$D$4:$E$55,2,FALSE)</f>
        <v>4011</v>
      </c>
      <c r="F537" s="457" t="s">
        <v>1603</v>
      </c>
      <c r="G537" s="452" t="str">
        <f>VLOOKUP(F537,★折込地区!$A$1:$B$11,2,FALSE)</f>
        <v>Yng</v>
      </c>
      <c r="H537" s="453">
        <f>INDEX(★サイズ表記!$I$4:$Q$55, MATCH(E537,★サイズ表記!$E$4:$E$55,0), MATCH(G537,★サイズ表記!$I$3:$R$3,0))</f>
        <v>0</v>
      </c>
      <c r="K537" s="471" t="str">
        <f t="shared" si="60"/>
        <v>C4011Yng</v>
      </c>
      <c r="L537" s="471" t="str">
        <f t="shared" si="61"/>
        <v>タブ40P</v>
      </c>
      <c r="P537" s="533" t="s">
        <v>1324</v>
      </c>
      <c r="Q537" s="533" t="s">
        <v>1325</v>
      </c>
      <c r="R537" s="534" t="str">
        <f t="shared" si="62"/>
        <v>4011</v>
      </c>
      <c r="S537" s="534" t="str">
        <f t="shared" si="63"/>
        <v>タブ40P</v>
      </c>
      <c r="T537" s="538" t="str">
        <f t="shared" si="52"/>
        <v>40</v>
      </c>
      <c r="U537" s="538" t="str">
        <f t="shared" si="53"/>
        <v>11</v>
      </c>
      <c r="V537" s="471" t="s">
        <v>1136</v>
      </c>
      <c r="Y537" s="472">
        <f t="shared" si="54"/>
        <v>0</v>
      </c>
      <c r="Z537" s="540">
        <f t="shared" si="55"/>
        <v>0</v>
      </c>
      <c r="AA537" s="471">
        <v>0</v>
      </c>
    </row>
    <row r="538" spans="1:27">
      <c r="A538" s="451" t="str">
        <f>CONCATENATE(VLOOKUP(B538,★営業所!$A$1:$B$5,2,FALSE),VLOOKUP(D538,★サイズ表記!$D$4:$E$55,2,FALSE),VLOOKUP(F538,★折込地区!$A$1:$B$11,2,FALSE))</f>
        <v>C9001Yng</v>
      </c>
      <c r="B538" s="457" t="s">
        <v>116</v>
      </c>
      <c r="C538" s="452" t="str">
        <f>VLOOKUP(B538,★営業所!$A$1:$B$5,2,FALSE)</f>
        <v>C</v>
      </c>
      <c r="D538" s="465" t="s">
        <v>975</v>
      </c>
      <c r="E538" s="452" t="str">
        <f>VLOOKUP(D538,★サイズ表記!$D$4:$E$55,2,FALSE)</f>
        <v>9001</v>
      </c>
      <c r="F538" s="457" t="s">
        <v>1603</v>
      </c>
      <c r="G538" s="452" t="str">
        <f>VLOOKUP(F538,★折込地区!$A$1:$B$11,2,FALSE)</f>
        <v>Yng</v>
      </c>
      <c r="H538" s="453">
        <f>INDEX(★サイズ表記!$I$4:$Q$55, MATCH(E538,★サイズ表記!$E$4:$E$55,0), MATCH(G538,★サイズ表記!$I$3:$R$3,0))</f>
        <v>7</v>
      </c>
      <c r="K538" s="471" t="str">
        <f t="shared" si="60"/>
        <v>C9001Yng</v>
      </c>
      <c r="L538" s="471" t="str">
        <f t="shared" si="61"/>
        <v>うさぎの耳</v>
      </c>
      <c r="P538" s="533" t="s">
        <v>1324</v>
      </c>
      <c r="Q538" s="533" t="s">
        <v>1325</v>
      </c>
      <c r="R538" s="534" t="str">
        <f t="shared" si="62"/>
        <v>9001</v>
      </c>
      <c r="S538" s="534" t="str">
        <f t="shared" si="63"/>
        <v>うさぎの耳</v>
      </c>
      <c r="T538" s="538" t="str">
        <f t="shared" si="52"/>
        <v>90</v>
      </c>
      <c r="U538" s="538" t="str">
        <f t="shared" si="53"/>
        <v>01</v>
      </c>
      <c r="V538" s="471" t="s">
        <v>1136</v>
      </c>
      <c r="Y538" s="472">
        <f t="shared" si="54"/>
        <v>7</v>
      </c>
      <c r="Z538" s="540">
        <f t="shared" si="55"/>
        <v>0.56000000000000005</v>
      </c>
      <c r="AA538" s="471">
        <v>0</v>
      </c>
    </row>
    <row r="539" spans="1:27">
      <c r="A539" s="451" t="str">
        <f>CONCATENATE(VLOOKUP(B539,★営業所!$A$1:$B$5,2,FALSE),VLOOKUP(D539,★サイズ表記!$D$4:$E$55,2,FALSE),VLOOKUP(F539,★折込地区!$A$1:$B$11,2,FALSE))</f>
        <v>C9002Yng</v>
      </c>
      <c r="B539" s="457" t="s">
        <v>116</v>
      </c>
      <c r="C539" s="452" t="str">
        <f>VLOOKUP(B539,★営業所!$A$1:$B$5,2,FALSE)</f>
        <v>C</v>
      </c>
      <c r="D539" s="465" t="s">
        <v>976</v>
      </c>
      <c r="E539" s="452" t="str">
        <f>VLOOKUP(D539,★サイズ表記!$D$4:$E$55,2,FALSE)</f>
        <v>9002</v>
      </c>
      <c r="F539" s="457" t="s">
        <v>1603</v>
      </c>
      <c r="G539" s="452" t="str">
        <f>VLOOKUP(F539,★折込地区!$A$1:$B$11,2,FALSE)</f>
        <v>Yng</v>
      </c>
      <c r="H539" s="453">
        <f>INDEX(★サイズ表記!$I$4:$Q$55, MATCH(E539,★サイズ表記!$E$4:$E$55,0), MATCH(G539,★サイズ表記!$I$3:$R$3,0))</f>
        <v>5</v>
      </c>
      <c r="K539" s="471" t="str">
        <f t="shared" si="60"/>
        <v>C9002Yng</v>
      </c>
      <c r="L539" s="471" t="str">
        <f t="shared" si="61"/>
        <v>ユーキャン（題字）</v>
      </c>
      <c r="P539" s="533" t="s">
        <v>1324</v>
      </c>
      <c r="Q539" s="533" t="s">
        <v>1325</v>
      </c>
      <c r="R539" s="534" t="str">
        <f t="shared" si="62"/>
        <v>9002</v>
      </c>
      <c r="S539" s="534" t="str">
        <f t="shared" si="63"/>
        <v>ユーキャン（題字）</v>
      </c>
      <c r="T539" s="538" t="str">
        <f t="shared" si="52"/>
        <v>90</v>
      </c>
      <c r="U539" s="538" t="str">
        <f t="shared" si="53"/>
        <v>02</v>
      </c>
      <c r="V539" s="471" t="s">
        <v>1136</v>
      </c>
      <c r="Y539" s="472">
        <f t="shared" si="54"/>
        <v>5</v>
      </c>
      <c r="Z539" s="540">
        <f t="shared" si="55"/>
        <v>0.4</v>
      </c>
      <c r="AA539" s="471">
        <v>0</v>
      </c>
    </row>
    <row r="540" spans="1:27">
      <c r="A540" s="451" t="str">
        <f>CONCATENATE(VLOOKUP(B540,★営業所!$A$1:$B$5,2,FALSE),VLOOKUP(D540,★サイズ表記!$D$4:$E$55,2,FALSE),VLOOKUP(F540,★折込地区!$A$1:$B$11,2,FALSE))</f>
        <v>C9003Yng</v>
      </c>
      <c r="B540" s="457" t="s">
        <v>116</v>
      </c>
      <c r="C540" s="452" t="str">
        <f>VLOOKUP(B540,★営業所!$A$1:$B$5,2,FALSE)</f>
        <v>C</v>
      </c>
      <c r="D540" s="465" t="s">
        <v>977</v>
      </c>
      <c r="E540" s="452" t="str">
        <f>VLOOKUP(D540,★サイズ表記!$D$4:$E$55,2,FALSE)</f>
        <v>9003</v>
      </c>
      <c r="F540" s="457" t="s">
        <v>1603</v>
      </c>
      <c r="G540" s="452" t="str">
        <f>VLOOKUP(F540,★折込地区!$A$1:$B$11,2,FALSE)</f>
        <v>Yng</v>
      </c>
      <c r="H540" s="453">
        <f>INDEX(★サイズ表記!$I$4:$Q$55, MATCH(E540,★サイズ表記!$E$4:$E$55,0), MATCH(G540,★サイズ表記!$I$3:$R$3,0))</f>
        <v>4.9000000000000004</v>
      </c>
      <c r="K540" s="471" t="str">
        <f t="shared" si="60"/>
        <v>C9003Yng</v>
      </c>
      <c r="L540" s="471" t="str">
        <f t="shared" si="61"/>
        <v>横長B3</v>
      </c>
      <c r="P540" s="533" t="s">
        <v>1324</v>
      </c>
      <c r="Q540" s="533" t="s">
        <v>1325</v>
      </c>
      <c r="R540" s="534" t="str">
        <f t="shared" si="62"/>
        <v>9003</v>
      </c>
      <c r="S540" s="534" t="str">
        <f t="shared" si="63"/>
        <v>横長B3</v>
      </c>
      <c r="T540" s="538" t="str">
        <f t="shared" si="52"/>
        <v>90</v>
      </c>
      <c r="U540" s="538" t="str">
        <f t="shared" si="53"/>
        <v>03</v>
      </c>
      <c r="V540" s="471" t="s">
        <v>1136</v>
      </c>
      <c r="Y540" s="472">
        <f t="shared" si="54"/>
        <v>4.9000000000000004</v>
      </c>
      <c r="Z540" s="540">
        <f t="shared" si="55"/>
        <v>0.39</v>
      </c>
      <c r="AA540" s="471">
        <v>0</v>
      </c>
    </row>
    <row r="541" spans="1:27">
      <c r="A541" s="451" t="str">
        <f>CONCATENATE(VLOOKUP(B541,★営業所!$A$1:$B$5,2,FALSE),VLOOKUP(D541,★サイズ表記!$D$4:$E$55,2,FALSE),VLOOKUP(F541,★折込地区!$A$1:$B$11,2,FALSE))</f>
        <v>C9004Yng</v>
      </c>
      <c r="B541" s="457" t="s">
        <v>116</v>
      </c>
      <c r="C541" s="452" t="str">
        <f>VLOOKUP(B541,★営業所!$A$1:$B$5,2,FALSE)</f>
        <v>C</v>
      </c>
      <c r="D541" s="465" t="s">
        <v>978</v>
      </c>
      <c r="E541" s="452" t="str">
        <f>VLOOKUP(D541,★サイズ表記!$D$4:$E$55,2,FALSE)</f>
        <v>9004</v>
      </c>
      <c r="F541" s="457" t="s">
        <v>1603</v>
      </c>
      <c r="G541" s="452" t="str">
        <f>VLOOKUP(F541,★折込地区!$A$1:$B$11,2,FALSE)</f>
        <v>Yng</v>
      </c>
      <c r="H541" s="453">
        <f>INDEX(★サイズ表記!$I$4:$Q$55, MATCH(E541,★サイズ表記!$E$4:$E$55,0), MATCH(G541,★サイズ表記!$I$3:$R$3,0))</f>
        <v>5</v>
      </c>
      <c r="K541" s="471" t="str">
        <f t="shared" si="60"/>
        <v>C9004Yng</v>
      </c>
      <c r="L541" s="471" t="str">
        <f t="shared" si="61"/>
        <v>AD-BAG</v>
      </c>
      <c r="P541" s="533" t="s">
        <v>1324</v>
      </c>
      <c r="Q541" s="533" t="s">
        <v>1325</v>
      </c>
      <c r="R541" s="534" t="str">
        <f t="shared" si="62"/>
        <v>9004</v>
      </c>
      <c r="S541" s="534" t="str">
        <f t="shared" si="63"/>
        <v>AD-BAG</v>
      </c>
      <c r="T541" s="538" t="str">
        <f t="shared" si="52"/>
        <v>90</v>
      </c>
      <c r="U541" s="538" t="str">
        <f t="shared" si="53"/>
        <v>04</v>
      </c>
      <c r="V541" s="471" t="s">
        <v>1136</v>
      </c>
      <c r="Y541" s="472">
        <f t="shared" si="54"/>
        <v>5</v>
      </c>
      <c r="Z541" s="540">
        <f t="shared" si="55"/>
        <v>0.4</v>
      </c>
      <c r="AA541" s="471">
        <v>0</v>
      </c>
    </row>
    <row r="542" spans="1:27">
      <c r="A542" s="451" t="str">
        <f>CONCATENATE(VLOOKUP(B542,★営業所!$A$1:$B$5,2,FALSE),VLOOKUP(D542,★サイズ表記!$D$4:$E$55,2,FALSE),VLOOKUP(F542,★折込地区!$A$1:$B$11,2,FALSE))</f>
        <v>C9005Yng</v>
      </c>
      <c r="B542" s="457" t="s">
        <v>116</v>
      </c>
      <c r="C542" s="452" t="str">
        <f>VLOOKUP(B542,★営業所!$A$1:$B$5,2,FALSE)</f>
        <v>C</v>
      </c>
      <c r="D542" s="465" t="s">
        <v>979</v>
      </c>
      <c r="E542" s="452" t="str">
        <f>VLOOKUP(D542,★サイズ表記!$D$4:$E$55,2,FALSE)</f>
        <v>9005</v>
      </c>
      <c r="F542" s="457" t="s">
        <v>1603</v>
      </c>
      <c r="G542" s="452" t="str">
        <f>VLOOKUP(F542,★折込地区!$A$1:$B$11,2,FALSE)</f>
        <v>Yng</v>
      </c>
      <c r="H542" s="453">
        <f>INDEX(★サイズ表記!$I$4:$Q$55, MATCH(E542,★サイズ表記!$E$4:$E$55,0), MATCH(G542,★サイズ表記!$I$3:$R$3,0))</f>
        <v>5</v>
      </c>
      <c r="K542" s="471" t="str">
        <f t="shared" si="60"/>
        <v>C9005Yng</v>
      </c>
      <c r="L542" s="471" t="str">
        <f t="shared" si="61"/>
        <v>封筒</v>
      </c>
      <c r="P542" s="533" t="s">
        <v>1324</v>
      </c>
      <c r="Q542" s="533" t="s">
        <v>1325</v>
      </c>
      <c r="R542" s="534" t="str">
        <f t="shared" si="62"/>
        <v>9005</v>
      </c>
      <c r="S542" s="534" t="str">
        <f t="shared" si="63"/>
        <v>封筒</v>
      </c>
      <c r="T542" s="538" t="str">
        <f t="shared" si="52"/>
        <v>90</v>
      </c>
      <c r="U542" s="538" t="str">
        <f t="shared" si="53"/>
        <v>05</v>
      </c>
      <c r="V542" s="471" t="s">
        <v>1136</v>
      </c>
      <c r="Y542" s="472">
        <f t="shared" si="54"/>
        <v>5</v>
      </c>
      <c r="Z542" s="540">
        <f t="shared" si="55"/>
        <v>0.4</v>
      </c>
      <c r="AA542" s="471">
        <v>0</v>
      </c>
    </row>
    <row r="543" spans="1:27">
      <c r="A543" s="451" t="str">
        <f>CONCATENATE(VLOOKUP(B543,★営業所!$A$1:$B$5,2,FALSE),VLOOKUP(D543,★サイズ表記!$D$4:$E$55,2,FALSE),VLOOKUP(F543,★折込地区!$A$1:$B$11,2,FALSE))</f>
        <v>C9006Yng</v>
      </c>
      <c r="B543" s="457" t="s">
        <v>116</v>
      </c>
      <c r="C543" s="452" t="str">
        <f>VLOOKUP(B543,★営業所!$A$1:$B$5,2,FALSE)</f>
        <v>C</v>
      </c>
      <c r="D543" s="465" t="s">
        <v>980</v>
      </c>
      <c r="E543" s="452" t="str">
        <f>VLOOKUP(D543,★サイズ表記!$D$4:$E$55,2,FALSE)</f>
        <v>9006</v>
      </c>
      <c r="F543" s="457" t="s">
        <v>1603</v>
      </c>
      <c r="G543" s="452" t="str">
        <f>VLOOKUP(F543,★折込地区!$A$1:$B$11,2,FALSE)</f>
        <v>Yng</v>
      </c>
      <c r="H543" s="453">
        <f>INDEX(★サイズ表記!$I$4:$Q$55, MATCH(E543,★サイズ表記!$E$4:$E$55,0), MATCH(G543,★サイズ表記!$I$3:$R$3,0))</f>
        <v>3.9</v>
      </c>
      <c r="K543" s="471" t="str">
        <f t="shared" si="60"/>
        <v>C9006Yng</v>
      </c>
      <c r="L543" s="471" t="str">
        <f t="shared" si="61"/>
        <v>圧着</v>
      </c>
      <c r="P543" s="533" t="s">
        <v>1324</v>
      </c>
      <c r="Q543" s="533" t="s">
        <v>1325</v>
      </c>
      <c r="R543" s="534" t="str">
        <f t="shared" si="62"/>
        <v>9006</v>
      </c>
      <c r="S543" s="534" t="str">
        <f t="shared" si="63"/>
        <v>圧着</v>
      </c>
      <c r="T543" s="538" t="str">
        <f t="shared" si="52"/>
        <v>90</v>
      </c>
      <c r="U543" s="538" t="str">
        <f t="shared" si="53"/>
        <v>06</v>
      </c>
      <c r="V543" s="471" t="s">
        <v>1136</v>
      </c>
      <c r="Y543" s="472">
        <f t="shared" si="54"/>
        <v>3.9</v>
      </c>
      <c r="Z543" s="540">
        <f t="shared" si="55"/>
        <v>0.31</v>
      </c>
      <c r="AA543" s="471">
        <v>0</v>
      </c>
    </row>
    <row r="544" spans="1:27">
      <c r="A544" s="451" t="str">
        <f>CONCATENATE(VLOOKUP(B544,★営業所!$A$1:$B$5,2,FALSE),VLOOKUP(D544,★サイズ表記!$D$4:$E$55,2,FALSE),VLOOKUP(F544,★折込地区!$A$1:$B$11,2,FALSE))</f>
        <v>C9007Yng</v>
      </c>
      <c r="B544" s="457" t="s">
        <v>116</v>
      </c>
      <c r="C544" s="452" t="str">
        <f>VLOOKUP(B544,★営業所!$A$1:$B$5,2,FALSE)</f>
        <v>C</v>
      </c>
      <c r="D544" s="465" t="s">
        <v>981</v>
      </c>
      <c r="E544" s="452" t="str">
        <f>VLOOKUP(D544,★サイズ表記!$D$4:$E$55,2,FALSE)</f>
        <v>9007</v>
      </c>
      <c r="F544" s="457" t="s">
        <v>1603</v>
      </c>
      <c r="G544" s="452" t="str">
        <f>VLOOKUP(F544,★折込地区!$A$1:$B$11,2,FALSE)</f>
        <v>Yng</v>
      </c>
      <c r="H544" s="453">
        <f>INDEX(★サイズ表記!$I$4:$Q$55, MATCH(E544,★サイズ表記!$E$4:$E$55,0), MATCH(G544,★サイズ表記!$I$3:$R$3,0))</f>
        <v>4.4000000000000004</v>
      </c>
      <c r="K544" s="471" t="str">
        <f t="shared" si="60"/>
        <v>C9007Yng</v>
      </c>
      <c r="L544" s="471" t="str">
        <f t="shared" si="61"/>
        <v>圧着厚紙</v>
      </c>
      <c r="P544" s="533" t="s">
        <v>1324</v>
      </c>
      <c r="Q544" s="533" t="s">
        <v>1325</v>
      </c>
      <c r="R544" s="534" t="str">
        <f t="shared" si="62"/>
        <v>9007</v>
      </c>
      <c r="S544" s="534" t="str">
        <f t="shared" si="63"/>
        <v>圧着厚紙</v>
      </c>
      <c r="T544" s="538" t="str">
        <f t="shared" si="52"/>
        <v>90</v>
      </c>
      <c r="U544" s="538" t="str">
        <f t="shared" si="53"/>
        <v>07</v>
      </c>
      <c r="V544" s="471" t="s">
        <v>1136</v>
      </c>
      <c r="Y544" s="472">
        <f t="shared" si="54"/>
        <v>4.4000000000000004</v>
      </c>
      <c r="Z544" s="540">
        <f t="shared" si="55"/>
        <v>0.35</v>
      </c>
      <c r="AA544" s="471">
        <v>0</v>
      </c>
    </row>
    <row r="545" spans="1:27">
      <c r="A545" s="451" t="str">
        <f>CONCATENATE(VLOOKUP(B545,★営業所!$A$1:$B$5,2,FALSE),VLOOKUP(D545,★サイズ表記!$D$4:$E$55,2,FALSE),VLOOKUP(F545,★折込地区!$A$1:$B$11,2,FALSE))</f>
        <v>C1001Hha</v>
      </c>
      <c r="B545" s="457" t="s">
        <v>116</v>
      </c>
      <c r="C545" s="452" t="str">
        <f>VLOOKUP(B545,★営業所!$A$1:$B$5,2,FALSE)</f>
        <v>C</v>
      </c>
      <c r="D545" s="465" t="s">
        <v>948</v>
      </c>
      <c r="E545" s="452" t="str">
        <f>VLOOKUP(D545,★サイズ表記!$D$4:$E$55,2,FALSE)</f>
        <v>1001</v>
      </c>
      <c r="F545" s="457" t="s">
        <v>158</v>
      </c>
      <c r="G545" s="452" t="str">
        <f>VLOOKUP(F545,★折込地区!$A$1:$B$11,2,FALSE)</f>
        <v>Hha</v>
      </c>
      <c r="H545" s="453">
        <f>INDEX(★サイズ表記!$I$4:$Q$55, MATCH(E545,★サイズ表記!$E$4:$E$55,0), MATCH(G545,★サイズ表記!$I$3:$R$3,0))</f>
        <v>3</v>
      </c>
      <c r="K545" s="471" t="str">
        <f t="shared" si="48"/>
        <v>C1001Hha</v>
      </c>
      <c r="L545" s="471" t="str">
        <f t="shared" si="49"/>
        <v>B4（折り無し）</v>
      </c>
      <c r="P545" s="533" t="s">
        <v>1324</v>
      </c>
      <c r="Q545" s="533" t="s">
        <v>1325</v>
      </c>
      <c r="R545" s="534" t="str">
        <f t="shared" si="50"/>
        <v>1001</v>
      </c>
      <c r="S545" s="534" t="str">
        <f t="shared" si="51"/>
        <v>B4（折り無し）</v>
      </c>
      <c r="T545" s="538" t="str">
        <f t="shared" si="52"/>
        <v>10</v>
      </c>
      <c r="U545" s="538" t="str">
        <f t="shared" si="53"/>
        <v>01</v>
      </c>
      <c r="V545" s="471" t="s">
        <v>1136</v>
      </c>
      <c r="Y545" s="472">
        <f t="shared" si="54"/>
        <v>3</v>
      </c>
      <c r="Z545" s="540">
        <f t="shared" si="55"/>
        <v>0.24</v>
      </c>
      <c r="AA545" s="471">
        <v>0</v>
      </c>
    </row>
    <row r="546" spans="1:27">
      <c r="A546" s="451" t="str">
        <f>CONCATENATE(VLOOKUP(B546,★営業所!$A$1:$B$5,2,FALSE),VLOOKUP(D546,★サイズ表記!$D$4:$E$55,2,FALSE),VLOOKUP(F546,★折込地区!$A$1:$B$11,2,FALSE))</f>
        <v>C1002Hha</v>
      </c>
      <c r="B546" s="457" t="s">
        <v>116</v>
      </c>
      <c r="C546" s="452" t="str">
        <f>VLOOKUP(B546,★営業所!$A$1:$B$5,2,FALSE)</f>
        <v>C</v>
      </c>
      <c r="D546" s="465" t="s">
        <v>950</v>
      </c>
      <c r="E546" s="452" t="str">
        <f>VLOOKUP(D546,★サイズ表記!$D$4:$E$55,2,FALSE)</f>
        <v>1002</v>
      </c>
      <c r="F546" s="457" t="s">
        <v>158</v>
      </c>
      <c r="G546" s="452" t="str">
        <f>VLOOKUP(F546,★折込地区!$A$1:$B$11,2,FALSE)</f>
        <v>Hha</v>
      </c>
      <c r="H546" s="453">
        <f>INDEX(★サイズ表記!$I$4:$Q$55, MATCH(E546,★サイズ表記!$E$4:$E$55,0), MATCH(G546,★サイズ表記!$I$3:$R$3,0))</f>
        <v>4</v>
      </c>
      <c r="K546" s="471" t="str">
        <f t="shared" si="48"/>
        <v>C1002Hha</v>
      </c>
      <c r="L546" s="471" t="str">
        <f t="shared" si="49"/>
        <v>B3（2つ折り）</v>
      </c>
      <c r="P546" s="533" t="s">
        <v>1324</v>
      </c>
      <c r="Q546" s="533" t="s">
        <v>1325</v>
      </c>
      <c r="R546" s="534" t="str">
        <f t="shared" si="50"/>
        <v>1002</v>
      </c>
      <c r="S546" s="534" t="str">
        <f t="shared" si="51"/>
        <v>B3（2つ折り）</v>
      </c>
      <c r="T546" s="538" t="str">
        <f t="shared" si="52"/>
        <v>10</v>
      </c>
      <c r="U546" s="538" t="str">
        <f t="shared" si="53"/>
        <v>02</v>
      </c>
      <c r="V546" s="471" t="s">
        <v>1136</v>
      </c>
      <c r="Y546" s="472">
        <f t="shared" si="54"/>
        <v>4</v>
      </c>
      <c r="Z546" s="540">
        <f t="shared" si="55"/>
        <v>0.32</v>
      </c>
      <c r="AA546" s="471">
        <v>0</v>
      </c>
    </row>
    <row r="547" spans="1:27">
      <c r="A547" s="451" t="str">
        <f>CONCATENATE(VLOOKUP(B547,★営業所!$A$1:$B$5,2,FALSE),VLOOKUP(D547,★サイズ表記!$D$4:$E$55,2,FALSE),VLOOKUP(F547,★折込地区!$A$1:$B$11,2,FALSE))</f>
        <v>C1003Hha</v>
      </c>
      <c r="B547" s="457" t="s">
        <v>116</v>
      </c>
      <c r="C547" s="452" t="str">
        <f>VLOOKUP(B547,★営業所!$A$1:$B$5,2,FALSE)</f>
        <v>C</v>
      </c>
      <c r="D547" s="465" t="s">
        <v>951</v>
      </c>
      <c r="E547" s="452" t="str">
        <f>VLOOKUP(D547,★サイズ表記!$D$4:$E$55,2,FALSE)</f>
        <v>1003</v>
      </c>
      <c r="F547" s="457" t="s">
        <v>158</v>
      </c>
      <c r="G547" s="452" t="str">
        <f>VLOOKUP(F547,★折込地区!$A$1:$B$11,2,FALSE)</f>
        <v>Hha</v>
      </c>
      <c r="H547" s="453">
        <f>INDEX(★サイズ表記!$I$4:$Q$55, MATCH(E547,★サイズ表記!$E$4:$E$55,0), MATCH(G547,★サイズ表記!$I$3:$R$3,0))</f>
        <v>0</v>
      </c>
      <c r="K547" s="471" t="str">
        <f t="shared" si="48"/>
        <v>C1003Hha</v>
      </c>
      <c r="L547" s="471" t="str">
        <f t="shared" si="49"/>
        <v>3つ折り</v>
      </c>
      <c r="P547" s="533" t="s">
        <v>1324</v>
      </c>
      <c r="Q547" s="533" t="s">
        <v>1325</v>
      </c>
      <c r="R547" s="534" t="str">
        <f t="shared" si="50"/>
        <v>1003</v>
      </c>
      <c r="S547" s="534" t="str">
        <f t="shared" si="51"/>
        <v>3つ折り</v>
      </c>
      <c r="T547" s="538" t="str">
        <f t="shared" si="52"/>
        <v>10</v>
      </c>
      <c r="U547" s="538" t="str">
        <f t="shared" si="53"/>
        <v>03</v>
      </c>
      <c r="V547" s="471" t="s">
        <v>1136</v>
      </c>
      <c r="Y547" s="472">
        <f t="shared" si="54"/>
        <v>0</v>
      </c>
      <c r="Z547" s="540">
        <f t="shared" si="55"/>
        <v>0</v>
      </c>
      <c r="AA547" s="471">
        <v>0</v>
      </c>
    </row>
    <row r="548" spans="1:27">
      <c r="A548" s="451" t="str">
        <f>CONCATENATE(VLOOKUP(B548,★営業所!$A$1:$B$5,2,FALSE),VLOOKUP(D548,★サイズ表記!$D$4:$E$55,2,FALSE),VLOOKUP(F548,★折込地区!$A$1:$B$11,2,FALSE))</f>
        <v>C1004Hha</v>
      </c>
      <c r="B548" s="457" t="s">
        <v>116</v>
      </c>
      <c r="C548" s="452" t="str">
        <f>VLOOKUP(B548,★営業所!$A$1:$B$5,2,FALSE)</f>
        <v>C</v>
      </c>
      <c r="D548" s="465" t="s">
        <v>947</v>
      </c>
      <c r="E548" s="452" t="str">
        <f>VLOOKUP(D548,★サイズ表記!$D$4:$E$55,2,FALSE)</f>
        <v>1004</v>
      </c>
      <c r="F548" s="457" t="s">
        <v>158</v>
      </c>
      <c r="G548" s="452" t="str">
        <f>VLOOKUP(F548,★折込地区!$A$1:$B$11,2,FALSE)</f>
        <v>Hha</v>
      </c>
      <c r="H548" s="453">
        <f>INDEX(★サイズ表記!$I$4:$Q$55, MATCH(E548,★サイズ表記!$E$4:$E$55,0), MATCH(G548,★サイズ表記!$I$3:$R$3,0))</f>
        <v>0</v>
      </c>
      <c r="K548" s="471" t="str">
        <f t="shared" si="48"/>
        <v>C1004Hha</v>
      </c>
      <c r="L548" s="471" t="str">
        <f t="shared" si="49"/>
        <v>観音折</v>
      </c>
      <c r="P548" s="533" t="s">
        <v>1324</v>
      </c>
      <c r="Q548" s="533" t="s">
        <v>1325</v>
      </c>
      <c r="R548" s="534" t="str">
        <f t="shared" si="50"/>
        <v>1004</v>
      </c>
      <c r="S548" s="534" t="str">
        <f t="shared" si="51"/>
        <v>観音折</v>
      </c>
      <c r="T548" s="538" t="str">
        <f t="shared" si="52"/>
        <v>10</v>
      </c>
      <c r="U548" s="538" t="str">
        <f t="shared" si="53"/>
        <v>04</v>
      </c>
      <c r="V548" s="471" t="s">
        <v>1136</v>
      </c>
      <c r="Y548" s="472">
        <f t="shared" si="54"/>
        <v>0</v>
      </c>
      <c r="Z548" s="540">
        <f t="shared" si="55"/>
        <v>0</v>
      </c>
      <c r="AA548" s="471">
        <v>0</v>
      </c>
    </row>
    <row r="549" spans="1:27">
      <c r="A549" s="451" t="str">
        <f>CONCATENATE(VLOOKUP(B549,★営業所!$A$1:$B$5,2,FALSE),VLOOKUP(D549,★サイズ表記!$D$4:$E$55,2,FALSE),VLOOKUP(F549,★折込地区!$A$1:$B$11,2,FALSE))</f>
        <v>C1005Hha</v>
      </c>
      <c r="B549" s="457" t="s">
        <v>116</v>
      </c>
      <c r="C549" s="452" t="str">
        <f>VLOOKUP(B549,★営業所!$A$1:$B$5,2,FALSE)</f>
        <v>C</v>
      </c>
      <c r="D549" s="465" t="s">
        <v>952</v>
      </c>
      <c r="E549" s="452" t="str">
        <f>VLOOKUP(D549,★サイズ表記!$D$4:$E$55,2,FALSE)</f>
        <v>1005</v>
      </c>
      <c r="F549" s="457" t="s">
        <v>158</v>
      </c>
      <c r="G549" s="452" t="str">
        <f>VLOOKUP(F549,★折込地区!$A$1:$B$11,2,FALSE)</f>
        <v>Hha</v>
      </c>
      <c r="H549" s="453">
        <f>INDEX(★サイズ表記!$I$4:$Q$55, MATCH(E549,★サイズ表記!$E$4:$E$55,0), MATCH(G549,★サイズ表記!$I$3:$R$3,0))</f>
        <v>6</v>
      </c>
      <c r="K549" s="471" t="str">
        <f t="shared" si="48"/>
        <v>C1005Hha</v>
      </c>
      <c r="L549" s="471" t="str">
        <f t="shared" si="49"/>
        <v>B2（4つ折り）</v>
      </c>
      <c r="P549" s="533" t="s">
        <v>1324</v>
      </c>
      <c r="Q549" s="533" t="s">
        <v>1325</v>
      </c>
      <c r="R549" s="534" t="str">
        <f t="shared" si="50"/>
        <v>1005</v>
      </c>
      <c r="S549" s="534" t="str">
        <f t="shared" si="51"/>
        <v>B2（4つ折り）</v>
      </c>
      <c r="T549" s="538" t="str">
        <f t="shared" si="52"/>
        <v>10</v>
      </c>
      <c r="U549" s="538" t="str">
        <f t="shared" si="53"/>
        <v>05</v>
      </c>
      <c r="V549" s="471" t="s">
        <v>1136</v>
      </c>
      <c r="Y549" s="472">
        <f t="shared" si="54"/>
        <v>6</v>
      </c>
      <c r="Z549" s="540">
        <f t="shared" si="55"/>
        <v>0.48</v>
      </c>
      <c r="AA549" s="471">
        <v>0</v>
      </c>
    </row>
    <row r="550" spans="1:27">
      <c r="A550" s="451" t="str">
        <f>CONCATENATE(VLOOKUP(B550,★営業所!$A$1:$B$5,2,FALSE),VLOOKUP(D550,★サイズ表記!$D$4:$E$55,2,FALSE),VLOOKUP(F550,★折込地区!$A$1:$B$11,2,FALSE))</f>
        <v>C1006Hha</v>
      </c>
      <c r="B550" s="457" t="s">
        <v>116</v>
      </c>
      <c r="C550" s="452" t="str">
        <f>VLOOKUP(B550,★営業所!$A$1:$B$5,2,FALSE)</f>
        <v>C</v>
      </c>
      <c r="D550" s="465" t="s">
        <v>955</v>
      </c>
      <c r="E550" s="452" t="str">
        <f>VLOOKUP(D550,★サイズ表記!$D$4:$E$55,2,FALSE)</f>
        <v>1006</v>
      </c>
      <c r="F550" s="457" t="s">
        <v>158</v>
      </c>
      <c r="G550" s="452" t="str">
        <f>VLOOKUP(F550,★折込地区!$A$1:$B$11,2,FALSE)</f>
        <v>Hha</v>
      </c>
      <c r="H550" s="453">
        <f>INDEX(★サイズ表記!$I$4:$Q$55, MATCH(E550,★サイズ表記!$E$4:$E$55,0), MATCH(G550,★サイズ表記!$I$3:$R$3,0))</f>
        <v>12</v>
      </c>
      <c r="K550" s="471" t="str">
        <f t="shared" si="48"/>
        <v>C1006Hha</v>
      </c>
      <c r="L550" s="471" t="str">
        <f t="shared" si="49"/>
        <v>B1（8折り）</v>
      </c>
      <c r="P550" s="533" t="s">
        <v>1324</v>
      </c>
      <c r="Q550" s="533" t="s">
        <v>1325</v>
      </c>
      <c r="R550" s="534" t="str">
        <f t="shared" si="50"/>
        <v>1006</v>
      </c>
      <c r="S550" s="534" t="str">
        <f t="shared" si="51"/>
        <v>B1（8折り）</v>
      </c>
      <c r="T550" s="538" t="str">
        <f t="shared" si="52"/>
        <v>10</v>
      </c>
      <c r="U550" s="538" t="str">
        <f t="shared" si="53"/>
        <v>06</v>
      </c>
      <c r="V550" s="471" t="s">
        <v>1136</v>
      </c>
      <c r="Y550" s="472">
        <f t="shared" si="54"/>
        <v>12</v>
      </c>
      <c r="Z550" s="540">
        <f t="shared" si="55"/>
        <v>0.96</v>
      </c>
      <c r="AA550" s="471">
        <v>0</v>
      </c>
    </row>
    <row r="551" spans="1:27">
      <c r="A551" s="451" t="str">
        <f>CONCATENATE(VLOOKUP(B551,★営業所!$A$1:$B$5,2,FALSE),VLOOKUP(D551,★サイズ表記!$D$4:$E$55,2,FALSE),VLOOKUP(F551,★折込地区!$A$1:$B$11,2,FALSE))</f>
        <v>C1007Hha</v>
      </c>
      <c r="B551" s="457" t="s">
        <v>116</v>
      </c>
      <c r="C551" s="452" t="str">
        <f>VLOOKUP(B551,★営業所!$A$1:$B$5,2,FALSE)</f>
        <v>C</v>
      </c>
      <c r="D551" s="465" t="s">
        <v>956</v>
      </c>
      <c r="E551" s="452" t="str">
        <f>VLOOKUP(D551,★サイズ表記!$D$4:$E$55,2,FALSE)</f>
        <v>1007</v>
      </c>
      <c r="F551" s="457" t="s">
        <v>158</v>
      </c>
      <c r="G551" s="452" t="str">
        <f>VLOOKUP(F551,★折込地区!$A$1:$B$11,2,FALSE)</f>
        <v>Hha</v>
      </c>
      <c r="H551" s="453">
        <f>INDEX(★サイズ表記!$I$4:$Q$55, MATCH(E551,★サイズ表記!$E$4:$E$55,0), MATCH(G551,★サイズ表記!$I$3:$R$3,0))</f>
        <v>0</v>
      </c>
      <c r="K551" s="471" t="str">
        <f t="shared" si="48"/>
        <v>C1007Hha</v>
      </c>
      <c r="L551" s="471" t="str">
        <f t="shared" si="49"/>
        <v>B4厚紙</v>
      </c>
      <c r="P551" s="533" t="s">
        <v>1324</v>
      </c>
      <c r="Q551" s="533" t="s">
        <v>1325</v>
      </c>
      <c r="R551" s="534" t="str">
        <f t="shared" si="50"/>
        <v>1007</v>
      </c>
      <c r="S551" s="534" t="str">
        <f t="shared" si="51"/>
        <v>B4厚紙</v>
      </c>
      <c r="T551" s="538" t="str">
        <f t="shared" si="52"/>
        <v>10</v>
      </c>
      <c r="U551" s="538" t="str">
        <f t="shared" si="53"/>
        <v>07</v>
      </c>
      <c r="V551" s="471" t="s">
        <v>1136</v>
      </c>
      <c r="Y551" s="472">
        <f t="shared" si="54"/>
        <v>0</v>
      </c>
      <c r="Z551" s="540">
        <f t="shared" si="55"/>
        <v>0</v>
      </c>
      <c r="AA551" s="471">
        <v>0</v>
      </c>
    </row>
    <row r="552" spans="1:27">
      <c r="A552" s="451" t="str">
        <f>CONCATENATE(VLOOKUP(B552,★営業所!$A$1:$B$5,2,FALSE),VLOOKUP(D552,★サイズ表記!$D$4:$E$55,2,FALSE),VLOOKUP(F552,★折込地区!$A$1:$B$11,2,FALSE))</f>
        <v>C1008Hha</v>
      </c>
      <c r="B552" s="457" t="s">
        <v>116</v>
      </c>
      <c r="C552" s="452" t="str">
        <f>VLOOKUP(B552,★営業所!$A$1:$B$5,2,FALSE)</f>
        <v>C</v>
      </c>
      <c r="D552" s="465" t="s">
        <v>957</v>
      </c>
      <c r="E552" s="452" t="str">
        <f>VLOOKUP(D552,★サイズ表記!$D$4:$E$55,2,FALSE)</f>
        <v>1008</v>
      </c>
      <c r="F552" s="457" t="s">
        <v>158</v>
      </c>
      <c r="G552" s="452" t="str">
        <f>VLOOKUP(F552,★折込地区!$A$1:$B$11,2,FALSE)</f>
        <v>Hha</v>
      </c>
      <c r="H552" s="453">
        <f>INDEX(★サイズ表記!$I$4:$Q$55, MATCH(E552,★サイズ表記!$E$4:$E$55,0), MATCH(G552,★サイズ表記!$I$3:$R$3,0))</f>
        <v>0</v>
      </c>
      <c r="K552" s="471" t="str">
        <f t="shared" si="48"/>
        <v>C1008Hha</v>
      </c>
      <c r="L552" s="471" t="str">
        <f t="shared" si="49"/>
        <v>B3厚紙</v>
      </c>
      <c r="P552" s="533" t="s">
        <v>1324</v>
      </c>
      <c r="Q552" s="533" t="s">
        <v>1325</v>
      </c>
      <c r="R552" s="534" t="str">
        <f t="shared" si="50"/>
        <v>1008</v>
      </c>
      <c r="S552" s="534" t="str">
        <f t="shared" si="51"/>
        <v>B3厚紙</v>
      </c>
      <c r="T552" s="538" t="str">
        <f t="shared" si="52"/>
        <v>10</v>
      </c>
      <c r="U552" s="538" t="str">
        <f t="shared" si="53"/>
        <v>08</v>
      </c>
      <c r="V552" s="471" t="s">
        <v>1136</v>
      </c>
      <c r="Y552" s="472">
        <f t="shared" si="54"/>
        <v>0</v>
      </c>
      <c r="Z552" s="540">
        <f t="shared" si="55"/>
        <v>0</v>
      </c>
      <c r="AA552" s="471">
        <v>0</v>
      </c>
    </row>
    <row r="553" spans="1:27">
      <c r="A553" s="451" t="str">
        <f>CONCATENATE(VLOOKUP(B553,★営業所!$A$1:$B$5,2,FALSE),VLOOKUP(D553,★サイズ表記!$D$4:$E$55,2,FALSE),VLOOKUP(F553,★折込地区!$A$1:$B$11,2,FALSE))</f>
        <v>C1009Hha</v>
      </c>
      <c r="B553" s="457" t="s">
        <v>116</v>
      </c>
      <c r="C553" s="452" t="str">
        <f>VLOOKUP(B553,★営業所!$A$1:$B$5,2,FALSE)</f>
        <v>C</v>
      </c>
      <c r="D553" s="465" t="s">
        <v>958</v>
      </c>
      <c r="E553" s="452" t="str">
        <f>VLOOKUP(D553,★サイズ表記!$D$4:$E$55,2,FALSE)</f>
        <v>1009</v>
      </c>
      <c r="F553" s="457" t="s">
        <v>158</v>
      </c>
      <c r="G553" s="452" t="str">
        <f>VLOOKUP(F553,★折込地区!$A$1:$B$11,2,FALSE)</f>
        <v>Hha</v>
      </c>
      <c r="H553" s="453">
        <f>INDEX(★サイズ表記!$I$4:$Q$55, MATCH(E553,★サイズ表記!$E$4:$E$55,0), MATCH(G553,★サイズ表記!$I$3:$R$3,0))</f>
        <v>0</v>
      </c>
      <c r="K553" s="471" t="str">
        <f t="shared" si="48"/>
        <v>C1009Hha</v>
      </c>
      <c r="L553" s="471" t="str">
        <f t="shared" si="49"/>
        <v>B2厚紙</v>
      </c>
      <c r="P553" s="533" t="s">
        <v>1324</v>
      </c>
      <c r="Q553" s="533" t="s">
        <v>1325</v>
      </c>
      <c r="R553" s="534" t="str">
        <f t="shared" si="50"/>
        <v>1009</v>
      </c>
      <c r="S553" s="534" t="str">
        <f t="shared" si="51"/>
        <v>B2厚紙</v>
      </c>
      <c r="T553" s="538" t="str">
        <f t="shared" si="52"/>
        <v>10</v>
      </c>
      <c r="U553" s="538" t="str">
        <f t="shared" si="53"/>
        <v>09</v>
      </c>
      <c r="V553" s="471" t="s">
        <v>1136</v>
      </c>
      <c r="Y553" s="472">
        <f t="shared" si="54"/>
        <v>0</v>
      </c>
      <c r="Z553" s="540">
        <f t="shared" si="55"/>
        <v>0</v>
      </c>
      <c r="AA553" s="471">
        <v>0</v>
      </c>
    </row>
    <row r="554" spans="1:27">
      <c r="A554" s="451" t="str">
        <f>CONCATENATE(VLOOKUP(B554,★営業所!$A$1:$B$5,2,FALSE),VLOOKUP(D554,★サイズ表記!$D$4:$E$55,2,FALSE),VLOOKUP(F554,★折込地区!$A$1:$B$11,2,FALSE))</f>
        <v>C1010Hha</v>
      </c>
      <c r="B554" s="457" t="s">
        <v>116</v>
      </c>
      <c r="C554" s="452" t="str">
        <f>VLOOKUP(B554,★営業所!$A$1:$B$5,2,FALSE)</f>
        <v>C</v>
      </c>
      <c r="D554" s="465" t="s">
        <v>959</v>
      </c>
      <c r="E554" s="452" t="str">
        <f>VLOOKUP(D554,★サイズ表記!$D$4:$E$55,2,FALSE)</f>
        <v>1010</v>
      </c>
      <c r="F554" s="457" t="s">
        <v>158</v>
      </c>
      <c r="G554" s="452" t="str">
        <f>VLOOKUP(F554,★折込地区!$A$1:$B$11,2,FALSE)</f>
        <v>Hha</v>
      </c>
      <c r="H554" s="453">
        <f>INDEX(★サイズ表記!$I$4:$Q$55, MATCH(E554,★サイズ表記!$E$4:$E$55,0), MATCH(G554,★サイズ表記!$I$3:$R$3,0))</f>
        <v>0</v>
      </c>
      <c r="K554" s="471" t="str">
        <f t="shared" si="48"/>
        <v>C1010Hha</v>
      </c>
      <c r="L554" s="471" t="str">
        <f t="shared" si="49"/>
        <v>B4以下変形</v>
      </c>
      <c r="P554" s="533" t="s">
        <v>1324</v>
      </c>
      <c r="Q554" s="533" t="s">
        <v>1325</v>
      </c>
      <c r="R554" s="534" t="str">
        <f t="shared" si="50"/>
        <v>1010</v>
      </c>
      <c r="S554" s="534" t="str">
        <f t="shared" si="51"/>
        <v>B4以下変形</v>
      </c>
      <c r="T554" s="538" t="str">
        <f t="shared" si="52"/>
        <v>10</v>
      </c>
      <c r="U554" s="538" t="str">
        <f t="shared" si="53"/>
        <v>10</v>
      </c>
      <c r="V554" s="471" t="s">
        <v>1136</v>
      </c>
      <c r="Y554" s="472">
        <f t="shared" si="54"/>
        <v>0</v>
      </c>
      <c r="Z554" s="540">
        <f t="shared" si="55"/>
        <v>0</v>
      </c>
      <c r="AA554" s="471">
        <v>0</v>
      </c>
    </row>
    <row r="555" spans="1:27">
      <c r="A555" s="451" t="str">
        <f>CONCATENATE(VLOOKUP(B555,★営業所!$A$1:$B$5,2,FALSE),VLOOKUP(D555,★サイズ表記!$D$4:$E$55,2,FALSE),VLOOKUP(F555,★折込地区!$A$1:$B$11,2,FALSE))</f>
        <v>C1011Hha</v>
      </c>
      <c r="B555" s="457" t="s">
        <v>116</v>
      </c>
      <c r="C555" s="452" t="str">
        <f>VLOOKUP(B555,★営業所!$A$1:$B$5,2,FALSE)</f>
        <v>C</v>
      </c>
      <c r="D555" s="465" t="s">
        <v>960</v>
      </c>
      <c r="E555" s="452" t="str">
        <f>VLOOKUP(D555,★サイズ表記!$D$4:$E$55,2,FALSE)</f>
        <v>1011</v>
      </c>
      <c r="F555" s="457" t="s">
        <v>158</v>
      </c>
      <c r="G555" s="452" t="str">
        <f>VLOOKUP(F555,★折込地区!$A$1:$B$11,2,FALSE)</f>
        <v>Hha</v>
      </c>
      <c r="H555" s="453">
        <f>INDEX(★サイズ表記!$I$4:$Q$55, MATCH(E555,★サイズ表記!$E$4:$E$55,0), MATCH(G555,★サイズ表記!$I$3:$R$3,0))</f>
        <v>0</v>
      </c>
      <c r="K555" s="471" t="str">
        <f t="shared" si="48"/>
        <v>C1011Hha</v>
      </c>
      <c r="L555" s="471" t="str">
        <f t="shared" si="49"/>
        <v>B4シール付き</v>
      </c>
      <c r="P555" s="533" t="s">
        <v>1324</v>
      </c>
      <c r="Q555" s="533" t="s">
        <v>1325</v>
      </c>
      <c r="R555" s="534" t="str">
        <f t="shared" si="50"/>
        <v>1011</v>
      </c>
      <c r="S555" s="534" t="str">
        <f t="shared" si="51"/>
        <v>B4シール付き</v>
      </c>
      <c r="T555" s="538" t="str">
        <f t="shared" si="52"/>
        <v>10</v>
      </c>
      <c r="U555" s="538" t="str">
        <f t="shared" si="53"/>
        <v>11</v>
      </c>
      <c r="V555" s="471" t="s">
        <v>1136</v>
      </c>
      <c r="Y555" s="472">
        <f t="shared" si="54"/>
        <v>0</v>
      </c>
      <c r="Z555" s="540">
        <f t="shared" si="55"/>
        <v>0</v>
      </c>
      <c r="AA555" s="471">
        <v>0</v>
      </c>
    </row>
    <row r="556" spans="1:27">
      <c r="A556" s="451" t="str">
        <f>CONCATENATE(VLOOKUP(B556,★営業所!$A$1:$B$5,2,FALSE),VLOOKUP(D556,★サイズ表記!$D$4:$E$55,2,FALSE),VLOOKUP(F556,★折込地区!$A$1:$B$11,2,FALSE))</f>
        <v>C1012Hha</v>
      </c>
      <c r="B556" s="457" t="s">
        <v>116</v>
      </c>
      <c r="C556" s="452" t="str">
        <f>VLOOKUP(B556,★営業所!$A$1:$B$5,2,FALSE)</f>
        <v>C</v>
      </c>
      <c r="D556" s="465" t="s">
        <v>961</v>
      </c>
      <c r="E556" s="452" t="str">
        <f>VLOOKUP(D556,★サイズ表記!$D$4:$E$55,2,FALSE)</f>
        <v>1012</v>
      </c>
      <c r="F556" s="457" t="s">
        <v>158</v>
      </c>
      <c r="G556" s="452" t="str">
        <f>VLOOKUP(F556,★折込地区!$A$1:$B$11,2,FALSE)</f>
        <v>Hha</v>
      </c>
      <c r="H556" s="453">
        <f>INDEX(★サイズ表記!$I$4:$Q$55, MATCH(E556,★サイズ表記!$E$4:$E$55,0), MATCH(G556,★サイズ表記!$I$3:$R$3,0))</f>
        <v>0</v>
      </c>
      <c r="K556" s="471" t="str">
        <f t="shared" si="48"/>
        <v>C1012Hha</v>
      </c>
      <c r="L556" s="471" t="str">
        <f t="shared" si="49"/>
        <v>B3シール付き</v>
      </c>
      <c r="P556" s="533" t="s">
        <v>1324</v>
      </c>
      <c r="Q556" s="533" t="s">
        <v>1325</v>
      </c>
      <c r="R556" s="534" t="str">
        <f t="shared" si="50"/>
        <v>1012</v>
      </c>
      <c r="S556" s="534" t="str">
        <f t="shared" si="51"/>
        <v>B3シール付き</v>
      </c>
      <c r="T556" s="538" t="str">
        <f t="shared" si="52"/>
        <v>10</v>
      </c>
      <c r="U556" s="538" t="str">
        <f t="shared" si="53"/>
        <v>12</v>
      </c>
      <c r="V556" s="471" t="s">
        <v>1136</v>
      </c>
      <c r="Y556" s="472">
        <f t="shared" si="54"/>
        <v>0</v>
      </c>
      <c r="Z556" s="540">
        <f t="shared" si="55"/>
        <v>0</v>
      </c>
      <c r="AA556" s="471">
        <v>0</v>
      </c>
    </row>
    <row r="557" spans="1:27">
      <c r="A557" s="451" t="str">
        <f>CONCATENATE(VLOOKUP(B557,★営業所!$A$1:$B$5,2,FALSE),VLOOKUP(D557,★サイズ表記!$D$4:$E$55,2,FALSE),VLOOKUP(F557,★折込地区!$A$1:$B$11,2,FALSE))</f>
        <v>C1013Hha</v>
      </c>
      <c r="B557" s="457" t="s">
        <v>116</v>
      </c>
      <c r="C557" s="452" t="str">
        <f>VLOOKUP(B557,★営業所!$A$1:$B$5,2,FALSE)</f>
        <v>C</v>
      </c>
      <c r="D557" s="465" t="s">
        <v>962</v>
      </c>
      <c r="E557" s="452" t="str">
        <f>VLOOKUP(D557,★サイズ表記!$D$4:$E$55,2,FALSE)</f>
        <v>1013</v>
      </c>
      <c r="F557" s="457" t="s">
        <v>158</v>
      </c>
      <c r="G557" s="452" t="str">
        <f>VLOOKUP(F557,★折込地区!$A$1:$B$11,2,FALSE)</f>
        <v>Hha</v>
      </c>
      <c r="H557" s="453">
        <f>INDEX(★サイズ表記!$I$4:$Q$55, MATCH(E557,★サイズ表記!$E$4:$E$55,0), MATCH(G557,★サイズ表記!$I$3:$R$3,0))</f>
        <v>0</v>
      </c>
      <c r="K557" s="471" t="str">
        <f t="shared" si="48"/>
        <v>C1013Hha</v>
      </c>
      <c r="L557" s="471" t="str">
        <f t="shared" si="49"/>
        <v>B4スクラッチ付き</v>
      </c>
      <c r="P557" s="533" t="s">
        <v>1324</v>
      </c>
      <c r="Q557" s="533" t="s">
        <v>1325</v>
      </c>
      <c r="R557" s="534" t="str">
        <f t="shared" si="50"/>
        <v>1013</v>
      </c>
      <c r="S557" s="534" t="str">
        <f t="shared" si="51"/>
        <v>B4スクラッチ付き</v>
      </c>
      <c r="T557" s="538" t="str">
        <f t="shared" si="52"/>
        <v>10</v>
      </c>
      <c r="U557" s="538" t="str">
        <f t="shared" si="53"/>
        <v>13</v>
      </c>
      <c r="V557" s="471" t="s">
        <v>1136</v>
      </c>
      <c r="Y557" s="472">
        <f t="shared" si="54"/>
        <v>0</v>
      </c>
      <c r="Z557" s="540">
        <f t="shared" si="55"/>
        <v>0</v>
      </c>
      <c r="AA557" s="471">
        <v>0</v>
      </c>
    </row>
    <row r="558" spans="1:27">
      <c r="A558" s="451" t="str">
        <f>CONCATENATE(VLOOKUP(B558,★営業所!$A$1:$B$5,2,FALSE),VLOOKUP(D558,★サイズ表記!$D$4:$E$55,2,FALSE),VLOOKUP(F558,★折込地区!$A$1:$B$11,2,FALSE))</f>
        <v>C2001Hha</v>
      </c>
      <c r="B558" s="457" t="s">
        <v>116</v>
      </c>
      <c r="C558" s="452" t="str">
        <f>VLOOKUP(B558,★営業所!$A$1:$B$5,2,FALSE)</f>
        <v>C</v>
      </c>
      <c r="D558" s="465" t="s">
        <v>963</v>
      </c>
      <c r="E558" s="452" t="str">
        <f>VLOOKUP(D558,★サイズ表記!$D$4:$E$55,2,FALSE)</f>
        <v>2001</v>
      </c>
      <c r="F558" s="457" t="s">
        <v>158</v>
      </c>
      <c r="G558" s="452" t="str">
        <f>VLOOKUP(F558,★折込地区!$A$1:$B$11,2,FALSE)</f>
        <v>Hha</v>
      </c>
      <c r="H558" s="453">
        <f>INDEX(★サイズ表記!$I$4:$Q$55, MATCH(E558,★サイズ表記!$E$4:$E$55,0), MATCH(G558,★サイズ表記!$I$3:$R$3,0))</f>
        <v>4.5</v>
      </c>
      <c r="K558" s="471" t="str">
        <f t="shared" si="48"/>
        <v>C2001Hha</v>
      </c>
      <c r="L558" s="471" t="str">
        <f t="shared" si="49"/>
        <v>連合B4</v>
      </c>
      <c r="P558" s="533" t="s">
        <v>1324</v>
      </c>
      <c r="Q558" s="533" t="s">
        <v>1325</v>
      </c>
      <c r="R558" s="534" t="str">
        <f t="shared" si="50"/>
        <v>2001</v>
      </c>
      <c r="S558" s="534" t="str">
        <f t="shared" si="51"/>
        <v>連合B4</v>
      </c>
      <c r="T558" s="538" t="str">
        <f t="shared" si="52"/>
        <v>20</v>
      </c>
      <c r="U558" s="538" t="str">
        <f t="shared" si="53"/>
        <v>01</v>
      </c>
      <c r="V558" s="471" t="s">
        <v>1136</v>
      </c>
      <c r="Y558" s="472">
        <f t="shared" si="54"/>
        <v>4.5</v>
      </c>
      <c r="Z558" s="540">
        <f t="shared" si="55"/>
        <v>0.36</v>
      </c>
      <c r="AA558" s="471">
        <v>0</v>
      </c>
    </row>
    <row r="559" spans="1:27">
      <c r="A559" s="451" t="str">
        <f>CONCATENATE(VLOOKUP(B559,★営業所!$A$1:$B$5,2,FALSE),VLOOKUP(D559,★サイズ表記!$D$4:$E$55,2,FALSE),VLOOKUP(F559,★折込地区!$A$1:$B$11,2,FALSE))</f>
        <v>C2002Hha</v>
      </c>
      <c r="B559" s="457" t="s">
        <v>116</v>
      </c>
      <c r="C559" s="452" t="str">
        <f>VLOOKUP(B559,★営業所!$A$1:$B$5,2,FALSE)</f>
        <v>C</v>
      </c>
      <c r="D559" s="465" t="s">
        <v>964</v>
      </c>
      <c r="E559" s="452" t="str">
        <f>VLOOKUP(D559,★サイズ表記!$D$4:$E$55,2,FALSE)</f>
        <v>2002</v>
      </c>
      <c r="F559" s="457" t="s">
        <v>158</v>
      </c>
      <c r="G559" s="452" t="str">
        <f>VLOOKUP(F559,★折込地区!$A$1:$B$11,2,FALSE)</f>
        <v>Hha</v>
      </c>
      <c r="H559" s="453">
        <f>INDEX(★サイズ表記!$I$4:$Q$55, MATCH(E559,★サイズ表記!$E$4:$E$55,0), MATCH(G559,★サイズ表記!$I$3:$R$3,0))</f>
        <v>6</v>
      </c>
      <c r="K559" s="471" t="str">
        <f t="shared" si="48"/>
        <v>C2002Hha</v>
      </c>
      <c r="L559" s="471" t="str">
        <f t="shared" si="49"/>
        <v>連合B3</v>
      </c>
      <c r="P559" s="533" t="s">
        <v>1324</v>
      </c>
      <c r="Q559" s="533" t="s">
        <v>1325</v>
      </c>
      <c r="R559" s="534" t="str">
        <f t="shared" si="50"/>
        <v>2002</v>
      </c>
      <c r="S559" s="534" t="str">
        <f t="shared" si="51"/>
        <v>連合B3</v>
      </c>
      <c r="T559" s="538" t="str">
        <f t="shared" si="52"/>
        <v>20</v>
      </c>
      <c r="U559" s="538" t="str">
        <f t="shared" si="53"/>
        <v>02</v>
      </c>
      <c r="V559" s="471" t="s">
        <v>1136</v>
      </c>
      <c r="Y559" s="472">
        <f t="shared" si="54"/>
        <v>6</v>
      </c>
      <c r="Z559" s="540">
        <f t="shared" si="55"/>
        <v>0.48</v>
      </c>
      <c r="AA559" s="471">
        <v>0</v>
      </c>
    </row>
    <row r="560" spans="1:27">
      <c r="A560" s="451" t="str">
        <f>CONCATENATE(VLOOKUP(B560,★営業所!$A$1:$B$5,2,FALSE),VLOOKUP(D560,★サイズ表記!$D$4:$E$55,2,FALSE),VLOOKUP(F560,★折込地区!$A$1:$B$11,2,FALSE))</f>
        <v>C2003Hha</v>
      </c>
      <c r="B560" s="457" t="s">
        <v>116</v>
      </c>
      <c r="C560" s="452" t="str">
        <f>VLOOKUP(B560,★営業所!$A$1:$B$5,2,FALSE)</f>
        <v>C</v>
      </c>
      <c r="D560" s="465" t="s">
        <v>965</v>
      </c>
      <c r="E560" s="452" t="str">
        <f>VLOOKUP(D560,★サイズ表記!$D$4:$E$55,2,FALSE)</f>
        <v>2003</v>
      </c>
      <c r="F560" s="457" t="s">
        <v>158</v>
      </c>
      <c r="G560" s="452" t="str">
        <f>VLOOKUP(F560,★折込地区!$A$1:$B$11,2,FALSE)</f>
        <v>Hha</v>
      </c>
      <c r="H560" s="453">
        <f>INDEX(★サイズ表記!$I$4:$Q$55, MATCH(E560,★サイズ表記!$E$4:$E$55,0), MATCH(G560,★サイズ表記!$I$3:$R$3,0))</f>
        <v>9</v>
      </c>
      <c r="K560" s="471" t="str">
        <f t="shared" si="48"/>
        <v>C2003Hha</v>
      </c>
      <c r="L560" s="471" t="str">
        <f t="shared" si="49"/>
        <v>連合B2</v>
      </c>
      <c r="P560" s="533" t="s">
        <v>1324</v>
      </c>
      <c r="Q560" s="533" t="s">
        <v>1325</v>
      </c>
      <c r="R560" s="534" t="str">
        <f t="shared" si="50"/>
        <v>2003</v>
      </c>
      <c r="S560" s="534" t="str">
        <f t="shared" si="51"/>
        <v>連合B2</v>
      </c>
      <c r="T560" s="538" t="str">
        <f t="shared" si="52"/>
        <v>20</v>
      </c>
      <c r="U560" s="538" t="str">
        <f t="shared" si="53"/>
        <v>03</v>
      </c>
      <c r="V560" s="471" t="s">
        <v>1136</v>
      </c>
      <c r="Y560" s="472">
        <f t="shared" si="54"/>
        <v>9</v>
      </c>
      <c r="Z560" s="540">
        <f t="shared" si="55"/>
        <v>0.72</v>
      </c>
      <c r="AA560" s="471">
        <v>0</v>
      </c>
    </row>
    <row r="561" spans="1:27">
      <c r="A561" s="451" t="str">
        <f>CONCATENATE(VLOOKUP(B561,★営業所!$A$1:$B$5,2,FALSE),VLOOKUP(D561,★サイズ表記!$D$4:$E$55,2,FALSE),VLOOKUP(F561,★折込地区!$A$1:$B$11,2,FALSE))</f>
        <v>C2004Hha</v>
      </c>
      <c r="B561" s="457" t="s">
        <v>116</v>
      </c>
      <c r="C561" s="452" t="str">
        <f>VLOOKUP(B561,★営業所!$A$1:$B$5,2,FALSE)</f>
        <v>C</v>
      </c>
      <c r="D561" s="465" t="s">
        <v>966</v>
      </c>
      <c r="E561" s="452" t="str">
        <f>VLOOKUP(D561,★サイズ表記!$D$4:$E$55,2,FALSE)</f>
        <v>2004</v>
      </c>
      <c r="F561" s="457" t="s">
        <v>158</v>
      </c>
      <c r="G561" s="452" t="str">
        <f>VLOOKUP(F561,★折込地区!$A$1:$B$11,2,FALSE)</f>
        <v>Hha</v>
      </c>
      <c r="H561" s="453">
        <f>INDEX(★サイズ表記!$I$4:$Q$55, MATCH(E561,★サイズ表記!$E$4:$E$55,0), MATCH(G561,★サイズ表記!$I$3:$R$3,0))</f>
        <v>0</v>
      </c>
      <c r="K561" s="471" t="str">
        <f t="shared" si="48"/>
        <v>C2004Hha</v>
      </c>
      <c r="L561" s="471" t="str">
        <f t="shared" si="49"/>
        <v>連合3つ折り</v>
      </c>
      <c r="P561" s="533" t="s">
        <v>1324</v>
      </c>
      <c r="Q561" s="533" t="s">
        <v>1325</v>
      </c>
      <c r="R561" s="534" t="str">
        <f t="shared" si="50"/>
        <v>2004</v>
      </c>
      <c r="S561" s="534" t="str">
        <f t="shared" si="51"/>
        <v>連合3つ折り</v>
      </c>
      <c r="T561" s="538" t="str">
        <f t="shared" si="52"/>
        <v>20</v>
      </c>
      <c r="U561" s="538" t="str">
        <f t="shared" si="53"/>
        <v>04</v>
      </c>
      <c r="V561" s="471" t="s">
        <v>1136</v>
      </c>
      <c r="Y561" s="472">
        <f t="shared" si="54"/>
        <v>0</v>
      </c>
      <c r="Z561" s="540">
        <f t="shared" si="55"/>
        <v>0</v>
      </c>
      <c r="AA561" s="471">
        <v>0</v>
      </c>
    </row>
    <row r="562" spans="1:27">
      <c r="A562" s="451" t="str">
        <f>CONCATENATE(VLOOKUP(B562,★営業所!$A$1:$B$5,2,FALSE),VLOOKUP(D562,★サイズ表記!$D$4:$E$55,2,FALSE),VLOOKUP(F562,★折込地区!$A$1:$B$11,2,FALSE))</f>
        <v>C2005Hha</v>
      </c>
      <c r="B562" s="457" t="s">
        <v>116</v>
      </c>
      <c r="C562" s="452" t="str">
        <f>VLOOKUP(B562,★営業所!$A$1:$B$5,2,FALSE)</f>
        <v>C</v>
      </c>
      <c r="D562" s="465" t="s">
        <v>967</v>
      </c>
      <c r="E562" s="452" t="str">
        <f>VLOOKUP(D562,★サイズ表記!$D$4:$E$55,2,FALSE)</f>
        <v>2005</v>
      </c>
      <c r="F562" s="457" t="s">
        <v>158</v>
      </c>
      <c r="G562" s="452" t="str">
        <f>VLOOKUP(F562,★折込地区!$A$1:$B$11,2,FALSE)</f>
        <v>Hha</v>
      </c>
      <c r="H562" s="453">
        <f>INDEX(★サイズ表記!$I$4:$Q$55, MATCH(E562,★サイズ表記!$E$4:$E$55,0), MATCH(G562,★サイズ表記!$I$3:$R$3,0))</f>
        <v>0</v>
      </c>
      <c r="K562" s="471" t="str">
        <f t="shared" si="48"/>
        <v>C2005Hha</v>
      </c>
      <c r="L562" s="471" t="str">
        <f t="shared" si="49"/>
        <v>連合B4厚紙</v>
      </c>
      <c r="P562" s="533" t="s">
        <v>1324</v>
      </c>
      <c r="Q562" s="533" t="s">
        <v>1325</v>
      </c>
      <c r="R562" s="534" t="str">
        <f t="shared" si="50"/>
        <v>2005</v>
      </c>
      <c r="S562" s="534" t="str">
        <f t="shared" si="51"/>
        <v>連合B4厚紙</v>
      </c>
      <c r="T562" s="538" t="str">
        <f t="shared" si="52"/>
        <v>20</v>
      </c>
      <c r="U562" s="538" t="str">
        <f t="shared" si="53"/>
        <v>05</v>
      </c>
      <c r="V562" s="471" t="s">
        <v>1136</v>
      </c>
      <c r="Y562" s="472">
        <f t="shared" si="54"/>
        <v>0</v>
      </c>
      <c r="Z562" s="540">
        <f t="shared" si="55"/>
        <v>0</v>
      </c>
      <c r="AA562" s="471">
        <v>0</v>
      </c>
    </row>
    <row r="563" spans="1:27">
      <c r="A563" s="451" t="str">
        <f>CONCATENATE(VLOOKUP(B563,★営業所!$A$1:$B$5,2,FALSE),VLOOKUP(D563,★サイズ表記!$D$4:$E$55,2,FALSE),VLOOKUP(F563,★折込地区!$A$1:$B$11,2,FALSE))</f>
        <v>C2006Hha</v>
      </c>
      <c r="B563" s="457" t="s">
        <v>116</v>
      </c>
      <c r="C563" s="452" t="str">
        <f>VLOOKUP(B563,★営業所!$A$1:$B$5,2,FALSE)</f>
        <v>C</v>
      </c>
      <c r="D563" s="465" t="s">
        <v>968</v>
      </c>
      <c r="E563" s="452" t="str">
        <f>VLOOKUP(D563,★サイズ表記!$D$4:$E$55,2,FALSE)</f>
        <v>2006</v>
      </c>
      <c r="F563" s="457" t="s">
        <v>158</v>
      </c>
      <c r="G563" s="452" t="str">
        <f>VLOOKUP(F563,★折込地区!$A$1:$B$11,2,FALSE)</f>
        <v>Hha</v>
      </c>
      <c r="H563" s="453">
        <f>INDEX(★サイズ表記!$I$4:$Q$55, MATCH(E563,★サイズ表記!$E$4:$E$55,0), MATCH(G563,★サイズ表記!$I$3:$R$3,0))</f>
        <v>0</v>
      </c>
      <c r="K563" s="471" t="str">
        <f t="shared" si="48"/>
        <v>C2006Hha</v>
      </c>
      <c r="L563" s="471" t="str">
        <f t="shared" si="49"/>
        <v>連合2つ折り極小</v>
      </c>
      <c r="P563" s="533" t="s">
        <v>1324</v>
      </c>
      <c r="Q563" s="533" t="s">
        <v>1325</v>
      </c>
      <c r="R563" s="534" t="str">
        <f t="shared" si="50"/>
        <v>2006</v>
      </c>
      <c r="S563" s="534" t="str">
        <f t="shared" si="51"/>
        <v>連合2つ折り極小</v>
      </c>
      <c r="T563" s="538" t="str">
        <f t="shared" si="52"/>
        <v>20</v>
      </c>
      <c r="U563" s="538" t="str">
        <f t="shared" si="53"/>
        <v>06</v>
      </c>
      <c r="V563" s="471" t="s">
        <v>1136</v>
      </c>
      <c r="Y563" s="472">
        <f t="shared" si="54"/>
        <v>0</v>
      </c>
      <c r="Z563" s="540">
        <f t="shared" si="55"/>
        <v>0</v>
      </c>
      <c r="AA563" s="471">
        <v>0</v>
      </c>
    </row>
    <row r="564" spans="1:27">
      <c r="A564" s="451" t="str">
        <f>CONCATENATE(VLOOKUP(B564,★営業所!$A$1:$B$5,2,FALSE),VLOOKUP(D564,★サイズ表記!$D$4:$E$55,2,FALSE),VLOOKUP(F564,★折込地区!$A$1:$B$11,2,FALSE))</f>
        <v>C2007Hha</v>
      </c>
      <c r="B564" s="457" t="s">
        <v>116</v>
      </c>
      <c r="C564" s="452" t="str">
        <f>VLOOKUP(B564,★営業所!$A$1:$B$5,2,FALSE)</f>
        <v>C</v>
      </c>
      <c r="D564" s="465" t="s">
        <v>1365</v>
      </c>
      <c r="E564" s="452" t="str">
        <f>VLOOKUP(D564,★サイズ表記!$D$4:$E$55,2,FALSE)</f>
        <v>2007</v>
      </c>
      <c r="F564" s="457" t="s">
        <v>158</v>
      </c>
      <c r="G564" s="452" t="str">
        <f>VLOOKUP(F564,★折込地区!$A$1:$B$11,2,FALSE)</f>
        <v>Hha</v>
      </c>
      <c r="H564" s="453">
        <f>INDEX(★サイズ表記!$I$4:$Q$55, MATCH(E564,★サイズ表記!$E$4:$E$55,0), MATCH(G564,★サイズ表記!$I$3:$R$3,0))</f>
        <v>0</v>
      </c>
      <c r="K564" s="471" t="str">
        <f t="shared" si="48"/>
        <v>C2007Hha</v>
      </c>
      <c r="L564" s="471" t="str">
        <f t="shared" si="49"/>
        <v>連合タブ6P</v>
      </c>
      <c r="P564" s="533" t="s">
        <v>1324</v>
      </c>
      <c r="Q564" s="533" t="s">
        <v>1325</v>
      </c>
      <c r="R564" s="534" t="str">
        <f t="shared" si="50"/>
        <v>2007</v>
      </c>
      <c r="S564" s="534" t="str">
        <f t="shared" si="51"/>
        <v>連合タブ6P</v>
      </c>
      <c r="T564" s="538" t="str">
        <f t="shared" si="52"/>
        <v>20</v>
      </c>
      <c r="U564" s="538" t="str">
        <f t="shared" si="53"/>
        <v>07</v>
      </c>
      <c r="V564" s="471" t="s">
        <v>1136</v>
      </c>
      <c r="Y564" s="472">
        <f t="shared" si="54"/>
        <v>0</v>
      </c>
      <c r="Z564" s="540">
        <f t="shared" si="55"/>
        <v>0</v>
      </c>
      <c r="AA564" s="471">
        <v>0</v>
      </c>
    </row>
    <row r="565" spans="1:27">
      <c r="A565" s="451" t="str">
        <f>CONCATENATE(VLOOKUP(B565,★営業所!$A$1:$B$5,2,FALSE),VLOOKUP(D565,★サイズ表記!$D$4:$E$55,2,FALSE),VLOOKUP(F565,★折込地区!$A$1:$B$11,2,FALSE))</f>
        <v>C2008Hha</v>
      </c>
      <c r="B565" s="457" t="s">
        <v>116</v>
      </c>
      <c r="C565" s="452" t="str">
        <f>VLOOKUP(B565,★営業所!$A$1:$B$5,2,FALSE)</f>
        <v>C</v>
      </c>
      <c r="D565" s="465" t="s">
        <v>1366</v>
      </c>
      <c r="E565" s="452" t="str">
        <f>VLOOKUP(D565,★サイズ表記!$D$4:$E$55,2,FALSE)</f>
        <v>2008</v>
      </c>
      <c r="F565" s="457" t="s">
        <v>158</v>
      </c>
      <c r="G565" s="452" t="str">
        <f>VLOOKUP(F565,★折込地区!$A$1:$B$11,2,FALSE)</f>
        <v>Hha</v>
      </c>
      <c r="H565" s="453">
        <f>INDEX(★サイズ表記!$I$4:$Q$55, MATCH(E565,★サイズ表記!$E$4:$E$55,0), MATCH(G565,★サイズ表記!$I$3:$R$3,0))</f>
        <v>0</v>
      </c>
      <c r="K565" s="471" t="str">
        <f t="shared" si="48"/>
        <v>C2008Hha</v>
      </c>
      <c r="L565" s="471" t="str">
        <f t="shared" si="49"/>
        <v>連合タブ8P</v>
      </c>
      <c r="P565" s="533" t="s">
        <v>1324</v>
      </c>
      <c r="Q565" s="533" t="s">
        <v>1325</v>
      </c>
      <c r="R565" s="534" t="str">
        <f t="shared" si="50"/>
        <v>2008</v>
      </c>
      <c r="S565" s="534" t="str">
        <f t="shared" si="51"/>
        <v>連合タブ8P</v>
      </c>
      <c r="T565" s="538" t="str">
        <f t="shared" si="52"/>
        <v>20</v>
      </c>
      <c r="U565" s="538" t="str">
        <f t="shared" si="53"/>
        <v>08</v>
      </c>
      <c r="V565" s="471" t="s">
        <v>1136</v>
      </c>
      <c r="Y565" s="472">
        <f t="shared" si="54"/>
        <v>0</v>
      </c>
      <c r="Z565" s="540">
        <f t="shared" si="55"/>
        <v>0</v>
      </c>
      <c r="AA565" s="471">
        <v>0</v>
      </c>
    </row>
    <row r="566" spans="1:27">
      <c r="A566" s="451" t="str">
        <f>CONCATENATE(VLOOKUP(B566,★営業所!$A$1:$B$5,2,FALSE),VLOOKUP(D566,★サイズ表記!$D$4:$E$55,2,FALSE),VLOOKUP(F566,★折込地区!$A$1:$B$11,2,FALSE))</f>
        <v>C2009Hha</v>
      </c>
      <c r="B566" s="457" t="s">
        <v>116</v>
      </c>
      <c r="C566" s="452" t="str">
        <f>VLOOKUP(B566,★営業所!$A$1:$B$5,2,FALSE)</f>
        <v>C</v>
      </c>
      <c r="D566" s="465" t="s">
        <v>1364</v>
      </c>
      <c r="E566" s="452" t="str">
        <f>VLOOKUP(D566,★サイズ表記!$D$4:$E$55,2,FALSE)</f>
        <v>2009</v>
      </c>
      <c r="F566" s="457" t="s">
        <v>158</v>
      </c>
      <c r="G566" s="452" t="str">
        <f>VLOOKUP(F566,★折込地区!$A$1:$B$11,2,FALSE)</f>
        <v>Hha</v>
      </c>
      <c r="H566" s="453">
        <f>INDEX(★サイズ表記!$I$4:$Q$55, MATCH(E566,★サイズ表記!$E$4:$E$55,0), MATCH(G566,★サイズ表記!$I$3:$R$3,0))</f>
        <v>0</v>
      </c>
      <c r="K566" s="471" t="str">
        <f t="shared" si="48"/>
        <v>C2009Hha</v>
      </c>
      <c r="L566" s="471" t="str">
        <f t="shared" si="49"/>
        <v>連合タブ12P</v>
      </c>
      <c r="P566" s="533" t="s">
        <v>1324</v>
      </c>
      <c r="Q566" s="533" t="s">
        <v>1325</v>
      </c>
      <c r="R566" s="534" t="str">
        <f t="shared" si="50"/>
        <v>2009</v>
      </c>
      <c r="S566" s="534" t="str">
        <f t="shared" si="51"/>
        <v>連合タブ12P</v>
      </c>
      <c r="T566" s="538" t="str">
        <f t="shared" si="52"/>
        <v>20</v>
      </c>
      <c r="U566" s="538" t="str">
        <f t="shared" si="53"/>
        <v>09</v>
      </c>
      <c r="V566" s="471" t="s">
        <v>1136</v>
      </c>
      <c r="Y566" s="472">
        <f t="shared" si="54"/>
        <v>0</v>
      </c>
      <c r="Z566" s="540">
        <f t="shared" si="55"/>
        <v>0</v>
      </c>
      <c r="AA566" s="471">
        <v>0</v>
      </c>
    </row>
    <row r="567" spans="1:27">
      <c r="A567" s="451" t="str">
        <f>CONCATENATE(VLOOKUP(B567,★営業所!$A$1:$B$5,2,FALSE),VLOOKUP(D567,★サイズ表記!$D$4:$E$55,2,FALSE),VLOOKUP(F567,★折込地区!$A$1:$B$11,2,FALSE))</f>
        <v>C3001Hha</v>
      </c>
      <c r="B567" s="457" t="s">
        <v>116</v>
      </c>
      <c r="C567" s="452" t="str">
        <f>VLOOKUP(B567,★営業所!$A$1:$B$5,2,FALSE)</f>
        <v>C</v>
      </c>
      <c r="D567" s="465" t="s">
        <v>969</v>
      </c>
      <c r="E567" s="452" t="str">
        <f>VLOOKUP(D567,★サイズ表記!$D$4:$E$55,2,FALSE)</f>
        <v>3001</v>
      </c>
      <c r="F567" s="457" t="s">
        <v>158</v>
      </c>
      <c r="G567" s="452" t="str">
        <f>VLOOKUP(F567,★折込地区!$A$1:$B$11,2,FALSE)</f>
        <v>Hha</v>
      </c>
      <c r="H567" s="453">
        <f>INDEX(★サイズ表記!$I$4:$Q$55, MATCH(E567,★サイズ表記!$E$4:$E$55,0), MATCH(G567,★サイズ表記!$I$3:$R$3,0))</f>
        <v>4.5</v>
      </c>
      <c r="K567" s="471" t="str">
        <f t="shared" si="48"/>
        <v>C3001Hha</v>
      </c>
      <c r="L567" s="471" t="str">
        <f t="shared" si="49"/>
        <v>政治B4</v>
      </c>
      <c r="P567" s="533" t="s">
        <v>1324</v>
      </c>
      <c r="Q567" s="533" t="s">
        <v>1325</v>
      </c>
      <c r="R567" s="534" t="str">
        <f t="shared" si="50"/>
        <v>3001</v>
      </c>
      <c r="S567" s="534" t="str">
        <f t="shared" si="51"/>
        <v>政治B4</v>
      </c>
      <c r="T567" s="538" t="str">
        <f t="shared" si="52"/>
        <v>30</v>
      </c>
      <c r="U567" s="538" t="str">
        <f t="shared" si="53"/>
        <v>01</v>
      </c>
      <c r="V567" s="471" t="s">
        <v>1136</v>
      </c>
      <c r="Y567" s="472">
        <f t="shared" si="54"/>
        <v>4.5</v>
      </c>
      <c r="Z567" s="540">
        <f t="shared" si="55"/>
        <v>0.36</v>
      </c>
      <c r="AA567" s="471">
        <v>0</v>
      </c>
    </row>
    <row r="568" spans="1:27">
      <c r="A568" s="451" t="str">
        <f>CONCATENATE(VLOOKUP(B568,★営業所!$A$1:$B$5,2,FALSE),VLOOKUP(D568,★サイズ表記!$D$4:$E$55,2,FALSE),VLOOKUP(F568,★折込地区!$A$1:$B$11,2,FALSE))</f>
        <v>C3002Hha</v>
      </c>
      <c r="B568" s="457" t="s">
        <v>116</v>
      </c>
      <c r="C568" s="452" t="str">
        <f>VLOOKUP(B568,★営業所!$A$1:$B$5,2,FALSE)</f>
        <v>C</v>
      </c>
      <c r="D568" s="465" t="s">
        <v>970</v>
      </c>
      <c r="E568" s="452" t="str">
        <f>VLOOKUP(D568,★サイズ表記!$D$4:$E$55,2,FALSE)</f>
        <v>3002</v>
      </c>
      <c r="F568" s="457" t="s">
        <v>158</v>
      </c>
      <c r="G568" s="452" t="str">
        <f>VLOOKUP(F568,★折込地区!$A$1:$B$11,2,FALSE)</f>
        <v>Hha</v>
      </c>
      <c r="H568" s="453">
        <f>INDEX(★サイズ表記!$I$4:$Q$55, MATCH(E568,★サイズ表記!$E$4:$E$55,0), MATCH(G568,★サイズ表記!$I$3:$R$3,0))</f>
        <v>6</v>
      </c>
      <c r="K568" s="471" t="str">
        <f t="shared" si="48"/>
        <v>C3002Hha</v>
      </c>
      <c r="L568" s="471" t="str">
        <f t="shared" si="49"/>
        <v>政治B3</v>
      </c>
      <c r="P568" s="533" t="s">
        <v>1324</v>
      </c>
      <c r="Q568" s="533" t="s">
        <v>1325</v>
      </c>
      <c r="R568" s="534" t="str">
        <f t="shared" si="50"/>
        <v>3002</v>
      </c>
      <c r="S568" s="534" t="str">
        <f t="shared" si="51"/>
        <v>政治B3</v>
      </c>
      <c r="T568" s="538" t="str">
        <f t="shared" si="52"/>
        <v>30</v>
      </c>
      <c r="U568" s="538" t="str">
        <f t="shared" si="53"/>
        <v>02</v>
      </c>
      <c r="V568" s="471" t="s">
        <v>1136</v>
      </c>
      <c r="Y568" s="472">
        <f t="shared" si="54"/>
        <v>6</v>
      </c>
      <c r="Z568" s="540">
        <f t="shared" si="55"/>
        <v>0.48</v>
      </c>
      <c r="AA568" s="471">
        <v>0</v>
      </c>
    </row>
    <row r="569" spans="1:27">
      <c r="A569" s="451" t="str">
        <f>CONCATENATE(VLOOKUP(B569,★営業所!$A$1:$B$5,2,FALSE),VLOOKUP(D569,★サイズ表記!$D$4:$E$55,2,FALSE),VLOOKUP(F569,★折込地区!$A$1:$B$11,2,FALSE))</f>
        <v>C3003Hha</v>
      </c>
      <c r="B569" s="457" t="s">
        <v>116</v>
      </c>
      <c r="C569" s="452" t="str">
        <f>VLOOKUP(B569,★営業所!$A$1:$B$5,2,FALSE)</f>
        <v>C</v>
      </c>
      <c r="D569" s="465" t="s">
        <v>971</v>
      </c>
      <c r="E569" s="452" t="str">
        <f>VLOOKUP(D569,★サイズ表記!$D$4:$E$55,2,FALSE)</f>
        <v>3003</v>
      </c>
      <c r="F569" s="457" t="s">
        <v>158</v>
      </c>
      <c r="G569" s="452" t="str">
        <f>VLOOKUP(F569,★折込地区!$A$1:$B$11,2,FALSE)</f>
        <v>Hha</v>
      </c>
      <c r="H569" s="453">
        <f>INDEX(★サイズ表記!$I$4:$Q$55, MATCH(E569,★サイズ表記!$E$4:$E$55,0), MATCH(G569,★サイズ表記!$I$3:$R$3,0))</f>
        <v>9</v>
      </c>
      <c r="K569" s="471" t="str">
        <f t="shared" si="48"/>
        <v>C3003Hha</v>
      </c>
      <c r="L569" s="471" t="str">
        <f t="shared" si="49"/>
        <v>政治B2</v>
      </c>
      <c r="P569" s="533" t="s">
        <v>1324</v>
      </c>
      <c r="Q569" s="533" t="s">
        <v>1325</v>
      </c>
      <c r="R569" s="534" t="str">
        <f t="shared" si="50"/>
        <v>3003</v>
      </c>
      <c r="S569" s="534" t="str">
        <f t="shared" si="51"/>
        <v>政治B2</v>
      </c>
      <c r="T569" s="538" t="str">
        <f t="shared" si="52"/>
        <v>30</v>
      </c>
      <c r="U569" s="538" t="str">
        <f t="shared" si="53"/>
        <v>03</v>
      </c>
      <c r="V569" s="471" t="s">
        <v>1136</v>
      </c>
      <c r="Y569" s="472">
        <f t="shared" si="54"/>
        <v>9</v>
      </c>
      <c r="Z569" s="540">
        <f t="shared" si="55"/>
        <v>0.72</v>
      </c>
      <c r="AA569" s="471">
        <v>0</v>
      </c>
    </row>
    <row r="570" spans="1:27">
      <c r="A570" s="451" t="str">
        <f>CONCATENATE(VLOOKUP(B570,★営業所!$A$1:$B$5,2,FALSE),VLOOKUP(D570,★サイズ表記!$D$4:$E$55,2,FALSE),VLOOKUP(F570,★折込地区!$A$1:$B$11,2,FALSE))</f>
        <v>C3004Hha</v>
      </c>
      <c r="B570" s="457" t="s">
        <v>116</v>
      </c>
      <c r="C570" s="452" t="str">
        <f>VLOOKUP(B570,★営業所!$A$1:$B$5,2,FALSE)</f>
        <v>C</v>
      </c>
      <c r="D570" s="465" t="s">
        <v>972</v>
      </c>
      <c r="E570" s="452" t="str">
        <f>VLOOKUP(D570,★サイズ表記!$D$4:$E$55,2,FALSE)</f>
        <v>3004</v>
      </c>
      <c r="F570" s="457" t="s">
        <v>158</v>
      </c>
      <c r="G570" s="452" t="str">
        <f>VLOOKUP(F570,★折込地区!$A$1:$B$11,2,FALSE)</f>
        <v>Hha</v>
      </c>
      <c r="H570" s="453">
        <f>INDEX(★サイズ表記!$I$4:$Q$55, MATCH(E570,★サイズ表記!$E$4:$E$55,0), MATCH(G570,★サイズ表記!$I$3:$R$3,0))</f>
        <v>0</v>
      </c>
      <c r="K570" s="471" t="str">
        <f t="shared" si="48"/>
        <v>C3004Hha</v>
      </c>
      <c r="L570" s="471" t="str">
        <f t="shared" si="49"/>
        <v>政治3つ折り</v>
      </c>
      <c r="P570" s="533" t="s">
        <v>1324</v>
      </c>
      <c r="Q570" s="533" t="s">
        <v>1325</v>
      </c>
      <c r="R570" s="534" t="str">
        <f t="shared" si="50"/>
        <v>3004</v>
      </c>
      <c r="S570" s="534" t="str">
        <f t="shared" si="51"/>
        <v>政治3つ折り</v>
      </c>
      <c r="T570" s="538" t="str">
        <f t="shared" si="52"/>
        <v>30</v>
      </c>
      <c r="U570" s="538" t="str">
        <f t="shared" si="53"/>
        <v>04</v>
      </c>
      <c r="V570" s="471" t="s">
        <v>1136</v>
      </c>
      <c r="Y570" s="472">
        <f t="shared" si="54"/>
        <v>0</v>
      </c>
      <c r="Z570" s="540">
        <f t="shared" si="55"/>
        <v>0</v>
      </c>
      <c r="AA570" s="471">
        <v>0</v>
      </c>
    </row>
    <row r="571" spans="1:27">
      <c r="A571" s="451" t="str">
        <f>CONCATENATE(VLOOKUP(B571,★営業所!$A$1:$B$5,2,FALSE),VLOOKUP(D571,★サイズ表記!$D$4:$E$55,2,FALSE),VLOOKUP(F571,★折込地区!$A$1:$B$11,2,FALSE))</f>
        <v>C3005Hha</v>
      </c>
      <c r="B571" s="457" t="s">
        <v>116</v>
      </c>
      <c r="C571" s="452" t="str">
        <f>VLOOKUP(B571,★営業所!$A$1:$B$5,2,FALSE)</f>
        <v>C</v>
      </c>
      <c r="D571" s="465" t="s">
        <v>973</v>
      </c>
      <c r="E571" s="452" t="str">
        <f>VLOOKUP(D571,★サイズ表記!$D$4:$E$55,2,FALSE)</f>
        <v>3005</v>
      </c>
      <c r="F571" s="457" t="s">
        <v>158</v>
      </c>
      <c r="G571" s="452" t="str">
        <f>VLOOKUP(F571,★折込地区!$A$1:$B$11,2,FALSE)</f>
        <v>Hha</v>
      </c>
      <c r="H571" s="453">
        <f>INDEX(★サイズ表記!$I$4:$Q$55, MATCH(E571,★サイズ表記!$E$4:$E$55,0), MATCH(G571,★サイズ表記!$I$3:$R$3,0))</f>
        <v>0</v>
      </c>
      <c r="K571" s="471" t="str">
        <f t="shared" si="48"/>
        <v>C3005Hha</v>
      </c>
      <c r="L571" s="471" t="str">
        <f t="shared" si="49"/>
        <v>政治2つ折り極小</v>
      </c>
      <c r="P571" s="533" t="s">
        <v>1324</v>
      </c>
      <c r="Q571" s="533" t="s">
        <v>1325</v>
      </c>
      <c r="R571" s="534" t="str">
        <f t="shared" si="50"/>
        <v>3005</v>
      </c>
      <c r="S571" s="534" t="str">
        <f t="shared" si="51"/>
        <v>政治2つ折り極小</v>
      </c>
      <c r="T571" s="538" t="str">
        <f t="shared" si="52"/>
        <v>30</v>
      </c>
      <c r="U571" s="538" t="str">
        <f t="shared" si="53"/>
        <v>05</v>
      </c>
      <c r="V571" s="471" t="s">
        <v>1136</v>
      </c>
      <c r="Y571" s="472">
        <f t="shared" si="54"/>
        <v>0</v>
      </c>
      <c r="Z571" s="540">
        <f t="shared" si="55"/>
        <v>0</v>
      </c>
      <c r="AA571" s="471">
        <v>0</v>
      </c>
    </row>
    <row r="572" spans="1:27">
      <c r="A572" s="451" t="str">
        <f>CONCATENATE(VLOOKUP(B572,★営業所!$A$1:$B$5,2,FALSE),VLOOKUP(D572,★サイズ表記!$D$4:$E$55,2,FALSE),VLOOKUP(F572,★折込地区!$A$1:$B$11,2,FALSE))</f>
        <v>C3006Hha</v>
      </c>
      <c r="B572" s="457" t="s">
        <v>116</v>
      </c>
      <c r="C572" s="452" t="str">
        <f>VLOOKUP(B572,★営業所!$A$1:$B$5,2,FALSE)</f>
        <v>C</v>
      </c>
      <c r="D572" s="465" t="s">
        <v>974</v>
      </c>
      <c r="E572" s="452" t="str">
        <f>VLOOKUP(D572,★サイズ表記!$D$4:$E$55,2,FALSE)</f>
        <v>3006</v>
      </c>
      <c r="F572" s="457" t="s">
        <v>158</v>
      </c>
      <c r="G572" s="452" t="str">
        <f>VLOOKUP(F572,★折込地区!$A$1:$B$11,2,FALSE)</f>
        <v>Hha</v>
      </c>
      <c r="H572" s="453">
        <f>INDEX(★サイズ表記!$I$4:$Q$55, MATCH(E572,★サイズ表記!$E$4:$E$55,0), MATCH(G572,★サイズ表記!$I$3:$R$3,0))</f>
        <v>0</v>
      </c>
      <c r="K572" s="471" t="str">
        <f t="shared" si="48"/>
        <v>C3006Hha</v>
      </c>
      <c r="L572" s="471" t="str">
        <f t="shared" si="49"/>
        <v>政治B4厚紙</v>
      </c>
      <c r="P572" s="533" t="s">
        <v>1324</v>
      </c>
      <c r="Q572" s="533" t="s">
        <v>1325</v>
      </c>
      <c r="R572" s="534" t="str">
        <f t="shared" si="50"/>
        <v>3006</v>
      </c>
      <c r="S572" s="534" t="str">
        <f t="shared" si="51"/>
        <v>政治B4厚紙</v>
      </c>
      <c r="T572" s="538" t="str">
        <f t="shared" si="52"/>
        <v>30</v>
      </c>
      <c r="U572" s="538" t="str">
        <f t="shared" si="53"/>
        <v>06</v>
      </c>
      <c r="V572" s="471" t="s">
        <v>1136</v>
      </c>
      <c r="Y572" s="472">
        <f t="shared" si="54"/>
        <v>0</v>
      </c>
      <c r="Z572" s="540">
        <f t="shared" si="55"/>
        <v>0</v>
      </c>
      <c r="AA572" s="471">
        <v>0</v>
      </c>
    </row>
    <row r="573" spans="1:27">
      <c r="A573" s="451" t="str">
        <f>CONCATENATE(VLOOKUP(B573,★営業所!$A$1:$B$5,2,FALSE),VLOOKUP(D573,★サイズ表記!$D$4:$E$55,2,FALSE),VLOOKUP(F573,★折込地区!$A$1:$B$11,2,FALSE))</f>
        <v>C3007Hha</v>
      </c>
      <c r="B573" s="457" t="s">
        <v>116</v>
      </c>
      <c r="C573" s="452" t="str">
        <f>VLOOKUP(B573,★営業所!$A$1:$B$5,2,FALSE)</f>
        <v>C</v>
      </c>
      <c r="D573" s="465" t="s">
        <v>1362</v>
      </c>
      <c r="E573" s="452" t="str">
        <f>VLOOKUP(D573,★サイズ表記!$D$4:$E$55,2,FALSE)</f>
        <v>3007</v>
      </c>
      <c r="F573" s="457" t="s">
        <v>158</v>
      </c>
      <c r="G573" s="452" t="str">
        <f>VLOOKUP(F573,★折込地区!$A$1:$B$11,2,FALSE)</f>
        <v>Hha</v>
      </c>
      <c r="H573" s="453">
        <f>INDEX(★サイズ表記!$I$4:$Q$55, MATCH(E573,★サイズ表記!$E$4:$E$55,0), MATCH(G573,★サイズ表記!$I$3:$R$3,0))</f>
        <v>0</v>
      </c>
      <c r="K573" s="471" t="str">
        <f t="shared" si="48"/>
        <v>C3007Hha</v>
      </c>
      <c r="L573" s="471" t="str">
        <f t="shared" si="49"/>
        <v>政治タブ6P</v>
      </c>
      <c r="P573" s="533" t="s">
        <v>1324</v>
      </c>
      <c r="Q573" s="533" t="s">
        <v>1325</v>
      </c>
      <c r="R573" s="534" t="str">
        <f t="shared" si="50"/>
        <v>3007</v>
      </c>
      <c r="S573" s="534" t="str">
        <f t="shared" si="51"/>
        <v>政治タブ6P</v>
      </c>
      <c r="T573" s="538" t="str">
        <f t="shared" si="52"/>
        <v>30</v>
      </c>
      <c r="U573" s="538" t="str">
        <f t="shared" si="53"/>
        <v>07</v>
      </c>
      <c r="V573" s="471" t="s">
        <v>1136</v>
      </c>
      <c r="Y573" s="472">
        <f t="shared" si="54"/>
        <v>0</v>
      </c>
      <c r="Z573" s="540">
        <f t="shared" si="55"/>
        <v>0</v>
      </c>
      <c r="AA573" s="471">
        <v>0</v>
      </c>
    </row>
    <row r="574" spans="1:27">
      <c r="A574" s="451" t="str">
        <f>CONCATENATE(VLOOKUP(B574,★営業所!$A$1:$B$5,2,FALSE),VLOOKUP(D574,★サイズ表記!$D$4:$E$55,2,FALSE),VLOOKUP(F574,★折込地区!$A$1:$B$11,2,FALSE))</f>
        <v>C3008Hha</v>
      </c>
      <c r="B574" s="457" t="s">
        <v>116</v>
      </c>
      <c r="C574" s="452" t="str">
        <f>VLOOKUP(B574,★営業所!$A$1:$B$5,2,FALSE)</f>
        <v>C</v>
      </c>
      <c r="D574" s="465" t="s">
        <v>1363</v>
      </c>
      <c r="E574" s="452" t="str">
        <f>VLOOKUP(D574,★サイズ表記!$D$4:$E$55,2,FALSE)</f>
        <v>3008</v>
      </c>
      <c r="F574" s="457" t="s">
        <v>158</v>
      </c>
      <c r="G574" s="452" t="str">
        <f>VLOOKUP(F574,★折込地区!$A$1:$B$11,2,FALSE)</f>
        <v>Hha</v>
      </c>
      <c r="H574" s="453">
        <f>INDEX(★サイズ表記!$I$4:$Q$55, MATCH(E574,★サイズ表記!$E$4:$E$55,0), MATCH(G574,★サイズ表記!$I$3:$R$3,0))</f>
        <v>0</v>
      </c>
      <c r="K574" s="471" t="str">
        <f t="shared" si="48"/>
        <v>C3008Hha</v>
      </c>
      <c r="L574" s="471" t="str">
        <f t="shared" si="49"/>
        <v>政治タブ8P</v>
      </c>
      <c r="P574" s="533" t="s">
        <v>1324</v>
      </c>
      <c r="Q574" s="533" t="s">
        <v>1325</v>
      </c>
      <c r="R574" s="534" t="str">
        <f t="shared" si="50"/>
        <v>3008</v>
      </c>
      <c r="S574" s="534" t="str">
        <f t="shared" si="51"/>
        <v>政治タブ8P</v>
      </c>
      <c r="T574" s="538" t="str">
        <f t="shared" si="52"/>
        <v>30</v>
      </c>
      <c r="U574" s="538" t="str">
        <f t="shared" si="53"/>
        <v>08</v>
      </c>
      <c r="V574" s="471" t="s">
        <v>1136</v>
      </c>
      <c r="Y574" s="472">
        <f t="shared" si="54"/>
        <v>0</v>
      </c>
      <c r="Z574" s="540">
        <f t="shared" si="55"/>
        <v>0</v>
      </c>
      <c r="AA574" s="471">
        <v>0</v>
      </c>
    </row>
    <row r="575" spans="1:27">
      <c r="A575" s="451" t="str">
        <f>CONCATENATE(VLOOKUP(B575,★営業所!$A$1:$B$5,2,FALSE),VLOOKUP(D575,★サイズ表記!$D$4:$E$55,2,FALSE),VLOOKUP(F575,★折込地区!$A$1:$B$11,2,FALSE))</f>
        <v>C3009Hha</v>
      </c>
      <c r="B575" s="457" t="s">
        <v>116</v>
      </c>
      <c r="C575" s="452" t="str">
        <f>VLOOKUP(B575,★営業所!$A$1:$B$5,2,FALSE)</f>
        <v>C</v>
      </c>
      <c r="D575" s="465" t="s">
        <v>1361</v>
      </c>
      <c r="E575" s="452" t="str">
        <f>VLOOKUP(D575,★サイズ表記!$D$4:$E$55,2,FALSE)</f>
        <v>3009</v>
      </c>
      <c r="F575" s="457" t="s">
        <v>158</v>
      </c>
      <c r="G575" s="452" t="str">
        <f>VLOOKUP(F575,★折込地区!$A$1:$B$11,2,FALSE)</f>
        <v>Hha</v>
      </c>
      <c r="H575" s="453">
        <f>INDEX(★サイズ表記!$I$4:$Q$55, MATCH(E575,★サイズ表記!$E$4:$E$55,0), MATCH(G575,★サイズ表記!$I$3:$R$3,0))</f>
        <v>0</v>
      </c>
      <c r="K575" s="471" t="str">
        <f t="shared" si="48"/>
        <v>C3009Hha</v>
      </c>
      <c r="L575" s="471" t="str">
        <f t="shared" si="49"/>
        <v>政治タブ12P</v>
      </c>
      <c r="P575" s="533" t="s">
        <v>1324</v>
      </c>
      <c r="Q575" s="533" t="s">
        <v>1325</v>
      </c>
      <c r="R575" s="534" t="str">
        <f t="shared" si="50"/>
        <v>3009</v>
      </c>
      <c r="S575" s="534" t="str">
        <f t="shared" si="51"/>
        <v>政治タブ12P</v>
      </c>
      <c r="T575" s="538" t="str">
        <f t="shared" si="52"/>
        <v>30</v>
      </c>
      <c r="U575" s="538" t="str">
        <f t="shared" si="53"/>
        <v>09</v>
      </c>
      <c r="V575" s="471" t="s">
        <v>1136</v>
      </c>
      <c r="Y575" s="472">
        <f t="shared" si="54"/>
        <v>0</v>
      </c>
      <c r="Z575" s="540">
        <f t="shared" si="55"/>
        <v>0</v>
      </c>
      <c r="AA575" s="471">
        <v>0</v>
      </c>
    </row>
    <row r="576" spans="1:27">
      <c r="A576" s="451" t="str">
        <f>CONCATENATE(VLOOKUP(B576,★営業所!$A$1:$B$5,2,FALSE),VLOOKUP(D576,★サイズ表記!$D$4:$E$55,2,FALSE),VLOOKUP(F576,★折込地区!$A$1:$B$11,2,FALSE))</f>
        <v>C4001Hha</v>
      </c>
      <c r="B576" s="457" t="s">
        <v>116</v>
      </c>
      <c r="C576" s="452" t="str">
        <f>VLOOKUP(B576,★営業所!$A$1:$B$5,2,FALSE)</f>
        <v>C</v>
      </c>
      <c r="D576" s="465" t="s">
        <v>1358</v>
      </c>
      <c r="E576" s="452" t="str">
        <f>VLOOKUP(D576,★サイズ表記!$D$4:$E$55,2,FALSE)</f>
        <v>4001</v>
      </c>
      <c r="F576" s="457" t="s">
        <v>158</v>
      </c>
      <c r="G576" s="452" t="str">
        <f>VLOOKUP(F576,★折込地区!$A$1:$B$11,2,FALSE)</f>
        <v>Hha</v>
      </c>
      <c r="H576" s="453">
        <f>INDEX(★サイズ表記!$I$4:$Q$55, MATCH(E576,★サイズ表記!$E$4:$E$55,0), MATCH(G576,★サイズ表記!$I$3:$R$3,0))</f>
        <v>0</v>
      </c>
      <c r="K576" s="471" t="str">
        <f t="shared" si="48"/>
        <v>C4001Hha</v>
      </c>
      <c r="L576" s="471" t="str">
        <f t="shared" si="49"/>
        <v>タブ6P</v>
      </c>
      <c r="P576" s="533" t="s">
        <v>1324</v>
      </c>
      <c r="Q576" s="533" t="s">
        <v>1325</v>
      </c>
      <c r="R576" s="534" t="str">
        <f t="shared" si="50"/>
        <v>4001</v>
      </c>
      <c r="S576" s="534" t="str">
        <f t="shared" si="51"/>
        <v>タブ6P</v>
      </c>
      <c r="T576" s="538" t="str">
        <f t="shared" si="52"/>
        <v>40</v>
      </c>
      <c r="U576" s="538" t="str">
        <f t="shared" si="53"/>
        <v>01</v>
      </c>
      <c r="V576" s="471" t="s">
        <v>1136</v>
      </c>
      <c r="Y576" s="472">
        <f t="shared" si="54"/>
        <v>0</v>
      </c>
      <c r="Z576" s="540">
        <f t="shared" si="55"/>
        <v>0</v>
      </c>
      <c r="AA576" s="471">
        <v>0</v>
      </c>
    </row>
    <row r="577" spans="1:27">
      <c r="A577" s="451" t="str">
        <f>CONCATENATE(VLOOKUP(B577,★営業所!$A$1:$B$5,2,FALSE),VLOOKUP(D577,★サイズ表記!$D$4:$E$55,2,FALSE),VLOOKUP(F577,★折込地区!$A$1:$B$11,2,FALSE))</f>
        <v>C4002Hha</v>
      </c>
      <c r="B577" s="457" t="s">
        <v>116</v>
      </c>
      <c r="C577" s="452" t="str">
        <f>VLOOKUP(B577,★営業所!$A$1:$B$5,2,FALSE)</f>
        <v>C</v>
      </c>
      <c r="D577" s="465" t="s">
        <v>1359</v>
      </c>
      <c r="E577" s="452" t="str">
        <f>VLOOKUP(D577,★サイズ表記!$D$4:$E$55,2,FALSE)</f>
        <v>4002</v>
      </c>
      <c r="F577" s="457" t="s">
        <v>158</v>
      </c>
      <c r="G577" s="452" t="str">
        <f>VLOOKUP(F577,★折込地区!$A$1:$B$11,2,FALSE)</f>
        <v>Hha</v>
      </c>
      <c r="H577" s="453">
        <f>INDEX(★サイズ表記!$I$4:$Q$55, MATCH(E577,★サイズ表記!$E$4:$E$55,0), MATCH(G577,★サイズ表記!$I$3:$R$3,0))</f>
        <v>0</v>
      </c>
      <c r="K577" s="471" t="str">
        <f t="shared" si="48"/>
        <v>C4002Hha</v>
      </c>
      <c r="L577" s="471" t="str">
        <f t="shared" si="49"/>
        <v>タブ8P</v>
      </c>
      <c r="P577" s="533" t="s">
        <v>1324</v>
      </c>
      <c r="Q577" s="533" t="s">
        <v>1325</v>
      </c>
      <c r="R577" s="534" t="str">
        <f t="shared" si="50"/>
        <v>4002</v>
      </c>
      <c r="S577" s="534" t="str">
        <f t="shared" si="51"/>
        <v>タブ8P</v>
      </c>
      <c r="T577" s="538" t="str">
        <f t="shared" si="52"/>
        <v>40</v>
      </c>
      <c r="U577" s="538" t="str">
        <f t="shared" si="53"/>
        <v>02</v>
      </c>
      <c r="V577" s="471" t="s">
        <v>1136</v>
      </c>
      <c r="Y577" s="472">
        <f t="shared" si="54"/>
        <v>0</v>
      </c>
      <c r="Z577" s="540">
        <f t="shared" si="55"/>
        <v>0</v>
      </c>
      <c r="AA577" s="471">
        <v>0</v>
      </c>
    </row>
    <row r="578" spans="1:27">
      <c r="A578" s="451" t="str">
        <f>CONCATENATE(VLOOKUP(B578,★営業所!$A$1:$B$5,2,FALSE),VLOOKUP(D578,★サイズ表記!$D$4:$E$55,2,FALSE),VLOOKUP(F578,★折込地区!$A$1:$B$11,2,FALSE))</f>
        <v>C4003Hha</v>
      </c>
      <c r="B578" s="457" t="s">
        <v>116</v>
      </c>
      <c r="C578" s="452" t="str">
        <f>VLOOKUP(B578,★営業所!$A$1:$B$5,2,FALSE)</f>
        <v>C</v>
      </c>
      <c r="D578" s="465" t="s">
        <v>1360</v>
      </c>
      <c r="E578" s="452" t="str">
        <f>VLOOKUP(D578,★サイズ表記!$D$4:$E$55,2,FALSE)</f>
        <v>4003</v>
      </c>
      <c r="F578" s="457" t="s">
        <v>158</v>
      </c>
      <c r="G578" s="452" t="str">
        <f>VLOOKUP(F578,★折込地区!$A$1:$B$11,2,FALSE)</f>
        <v>Hha</v>
      </c>
      <c r="H578" s="453">
        <f>INDEX(★サイズ表記!$I$4:$Q$55, MATCH(E578,★サイズ表記!$E$4:$E$55,0), MATCH(G578,★サイズ表記!$I$3:$R$3,0))</f>
        <v>0</v>
      </c>
      <c r="K578" s="471" t="str">
        <f t="shared" si="48"/>
        <v>C4003Hha</v>
      </c>
      <c r="L578" s="471" t="str">
        <f t="shared" si="49"/>
        <v>タブ8Pホチキス止め</v>
      </c>
      <c r="P578" s="533" t="s">
        <v>1324</v>
      </c>
      <c r="Q578" s="533" t="s">
        <v>1325</v>
      </c>
      <c r="R578" s="534" t="str">
        <f t="shared" si="50"/>
        <v>4003</v>
      </c>
      <c r="S578" s="534" t="str">
        <f t="shared" si="51"/>
        <v>タブ8Pホチキス止め</v>
      </c>
      <c r="T578" s="538" t="str">
        <f t="shared" si="52"/>
        <v>40</v>
      </c>
      <c r="U578" s="538" t="str">
        <f t="shared" si="53"/>
        <v>03</v>
      </c>
      <c r="V578" s="471" t="s">
        <v>1136</v>
      </c>
      <c r="Y578" s="472">
        <f t="shared" si="54"/>
        <v>0</v>
      </c>
      <c r="Z578" s="540">
        <f t="shared" si="55"/>
        <v>0</v>
      </c>
      <c r="AA578" s="471">
        <v>0</v>
      </c>
    </row>
    <row r="579" spans="1:27">
      <c r="A579" s="451" t="str">
        <f>CONCATENATE(VLOOKUP(B579,★営業所!$A$1:$B$5,2,FALSE),VLOOKUP(D579,★サイズ表記!$D$4:$E$55,2,FALSE),VLOOKUP(F579,★折込地区!$A$1:$B$11,2,FALSE))</f>
        <v>C4004Hha</v>
      </c>
      <c r="B579" s="457" t="s">
        <v>116</v>
      </c>
      <c r="C579" s="452" t="str">
        <f>VLOOKUP(B579,★営業所!$A$1:$B$5,2,FALSE)</f>
        <v>C</v>
      </c>
      <c r="D579" s="465" t="s">
        <v>1350</v>
      </c>
      <c r="E579" s="452" t="str">
        <f>VLOOKUP(D579,★サイズ表記!$D$4:$E$55,2,FALSE)</f>
        <v>4004</v>
      </c>
      <c r="F579" s="457" t="s">
        <v>158</v>
      </c>
      <c r="G579" s="452" t="str">
        <f>VLOOKUP(F579,★折込地区!$A$1:$B$11,2,FALSE)</f>
        <v>Hha</v>
      </c>
      <c r="H579" s="453">
        <f>INDEX(★サイズ表記!$I$4:$Q$55, MATCH(E579,★サイズ表記!$E$4:$E$55,0), MATCH(G579,★サイズ表記!$I$3:$R$3,0))</f>
        <v>0</v>
      </c>
      <c r="K579" s="471" t="str">
        <f t="shared" si="48"/>
        <v>C4004Hha</v>
      </c>
      <c r="L579" s="471" t="str">
        <f t="shared" si="49"/>
        <v>タブ10P</v>
      </c>
      <c r="P579" s="533" t="s">
        <v>1324</v>
      </c>
      <c r="Q579" s="533" t="s">
        <v>1325</v>
      </c>
      <c r="R579" s="534" t="str">
        <f t="shared" si="50"/>
        <v>4004</v>
      </c>
      <c r="S579" s="534" t="str">
        <f t="shared" si="51"/>
        <v>タブ10P</v>
      </c>
      <c r="T579" s="538" t="str">
        <f t="shared" si="52"/>
        <v>40</v>
      </c>
      <c r="U579" s="538" t="str">
        <f t="shared" si="53"/>
        <v>04</v>
      </c>
      <c r="V579" s="471" t="s">
        <v>1136</v>
      </c>
      <c r="Y579" s="472">
        <f t="shared" si="54"/>
        <v>0</v>
      </c>
      <c r="Z579" s="540">
        <f t="shared" si="55"/>
        <v>0</v>
      </c>
      <c r="AA579" s="471">
        <v>0</v>
      </c>
    </row>
    <row r="580" spans="1:27">
      <c r="A580" s="451" t="str">
        <f>CONCATENATE(VLOOKUP(B580,★営業所!$A$1:$B$5,2,FALSE),VLOOKUP(D580,★サイズ表記!$D$4:$E$55,2,FALSE),VLOOKUP(F580,★折込地区!$A$1:$B$11,2,FALSE))</f>
        <v>C4005Hha</v>
      </c>
      <c r="B580" s="457" t="s">
        <v>116</v>
      </c>
      <c r="C580" s="452" t="str">
        <f>VLOOKUP(B580,★営業所!$A$1:$B$5,2,FALSE)</f>
        <v>C</v>
      </c>
      <c r="D580" s="465" t="s">
        <v>1351</v>
      </c>
      <c r="E580" s="452" t="str">
        <f>VLOOKUP(D580,★サイズ表記!$D$4:$E$55,2,FALSE)</f>
        <v>4005</v>
      </c>
      <c r="F580" s="457" t="s">
        <v>158</v>
      </c>
      <c r="G580" s="452" t="str">
        <f>VLOOKUP(F580,★折込地区!$A$1:$B$11,2,FALSE)</f>
        <v>Hha</v>
      </c>
      <c r="H580" s="453">
        <f>INDEX(★サイズ表記!$I$4:$Q$55, MATCH(E580,★サイズ表記!$E$4:$E$55,0), MATCH(G580,★サイズ表記!$I$3:$R$3,0))</f>
        <v>0</v>
      </c>
      <c r="K580" s="471" t="str">
        <f t="shared" si="48"/>
        <v>C4005Hha</v>
      </c>
      <c r="L580" s="471" t="str">
        <f t="shared" si="49"/>
        <v>タブ12P</v>
      </c>
      <c r="P580" s="533" t="s">
        <v>1324</v>
      </c>
      <c r="Q580" s="533" t="s">
        <v>1325</v>
      </c>
      <c r="R580" s="534" t="str">
        <f t="shared" si="50"/>
        <v>4005</v>
      </c>
      <c r="S580" s="534" t="str">
        <f t="shared" si="51"/>
        <v>タブ12P</v>
      </c>
      <c r="T580" s="538" t="str">
        <f t="shared" si="52"/>
        <v>40</v>
      </c>
      <c r="U580" s="538" t="str">
        <f t="shared" si="53"/>
        <v>05</v>
      </c>
      <c r="V580" s="471" t="s">
        <v>1136</v>
      </c>
      <c r="Y580" s="472">
        <f t="shared" si="54"/>
        <v>0</v>
      </c>
      <c r="Z580" s="540">
        <f t="shared" si="55"/>
        <v>0</v>
      </c>
      <c r="AA580" s="471">
        <v>0</v>
      </c>
    </row>
    <row r="581" spans="1:27">
      <c r="A581" s="451" t="str">
        <f>CONCATENATE(VLOOKUP(B581,★営業所!$A$1:$B$5,2,FALSE),VLOOKUP(D581,★サイズ表記!$D$4:$E$55,2,FALSE),VLOOKUP(F581,★折込地区!$A$1:$B$11,2,FALSE))</f>
        <v>C4006Hha</v>
      </c>
      <c r="B581" s="457" t="s">
        <v>116</v>
      </c>
      <c r="C581" s="452" t="str">
        <f>VLOOKUP(B581,★営業所!$A$1:$B$5,2,FALSE)</f>
        <v>C</v>
      </c>
      <c r="D581" s="465" t="s">
        <v>1352</v>
      </c>
      <c r="E581" s="452" t="str">
        <f>VLOOKUP(D581,★サイズ表記!$D$4:$E$55,2,FALSE)</f>
        <v>4006</v>
      </c>
      <c r="F581" s="457" t="s">
        <v>158</v>
      </c>
      <c r="G581" s="452" t="str">
        <f>VLOOKUP(F581,★折込地区!$A$1:$B$11,2,FALSE)</f>
        <v>Hha</v>
      </c>
      <c r="H581" s="453">
        <f>INDEX(★サイズ表記!$I$4:$Q$55, MATCH(E581,★サイズ表記!$E$4:$E$55,0), MATCH(G581,★サイズ表記!$I$3:$R$3,0))</f>
        <v>0</v>
      </c>
      <c r="K581" s="471" t="str">
        <f t="shared" si="48"/>
        <v>C4006Hha</v>
      </c>
      <c r="L581" s="471" t="str">
        <f t="shared" si="49"/>
        <v>タブ14P</v>
      </c>
      <c r="P581" s="533" t="s">
        <v>1324</v>
      </c>
      <c r="Q581" s="533" t="s">
        <v>1325</v>
      </c>
      <c r="R581" s="534" t="str">
        <f t="shared" si="50"/>
        <v>4006</v>
      </c>
      <c r="S581" s="534" t="str">
        <f t="shared" si="51"/>
        <v>タブ14P</v>
      </c>
      <c r="T581" s="538" t="str">
        <f t="shared" si="52"/>
        <v>40</v>
      </c>
      <c r="U581" s="538" t="str">
        <f t="shared" si="53"/>
        <v>06</v>
      </c>
      <c r="V581" s="471" t="s">
        <v>1136</v>
      </c>
      <c r="Y581" s="472">
        <f t="shared" si="54"/>
        <v>0</v>
      </c>
      <c r="Z581" s="540">
        <f t="shared" si="55"/>
        <v>0</v>
      </c>
      <c r="AA581" s="471">
        <v>0</v>
      </c>
    </row>
    <row r="582" spans="1:27">
      <c r="A582" s="451" t="str">
        <f>CONCATENATE(VLOOKUP(B582,★営業所!$A$1:$B$5,2,FALSE),VLOOKUP(D582,★サイズ表記!$D$4:$E$55,2,FALSE),VLOOKUP(F582,★折込地区!$A$1:$B$11,2,FALSE))</f>
        <v>C4007Hha</v>
      </c>
      <c r="B582" s="457" t="s">
        <v>116</v>
      </c>
      <c r="C582" s="452" t="str">
        <f>VLOOKUP(B582,★営業所!$A$1:$B$5,2,FALSE)</f>
        <v>C</v>
      </c>
      <c r="D582" s="465" t="s">
        <v>1353</v>
      </c>
      <c r="E582" s="452" t="str">
        <f>VLOOKUP(D582,★サイズ表記!$D$4:$E$55,2,FALSE)</f>
        <v>4007</v>
      </c>
      <c r="F582" s="457" t="s">
        <v>158</v>
      </c>
      <c r="G582" s="452" t="str">
        <f>VLOOKUP(F582,★折込地区!$A$1:$B$11,2,FALSE)</f>
        <v>Hha</v>
      </c>
      <c r="H582" s="453">
        <f>INDEX(★サイズ表記!$I$4:$Q$55, MATCH(E582,★サイズ表記!$E$4:$E$55,0), MATCH(G582,★サイズ表記!$I$3:$R$3,0))</f>
        <v>0</v>
      </c>
      <c r="K582" s="471" t="str">
        <f t="shared" si="48"/>
        <v>C4007Hha</v>
      </c>
      <c r="L582" s="471" t="str">
        <f t="shared" si="49"/>
        <v>タブ16P</v>
      </c>
      <c r="P582" s="533" t="s">
        <v>1324</v>
      </c>
      <c r="Q582" s="533" t="s">
        <v>1325</v>
      </c>
      <c r="R582" s="534" t="str">
        <f t="shared" si="50"/>
        <v>4007</v>
      </c>
      <c r="S582" s="534" t="str">
        <f t="shared" si="51"/>
        <v>タブ16P</v>
      </c>
      <c r="T582" s="538" t="str">
        <f t="shared" si="52"/>
        <v>40</v>
      </c>
      <c r="U582" s="538" t="str">
        <f t="shared" si="53"/>
        <v>07</v>
      </c>
      <c r="V582" s="471" t="s">
        <v>1136</v>
      </c>
      <c r="Y582" s="472">
        <f t="shared" si="54"/>
        <v>0</v>
      </c>
      <c r="Z582" s="540">
        <f t="shared" si="55"/>
        <v>0</v>
      </c>
      <c r="AA582" s="471">
        <v>0</v>
      </c>
    </row>
    <row r="583" spans="1:27">
      <c r="A583" s="451" t="str">
        <f>CONCATENATE(VLOOKUP(B583,★営業所!$A$1:$B$5,2,FALSE),VLOOKUP(D583,★サイズ表記!$D$4:$E$55,2,FALSE),VLOOKUP(F583,★折込地区!$A$1:$B$11,2,FALSE))</f>
        <v>C4008Hha</v>
      </c>
      <c r="B583" s="457" t="s">
        <v>116</v>
      </c>
      <c r="C583" s="452" t="str">
        <f>VLOOKUP(B583,★営業所!$A$1:$B$5,2,FALSE)</f>
        <v>C</v>
      </c>
      <c r="D583" s="465" t="s">
        <v>1355</v>
      </c>
      <c r="E583" s="452" t="str">
        <f>VLOOKUP(D583,★サイズ表記!$D$4:$E$55,2,FALSE)</f>
        <v>4008</v>
      </c>
      <c r="F583" s="457" t="s">
        <v>158</v>
      </c>
      <c r="G583" s="452" t="str">
        <f>VLOOKUP(F583,★折込地区!$A$1:$B$11,2,FALSE)</f>
        <v>Hha</v>
      </c>
      <c r="H583" s="453">
        <f>INDEX(★サイズ表記!$I$4:$Q$55, MATCH(E583,★サイズ表記!$E$4:$E$55,0), MATCH(G583,★サイズ表記!$I$3:$R$3,0))</f>
        <v>0</v>
      </c>
      <c r="K583" s="471" t="str">
        <f t="shared" si="48"/>
        <v>C4008Hha</v>
      </c>
      <c r="L583" s="471" t="str">
        <f t="shared" si="49"/>
        <v>タブ18P</v>
      </c>
      <c r="P583" s="533" t="s">
        <v>1324</v>
      </c>
      <c r="Q583" s="533" t="s">
        <v>1325</v>
      </c>
      <c r="R583" s="534" t="str">
        <f t="shared" si="50"/>
        <v>4008</v>
      </c>
      <c r="S583" s="534" t="str">
        <f t="shared" si="51"/>
        <v>タブ18P</v>
      </c>
      <c r="T583" s="538" t="str">
        <f t="shared" si="52"/>
        <v>40</v>
      </c>
      <c r="U583" s="538" t="str">
        <f t="shared" si="53"/>
        <v>08</v>
      </c>
      <c r="V583" s="471" t="s">
        <v>1136</v>
      </c>
      <c r="Y583" s="472">
        <f t="shared" si="54"/>
        <v>0</v>
      </c>
      <c r="Z583" s="540">
        <f t="shared" si="55"/>
        <v>0</v>
      </c>
      <c r="AA583" s="471">
        <v>0</v>
      </c>
    </row>
    <row r="584" spans="1:27">
      <c r="A584" s="451" t="str">
        <f>CONCATENATE(VLOOKUP(B584,★営業所!$A$1:$B$5,2,FALSE),VLOOKUP(D584,★サイズ表記!$D$4:$E$55,2,FALSE),VLOOKUP(F584,★折込地区!$A$1:$B$11,2,FALSE))</f>
        <v>C4009Hha</v>
      </c>
      <c r="B584" s="457" t="s">
        <v>116</v>
      </c>
      <c r="C584" s="452" t="str">
        <f>VLOOKUP(B584,★営業所!$A$1:$B$5,2,FALSE)</f>
        <v>C</v>
      </c>
      <c r="D584" s="465" t="s">
        <v>1356</v>
      </c>
      <c r="E584" s="452" t="str">
        <f>VLOOKUP(D584,★サイズ表記!$D$4:$E$55,2,FALSE)</f>
        <v>4009</v>
      </c>
      <c r="F584" s="457" t="s">
        <v>158</v>
      </c>
      <c r="G584" s="452" t="str">
        <f>VLOOKUP(F584,★折込地区!$A$1:$B$11,2,FALSE)</f>
        <v>Hha</v>
      </c>
      <c r="H584" s="453">
        <f>INDEX(★サイズ表記!$I$4:$Q$55, MATCH(E584,★サイズ表記!$E$4:$E$55,0), MATCH(G584,★サイズ表記!$I$3:$R$3,0))</f>
        <v>0</v>
      </c>
      <c r="K584" s="471" t="str">
        <f t="shared" si="48"/>
        <v>C4009Hha</v>
      </c>
      <c r="L584" s="471" t="str">
        <f t="shared" si="49"/>
        <v>タブ20P</v>
      </c>
      <c r="P584" s="533" t="s">
        <v>1324</v>
      </c>
      <c r="Q584" s="533" t="s">
        <v>1325</v>
      </c>
      <c r="R584" s="534" t="str">
        <f t="shared" si="50"/>
        <v>4009</v>
      </c>
      <c r="S584" s="534" t="str">
        <f t="shared" si="51"/>
        <v>タブ20P</v>
      </c>
      <c r="T584" s="538" t="str">
        <f t="shared" si="52"/>
        <v>40</v>
      </c>
      <c r="U584" s="538" t="str">
        <f t="shared" si="53"/>
        <v>09</v>
      </c>
      <c r="V584" s="471" t="s">
        <v>1136</v>
      </c>
      <c r="Y584" s="472">
        <f t="shared" si="54"/>
        <v>0</v>
      </c>
      <c r="Z584" s="540">
        <f t="shared" si="55"/>
        <v>0</v>
      </c>
      <c r="AA584" s="471">
        <v>0</v>
      </c>
    </row>
    <row r="585" spans="1:27">
      <c r="A585" s="451" t="str">
        <f>CONCATENATE(VLOOKUP(B585,★営業所!$A$1:$B$5,2,FALSE),VLOOKUP(D585,★サイズ表記!$D$4:$E$55,2,FALSE),VLOOKUP(F585,★折込地区!$A$1:$B$11,2,FALSE))</f>
        <v>C4010Hha</v>
      </c>
      <c r="B585" s="457" t="s">
        <v>116</v>
      </c>
      <c r="C585" s="452" t="str">
        <f>VLOOKUP(B585,★営業所!$A$1:$B$5,2,FALSE)</f>
        <v>C</v>
      </c>
      <c r="D585" s="465" t="s">
        <v>1354</v>
      </c>
      <c r="E585" s="452" t="str">
        <f>VLOOKUP(D585,★サイズ表記!$D$4:$E$55,2,FALSE)</f>
        <v>4010</v>
      </c>
      <c r="F585" s="457" t="s">
        <v>158</v>
      </c>
      <c r="G585" s="452" t="str">
        <f>VLOOKUP(F585,★折込地区!$A$1:$B$11,2,FALSE)</f>
        <v>Hha</v>
      </c>
      <c r="H585" s="453">
        <f>INDEX(★サイズ表記!$I$4:$Q$55, MATCH(E585,★サイズ表記!$E$4:$E$55,0), MATCH(G585,★サイズ表記!$I$3:$R$3,0))</f>
        <v>0</v>
      </c>
      <c r="K585" s="471" t="str">
        <f t="shared" si="48"/>
        <v>C4010Hha</v>
      </c>
      <c r="L585" s="471" t="str">
        <f t="shared" si="49"/>
        <v>タブ16Pホチキス止め</v>
      </c>
      <c r="P585" s="533" t="s">
        <v>1324</v>
      </c>
      <c r="Q585" s="533" t="s">
        <v>1325</v>
      </c>
      <c r="R585" s="534" t="str">
        <f t="shared" si="50"/>
        <v>4010</v>
      </c>
      <c r="S585" s="534" t="str">
        <f t="shared" si="51"/>
        <v>タブ16Pホチキス止め</v>
      </c>
      <c r="T585" s="538" t="str">
        <f t="shared" si="52"/>
        <v>40</v>
      </c>
      <c r="U585" s="538" t="str">
        <f t="shared" si="53"/>
        <v>10</v>
      </c>
      <c r="V585" s="471" t="s">
        <v>1136</v>
      </c>
      <c r="Y585" s="472">
        <f t="shared" si="54"/>
        <v>0</v>
      </c>
      <c r="Z585" s="540">
        <f t="shared" si="55"/>
        <v>0</v>
      </c>
      <c r="AA585" s="471">
        <v>0</v>
      </c>
    </row>
    <row r="586" spans="1:27">
      <c r="A586" s="451" t="str">
        <f>CONCATENATE(VLOOKUP(B586,★営業所!$A$1:$B$5,2,FALSE),VLOOKUP(D586,★サイズ表記!$D$4:$E$55,2,FALSE),VLOOKUP(F586,★折込地区!$A$1:$B$11,2,FALSE))</f>
        <v>C4011Hha</v>
      </c>
      <c r="B586" s="457" t="s">
        <v>116</v>
      </c>
      <c r="C586" s="452" t="str">
        <f>VLOOKUP(B586,★営業所!$A$1:$B$5,2,FALSE)</f>
        <v>C</v>
      </c>
      <c r="D586" s="465" t="s">
        <v>1357</v>
      </c>
      <c r="E586" s="452" t="str">
        <f>VLOOKUP(D586,★サイズ表記!$D$4:$E$55,2,FALSE)</f>
        <v>4011</v>
      </c>
      <c r="F586" s="457" t="s">
        <v>158</v>
      </c>
      <c r="G586" s="452" t="str">
        <f>VLOOKUP(F586,★折込地区!$A$1:$B$11,2,FALSE)</f>
        <v>Hha</v>
      </c>
      <c r="H586" s="453">
        <f>INDEX(★サイズ表記!$I$4:$Q$55, MATCH(E586,★サイズ表記!$E$4:$E$55,0), MATCH(G586,★サイズ表記!$I$3:$R$3,0))</f>
        <v>0</v>
      </c>
      <c r="K586" s="471" t="str">
        <f t="shared" ref="K586:K649" si="64">A586</f>
        <v>C4011Hha</v>
      </c>
      <c r="L586" s="471" t="str">
        <f t="shared" ref="L586:L649" si="65">D586</f>
        <v>タブ40P</v>
      </c>
      <c r="P586" s="533" t="s">
        <v>1324</v>
      </c>
      <c r="Q586" s="533" t="s">
        <v>1325</v>
      </c>
      <c r="R586" s="534" t="str">
        <f t="shared" si="50"/>
        <v>4011</v>
      </c>
      <c r="S586" s="534" t="str">
        <f t="shared" si="51"/>
        <v>タブ40P</v>
      </c>
      <c r="T586" s="538" t="str">
        <f t="shared" si="52"/>
        <v>40</v>
      </c>
      <c r="U586" s="538" t="str">
        <f t="shared" si="53"/>
        <v>11</v>
      </c>
      <c r="V586" s="471" t="s">
        <v>1136</v>
      </c>
      <c r="Y586" s="472">
        <f t="shared" si="54"/>
        <v>0</v>
      </c>
      <c r="Z586" s="540">
        <f t="shared" si="55"/>
        <v>0</v>
      </c>
      <c r="AA586" s="471">
        <v>0</v>
      </c>
    </row>
    <row r="587" spans="1:27">
      <c r="A587" s="451" t="str">
        <f>CONCATENATE(VLOOKUP(B587,★営業所!$A$1:$B$5,2,FALSE),VLOOKUP(D587,★サイズ表記!$D$4:$E$55,2,FALSE),VLOOKUP(F587,★折込地区!$A$1:$B$11,2,FALSE))</f>
        <v>C9001Hha</v>
      </c>
      <c r="B587" s="457" t="s">
        <v>116</v>
      </c>
      <c r="C587" s="452" t="str">
        <f>VLOOKUP(B587,★営業所!$A$1:$B$5,2,FALSE)</f>
        <v>C</v>
      </c>
      <c r="D587" s="465" t="s">
        <v>975</v>
      </c>
      <c r="E587" s="452" t="str">
        <f>VLOOKUP(D587,★サイズ表記!$D$4:$E$55,2,FALSE)</f>
        <v>9001</v>
      </c>
      <c r="F587" s="457" t="s">
        <v>158</v>
      </c>
      <c r="G587" s="452" t="str">
        <f>VLOOKUP(F587,★折込地区!$A$1:$B$11,2,FALSE)</f>
        <v>Hha</v>
      </c>
      <c r="H587" s="453">
        <f>INDEX(★サイズ表記!$I$4:$Q$55, MATCH(E587,★サイズ表記!$E$4:$E$55,0), MATCH(G587,★サイズ表記!$I$3:$R$3,0))</f>
        <v>7</v>
      </c>
      <c r="K587" s="471" t="str">
        <f t="shared" si="64"/>
        <v>C9001Hha</v>
      </c>
      <c r="L587" s="471" t="str">
        <f t="shared" si="65"/>
        <v>うさぎの耳</v>
      </c>
      <c r="P587" s="533" t="s">
        <v>1324</v>
      </c>
      <c r="Q587" s="533" t="s">
        <v>1325</v>
      </c>
      <c r="R587" s="534" t="str">
        <f t="shared" ref="R587:R650" si="66">E587</f>
        <v>9001</v>
      </c>
      <c r="S587" s="534" t="str">
        <f t="shared" ref="S587:S650" si="67">L587</f>
        <v>うさぎの耳</v>
      </c>
      <c r="T587" s="538" t="str">
        <f t="shared" ref="T587:T650" si="68">LEFT($E587,2)</f>
        <v>90</v>
      </c>
      <c r="U587" s="538" t="str">
        <f t="shared" ref="U587:U650" si="69">RIGHT($E587,2)</f>
        <v>01</v>
      </c>
      <c r="V587" s="471" t="s">
        <v>1136</v>
      </c>
      <c r="Y587" s="472">
        <f t="shared" ref="Y587:Y650" si="70">$H587</f>
        <v>7</v>
      </c>
      <c r="Z587" s="540">
        <f t="shared" ref="Z587:Z650" si="71">ROUNDDOWN($H587*8/100,2)</f>
        <v>0.56000000000000005</v>
      </c>
      <c r="AA587" s="471">
        <v>0</v>
      </c>
    </row>
    <row r="588" spans="1:27">
      <c r="A588" s="451" t="str">
        <f>CONCATENATE(VLOOKUP(B588,★営業所!$A$1:$B$5,2,FALSE),VLOOKUP(D588,★サイズ表記!$D$4:$E$55,2,FALSE),VLOOKUP(F588,★折込地区!$A$1:$B$11,2,FALSE))</f>
        <v>C9002Hha</v>
      </c>
      <c r="B588" s="457" t="s">
        <v>116</v>
      </c>
      <c r="C588" s="452" t="str">
        <f>VLOOKUP(B588,★営業所!$A$1:$B$5,2,FALSE)</f>
        <v>C</v>
      </c>
      <c r="D588" s="465" t="s">
        <v>976</v>
      </c>
      <c r="E588" s="452" t="str">
        <f>VLOOKUP(D588,★サイズ表記!$D$4:$E$55,2,FALSE)</f>
        <v>9002</v>
      </c>
      <c r="F588" s="457" t="s">
        <v>158</v>
      </c>
      <c r="G588" s="452" t="str">
        <f>VLOOKUP(F588,★折込地区!$A$1:$B$11,2,FALSE)</f>
        <v>Hha</v>
      </c>
      <c r="H588" s="453">
        <f>INDEX(★サイズ表記!$I$4:$Q$55, MATCH(E588,★サイズ表記!$E$4:$E$55,0), MATCH(G588,★サイズ表記!$I$3:$R$3,0))</f>
        <v>5</v>
      </c>
      <c r="K588" s="471" t="str">
        <f t="shared" si="64"/>
        <v>C9002Hha</v>
      </c>
      <c r="L588" s="471" t="str">
        <f t="shared" si="65"/>
        <v>ユーキャン（題字）</v>
      </c>
      <c r="P588" s="533" t="s">
        <v>1324</v>
      </c>
      <c r="Q588" s="533" t="s">
        <v>1325</v>
      </c>
      <c r="R588" s="534" t="str">
        <f t="shared" si="66"/>
        <v>9002</v>
      </c>
      <c r="S588" s="534" t="str">
        <f t="shared" si="67"/>
        <v>ユーキャン（題字）</v>
      </c>
      <c r="T588" s="538" t="str">
        <f t="shared" si="68"/>
        <v>90</v>
      </c>
      <c r="U588" s="538" t="str">
        <f t="shared" si="69"/>
        <v>02</v>
      </c>
      <c r="V588" s="471" t="s">
        <v>1136</v>
      </c>
      <c r="Y588" s="472">
        <f t="shared" si="70"/>
        <v>5</v>
      </c>
      <c r="Z588" s="540">
        <f t="shared" si="71"/>
        <v>0.4</v>
      </c>
      <c r="AA588" s="471">
        <v>0</v>
      </c>
    </row>
    <row r="589" spans="1:27">
      <c r="A589" s="451" t="str">
        <f>CONCATENATE(VLOOKUP(B589,★営業所!$A$1:$B$5,2,FALSE),VLOOKUP(D589,★サイズ表記!$D$4:$E$55,2,FALSE),VLOOKUP(F589,★折込地区!$A$1:$B$11,2,FALSE))</f>
        <v>C9003Hha</v>
      </c>
      <c r="B589" s="457" t="s">
        <v>116</v>
      </c>
      <c r="C589" s="452" t="str">
        <f>VLOOKUP(B589,★営業所!$A$1:$B$5,2,FALSE)</f>
        <v>C</v>
      </c>
      <c r="D589" s="465" t="s">
        <v>977</v>
      </c>
      <c r="E589" s="452" t="str">
        <f>VLOOKUP(D589,★サイズ表記!$D$4:$E$55,2,FALSE)</f>
        <v>9003</v>
      </c>
      <c r="F589" s="457" t="s">
        <v>158</v>
      </c>
      <c r="G589" s="452" t="str">
        <f>VLOOKUP(F589,★折込地区!$A$1:$B$11,2,FALSE)</f>
        <v>Hha</v>
      </c>
      <c r="H589" s="453">
        <f>INDEX(★サイズ表記!$I$4:$Q$55, MATCH(E589,★サイズ表記!$E$4:$E$55,0), MATCH(G589,★サイズ表記!$I$3:$R$3,0))</f>
        <v>0</v>
      </c>
      <c r="K589" s="471" t="str">
        <f t="shared" si="64"/>
        <v>C9003Hha</v>
      </c>
      <c r="L589" s="471" t="str">
        <f t="shared" si="65"/>
        <v>横長B3</v>
      </c>
      <c r="P589" s="533" t="s">
        <v>1324</v>
      </c>
      <c r="Q589" s="533" t="s">
        <v>1325</v>
      </c>
      <c r="R589" s="534" t="str">
        <f t="shared" si="66"/>
        <v>9003</v>
      </c>
      <c r="S589" s="534" t="str">
        <f t="shared" si="67"/>
        <v>横長B3</v>
      </c>
      <c r="T589" s="538" t="str">
        <f t="shared" si="68"/>
        <v>90</v>
      </c>
      <c r="U589" s="538" t="str">
        <f t="shared" si="69"/>
        <v>03</v>
      </c>
      <c r="V589" s="471" t="s">
        <v>1136</v>
      </c>
      <c r="Y589" s="472">
        <f t="shared" si="70"/>
        <v>0</v>
      </c>
      <c r="Z589" s="540">
        <f t="shared" si="71"/>
        <v>0</v>
      </c>
      <c r="AA589" s="471">
        <v>0</v>
      </c>
    </row>
    <row r="590" spans="1:27">
      <c r="A590" s="451" t="str">
        <f>CONCATENATE(VLOOKUP(B590,★営業所!$A$1:$B$5,2,FALSE),VLOOKUP(D590,★サイズ表記!$D$4:$E$55,2,FALSE),VLOOKUP(F590,★折込地区!$A$1:$B$11,2,FALSE))</f>
        <v>C9004Hha</v>
      </c>
      <c r="B590" s="457" t="s">
        <v>116</v>
      </c>
      <c r="C590" s="452" t="str">
        <f>VLOOKUP(B590,★営業所!$A$1:$B$5,2,FALSE)</f>
        <v>C</v>
      </c>
      <c r="D590" s="465" t="s">
        <v>978</v>
      </c>
      <c r="E590" s="452" t="str">
        <f>VLOOKUP(D590,★サイズ表記!$D$4:$E$55,2,FALSE)</f>
        <v>9004</v>
      </c>
      <c r="F590" s="457" t="s">
        <v>158</v>
      </c>
      <c r="G590" s="452" t="str">
        <f>VLOOKUP(F590,★折込地区!$A$1:$B$11,2,FALSE)</f>
        <v>Hha</v>
      </c>
      <c r="H590" s="453">
        <f>INDEX(★サイズ表記!$I$4:$Q$55, MATCH(E590,★サイズ表記!$E$4:$E$55,0), MATCH(G590,★サイズ表記!$I$3:$R$3,0))</f>
        <v>0</v>
      </c>
      <c r="K590" s="471" t="str">
        <f t="shared" si="64"/>
        <v>C9004Hha</v>
      </c>
      <c r="L590" s="471" t="str">
        <f t="shared" si="65"/>
        <v>AD-BAG</v>
      </c>
      <c r="P590" s="533" t="s">
        <v>1324</v>
      </c>
      <c r="Q590" s="533" t="s">
        <v>1325</v>
      </c>
      <c r="R590" s="534" t="str">
        <f t="shared" si="66"/>
        <v>9004</v>
      </c>
      <c r="S590" s="534" t="str">
        <f t="shared" si="67"/>
        <v>AD-BAG</v>
      </c>
      <c r="T590" s="538" t="str">
        <f t="shared" si="68"/>
        <v>90</v>
      </c>
      <c r="U590" s="538" t="str">
        <f t="shared" si="69"/>
        <v>04</v>
      </c>
      <c r="V590" s="471" t="s">
        <v>1136</v>
      </c>
      <c r="Y590" s="472">
        <f t="shared" si="70"/>
        <v>0</v>
      </c>
      <c r="Z590" s="540">
        <f t="shared" si="71"/>
        <v>0</v>
      </c>
      <c r="AA590" s="471">
        <v>0</v>
      </c>
    </row>
    <row r="591" spans="1:27">
      <c r="A591" s="451" t="str">
        <f>CONCATENATE(VLOOKUP(B591,★営業所!$A$1:$B$5,2,FALSE),VLOOKUP(D591,★サイズ表記!$D$4:$E$55,2,FALSE),VLOOKUP(F591,★折込地区!$A$1:$B$11,2,FALSE))</f>
        <v>C9005Hha</v>
      </c>
      <c r="B591" s="457" t="s">
        <v>116</v>
      </c>
      <c r="C591" s="452" t="str">
        <f>VLOOKUP(B591,★営業所!$A$1:$B$5,2,FALSE)</f>
        <v>C</v>
      </c>
      <c r="D591" s="465" t="s">
        <v>979</v>
      </c>
      <c r="E591" s="452" t="str">
        <f>VLOOKUP(D591,★サイズ表記!$D$4:$E$55,2,FALSE)</f>
        <v>9005</v>
      </c>
      <c r="F591" s="457" t="s">
        <v>158</v>
      </c>
      <c r="G591" s="452" t="str">
        <f>VLOOKUP(F591,★折込地区!$A$1:$B$11,2,FALSE)</f>
        <v>Hha</v>
      </c>
      <c r="H591" s="453">
        <f>INDEX(★サイズ表記!$I$4:$Q$55, MATCH(E591,★サイズ表記!$E$4:$E$55,0), MATCH(G591,★サイズ表記!$I$3:$R$3,0))</f>
        <v>0</v>
      </c>
      <c r="K591" s="471" t="str">
        <f t="shared" si="64"/>
        <v>C9005Hha</v>
      </c>
      <c r="L591" s="471" t="str">
        <f t="shared" si="65"/>
        <v>封筒</v>
      </c>
      <c r="P591" s="533" t="s">
        <v>1324</v>
      </c>
      <c r="Q591" s="533" t="s">
        <v>1325</v>
      </c>
      <c r="R591" s="534" t="str">
        <f t="shared" si="66"/>
        <v>9005</v>
      </c>
      <c r="S591" s="534" t="str">
        <f t="shared" si="67"/>
        <v>封筒</v>
      </c>
      <c r="T591" s="538" t="str">
        <f t="shared" si="68"/>
        <v>90</v>
      </c>
      <c r="U591" s="538" t="str">
        <f t="shared" si="69"/>
        <v>05</v>
      </c>
      <c r="V591" s="471" t="s">
        <v>1136</v>
      </c>
      <c r="Y591" s="472">
        <f t="shared" si="70"/>
        <v>0</v>
      </c>
      <c r="Z591" s="540">
        <f t="shared" si="71"/>
        <v>0</v>
      </c>
      <c r="AA591" s="471">
        <v>0</v>
      </c>
    </row>
    <row r="592" spans="1:27">
      <c r="A592" s="451" t="str">
        <f>CONCATENATE(VLOOKUP(B592,★営業所!$A$1:$B$5,2,FALSE),VLOOKUP(D592,★サイズ表記!$D$4:$E$55,2,FALSE),VLOOKUP(F592,★折込地区!$A$1:$B$11,2,FALSE))</f>
        <v>C9006Hha</v>
      </c>
      <c r="B592" s="457" t="s">
        <v>116</v>
      </c>
      <c r="C592" s="452" t="str">
        <f>VLOOKUP(B592,★営業所!$A$1:$B$5,2,FALSE)</f>
        <v>C</v>
      </c>
      <c r="D592" s="465" t="s">
        <v>980</v>
      </c>
      <c r="E592" s="452" t="str">
        <f>VLOOKUP(D592,★サイズ表記!$D$4:$E$55,2,FALSE)</f>
        <v>9006</v>
      </c>
      <c r="F592" s="457" t="s">
        <v>158</v>
      </c>
      <c r="G592" s="452" t="str">
        <f>VLOOKUP(F592,★折込地区!$A$1:$B$11,2,FALSE)</f>
        <v>Hha</v>
      </c>
      <c r="H592" s="453">
        <f>INDEX(★サイズ表記!$I$4:$Q$55, MATCH(E592,★サイズ表記!$E$4:$E$55,0), MATCH(G592,★サイズ表記!$I$3:$R$3,0))</f>
        <v>0</v>
      </c>
      <c r="K592" s="471" t="str">
        <f t="shared" si="64"/>
        <v>C9006Hha</v>
      </c>
      <c r="L592" s="471" t="str">
        <f t="shared" si="65"/>
        <v>圧着</v>
      </c>
      <c r="P592" s="533" t="s">
        <v>1324</v>
      </c>
      <c r="Q592" s="533" t="s">
        <v>1325</v>
      </c>
      <c r="R592" s="534" t="str">
        <f t="shared" si="66"/>
        <v>9006</v>
      </c>
      <c r="S592" s="534" t="str">
        <f t="shared" si="67"/>
        <v>圧着</v>
      </c>
      <c r="T592" s="538" t="str">
        <f t="shared" si="68"/>
        <v>90</v>
      </c>
      <c r="U592" s="538" t="str">
        <f t="shared" si="69"/>
        <v>06</v>
      </c>
      <c r="V592" s="471" t="s">
        <v>1136</v>
      </c>
      <c r="Y592" s="472">
        <f t="shared" si="70"/>
        <v>0</v>
      </c>
      <c r="Z592" s="540">
        <f t="shared" si="71"/>
        <v>0</v>
      </c>
      <c r="AA592" s="471">
        <v>0</v>
      </c>
    </row>
    <row r="593" spans="1:27">
      <c r="A593" s="451" t="str">
        <f>CONCATENATE(VLOOKUP(B593,★営業所!$A$1:$B$5,2,FALSE),VLOOKUP(D593,★サイズ表記!$D$4:$E$55,2,FALSE),VLOOKUP(F593,★折込地区!$A$1:$B$11,2,FALSE))</f>
        <v>C9007Hha</v>
      </c>
      <c r="B593" s="457" t="s">
        <v>116</v>
      </c>
      <c r="C593" s="452" t="str">
        <f>VLOOKUP(B593,★営業所!$A$1:$B$5,2,FALSE)</f>
        <v>C</v>
      </c>
      <c r="D593" s="465" t="s">
        <v>981</v>
      </c>
      <c r="E593" s="452" t="str">
        <f>VLOOKUP(D593,★サイズ表記!$D$4:$E$55,2,FALSE)</f>
        <v>9007</v>
      </c>
      <c r="F593" s="457" t="s">
        <v>158</v>
      </c>
      <c r="G593" s="452" t="str">
        <f>VLOOKUP(F593,★折込地区!$A$1:$B$11,2,FALSE)</f>
        <v>Hha</v>
      </c>
      <c r="H593" s="453">
        <f>INDEX(★サイズ表記!$I$4:$Q$55, MATCH(E593,★サイズ表記!$E$4:$E$55,0), MATCH(G593,★サイズ表記!$I$3:$R$3,0))</f>
        <v>0</v>
      </c>
      <c r="K593" s="471" t="str">
        <f t="shared" si="64"/>
        <v>C9007Hha</v>
      </c>
      <c r="L593" s="471" t="str">
        <f t="shared" si="65"/>
        <v>圧着厚紙</v>
      </c>
      <c r="P593" s="533" t="s">
        <v>1324</v>
      </c>
      <c r="Q593" s="533" t="s">
        <v>1325</v>
      </c>
      <c r="R593" s="534" t="str">
        <f t="shared" si="66"/>
        <v>9007</v>
      </c>
      <c r="S593" s="534" t="str">
        <f t="shared" si="67"/>
        <v>圧着厚紙</v>
      </c>
      <c r="T593" s="538" t="str">
        <f t="shared" si="68"/>
        <v>90</v>
      </c>
      <c r="U593" s="538" t="str">
        <f t="shared" si="69"/>
        <v>07</v>
      </c>
      <c r="V593" s="471" t="s">
        <v>1136</v>
      </c>
      <c r="Y593" s="472">
        <f t="shared" si="70"/>
        <v>0</v>
      </c>
      <c r="Z593" s="540">
        <f t="shared" si="71"/>
        <v>0</v>
      </c>
      <c r="AA593" s="471">
        <v>0</v>
      </c>
    </row>
    <row r="594" spans="1:27">
      <c r="A594" s="451" t="str">
        <f>CONCATENATE(VLOOKUP(B594,★営業所!$A$1:$B$5,2,FALSE),VLOOKUP(D594,★サイズ表記!$D$4:$E$55,2,FALSE),VLOOKUP(F594,★折込地区!$A$1:$B$11,2,FALSE))</f>
        <v>C1001Hmm</v>
      </c>
      <c r="B594" s="457" t="s">
        <v>116</v>
      </c>
      <c r="C594" s="452" t="str">
        <f>VLOOKUP(B594,★営業所!$A$1:$B$5,2,FALSE)</f>
        <v>C</v>
      </c>
      <c r="D594" s="465" t="s">
        <v>948</v>
      </c>
      <c r="E594" s="452" t="str">
        <f>VLOOKUP(D594,★サイズ表記!$D$4:$E$55,2,FALSE)</f>
        <v>1001</v>
      </c>
      <c r="F594" s="457" t="s">
        <v>857</v>
      </c>
      <c r="G594" s="452" t="str">
        <f>VLOOKUP(F594,★折込地区!$A$1:$B$11,2,FALSE)</f>
        <v>Hmm</v>
      </c>
      <c r="H594" s="453">
        <f>INDEX(★サイズ表記!$I$4:$Q$55, MATCH(E594,★サイズ表記!$E$4:$E$55,0), MATCH(G594,★サイズ表記!$I$3:$R$3,0))</f>
        <v>3</v>
      </c>
      <c r="K594" s="471" t="str">
        <f t="shared" si="64"/>
        <v>C1001Hmm</v>
      </c>
      <c r="L594" s="471" t="str">
        <f t="shared" si="65"/>
        <v>B4（折り無し）</v>
      </c>
      <c r="P594" s="533" t="s">
        <v>1324</v>
      </c>
      <c r="Q594" s="533" t="s">
        <v>1325</v>
      </c>
      <c r="R594" s="534" t="str">
        <f t="shared" si="66"/>
        <v>1001</v>
      </c>
      <c r="S594" s="534" t="str">
        <f t="shared" si="67"/>
        <v>B4（折り無し）</v>
      </c>
      <c r="T594" s="538" t="str">
        <f t="shared" si="68"/>
        <v>10</v>
      </c>
      <c r="U594" s="538" t="str">
        <f t="shared" si="69"/>
        <v>01</v>
      </c>
      <c r="V594" s="471" t="s">
        <v>1136</v>
      </c>
      <c r="Y594" s="472">
        <f t="shared" si="70"/>
        <v>3</v>
      </c>
      <c r="Z594" s="540">
        <f t="shared" si="71"/>
        <v>0.24</v>
      </c>
      <c r="AA594" s="471">
        <v>0</v>
      </c>
    </row>
    <row r="595" spans="1:27">
      <c r="A595" s="451" t="str">
        <f>CONCATENATE(VLOOKUP(B595,★営業所!$A$1:$B$5,2,FALSE),VLOOKUP(D595,★サイズ表記!$D$4:$E$55,2,FALSE),VLOOKUP(F595,★折込地区!$A$1:$B$11,2,FALSE))</f>
        <v>C1002Hmm</v>
      </c>
      <c r="B595" s="457" t="s">
        <v>116</v>
      </c>
      <c r="C595" s="452" t="str">
        <f>VLOOKUP(B595,★営業所!$A$1:$B$5,2,FALSE)</f>
        <v>C</v>
      </c>
      <c r="D595" s="465" t="s">
        <v>950</v>
      </c>
      <c r="E595" s="452" t="str">
        <f>VLOOKUP(D595,★サイズ表記!$D$4:$E$55,2,FALSE)</f>
        <v>1002</v>
      </c>
      <c r="F595" s="457" t="s">
        <v>857</v>
      </c>
      <c r="G595" s="452" t="str">
        <f>VLOOKUP(F595,★折込地区!$A$1:$B$11,2,FALSE)</f>
        <v>Hmm</v>
      </c>
      <c r="H595" s="453">
        <f>INDEX(★サイズ表記!$I$4:$Q$55, MATCH(E595,★サイズ表記!$E$4:$E$55,0), MATCH(G595,★サイズ表記!$I$3:$R$3,0))</f>
        <v>5</v>
      </c>
      <c r="K595" s="471" t="str">
        <f t="shared" si="64"/>
        <v>C1002Hmm</v>
      </c>
      <c r="L595" s="471" t="str">
        <f t="shared" si="65"/>
        <v>B3（2つ折り）</v>
      </c>
      <c r="P595" s="533" t="s">
        <v>1324</v>
      </c>
      <c r="Q595" s="533" t="s">
        <v>1325</v>
      </c>
      <c r="R595" s="534" t="str">
        <f t="shared" si="66"/>
        <v>1002</v>
      </c>
      <c r="S595" s="534" t="str">
        <f t="shared" si="67"/>
        <v>B3（2つ折り）</v>
      </c>
      <c r="T595" s="538" t="str">
        <f t="shared" si="68"/>
        <v>10</v>
      </c>
      <c r="U595" s="538" t="str">
        <f t="shared" si="69"/>
        <v>02</v>
      </c>
      <c r="V595" s="471" t="s">
        <v>1136</v>
      </c>
      <c r="Y595" s="472">
        <f t="shared" si="70"/>
        <v>5</v>
      </c>
      <c r="Z595" s="540">
        <f t="shared" si="71"/>
        <v>0.4</v>
      </c>
      <c r="AA595" s="471">
        <v>0</v>
      </c>
    </row>
    <row r="596" spans="1:27">
      <c r="A596" s="451" t="str">
        <f>CONCATENATE(VLOOKUP(B596,★営業所!$A$1:$B$5,2,FALSE),VLOOKUP(D596,★サイズ表記!$D$4:$E$55,2,FALSE),VLOOKUP(F596,★折込地区!$A$1:$B$11,2,FALSE))</f>
        <v>C1003Hmm</v>
      </c>
      <c r="B596" s="457" t="s">
        <v>116</v>
      </c>
      <c r="C596" s="452" t="str">
        <f>VLOOKUP(B596,★営業所!$A$1:$B$5,2,FALSE)</f>
        <v>C</v>
      </c>
      <c r="D596" s="465" t="s">
        <v>951</v>
      </c>
      <c r="E596" s="452" t="str">
        <f>VLOOKUP(D596,★サイズ表記!$D$4:$E$55,2,FALSE)</f>
        <v>1003</v>
      </c>
      <c r="F596" s="457" t="s">
        <v>857</v>
      </c>
      <c r="G596" s="452" t="str">
        <f>VLOOKUP(F596,★折込地区!$A$1:$B$11,2,FALSE)</f>
        <v>Hmm</v>
      </c>
      <c r="H596" s="453">
        <f>INDEX(★サイズ表記!$I$4:$Q$55, MATCH(E596,★サイズ表記!$E$4:$E$55,0), MATCH(G596,★サイズ表記!$I$3:$R$3,0))</f>
        <v>0</v>
      </c>
      <c r="K596" s="471" t="str">
        <f t="shared" si="64"/>
        <v>C1003Hmm</v>
      </c>
      <c r="L596" s="471" t="str">
        <f t="shared" si="65"/>
        <v>3つ折り</v>
      </c>
      <c r="P596" s="533" t="s">
        <v>1324</v>
      </c>
      <c r="Q596" s="533" t="s">
        <v>1325</v>
      </c>
      <c r="R596" s="534" t="str">
        <f t="shared" si="66"/>
        <v>1003</v>
      </c>
      <c r="S596" s="534" t="str">
        <f t="shared" si="67"/>
        <v>3つ折り</v>
      </c>
      <c r="T596" s="538" t="str">
        <f t="shared" si="68"/>
        <v>10</v>
      </c>
      <c r="U596" s="538" t="str">
        <f t="shared" si="69"/>
        <v>03</v>
      </c>
      <c r="V596" s="471" t="s">
        <v>1136</v>
      </c>
      <c r="Y596" s="472">
        <f t="shared" si="70"/>
        <v>0</v>
      </c>
      <c r="Z596" s="540">
        <f t="shared" si="71"/>
        <v>0</v>
      </c>
      <c r="AA596" s="471">
        <v>0</v>
      </c>
    </row>
    <row r="597" spans="1:27">
      <c r="A597" s="451" t="str">
        <f>CONCATENATE(VLOOKUP(B597,★営業所!$A$1:$B$5,2,FALSE),VLOOKUP(D597,★サイズ表記!$D$4:$E$55,2,FALSE),VLOOKUP(F597,★折込地区!$A$1:$B$11,2,FALSE))</f>
        <v>C1004Hmm</v>
      </c>
      <c r="B597" s="457" t="s">
        <v>116</v>
      </c>
      <c r="C597" s="452" t="str">
        <f>VLOOKUP(B597,★営業所!$A$1:$B$5,2,FALSE)</f>
        <v>C</v>
      </c>
      <c r="D597" s="465" t="s">
        <v>947</v>
      </c>
      <c r="E597" s="452" t="str">
        <f>VLOOKUP(D597,★サイズ表記!$D$4:$E$55,2,FALSE)</f>
        <v>1004</v>
      </c>
      <c r="F597" s="457" t="s">
        <v>857</v>
      </c>
      <c r="G597" s="452" t="str">
        <f>VLOOKUP(F597,★折込地区!$A$1:$B$11,2,FALSE)</f>
        <v>Hmm</v>
      </c>
      <c r="H597" s="453">
        <f>INDEX(★サイズ表記!$I$4:$Q$55, MATCH(E597,★サイズ表記!$E$4:$E$55,0), MATCH(G597,★サイズ表記!$I$3:$R$3,0))</f>
        <v>0</v>
      </c>
      <c r="K597" s="471" t="str">
        <f t="shared" si="64"/>
        <v>C1004Hmm</v>
      </c>
      <c r="L597" s="471" t="str">
        <f t="shared" si="65"/>
        <v>観音折</v>
      </c>
      <c r="P597" s="533" t="s">
        <v>1324</v>
      </c>
      <c r="Q597" s="533" t="s">
        <v>1325</v>
      </c>
      <c r="R597" s="534" t="str">
        <f t="shared" si="66"/>
        <v>1004</v>
      </c>
      <c r="S597" s="534" t="str">
        <f t="shared" si="67"/>
        <v>観音折</v>
      </c>
      <c r="T597" s="538" t="str">
        <f t="shared" si="68"/>
        <v>10</v>
      </c>
      <c r="U597" s="538" t="str">
        <f t="shared" si="69"/>
        <v>04</v>
      </c>
      <c r="V597" s="471" t="s">
        <v>1136</v>
      </c>
      <c r="Y597" s="472">
        <f t="shared" si="70"/>
        <v>0</v>
      </c>
      <c r="Z597" s="540">
        <f t="shared" si="71"/>
        <v>0</v>
      </c>
      <c r="AA597" s="471">
        <v>0</v>
      </c>
    </row>
    <row r="598" spans="1:27">
      <c r="A598" s="451" t="str">
        <f>CONCATENATE(VLOOKUP(B598,★営業所!$A$1:$B$5,2,FALSE),VLOOKUP(D598,★サイズ表記!$D$4:$E$55,2,FALSE),VLOOKUP(F598,★折込地区!$A$1:$B$11,2,FALSE))</f>
        <v>C1005Hmm</v>
      </c>
      <c r="B598" s="457" t="s">
        <v>116</v>
      </c>
      <c r="C598" s="452" t="str">
        <f>VLOOKUP(B598,★営業所!$A$1:$B$5,2,FALSE)</f>
        <v>C</v>
      </c>
      <c r="D598" s="465" t="s">
        <v>952</v>
      </c>
      <c r="E598" s="452" t="str">
        <f>VLOOKUP(D598,★サイズ表記!$D$4:$E$55,2,FALSE)</f>
        <v>1005</v>
      </c>
      <c r="F598" s="457" t="s">
        <v>857</v>
      </c>
      <c r="G598" s="452" t="str">
        <f>VLOOKUP(F598,★折込地区!$A$1:$B$11,2,FALSE)</f>
        <v>Hmm</v>
      </c>
      <c r="H598" s="453">
        <f>INDEX(★サイズ表記!$I$4:$Q$55, MATCH(E598,★サイズ表記!$E$4:$E$55,0), MATCH(G598,★サイズ表記!$I$3:$R$3,0))</f>
        <v>8</v>
      </c>
      <c r="K598" s="471" t="str">
        <f t="shared" si="64"/>
        <v>C1005Hmm</v>
      </c>
      <c r="L598" s="471" t="str">
        <f t="shared" si="65"/>
        <v>B2（4つ折り）</v>
      </c>
      <c r="P598" s="533" t="s">
        <v>1324</v>
      </c>
      <c r="Q598" s="533" t="s">
        <v>1325</v>
      </c>
      <c r="R598" s="534" t="str">
        <f t="shared" si="66"/>
        <v>1005</v>
      </c>
      <c r="S598" s="534" t="str">
        <f t="shared" si="67"/>
        <v>B2（4つ折り）</v>
      </c>
      <c r="T598" s="538" t="str">
        <f t="shared" si="68"/>
        <v>10</v>
      </c>
      <c r="U598" s="538" t="str">
        <f t="shared" si="69"/>
        <v>05</v>
      </c>
      <c r="V598" s="471" t="s">
        <v>1136</v>
      </c>
      <c r="Y598" s="472">
        <f t="shared" si="70"/>
        <v>8</v>
      </c>
      <c r="Z598" s="540">
        <f t="shared" si="71"/>
        <v>0.64</v>
      </c>
      <c r="AA598" s="471">
        <v>0</v>
      </c>
    </row>
    <row r="599" spans="1:27">
      <c r="A599" s="451" t="str">
        <f>CONCATENATE(VLOOKUP(B599,★営業所!$A$1:$B$5,2,FALSE),VLOOKUP(D599,★サイズ表記!$D$4:$E$55,2,FALSE),VLOOKUP(F599,★折込地区!$A$1:$B$11,2,FALSE))</f>
        <v>C1006Hmm</v>
      </c>
      <c r="B599" s="457" t="s">
        <v>116</v>
      </c>
      <c r="C599" s="452" t="str">
        <f>VLOOKUP(B599,★営業所!$A$1:$B$5,2,FALSE)</f>
        <v>C</v>
      </c>
      <c r="D599" s="465" t="s">
        <v>955</v>
      </c>
      <c r="E599" s="452" t="str">
        <f>VLOOKUP(D599,★サイズ表記!$D$4:$E$55,2,FALSE)</f>
        <v>1006</v>
      </c>
      <c r="F599" s="457" t="s">
        <v>857</v>
      </c>
      <c r="G599" s="452" t="str">
        <f>VLOOKUP(F599,★折込地区!$A$1:$B$11,2,FALSE)</f>
        <v>Hmm</v>
      </c>
      <c r="H599" s="453">
        <f>INDEX(★サイズ表記!$I$4:$Q$55, MATCH(E599,★サイズ表記!$E$4:$E$55,0), MATCH(G599,★サイズ表記!$I$3:$R$3,0))</f>
        <v>16</v>
      </c>
      <c r="K599" s="471" t="str">
        <f t="shared" si="64"/>
        <v>C1006Hmm</v>
      </c>
      <c r="L599" s="471" t="str">
        <f t="shared" si="65"/>
        <v>B1（8折り）</v>
      </c>
      <c r="P599" s="533" t="s">
        <v>1324</v>
      </c>
      <c r="Q599" s="533" t="s">
        <v>1325</v>
      </c>
      <c r="R599" s="534" t="str">
        <f t="shared" si="66"/>
        <v>1006</v>
      </c>
      <c r="S599" s="534" t="str">
        <f t="shared" si="67"/>
        <v>B1（8折り）</v>
      </c>
      <c r="T599" s="538" t="str">
        <f t="shared" si="68"/>
        <v>10</v>
      </c>
      <c r="U599" s="538" t="str">
        <f t="shared" si="69"/>
        <v>06</v>
      </c>
      <c r="V599" s="471" t="s">
        <v>1136</v>
      </c>
      <c r="Y599" s="472">
        <f t="shared" si="70"/>
        <v>16</v>
      </c>
      <c r="Z599" s="540">
        <f t="shared" si="71"/>
        <v>1.28</v>
      </c>
      <c r="AA599" s="471">
        <v>0</v>
      </c>
    </row>
    <row r="600" spans="1:27">
      <c r="A600" s="451" t="str">
        <f>CONCATENATE(VLOOKUP(B600,★営業所!$A$1:$B$5,2,FALSE),VLOOKUP(D600,★サイズ表記!$D$4:$E$55,2,FALSE),VLOOKUP(F600,★折込地区!$A$1:$B$11,2,FALSE))</f>
        <v>C1007Hmm</v>
      </c>
      <c r="B600" s="457" t="s">
        <v>116</v>
      </c>
      <c r="C600" s="452" t="str">
        <f>VLOOKUP(B600,★営業所!$A$1:$B$5,2,FALSE)</f>
        <v>C</v>
      </c>
      <c r="D600" s="465" t="s">
        <v>956</v>
      </c>
      <c r="E600" s="452" t="str">
        <f>VLOOKUP(D600,★サイズ表記!$D$4:$E$55,2,FALSE)</f>
        <v>1007</v>
      </c>
      <c r="F600" s="457" t="s">
        <v>857</v>
      </c>
      <c r="G600" s="452" t="str">
        <f>VLOOKUP(F600,★折込地区!$A$1:$B$11,2,FALSE)</f>
        <v>Hmm</v>
      </c>
      <c r="H600" s="453">
        <f>INDEX(★サイズ表記!$I$4:$Q$55, MATCH(E600,★サイズ表記!$E$4:$E$55,0), MATCH(G600,★サイズ表記!$I$3:$R$3,0))</f>
        <v>0</v>
      </c>
      <c r="K600" s="471" t="str">
        <f t="shared" si="64"/>
        <v>C1007Hmm</v>
      </c>
      <c r="L600" s="471" t="str">
        <f t="shared" si="65"/>
        <v>B4厚紙</v>
      </c>
      <c r="P600" s="533" t="s">
        <v>1324</v>
      </c>
      <c r="Q600" s="533" t="s">
        <v>1325</v>
      </c>
      <c r="R600" s="534" t="str">
        <f t="shared" si="66"/>
        <v>1007</v>
      </c>
      <c r="S600" s="534" t="str">
        <f t="shared" si="67"/>
        <v>B4厚紙</v>
      </c>
      <c r="T600" s="538" t="str">
        <f t="shared" si="68"/>
        <v>10</v>
      </c>
      <c r="U600" s="538" t="str">
        <f t="shared" si="69"/>
        <v>07</v>
      </c>
      <c r="V600" s="471" t="s">
        <v>1136</v>
      </c>
      <c r="Y600" s="472">
        <f t="shared" si="70"/>
        <v>0</v>
      </c>
      <c r="Z600" s="540">
        <f t="shared" si="71"/>
        <v>0</v>
      </c>
      <c r="AA600" s="471">
        <v>0</v>
      </c>
    </row>
    <row r="601" spans="1:27">
      <c r="A601" s="451" t="str">
        <f>CONCATENATE(VLOOKUP(B601,★営業所!$A$1:$B$5,2,FALSE),VLOOKUP(D601,★サイズ表記!$D$4:$E$55,2,FALSE),VLOOKUP(F601,★折込地区!$A$1:$B$11,2,FALSE))</f>
        <v>C1008Hmm</v>
      </c>
      <c r="B601" s="457" t="s">
        <v>116</v>
      </c>
      <c r="C601" s="452" t="str">
        <f>VLOOKUP(B601,★営業所!$A$1:$B$5,2,FALSE)</f>
        <v>C</v>
      </c>
      <c r="D601" s="465" t="s">
        <v>957</v>
      </c>
      <c r="E601" s="452" t="str">
        <f>VLOOKUP(D601,★サイズ表記!$D$4:$E$55,2,FALSE)</f>
        <v>1008</v>
      </c>
      <c r="F601" s="457" t="s">
        <v>857</v>
      </c>
      <c r="G601" s="452" t="str">
        <f>VLOOKUP(F601,★折込地区!$A$1:$B$11,2,FALSE)</f>
        <v>Hmm</v>
      </c>
      <c r="H601" s="453">
        <f>INDEX(★サイズ表記!$I$4:$Q$55, MATCH(E601,★サイズ表記!$E$4:$E$55,0), MATCH(G601,★サイズ表記!$I$3:$R$3,0))</f>
        <v>0</v>
      </c>
      <c r="K601" s="471" t="str">
        <f t="shared" si="64"/>
        <v>C1008Hmm</v>
      </c>
      <c r="L601" s="471" t="str">
        <f t="shared" si="65"/>
        <v>B3厚紙</v>
      </c>
      <c r="P601" s="533" t="s">
        <v>1324</v>
      </c>
      <c r="Q601" s="533" t="s">
        <v>1325</v>
      </c>
      <c r="R601" s="534" t="str">
        <f t="shared" si="66"/>
        <v>1008</v>
      </c>
      <c r="S601" s="534" t="str">
        <f t="shared" si="67"/>
        <v>B3厚紙</v>
      </c>
      <c r="T601" s="538" t="str">
        <f t="shared" si="68"/>
        <v>10</v>
      </c>
      <c r="U601" s="538" t="str">
        <f t="shared" si="69"/>
        <v>08</v>
      </c>
      <c r="V601" s="471" t="s">
        <v>1136</v>
      </c>
      <c r="Y601" s="472">
        <f t="shared" si="70"/>
        <v>0</v>
      </c>
      <c r="Z601" s="540">
        <f t="shared" si="71"/>
        <v>0</v>
      </c>
      <c r="AA601" s="471">
        <v>0</v>
      </c>
    </row>
    <row r="602" spans="1:27">
      <c r="A602" s="451" t="str">
        <f>CONCATENATE(VLOOKUP(B602,★営業所!$A$1:$B$5,2,FALSE),VLOOKUP(D602,★サイズ表記!$D$4:$E$55,2,FALSE),VLOOKUP(F602,★折込地区!$A$1:$B$11,2,FALSE))</f>
        <v>C1009Hmm</v>
      </c>
      <c r="B602" s="457" t="s">
        <v>116</v>
      </c>
      <c r="C602" s="452" t="str">
        <f>VLOOKUP(B602,★営業所!$A$1:$B$5,2,FALSE)</f>
        <v>C</v>
      </c>
      <c r="D602" s="465" t="s">
        <v>958</v>
      </c>
      <c r="E602" s="452" t="str">
        <f>VLOOKUP(D602,★サイズ表記!$D$4:$E$55,2,FALSE)</f>
        <v>1009</v>
      </c>
      <c r="F602" s="457" t="s">
        <v>857</v>
      </c>
      <c r="G602" s="452" t="str">
        <f>VLOOKUP(F602,★折込地区!$A$1:$B$11,2,FALSE)</f>
        <v>Hmm</v>
      </c>
      <c r="H602" s="453">
        <f>INDEX(★サイズ表記!$I$4:$Q$55, MATCH(E602,★サイズ表記!$E$4:$E$55,0), MATCH(G602,★サイズ表記!$I$3:$R$3,0))</f>
        <v>0</v>
      </c>
      <c r="K602" s="471" t="str">
        <f t="shared" si="64"/>
        <v>C1009Hmm</v>
      </c>
      <c r="L602" s="471" t="str">
        <f t="shared" si="65"/>
        <v>B2厚紙</v>
      </c>
      <c r="P602" s="533" t="s">
        <v>1324</v>
      </c>
      <c r="Q602" s="533" t="s">
        <v>1325</v>
      </c>
      <c r="R602" s="534" t="str">
        <f t="shared" si="66"/>
        <v>1009</v>
      </c>
      <c r="S602" s="534" t="str">
        <f t="shared" si="67"/>
        <v>B2厚紙</v>
      </c>
      <c r="T602" s="538" t="str">
        <f t="shared" si="68"/>
        <v>10</v>
      </c>
      <c r="U602" s="538" t="str">
        <f t="shared" si="69"/>
        <v>09</v>
      </c>
      <c r="V602" s="471" t="s">
        <v>1136</v>
      </c>
      <c r="Y602" s="472">
        <f t="shared" si="70"/>
        <v>0</v>
      </c>
      <c r="Z602" s="540">
        <f t="shared" si="71"/>
        <v>0</v>
      </c>
      <c r="AA602" s="471">
        <v>0</v>
      </c>
    </row>
    <row r="603" spans="1:27">
      <c r="A603" s="451" t="str">
        <f>CONCATENATE(VLOOKUP(B603,★営業所!$A$1:$B$5,2,FALSE),VLOOKUP(D603,★サイズ表記!$D$4:$E$55,2,FALSE),VLOOKUP(F603,★折込地区!$A$1:$B$11,2,FALSE))</f>
        <v>C1010Hmm</v>
      </c>
      <c r="B603" s="457" t="s">
        <v>116</v>
      </c>
      <c r="C603" s="452" t="str">
        <f>VLOOKUP(B603,★営業所!$A$1:$B$5,2,FALSE)</f>
        <v>C</v>
      </c>
      <c r="D603" s="465" t="s">
        <v>959</v>
      </c>
      <c r="E603" s="452" t="str">
        <f>VLOOKUP(D603,★サイズ表記!$D$4:$E$55,2,FALSE)</f>
        <v>1010</v>
      </c>
      <c r="F603" s="457" t="s">
        <v>857</v>
      </c>
      <c r="G603" s="452" t="str">
        <f>VLOOKUP(F603,★折込地区!$A$1:$B$11,2,FALSE)</f>
        <v>Hmm</v>
      </c>
      <c r="H603" s="453">
        <f>INDEX(★サイズ表記!$I$4:$Q$55, MATCH(E603,★サイズ表記!$E$4:$E$55,0), MATCH(G603,★サイズ表記!$I$3:$R$3,0))</f>
        <v>0</v>
      </c>
      <c r="K603" s="471" t="str">
        <f t="shared" si="64"/>
        <v>C1010Hmm</v>
      </c>
      <c r="L603" s="471" t="str">
        <f t="shared" si="65"/>
        <v>B4以下変形</v>
      </c>
      <c r="P603" s="533" t="s">
        <v>1324</v>
      </c>
      <c r="Q603" s="533" t="s">
        <v>1325</v>
      </c>
      <c r="R603" s="534" t="str">
        <f t="shared" si="66"/>
        <v>1010</v>
      </c>
      <c r="S603" s="534" t="str">
        <f t="shared" si="67"/>
        <v>B4以下変形</v>
      </c>
      <c r="T603" s="538" t="str">
        <f t="shared" si="68"/>
        <v>10</v>
      </c>
      <c r="U603" s="538" t="str">
        <f t="shared" si="69"/>
        <v>10</v>
      </c>
      <c r="V603" s="471" t="s">
        <v>1136</v>
      </c>
      <c r="Y603" s="472">
        <f t="shared" si="70"/>
        <v>0</v>
      </c>
      <c r="Z603" s="540">
        <f t="shared" si="71"/>
        <v>0</v>
      </c>
      <c r="AA603" s="471">
        <v>0</v>
      </c>
    </row>
    <row r="604" spans="1:27">
      <c r="A604" s="451" t="str">
        <f>CONCATENATE(VLOOKUP(B604,★営業所!$A$1:$B$5,2,FALSE),VLOOKUP(D604,★サイズ表記!$D$4:$E$55,2,FALSE),VLOOKUP(F604,★折込地区!$A$1:$B$11,2,FALSE))</f>
        <v>C1011Hmm</v>
      </c>
      <c r="B604" s="457" t="s">
        <v>116</v>
      </c>
      <c r="C604" s="452" t="str">
        <f>VLOOKUP(B604,★営業所!$A$1:$B$5,2,FALSE)</f>
        <v>C</v>
      </c>
      <c r="D604" s="465" t="s">
        <v>960</v>
      </c>
      <c r="E604" s="452" t="str">
        <f>VLOOKUP(D604,★サイズ表記!$D$4:$E$55,2,FALSE)</f>
        <v>1011</v>
      </c>
      <c r="F604" s="457" t="s">
        <v>857</v>
      </c>
      <c r="G604" s="452" t="str">
        <f>VLOOKUP(F604,★折込地区!$A$1:$B$11,2,FALSE)</f>
        <v>Hmm</v>
      </c>
      <c r="H604" s="453">
        <f>INDEX(★サイズ表記!$I$4:$Q$55, MATCH(E604,★サイズ表記!$E$4:$E$55,0), MATCH(G604,★サイズ表記!$I$3:$R$3,0))</f>
        <v>0</v>
      </c>
      <c r="K604" s="471" t="str">
        <f t="shared" si="64"/>
        <v>C1011Hmm</v>
      </c>
      <c r="L604" s="471" t="str">
        <f t="shared" si="65"/>
        <v>B4シール付き</v>
      </c>
      <c r="P604" s="533" t="s">
        <v>1324</v>
      </c>
      <c r="Q604" s="533" t="s">
        <v>1325</v>
      </c>
      <c r="R604" s="534" t="str">
        <f t="shared" si="66"/>
        <v>1011</v>
      </c>
      <c r="S604" s="534" t="str">
        <f t="shared" si="67"/>
        <v>B4シール付き</v>
      </c>
      <c r="T604" s="538" t="str">
        <f t="shared" si="68"/>
        <v>10</v>
      </c>
      <c r="U604" s="538" t="str">
        <f t="shared" si="69"/>
        <v>11</v>
      </c>
      <c r="V604" s="471" t="s">
        <v>1136</v>
      </c>
      <c r="Y604" s="472">
        <f t="shared" si="70"/>
        <v>0</v>
      </c>
      <c r="Z604" s="540">
        <f t="shared" si="71"/>
        <v>0</v>
      </c>
      <c r="AA604" s="471">
        <v>0</v>
      </c>
    </row>
    <row r="605" spans="1:27">
      <c r="A605" s="451" t="str">
        <f>CONCATENATE(VLOOKUP(B605,★営業所!$A$1:$B$5,2,FALSE),VLOOKUP(D605,★サイズ表記!$D$4:$E$55,2,FALSE),VLOOKUP(F605,★折込地区!$A$1:$B$11,2,FALSE))</f>
        <v>C1012Hmm</v>
      </c>
      <c r="B605" s="457" t="s">
        <v>116</v>
      </c>
      <c r="C605" s="452" t="str">
        <f>VLOOKUP(B605,★営業所!$A$1:$B$5,2,FALSE)</f>
        <v>C</v>
      </c>
      <c r="D605" s="465" t="s">
        <v>961</v>
      </c>
      <c r="E605" s="452" t="str">
        <f>VLOOKUP(D605,★サイズ表記!$D$4:$E$55,2,FALSE)</f>
        <v>1012</v>
      </c>
      <c r="F605" s="457" t="s">
        <v>857</v>
      </c>
      <c r="G605" s="452" t="str">
        <f>VLOOKUP(F605,★折込地区!$A$1:$B$11,2,FALSE)</f>
        <v>Hmm</v>
      </c>
      <c r="H605" s="453">
        <f>INDEX(★サイズ表記!$I$4:$Q$55, MATCH(E605,★サイズ表記!$E$4:$E$55,0), MATCH(G605,★サイズ表記!$I$3:$R$3,0))</f>
        <v>0</v>
      </c>
      <c r="K605" s="471" t="str">
        <f t="shared" si="64"/>
        <v>C1012Hmm</v>
      </c>
      <c r="L605" s="471" t="str">
        <f t="shared" si="65"/>
        <v>B3シール付き</v>
      </c>
      <c r="P605" s="533" t="s">
        <v>1324</v>
      </c>
      <c r="Q605" s="533" t="s">
        <v>1325</v>
      </c>
      <c r="R605" s="534" t="str">
        <f t="shared" si="66"/>
        <v>1012</v>
      </c>
      <c r="S605" s="534" t="str">
        <f t="shared" si="67"/>
        <v>B3シール付き</v>
      </c>
      <c r="T605" s="538" t="str">
        <f t="shared" si="68"/>
        <v>10</v>
      </c>
      <c r="U605" s="538" t="str">
        <f t="shared" si="69"/>
        <v>12</v>
      </c>
      <c r="V605" s="471" t="s">
        <v>1136</v>
      </c>
      <c r="Y605" s="472">
        <f t="shared" si="70"/>
        <v>0</v>
      </c>
      <c r="Z605" s="540">
        <f t="shared" si="71"/>
        <v>0</v>
      </c>
      <c r="AA605" s="471">
        <v>0</v>
      </c>
    </row>
    <row r="606" spans="1:27">
      <c r="A606" s="451" t="str">
        <f>CONCATENATE(VLOOKUP(B606,★営業所!$A$1:$B$5,2,FALSE),VLOOKUP(D606,★サイズ表記!$D$4:$E$55,2,FALSE),VLOOKUP(F606,★折込地区!$A$1:$B$11,2,FALSE))</f>
        <v>C1013Hmm</v>
      </c>
      <c r="B606" s="457" t="s">
        <v>116</v>
      </c>
      <c r="C606" s="452" t="str">
        <f>VLOOKUP(B606,★営業所!$A$1:$B$5,2,FALSE)</f>
        <v>C</v>
      </c>
      <c r="D606" s="465" t="s">
        <v>962</v>
      </c>
      <c r="E606" s="452" t="str">
        <f>VLOOKUP(D606,★サイズ表記!$D$4:$E$55,2,FALSE)</f>
        <v>1013</v>
      </c>
      <c r="F606" s="457" t="s">
        <v>857</v>
      </c>
      <c r="G606" s="452" t="str">
        <f>VLOOKUP(F606,★折込地区!$A$1:$B$11,2,FALSE)</f>
        <v>Hmm</v>
      </c>
      <c r="H606" s="453">
        <f>INDEX(★サイズ表記!$I$4:$Q$55, MATCH(E606,★サイズ表記!$E$4:$E$55,0), MATCH(G606,★サイズ表記!$I$3:$R$3,0))</f>
        <v>0</v>
      </c>
      <c r="K606" s="471" t="str">
        <f t="shared" si="64"/>
        <v>C1013Hmm</v>
      </c>
      <c r="L606" s="471" t="str">
        <f t="shared" si="65"/>
        <v>B4スクラッチ付き</v>
      </c>
      <c r="P606" s="533" t="s">
        <v>1324</v>
      </c>
      <c r="Q606" s="533" t="s">
        <v>1325</v>
      </c>
      <c r="R606" s="534" t="str">
        <f t="shared" si="66"/>
        <v>1013</v>
      </c>
      <c r="S606" s="534" t="str">
        <f t="shared" si="67"/>
        <v>B4スクラッチ付き</v>
      </c>
      <c r="T606" s="538" t="str">
        <f t="shared" si="68"/>
        <v>10</v>
      </c>
      <c r="U606" s="538" t="str">
        <f t="shared" si="69"/>
        <v>13</v>
      </c>
      <c r="V606" s="471" t="s">
        <v>1136</v>
      </c>
      <c r="Y606" s="472">
        <f t="shared" si="70"/>
        <v>0</v>
      </c>
      <c r="Z606" s="540">
        <f t="shared" si="71"/>
        <v>0</v>
      </c>
      <c r="AA606" s="471">
        <v>0</v>
      </c>
    </row>
    <row r="607" spans="1:27">
      <c r="A607" s="451" t="str">
        <f>CONCATENATE(VLOOKUP(B607,★営業所!$A$1:$B$5,2,FALSE),VLOOKUP(D607,★サイズ表記!$D$4:$E$55,2,FALSE),VLOOKUP(F607,★折込地区!$A$1:$B$11,2,FALSE))</f>
        <v>C2001Hmm</v>
      </c>
      <c r="B607" s="457" t="s">
        <v>116</v>
      </c>
      <c r="C607" s="452" t="str">
        <f>VLOOKUP(B607,★営業所!$A$1:$B$5,2,FALSE)</f>
        <v>C</v>
      </c>
      <c r="D607" s="465" t="s">
        <v>963</v>
      </c>
      <c r="E607" s="452" t="str">
        <f>VLOOKUP(D607,★サイズ表記!$D$4:$E$55,2,FALSE)</f>
        <v>2001</v>
      </c>
      <c r="F607" s="457" t="s">
        <v>857</v>
      </c>
      <c r="G607" s="452" t="str">
        <f>VLOOKUP(F607,★折込地区!$A$1:$B$11,2,FALSE)</f>
        <v>Hmm</v>
      </c>
      <c r="H607" s="453">
        <f>INDEX(★サイズ表記!$I$4:$Q$55, MATCH(E607,★サイズ表記!$E$4:$E$55,0), MATCH(G607,★サイズ表記!$I$3:$R$3,0))</f>
        <v>4.5</v>
      </c>
      <c r="K607" s="471" t="str">
        <f t="shared" si="64"/>
        <v>C2001Hmm</v>
      </c>
      <c r="L607" s="471" t="str">
        <f t="shared" si="65"/>
        <v>連合B4</v>
      </c>
      <c r="P607" s="533" t="s">
        <v>1324</v>
      </c>
      <c r="Q607" s="533" t="s">
        <v>1325</v>
      </c>
      <c r="R607" s="534" t="str">
        <f t="shared" si="66"/>
        <v>2001</v>
      </c>
      <c r="S607" s="534" t="str">
        <f t="shared" si="67"/>
        <v>連合B4</v>
      </c>
      <c r="T607" s="538" t="str">
        <f t="shared" si="68"/>
        <v>20</v>
      </c>
      <c r="U607" s="538" t="str">
        <f t="shared" si="69"/>
        <v>01</v>
      </c>
      <c r="V607" s="471" t="s">
        <v>1136</v>
      </c>
      <c r="Y607" s="472">
        <f t="shared" si="70"/>
        <v>4.5</v>
      </c>
      <c r="Z607" s="540">
        <f t="shared" si="71"/>
        <v>0.36</v>
      </c>
      <c r="AA607" s="471">
        <v>0</v>
      </c>
    </row>
    <row r="608" spans="1:27">
      <c r="A608" s="451" t="str">
        <f>CONCATENATE(VLOOKUP(B608,★営業所!$A$1:$B$5,2,FALSE),VLOOKUP(D608,★サイズ表記!$D$4:$E$55,2,FALSE),VLOOKUP(F608,★折込地区!$A$1:$B$11,2,FALSE))</f>
        <v>C2002Hmm</v>
      </c>
      <c r="B608" s="457" t="s">
        <v>116</v>
      </c>
      <c r="C608" s="452" t="str">
        <f>VLOOKUP(B608,★営業所!$A$1:$B$5,2,FALSE)</f>
        <v>C</v>
      </c>
      <c r="D608" s="465" t="s">
        <v>964</v>
      </c>
      <c r="E608" s="452" t="str">
        <f>VLOOKUP(D608,★サイズ表記!$D$4:$E$55,2,FALSE)</f>
        <v>2002</v>
      </c>
      <c r="F608" s="457" t="s">
        <v>857</v>
      </c>
      <c r="G608" s="452" t="str">
        <f>VLOOKUP(F608,★折込地区!$A$1:$B$11,2,FALSE)</f>
        <v>Hmm</v>
      </c>
      <c r="H608" s="453">
        <f>INDEX(★サイズ表記!$I$4:$Q$55, MATCH(E608,★サイズ表記!$E$4:$E$55,0), MATCH(G608,★サイズ表記!$I$3:$R$3,0))</f>
        <v>7.5</v>
      </c>
      <c r="K608" s="471" t="str">
        <f t="shared" si="64"/>
        <v>C2002Hmm</v>
      </c>
      <c r="L608" s="471" t="str">
        <f t="shared" si="65"/>
        <v>連合B3</v>
      </c>
      <c r="P608" s="533" t="s">
        <v>1324</v>
      </c>
      <c r="Q608" s="533" t="s">
        <v>1325</v>
      </c>
      <c r="R608" s="534" t="str">
        <f t="shared" si="66"/>
        <v>2002</v>
      </c>
      <c r="S608" s="534" t="str">
        <f t="shared" si="67"/>
        <v>連合B3</v>
      </c>
      <c r="T608" s="538" t="str">
        <f t="shared" si="68"/>
        <v>20</v>
      </c>
      <c r="U608" s="538" t="str">
        <f t="shared" si="69"/>
        <v>02</v>
      </c>
      <c r="V608" s="471" t="s">
        <v>1136</v>
      </c>
      <c r="Y608" s="472">
        <f t="shared" si="70"/>
        <v>7.5</v>
      </c>
      <c r="Z608" s="540">
        <f t="shared" si="71"/>
        <v>0.6</v>
      </c>
      <c r="AA608" s="471">
        <v>0</v>
      </c>
    </row>
    <row r="609" spans="1:27">
      <c r="A609" s="451" t="str">
        <f>CONCATENATE(VLOOKUP(B609,★営業所!$A$1:$B$5,2,FALSE),VLOOKUP(D609,★サイズ表記!$D$4:$E$55,2,FALSE),VLOOKUP(F609,★折込地区!$A$1:$B$11,2,FALSE))</f>
        <v>C2003Hmm</v>
      </c>
      <c r="B609" s="457" t="s">
        <v>116</v>
      </c>
      <c r="C609" s="452" t="str">
        <f>VLOOKUP(B609,★営業所!$A$1:$B$5,2,FALSE)</f>
        <v>C</v>
      </c>
      <c r="D609" s="465" t="s">
        <v>965</v>
      </c>
      <c r="E609" s="452" t="str">
        <f>VLOOKUP(D609,★サイズ表記!$D$4:$E$55,2,FALSE)</f>
        <v>2003</v>
      </c>
      <c r="F609" s="457" t="s">
        <v>857</v>
      </c>
      <c r="G609" s="452" t="str">
        <f>VLOOKUP(F609,★折込地区!$A$1:$B$11,2,FALSE)</f>
        <v>Hmm</v>
      </c>
      <c r="H609" s="453">
        <f>INDEX(★サイズ表記!$I$4:$Q$55, MATCH(E609,★サイズ表記!$E$4:$E$55,0), MATCH(G609,★サイズ表記!$I$3:$R$3,0))</f>
        <v>12</v>
      </c>
      <c r="K609" s="471" t="str">
        <f t="shared" si="64"/>
        <v>C2003Hmm</v>
      </c>
      <c r="L609" s="471" t="str">
        <f t="shared" si="65"/>
        <v>連合B2</v>
      </c>
      <c r="P609" s="533" t="s">
        <v>1324</v>
      </c>
      <c r="Q609" s="533" t="s">
        <v>1325</v>
      </c>
      <c r="R609" s="534" t="str">
        <f t="shared" si="66"/>
        <v>2003</v>
      </c>
      <c r="S609" s="534" t="str">
        <f t="shared" si="67"/>
        <v>連合B2</v>
      </c>
      <c r="T609" s="538" t="str">
        <f t="shared" si="68"/>
        <v>20</v>
      </c>
      <c r="U609" s="538" t="str">
        <f t="shared" si="69"/>
        <v>03</v>
      </c>
      <c r="V609" s="471" t="s">
        <v>1136</v>
      </c>
      <c r="Y609" s="472">
        <f t="shared" si="70"/>
        <v>12</v>
      </c>
      <c r="Z609" s="540">
        <f t="shared" si="71"/>
        <v>0.96</v>
      </c>
      <c r="AA609" s="471">
        <v>0</v>
      </c>
    </row>
    <row r="610" spans="1:27">
      <c r="A610" s="451" t="str">
        <f>CONCATENATE(VLOOKUP(B610,★営業所!$A$1:$B$5,2,FALSE),VLOOKUP(D610,★サイズ表記!$D$4:$E$55,2,FALSE),VLOOKUP(F610,★折込地区!$A$1:$B$11,2,FALSE))</f>
        <v>C2004Hmm</v>
      </c>
      <c r="B610" s="457" t="s">
        <v>116</v>
      </c>
      <c r="C610" s="452" t="str">
        <f>VLOOKUP(B610,★営業所!$A$1:$B$5,2,FALSE)</f>
        <v>C</v>
      </c>
      <c r="D610" s="465" t="s">
        <v>966</v>
      </c>
      <c r="E610" s="452" t="str">
        <f>VLOOKUP(D610,★サイズ表記!$D$4:$E$55,2,FALSE)</f>
        <v>2004</v>
      </c>
      <c r="F610" s="457" t="s">
        <v>857</v>
      </c>
      <c r="G610" s="452" t="str">
        <f>VLOOKUP(F610,★折込地区!$A$1:$B$11,2,FALSE)</f>
        <v>Hmm</v>
      </c>
      <c r="H610" s="453">
        <f>INDEX(★サイズ表記!$I$4:$Q$55, MATCH(E610,★サイズ表記!$E$4:$E$55,0), MATCH(G610,★サイズ表記!$I$3:$R$3,0))</f>
        <v>0</v>
      </c>
      <c r="K610" s="471" t="str">
        <f t="shared" si="64"/>
        <v>C2004Hmm</v>
      </c>
      <c r="L610" s="471" t="str">
        <f t="shared" si="65"/>
        <v>連合3つ折り</v>
      </c>
      <c r="P610" s="533" t="s">
        <v>1324</v>
      </c>
      <c r="Q610" s="533" t="s">
        <v>1325</v>
      </c>
      <c r="R610" s="534" t="str">
        <f t="shared" si="66"/>
        <v>2004</v>
      </c>
      <c r="S610" s="534" t="str">
        <f t="shared" si="67"/>
        <v>連合3つ折り</v>
      </c>
      <c r="T610" s="538" t="str">
        <f t="shared" si="68"/>
        <v>20</v>
      </c>
      <c r="U610" s="538" t="str">
        <f t="shared" si="69"/>
        <v>04</v>
      </c>
      <c r="V610" s="471" t="s">
        <v>1136</v>
      </c>
      <c r="Y610" s="472">
        <f t="shared" si="70"/>
        <v>0</v>
      </c>
      <c r="Z610" s="540">
        <f t="shared" si="71"/>
        <v>0</v>
      </c>
      <c r="AA610" s="471">
        <v>0</v>
      </c>
    </row>
    <row r="611" spans="1:27">
      <c r="A611" s="451" t="str">
        <f>CONCATENATE(VLOOKUP(B611,★営業所!$A$1:$B$5,2,FALSE),VLOOKUP(D611,★サイズ表記!$D$4:$E$55,2,FALSE),VLOOKUP(F611,★折込地区!$A$1:$B$11,2,FALSE))</f>
        <v>C2005Hmm</v>
      </c>
      <c r="B611" s="457" t="s">
        <v>116</v>
      </c>
      <c r="C611" s="452" t="str">
        <f>VLOOKUP(B611,★営業所!$A$1:$B$5,2,FALSE)</f>
        <v>C</v>
      </c>
      <c r="D611" s="465" t="s">
        <v>967</v>
      </c>
      <c r="E611" s="452" t="str">
        <f>VLOOKUP(D611,★サイズ表記!$D$4:$E$55,2,FALSE)</f>
        <v>2005</v>
      </c>
      <c r="F611" s="457" t="s">
        <v>857</v>
      </c>
      <c r="G611" s="452" t="str">
        <f>VLOOKUP(F611,★折込地区!$A$1:$B$11,2,FALSE)</f>
        <v>Hmm</v>
      </c>
      <c r="H611" s="453">
        <f>INDEX(★サイズ表記!$I$4:$Q$55, MATCH(E611,★サイズ表記!$E$4:$E$55,0), MATCH(G611,★サイズ表記!$I$3:$R$3,0))</f>
        <v>0</v>
      </c>
      <c r="K611" s="471" t="str">
        <f t="shared" si="64"/>
        <v>C2005Hmm</v>
      </c>
      <c r="L611" s="471" t="str">
        <f t="shared" si="65"/>
        <v>連合B4厚紙</v>
      </c>
      <c r="P611" s="533" t="s">
        <v>1324</v>
      </c>
      <c r="Q611" s="533" t="s">
        <v>1325</v>
      </c>
      <c r="R611" s="534" t="str">
        <f t="shared" si="66"/>
        <v>2005</v>
      </c>
      <c r="S611" s="534" t="str">
        <f t="shared" si="67"/>
        <v>連合B4厚紙</v>
      </c>
      <c r="T611" s="538" t="str">
        <f t="shared" si="68"/>
        <v>20</v>
      </c>
      <c r="U611" s="538" t="str">
        <f t="shared" si="69"/>
        <v>05</v>
      </c>
      <c r="V611" s="471" t="s">
        <v>1136</v>
      </c>
      <c r="Y611" s="472">
        <f t="shared" si="70"/>
        <v>0</v>
      </c>
      <c r="Z611" s="540">
        <f t="shared" si="71"/>
        <v>0</v>
      </c>
      <c r="AA611" s="471">
        <v>0</v>
      </c>
    </row>
    <row r="612" spans="1:27">
      <c r="A612" s="451" t="str">
        <f>CONCATENATE(VLOOKUP(B612,★営業所!$A$1:$B$5,2,FALSE),VLOOKUP(D612,★サイズ表記!$D$4:$E$55,2,FALSE),VLOOKUP(F612,★折込地区!$A$1:$B$11,2,FALSE))</f>
        <v>C2006Hmm</v>
      </c>
      <c r="B612" s="457" t="s">
        <v>116</v>
      </c>
      <c r="C612" s="452" t="str">
        <f>VLOOKUP(B612,★営業所!$A$1:$B$5,2,FALSE)</f>
        <v>C</v>
      </c>
      <c r="D612" s="465" t="s">
        <v>968</v>
      </c>
      <c r="E612" s="452" t="str">
        <f>VLOOKUP(D612,★サイズ表記!$D$4:$E$55,2,FALSE)</f>
        <v>2006</v>
      </c>
      <c r="F612" s="457" t="s">
        <v>857</v>
      </c>
      <c r="G612" s="452" t="str">
        <f>VLOOKUP(F612,★折込地区!$A$1:$B$11,2,FALSE)</f>
        <v>Hmm</v>
      </c>
      <c r="H612" s="453">
        <f>INDEX(★サイズ表記!$I$4:$Q$55, MATCH(E612,★サイズ表記!$E$4:$E$55,0), MATCH(G612,★サイズ表記!$I$3:$R$3,0))</f>
        <v>0</v>
      </c>
      <c r="K612" s="471" t="str">
        <f t="shared" si="64"/>
        <v>C2006Hmm</v>
      </c>
      <c r="L612" s="471" t="str">
        <f t="shared" si="65"/>
        <v>連合2つ折り極小</v>
      </c>
      <c r="P612" s="533" t="s">
        <v>1324</v>
      </c>
      <c r="Q612" s="533" t="s">
        <v>1325</v>
      </c>
      <c r="R612" s="534" t="str">
        <f t="shared" si="66"/>
        <v>2006</v>
      </c>
      <c r="S612" s="534" t="str">
        <f t="shared" si="67"/>
        <v>連合2つ折り極小</v>
      </c>
      <c r="T612" s="538" t="str">
        <f t="shared" si="68"/>
        <v>20</v>
      </c>
      <c r="U612" s="538" t="str">
        <f t="shared" si="69"/>
        <v>06</v>
      </c>
      <c r="V612" s="471" t="s">
        <v>1136</v>
      </c>
      <c r="Y612" s="472">
        <f t="shared" si="70"/>
        <v>0</v>
      </c>
      <c r="Z612" s="540">
        <f t="shared" si="71"/>
        <v>0</v>
      </c>
      <c r="AA612" s="471">
        <v>0</v>
      </c>
    </row>
    <row r="613" spans="1:27">
      <c r="A613" s="451" t="str">
        <f>CONCATENATE(VLOOKUP(B613,★営業所!$A$1:$B$5,2,FALSE),VLOOKUP(D613,★サイズ表記!$D$4:$E$55,2,FALSE),VLOOKUP(F613,★折込地区!$A$1:$B$11,2,FALSE))</f>
        <v>C2007Hmm</v>
      </c>
      <c r="B613" s="457" t="s">
        <v>116</v>
      </c>
      <c r="C613" s="452" t="str">
        <f>VLOOKUP(B613,★営業所!$A$1:$B$5,2,FALSE)</f>
        <v>C</v>
      </c>
      <c r="D613" s="465" t="s">
        <v>1365</v>
      </c>
      <c r="E613" s="452" t="str">
        <f>VLOOKUP(D613,★サイズ表記!$D$4:$E$55,2,FALSE)</f>
        <v>2007</v>
      </c>
      <c r="F613" s="457" t="s">
        <v>857</v>
      </c>
      <c r="G613" s="452" t="str">
        <f>VLOOKUP(F613,★折込地区!$A$1:$B$11,2,FALSE)</f>
        <v>Hmm</v>
      </c>
      <c r="H613" s="453">
        <f>INDEX(★サイズ表記!$I$4:$Q$55, MATCH(E613,★サイズ表記!$E$4:$E$55,0), MATCH(G613,★サイズ表記!$I$3:$R$3,0))</f>
        <v>0</v>
      </c>
      <c r="K613" s="471" t="str">
        <f t="shared" si="64"/>
        <v>C2007Hmm</v>
      </c>
      <c r="L613" s="471" t="str">
        <f t="shared" si="65"/>
        <v>連合タブ6P</v>
      </c>
      <c r="P613" s="533" t="s">
        <v>1324</v>
      </c>
      <c r="Q613" s="533" t="s">
        <v>1325</v>
      </c>
      <c r="R613" s="534" t="str">
        <f t="shared" si="66"/>
        <v>2007</v>
      </c>
      <c r="S613" s="534" t="str">
        <f t="shared" si="67"/>
        <v>連合タブ6P</v>
      </c>
      <c r="T613" s="538" t="str">
        <f t="shared" si="68"/>
        <v>20</v>
      </c>
      <c r="U613" s="538" t="str">
        <f t="shared" si="69"/>
        <v>07</v>
      </c>
      <c r="V613" s="471" t="s">
        <v>1136</v>
      </c>
      <c r="Y613" s="472">
        <f t="shared" si="70"/>
        <v>0</v>
      </c>
      <c r="Z613" s="540">
        <f t="shared" si="71"/>
        <v>0</v>
      </c>
      <c r="AA613" s="471">
        <v>0</v>
      </c>
    </row>
    <row r="614" spans="1:27">
      <c r="A614" s="451" t="str">
        <f>CONCATENATE(VLOOKUP(B614,★営業所!$A$1:$B$5,2,FALSE),VLOOKUP(D614,★サイズ表記!$D$4:$E$55,2,FALSE),VLOOKUP(F614,★折込地区!$A$1:$B$11,2,FALSE))</f>
        <v>C2008Hmm</v>
      </c>
      <c r="B614" s="457" t="s">
        <v>116</v>
      </c>
      <c r="C614" s="452" t="str">
        <f>VLOOKUP(B614,★営業所!$A$1:$B$5,2,FALSE)</f>
        <v>C</v>
      </c>
      <c r="D614" s="465" t="s">
        <v>1366</v>
      </c>
      <c r="E614" s="452" t="str">
        <f>VLOOKUP(D614,★サイズ表記!$D$4:$E$55,2,FALSE)</f>
        <v>2008</v>
      </c>
      <c r="F614" s="457" t="s">
        <v>857</v>
      </c>
      <c r="G614" s="452" t="str">
        <f>VLOOKUP(F614,★折込地区!$A$1:$B$11,2,FALSE)</f>
        <v>Hmm</v>
      </c>
      <c r="H614" s="453">
        <f>INDEX(★サイズ表記!$I$4:$Q$55, MATCH(E614,★サイズ表記!$E$4:$E$55,0), MATCH(G614,★サイズ表記!$I$3:$R$3,0))</f>
        <v>0</v>
      </c>
      <c r="K614" s="471" t="str">
        <f t="shared" si="64"/>
        <v>C2008Hmm</v>
      </c>
      <c r="L614" s="471" t="str">
        <f t="shared" si="65"/>
        <v>連合タブ8P</v>
      </c>
      <c r="P614" s="533" t="s">
        <v>1324</v>
      </c>
      <c r="Q614" s="533" t="s">
        <v>1325</v>
      </c>
      <c r="R614" s="534" t="str">
        <f t="shared" si="66"/>
        <v>2008</v>
      </c>
      <c r="S614" s="534" t="str">
        <f t="shared" si="67"/>
        <v>連合タブ8P</v>
      </c>
      <c r="T614" s="538" t="str">
        <f t="shared" si="68"/>
        <v>20</v>
      </c>
      <c r="U614" s="538" t="str">
        <f t="shared" si="69"/>
        <v>08</v>
      </c>
      <c r="V614" s="471" t="s">
        <v>1136</v>
      </c>
      <c r="Y614" s="472">
        <f t="shared" si="70"/>
        <v>0</v>
      </c>
      <c r="Z614" s="540">
        <f t="shared" si="71"/>
        <v>0</v>
      </c>
      <c r="AA614" s="471">
        <v>0</v>
      </c>
    </row>
    <row r="615" spans="1:27">
      <c r="A615" s="451" t="str">
        <f>CONCATENATE(VLOOKUP(B615,★営業所!$A$1:$B$5,2,FALSE),VLOOKUP(D615,★サイズ表記!$D$4:$E$55,2,FALSE),VLOOKUP(F615,★折込地区!$A$1:$B$11,2,FALSE))</f>
        <v>C2009Hmm</v>
      </c>
      <c r="B615" s="457" t="s">
        <v>116</v>
      </c>
      <c r="C615" s="452" t="str">
        <f>VLOOKUP(B615,★営業所!$A$1:$B$5,2,FALSE)</f>
        <v>C</v>
      </c>
      <c r="D615" s="465" t="s">
        <v>1364</v>
      </c>
      <c r="E615" s="452" t="str">
        <f>VLOOKUP(D615,★サイズ表記!$D$4:$E$55,2,FALSE)</f>
        <v>2009</v>
      </c>
      <c r="F615" s="457" t="s">
        <v>857</v>
      </c>
      <c r="G615" s="452" t="str">
        <f>VLOOKUP(F615,★折込地区!$A$1:$B$11,2,FALSE)</f>
        <v>Hmm</v>
      </c>
      <c r="H615" s="453">
        <f>INDEX(★サイズ表記!$I$4:$Q$55, MATCH(E615,★サイズ表記!$E$4:$E$55,0), MATCH(G615,★サイズ表記!$I$3:$R$3,0))</f>
        <v>0</v>
      </c>
      <c r="K615" s="471" t="str">
        <f t="shared" si="64"/>
        <v>C2009Hmm</v>
      </c>
      <c r="L615" s="471" t="str">
        <f t="shared" si="65"/>
        <v>連合タブ12P</v>
      </c>
      <c r="P615" s="533" t="s">
        <v>1324</v>
      </c>
      <c r="Q615" s="533" t="s">
        <v>1325</v>
      </c>
      <c r="R615" s="534" t="str">
        <f t="shared" si="66"/>
        <v>2009</v>
      </c>
      <c r="S615" s="534" t="str">
        <f t="shared" si="67"/>
        <v>連合タブ12P</v>
      </c>
      <c r="T615" s="538" t="str">
        <f t="shared" si="68"/>
        <v>20</v>
      </c>
      <c r="U615" s="538" t="str">
        <f t="shared" si="69"/>
        <v>09</v>
      </c>
      <c r="V615" s="471" t="s">
        <v>1136</v>
      </c>
      <c r="Y615" s="472">
        <f t="shared" si="70"/>
        <v>0</v>
      </c>
      <c r="Z615" s="540">
        <f t="shared" si="71"/>
        <v>0</v>
      </c>
      <c r="AA615" s="471">
        <v>0</v>
      </c>
    </row>
    <row r="616" spans="1:27">
      <c r="A616" s="451" t="str">
        <f>CONCATENATE(VLOOKUP(B616,★営業所!$A$1:$B$5,2,FALSE),VLOOKUP(D616,★サイズ表記!$D$4:$E$55,2,FALSE),VLOOKUP(F616,★折込地区!$A$1:$B$11,2,FALSE))</f>
        <v>C3001Hmm</v>
      </c>
      <c r="B616" s="457" t="s">
        <v>116</v>
      </c>
      <c r="C616" s="452" t="str">
        <f>VLOOKUP(B616,★営業所!$A$1:$B$5,2,FALSE)</f>
        <v>C</v>
      </c>
      <c r="D616" s="465" t="s">
        <v>969</v>
      </c>
      <c r="E616" s="452" t="str">
        <f>VLOOKUP(D616,★サイズ表記!$D$4:$E$55,2,FALSE)</f>
        <v>3001</v>
      </c>
      <c r="F616" s="457" t="s">
        <v>857</v>
      </c>
      <c r="G616" s="452" t="str">
        <f>VLOOKUP(F616,★折込地区!$A$1:$B$11,2,FALSE)</f>
        <v>Hmm</v>
      </c>
      <c r="H616" s="453">
        <f>INDEX(★サイズ表記!$I$4:$Q$55, MATCH(E616,★サイズ表記!$E$4:$E$55,0), MATCH(G616,★サイズ表記!$I$3:$R$3,0))</f>
        <v>4.5</v>
      </c>
      <c r="K616" s="471" t="str">
        <f t="shared" si="64"/>
        <v>C3001Hmm</v>
      </c>
      <c r="L616" s="471" t="str">
        <f t="shared" si="65"/>
        <v>政治B4</v>
      </c>
      <c r="P616" s="533" t="s">
        <v>1324</v>
      </c>
      <c r="Q616" s="533" t="s">
        <v>1325</v>
      </c>
      <c r="R616" s="534" t="str">
        <f t="shared" si="66"/>
        <v>3001</v>
      </c>
      <c r="S616" s="534" t="str">
        <f t="shared" si="67"/>
        <v>政治B4</v>
      </c>
      <c r="T616" s="538" t="str">
        <f t="shared" si="68"/>
        <v>30</v>
      </c>
      <c r="U616" s="538" t="str">
        <f t="shared" si="69"/>
        <v>01</v>
      </c>
      <c r="V616" s="471" t="s">
        <v>1136</v>
      </c>
      <c r="Y616" s="472">
        <f t="shared" si="70"/>
        <v>4.5</v>
      </c>
      <c r="Z616" s="540">
        <f t="shared" si="71"/>
        <v>0.36</v>
      </c>
      <c r="AA616" s="471">
        <v>0</v>
      </c>
    </row>
    <row r="617" spans="1:27">
      <c r="A617" s="451" t="str">
        <f>CONCATENATE(VLOOKUP(B617,★営業所!$A$1:$B$5,2,FALSE),VLOOKUP(D617,★サイズ表記!$D$4:$E$55,2,FALSE),VLOOKUP(F617,★折込地区!$A$1:$B$11,2,FALSE))</f>
        <v>C3002Hmm</v>
      </c>
      <c r="B617" s="457" t="s">
        <v>116</v>
      </c>
      <c r="C617" s="452" t="str">
        <f>VLOOKUP(B617,★営業所!$A$1:$B$5,2,FALSE)</f>
        <v>C</v>
      </c>
      <c r="D617" s="465" t="s">
        <v>970</v>
      </c>
      <c r="E617" s="452" t="str">
        <f>VLOOKUP(D617,★サイズ表記!$D$4:$E$55,2,FALSE)</f>
        <v>3002</v>
      </c>
      <c r="F617" s="457" t="s">
        <v>857</v>
      </c>
      <c r="G617" s="452" t="str">
        <f>VLOOKUP(F617,★折込地区!$A$1:$B$11,2,FALSE)</f>
        <v>Hmm</v>
      </c>
      <c r="H617" s="453">
        <f>INDEX(★サイズ表記!$I$4:$Q$55, MATCH(E617,★サイズ表記!$E$4:$E$55,0), MATCH(G617,★サイズ表記!$I$3:$R$3,0))</f>
        <v>7.5</v>
      </c>
      <c r="K617" s="471" t="str">
        <f t="shared" si="64"/>
        <v>C3002Hmm</v>
      </c>
      <c r="L617" s="471" t="str">
        <f t="shared" si="65"/>
        <v>政治B3</v>
      </c>
      <c r="P617" s="533" t="s">
        <v>1324</v>
      </c>
      <c r="Q617" s="533" t="s">
        <v>1325</v>
      </c>
      <c r="R617" s="534" t="str">
        <f t="shared" si="66"/>
        <v>3002</v>
      </c>
      <c r="S617" s="534" t="str">
        <f t="shared" si="67"/>
        <v>政治B3</v>
      </c>
      <c r="T617" s="538" t="str">
        <f t="shared" si="68"/>
        <v>30</v>
      </c>
      <c r="U617" s="538" t="str">
        <f t="shared" si="69"/>
        <v>02</v>
      </c>
      <c r="V617" s="471" t="s">
        <v>1136</v>
      </c>
      <c r="Y617" s="472">
        <f t="shared" si="70"/>
        <v>7.5</v>
      </c>
      <c r="Z617" s="540">
        <f t="shared" si="71"/>
        <v>0.6</v>
      </c>
      <c r="AA617" s="471">
        <v>0</v>
      </c>
    </row>
    <row r="618" spans="1:27">
      <c r="A618" s="451" t="str">
        <f>CONCATENATE(VLOOKUP(B618,★営業所!$A$1:$B$5,2,FALSE),VLOOKUP(D618,★サイズ表記!$D$4:$E$55,2,FALSE),VLOOKUP(F618,★折込地区!$A$1:$B$11,2,FALSE))</f>
        <v>C3003Hmm</v>
      </c>
      <c r="B618" s="457" t="s">
        <v>116</v>
      </c>
      <c r="C618" s="452" t="str">
        <f>VLOOKUP(B618,★営業所!$A$1:$B$5,2,FALSE)</f>
        <v>C</v>
      </c>
      <c r="D618" s="465" t="s">
        <v>971</v>
      </c>
      <c r="E618" s="452" t="str">
        <f>VLOOKUP(D618,★サイズ表記!$D$4:$E$55,2,FALSE)</f>
        <v>3003</v>
      </c>
      <c r="F618" s="457" t="s">
        <v>857</v>
      </c>
      <c r="G618" s="452" t="str">
        <f>VLOOKUP(F618,★折込地区!$A$1:$B$11,2,FALSE)</f>
        <v>Hmm</v>
      </c>
      <c r="H618" s="453">
        <f>INDEX(★サイズ表記!$I$4:$Q$55, MATCH(E618,★サイズ表記!$E$4:$E$55,0), MATCH(G618,★サイズ表記!$I$3:$R$3,0))</f>
        <v>12</v>
      </c>
      <c r="K618" s="471" t="str">
        <f t="shared" si="64"/>
        <v>C3003Hmm</v>
      </c>
      <c r="L618" s="471" t="str">
        <f t="shared" si="65"/>
        <v>政治B2</v>
      </c>
      <c r="P618" s="533" t="s">
        <v>1324</v>
      </c>
      <c r="Q618" s="533" t="s">
        <v>1325</v>
      </c>
      <c r="R618" s="534" t="str">
        <f t="shared" si="66"/>
        <v>3003</v>
      </c>
      <c r="S618" s="534" t="str">
        <f t="shared" si="67"/>
        <v>政治B2</v>
      </c>
      <c r="T618" s="538" t="str">
        <f t="shared" si="68"/>
        <v>30</v>
      </c>
      <c r="U618" s="538" t="str">
        <f t="shared" si="69"/>
        <v>03</v>
      </c>
      <c r="V618" s="471" t="s">
        <v>1136</v>
      </c>
      <c r="Y618" s="472">
        <f t="shared" si="70"/>
        <v>12</v>
      </c>
      <c r="Z618" s="540">
        <f t="shared" si="71"/>
        <v>0.96</v>
      </c>
      <c r="AA618" s="471">
        <v>0</v>
      </c>
    </row>
    <row r="619" spans="1:27">
      <c r="A619" s="451" t="str">
        <f>CONCATENATE(VLOOKUP(B619,★営業所!$A$1:$B$5,2,FALSE),VLOOKUP(D619,★サイズ表記!$D$4:$E$55,2,FALSE),VLOOKUP(F619,★折込地区!$A$1:$B$11,2,FALSE))</f>
        <v>C3004Hmm</v>
      </c>
      <c r="B619" s="457" t="s">
        <v>116</v>
      </c>
      <c r="C619" s="452" t="str">
        <f>VLOOKUP(B619,★営業所!$A$1:$B$5,2,FALSE)</f>
        <v>C</v>
      </c>
      <c r="D619" s="465" t="s">
        <v>972</v>
      </c>
      <c r="E619" s="452" t="str">
        <f>VLOOKUP(D619,★サイズ表記!$D$4:$E$55,2,FALSE)</f>
        <v>3004</v>
      </c>
      <c r="F619" s="457" t="s">
        <v>857</v>
      </c>
      <c r="G619" s="452" t="str">
        <f>VLOOKUP(F619,★折込地区!$A$1:$B$11,2,FALSE)</f>
        <v>Hmm</v>
      </c>
      <c r="H619" s="453">
        <f>INDEX(★サイズ表記!$I$4:$Q$55, MATCH(E619,★サイズ表記!$E$4:$E$55,0), MATCH(G619,★サイズ表記!$I$3:$R$3,0))</f>
        <v>0</v>
      </c>
      <c r="K619" s="471" t="str">
        <f t="shared" si="64"/>
        <v>C3004Hmm</v>
      </c>
      <c r="L619" s="471" t="str">
        <f t="shared" si="65"/>
        <v>政治3つ折り</v>
      </c>
      <c r="P619" s="533" t="s">
        <v>1324</v>
      </c>
      <c r="Q619" s="533" t="s">
        <v>1325</v>
      </c>
      <c r="R619" s="534" t="str">
        <f t="shared" si="66"/>
        <v>3004</v>
      </c>
      <c r="S619" s="534" t="str">
        <f t="shared" si="67"/>
        <v>政治3つ折り</v>
      </c>
      <c r="T619" s="538" t="str">
        <f t="shared" si="68"/>
        <v>30</v>
      </c>
      <c r="U619" s="538" t="str">
        <f t="shared" si="69"/>
        <v>04</v>
      </c>
      <c r="V619" s="471" t="s">
        <v>1136</v>
      </c>
      <c r="Y619" s="472">
        <f t="shared" si="70"/>
        <v>0</v>
      </c>
      <c r="Z619" s="540">
        <f t="shared" si="71"/>
        <v>0</v>
      </c>
      <c r="AA619" s="471">
        <v>0</v>
      </c>
    </row>
    <row r="620" spans="1:27">
      <c r="A620" s="451" t="str">
        <f>CONCATENATE(VLOOKUP(B620,★営業所!$A$1:$B$5,2,FALSE),VLOOKUP(D620,★サイズ表記!$D$4:$E$55,2,FALSE),VLOOKUP(F620,★折込地区!$A$1:$B$11,2,FALSE))</f>
        <v>C3005Hmm</v>
      </c>
      <c r="B620" s="457" t="s">
        <v>116</v>
      </c>
      <c r="C620" s="452" t="str">
        <f>VLOOKUP(B620,★営業所!$A$1:$B$5,2,FALSE)</f>
        <v>C</v>
      </c>
      <c r="D620" s="465" t="s">
        <v>973</v>
      </c>
      <c r="E620" s="452" t="str">
        <f>VLOOKUP(D620,★サイズ表記!$D$4:$E$55,2,FALSE)</f>
        <v>3005</v>
      </c>
      <c r="F620" s="457" t="s">
        <v>857</v>
      </c>
      <c r="G620" s="452" t="str">
        <f>VLOOKUP(F620,★折込地区!$A$1:$B$11,2,FALSE)</f>
        <v>Hmm</v>
      </c>
      <c r="H620" s="453">
        <f>INDEX(★サイズ表記!$I$4:$Q$55, MATCH(E620,★サイズ表記!$E$4:$E$55,0), MATCH(G620,★サイズ表記!$I$3:$R$3,0))</f>
        <v>0</v>
      </c>
      <c r="K620" s="471" t="str">
        <f t="shared" si="64"/>
        <v>C3005Hmm</v>
      </c>
      <c r="L620" s="471" t="str">
        <f t="shared" si="65"/>
        <v>政治2つ折り極小</v>
      </c>
      <c r="P620" s="533" t="s">
        <v>1324</v>
      </c>
      <c r="Q620" s="533" t="s">
        <v>1325</v>
      </c>
      <c r="R620" s="534" t="str">
        <f t="shared" si="66"/>
        <v>3005</v>
      </c>
      <c r="S620" s="534" t="str">
        <f t="shared" si="67"/>
        <v>政治2つ折り極小</v>
      </c>
      <c r="T620" s="538" t="str">
        <f t="shared" si="68"/>
        <v>30</v>
      </c>
      <c r="U620" s="538" t="str">
        <f t="shared" si="69"/>
        <v>05</v>
      </c>
      <c r="V620" s="471" t="s">
        <v>1136</v>
      </c>
      <c r="Y620" s="472">
        <f t="shared" si="70"/>
        <v>0</v>
      </c>
      <c r="Z620" s="540">
        <f t="shared" si="71"/>
        <v>0</v>
      </c>
      <c r="AA620" s="471">
        <v>0</v>
      </c>
    </row>
    <row r="621" spans="1:27">
      <c r="A621" s="451" t="str">
        <f>CONCATENATE(VLOOKUP(B621,★営業所!$A$1:$B$5,2,FALSE),VLOOKUP(D621,★サイズ表記!$D$4:$E$55,2,FALSE),VLOOKUP(F621,★折込地区!$A$1:$B$11,2,FALSE))</f>
        <v>C3006Hmm</v>
      </c>
      <c r="B621" s="457" t="s">
        <v>116</v>
      </c>
      <c r="C621" s="452" t="str">
        <f>VLOOKUP(B621,★営業所!$A$1:$B$5,2,FALSE)</f>
        <v>C</v>
      </c>
      <c r="D621" s="465" t="s">
        <v>974</v>
      </c>
      <c r="E621" s="452" t="str">
        <f>VLOOKUP(D621,★サイズ表記!$D$4:$E$55,2,FALSE)</f>
        <v>3006</v>
      </c>
      <c r="F621" s="457" t="s">
        <v>857</v>
      </c>
      <c r="G621" s="452" t="str">
        <f>VLOOKUP(F621,★折込地区!$A$1:$B$11,2,FALSE)</f>
        <v>Hmm</v>
      </c>
      <c r="H621" s="453">
        <f>INDEX(★サイズ表記!$I$4:$Q$55, MATCH(E621,★サイズ表記!$E$4:$E$55,0), MATCH(G621,★サイズ表記!$I$3:$R$3,0))</f>
        <v>0</v>
      </c>
      <c r="K621" s="471" t="str">
        <f t="shared" si="64"/>
        <v>C3006Hmm</v>
      </c>
      <c r="L621" s="471" t="str">
        <f t="shared" si="65"/>
        <v>政治B4厚紙</v>
      </c>
      <c r="P621" s="533" t="s">
        <v>1324</v>
      </c>
      <c r="Q621" s="533" t="s">
        <v>1325</v>
      </c>
      <c r="R621" s="534" t="str">
        <f t="shared" si="66"/>
        <v>3006</v>
      </c>
      <c r="S621" s="534" t="str">
        <f t="shared" si="67"/>
        <v>政治B4厚紙</v>
      </c>
      <c r="T621" s="538" t="str">
        <f t="shared" si="68"/>
        <v>30</v>
      </c>
      <c r="U621" s="538" t="str">
        <f t="shared" si="69"/>
        <v>06</v>
      </c>
      <c r="V621" s="471" t="s">
        <v>1136</v>
      </c>
      <c r="Y621" s="472">
        <f t="shared" si="70"/>
        <v>0</v>
      </c>
      <c r="Z621" s="540">
        <f t="shared" si="71"/>
        <v>0</v>
      </c>
      <c r="AA621" s="471">
        <v>0</v>
      </c>
    </row>
    <row r="622" spans="1:27">
      <c r="A622" s="451" t="str">
        <f>CONCATENATE(VLOOKUP(B622,★営業所!$A$1:$B$5,2,FALSE),VLOOKUP(D622,★サイズ表記!$D$4:$E$55,2,FALSE),VLOOKUP(F622,★折込地区!$A$1:$B$11,2,FALSE))</f>
        <v>C3007Hmm</v>
      </c>
      <c r="B622" s="457" t="s">
        <v>116</v>
      </c>
      <c r="C622" s="452" t="str">
        <f>VLOOKUP(B622,★営業所!$A$1:$B$5,2,FALSE)</f>
        <v>C</v>
      </c>
      <c r="D622" s="465" t="s">
        <v>1362</v>
      </c>
      <c r="E622" s="452" t="str">
        <f>VLOOKUP(D622,★サイズ表記!$D$4:$E$55,2,FALSE)</f>
        <v>3007</v>
      </c>
      <c r="F622" s="457" t="s">
        <v>857</v>
      </c>
      <c r="G622" s="452" t="str">
        <f>VLOOKUP(F622,★折込地区!$A$1:$B$11,2,FALSE)</f>
        <v>Hmm</v>
      </c>
      <c r="H622" s="453">
        <f>INDEX(★サイズ表記!$I$4:$Q$55, MATCH(E622,★サイズ表記!$E$4:$E$55,0), MATCH(G622,★サイズ表記!$I$3:$R$3,0))</f>
        <v>0</v>
      </c>
      <c r="K622" s="471" t="str">
        <f t="shared" si="64"/>
        <v>C3007Hmm</v>
      </c>
      <c r="L622" s="471" t="str">
        <f t="shared" si="65"/>
        <v>政治タブ6P</v>
      </c>
      <c r="P622" s="533" t="s">
        <v>1324</v>
      </c>
      <c r="Q622" s="533" t="s">
        <v>1325</v>
      </c>
      <c r="R622" s="534" t="str">
        <f t="shared" si="66"/>
        <v>3007</v>
      </c>
      <c r="S622" s="534" t="str">
        <f t="shared" si="67"/>
        <v>政治タブ6P</v>
      </c>
      <c r="T622" s="538" t="str">
        <f t="shared" si="68"/>
        <v>30</v>
      </c>
      <c r="U622" s="538" t="str">
        <f t="shared" si="69"/>
        <v>07</v>
      </c>
      <c r="V622" s="471" t="s">
        <v>1136</v>
      </c>
      <c r="Y622" s="472">
        <f t="shared" si="70"/>
        <v>0</v>
      </c>
      <c r="Z622" s="540">
        <f t="shared" si="71"/>
        <v>0</v>
      </c>
      <c r="AA622" s="471">
        <v>0</v>
      </c>
    </row>
    <row r="623" spans="1:27">
      <c r="A623" s="451" t="str">
        <f>CONCATENATE(VLOOKUP(B623,★営業所!$A$1:$B$5,2,FALSE),VLOOKUP(D623,★サイズ表記!$D$4:$E$55,2,FALSE),VLOOKUP(F623,★折込地区!$A$1:$B$11,2,FALSE))</f>
        <v>C3008Hmm</v>
      </c>
      <c r="B623" s="457" t="s">
        <v>116</v>
      </c>
      <c r="C623" s="452" t="str">
        <f>VLOOKUP(B623,★営業所!$A$1:$B$5,2,FALSE)</f>
        <v>C</v>
      </c>
      <c r="D623" s="465" t="s">
        <v>1363</v>
      </c>
      <c r="E623" s="452" t="str">
        <f>VLOOKUP(D623,★サイズ表記!$D$4:$E$55,2,FALSE)</f>
        <v>3008</v>
      </c>
      <c r="F623" s="457" t="s">
        <v>857</v>
      </c>
      <c r="G623" s="452" t="str">
        <f>VLOOKUP(F623,★折込地区!$A$1:$B$11,2,FALSE)</f>
        <v>Hmm</v>
      </c>
      <c r="H623" s="453">
        <f>INDEX(★サイズ表記!$I$4:$Q$55, MATCH(E623,★サイズ表記!$E$4:$E$55,0), MATCH(G623,★サイズ表記!$I$3:$R$3,0))</f>
        <v>0</v>
      </c>
      <c r="K623" s="471" t="str">
        <f t="shared" si="64"/>
        <v>C3008Hmm</v>
      </c>
      <c r="L623" s="471" t="str">
        <f t="shared" si="65"/>
        <v>政治タブ8P</v>
      </c>
      <c r="P623" s="533" t="s">
        <v>1324</v>
      </c>
      <c r="Q623" s="533" t="s">
        <v>1325</v>
      </c>
      <c r="R623" s="534" t="str">
        <f t="shared" si="66"/>
        <v>3008</v>
      </c>
      <c r="S623" s="534" t="str">
        <f t="shared" si="67"/>
        <v>政治タブ8P</v>
      </c>
      <c r="T623" s="538" t="str">
        <f t="shared" si="68"/>
        <v>30</v>
      </c>
      <c r="U623" s="538" t="str">
        <f t="shared" si="69"/>
        <v>08</v>
      </c>
      <c r="V623" s="471" t="s">
        <v>1136</v>
      </c>
      <c r="Y623" s="472">
        <f t="shared" si="70"/>
        <v>0</v>
      </c>
      <c r="Z623" s="540">
        <f t="shared" si="71"/>
        <v>0</v>
      </c>
      <c r="AA623" s="471">
        <v>0</v>
      </c>
    </row>
    <row r="624" spans="1:27">
      <c r="A624" s="451" t="str">
        <f>CONCATENATE(VLOOKUP(B624,★営業所!$A$1:$B$5,2,FALSE),VLOOKUP(D624,★サイズ表記!$D$4:$E$55,2,FALSE),VLOOKUP(F624,★折込地区!$A$1:$B$11,2,FALSE))</f>
        <v>C3009Hmm</v>
      </c>
      <c r="B624" s="457" t="s">
        <v>116</v>
      </c>
      <c r="C624" s="452" t="str">
        <f>VLOOKUP(B624,★営業所!$A$1:$B$5,2,FALSE)</f>
        <v>C</v>
      </c>
      <c r="D624" s="465" t="s">
        <v>1361</v>
      </c>
      <c r="E624" s="452" t="str">
        <f>VLOOKUP(D624,★サイズ表記!$D$4:$E$55,2,FALSE)</f>
        <v>3009</v>
      </c>
      <c r="F624" s="457" t="s">
        <v>857</v>
      </c>
      <c r="G624" s="452" t="str">
        <f>VLOOKUP(F624,★折込地区!$A$1:$B$11,2,FALSE)</f>
        <v>Hmm</v>
      </c>
      <c r="H624" s="453">
        <f>INDEX(★サイズ表記!$I$4:$Q$55, MATCH(E624,★サイズ表記!$E$4:$E$55,0), MATCH(G624,★サイズ表記!$I$3:$R$3,0))</f>
        <v>0</v>
      </c>
      <c r="K624" s="471" t="str">
        <f t="shared" si="64"/>
        <v>C3009Hmm</v>
      </c>
      <c r="L624" s="471" t="str">
        <f t="shared" si="65"/>
        <v>政治タブ12P</v>
      </c>
      <c r="P624" s="533" t="s">
        <v>1324</v>
      </c>
      <c r="Q624" s="533" t="s">
        <v>1325</v>
      </c>
      <c r="R624" s="534" t="str">
        <f t="shared" si="66"/>
        <v>3009</v>
      </c>
      <c r="S624" s="534" t="str">
        <f t="shared" si="67"/>
        <v>政治タブ12P</v>
      </c>
      <c r="T624" s="538" t="str">
        <f t="shared" si="68"/>
        <v>30</v>
      </c>
      <c r="U624" s="538" t="str">
        <f t="shared" si="69"/>
        <v>09</v>
      </c>
      <c r="V624" s="471" t="s">
        <v>1136</v>
      </c>
      <c r="Y624" s="472">
        <f t="shared" si="70"/>
        <v>0</v>
      </c>
      <c r="Z624" s="540">
        <f t="shared" si="71"/>
        <v>0</v>
      </c>
      <c r="AA624" s="471">
        <v>0</v>
      </c>
    </row>
    <row r="625" spans="1:27">
      <c r="A625" s="451" t="str">
        <f>CONCATENATE(VLOOKUP(B625,★営業所!$A$1:$B$5,2,FALSE),VLOOKUP(D625,★サイズ表記!$D$4:$E$55,2,FALSE),VLOOKUP(F625,★折込地区!$A$1:$B$11,2,FALSE))</f>
        <v>C4001Hmm</v>
      </c>
      <c r="B625" s="457" t="s">
        <v>116</v>
      </c>
      <c r="C625" s="452" t="str">
        <f>VLOOKUP(B625,★営業所!$A$1:$B$5,2,FALSE)</f>
        <v>C</v>
      </c>
      <c r="D625" s="465" t="s">
        <v>1358</v>
      </c>
      <c r="E625" s="452" t="str">
        <f>VLOOKUP(D625,★サイズ表記!$D$4:$E$55,2,FALSE)</f>
        <v>4001</v>
      </c>
      <c r="F625" s="457" t="s">
        <v>857</v>
      </c>
      <c r="G625" s="452" t="str">
        <f>VLOOKUP(F625,★折込地区!$A$1:$B$11,2,FALSE)</f>
        <v>Hmm</v>
      </c>
      <c r="H625" s="453">
        <f>INDEX(★サイズ表記!$I$4:$Q$55, MATCH(E625,★サイズ表記!$E$4:$E$55,0), MATCH(G625,★サイズ表記!$I$3:$R$3,0))</f>
        <v>0</v>
      </c>
      <c r="K625" s="471" t="str">
        <f t="shared" si="64"/>
        <v>C4001Hmm</v>
      </c>
      <c r="L625" s="471" t="str">
        <f t="shared" si="65"/>
        <v>タブ6P</v>
      </c>
      <c r="P625" s="533" t="s">
        <v>1324</v>
      </c>
      <c r="Q625" s="533" t="s">
        <v>1325</v>
      </c>
      <c r="R625" s="534" t="str">
        <f t="shared" si="66"/>
        <v>4001</v>
      </c>
      <c r="S625" s="534" t="str">
        <f t="shared" si="67"/>
        <v>タブ6P</v>
      </c>
      <c r="T625" s="538" t="str">
        <f t="shared" si="68"/>
        <v>40</v>
      </c>
      <c r="U625" s="538" t="str">
        <f t="shared" si="69"/>
        <v>01</v>
      </c>
      <c r="V625" s="471" t="s">
        <v>1136</v>
      </c>
      <c r="Y625" s="472">
        <f t="shared" si="70"/>
        <v>0</v>
      </c>
      <c r="Z625" s="540">
        <f t="shared" si="71"/>
        <v>0</v>
      </c>
      <c r="AA625" s="471">
        <v>0</v>
      </c>
    </row>
    <row r="626" spans="1:27">
      <c r="A626" s="451" t="str">
        <f>CONCATENATE(VLOOKUP(B626,★営業所!$A$1:$B$5,2,FALSE),VLOOKUP(D626,★サイズ表記!$D$4:$E$55,2,FALSE),VLOOKUP(F626,★折込地区!$A$1:$B$11,2,FALSE))</f>
        <v>C4002Hmm</v>
      </c>
      <c r="B626" s="457" t="s">
        <v>116</v>
      </c>
      <c r="C626" s="452" t="str">
        <f>VLOOKUP(B626,★営業所!$A$1:$B$5,2,FALSE)</f>
        <v>C</v>
      </c>
      <c r="D626" s="465" t="s">
        <v>1359</v>
      </c>
      <c r="E626" s="452" t="str">
        <f>VLOOKUP(D626,★サイズ表記!$D$4:$E$55,2,FALSE)</f>
        <v>4002</v>
      </c>
      <c r="F626" s="457" t="s">
        <v>857</v>
      </c>
      <c r="G626" s="452" t="str">
        <f>VLOOKUP(F626,★折込地区!$A$1:$B$11,2,FALSE)</f>
        <v>Hmm</v>
      </c>
      <c r="H626" s="453">
        <f>INDEX(★サイズ表記!$I$4:$Q$55, MATCH(E626,★サイズ表記!$E$4:$E$55,0), MATCH(G626,★サイズ表記!$I$3:$R$3,0))</f>
        <v>0</v>
      </c>
      <c r="K626" s="471" t="str">
        <f t="shared" si="64"/>
        <v>C4002Hmm</v>
      </c>
      <c r="L626" s="471" t="str">
        <f t="shared" si="65"/>
        <v>タブ8P</v>
      </c>
      <c r="P626" s="533" t="s">
        <v>1324</v>
      </c>
      <c r="Q626" s="533" t="s">
        <v>1325</v>
      </c>
      <c r="R626" s="534" t="str">
        <f t="shared" si="66"/>
        <v>4002</v>
      </c>
      <c r="S626" s="534" t="str">
        <f t="shared" si="67"/>
        <v>タブ8P</v>
      </c>
      <c r="T626" s="538" t="str">
        <f t="shared" si="68"/>
        <v>40</v>
      </c>
      <c r="U626" s="538" t="str">
        <f t="shared" si="69"/>
        <v>02</v>
      </c>
      <c r="V626" s="471" t="s">
        <v>1136</v>
      </c>
      <c r="Y626" s="472">
        <f t="shared" si="70"/>
        <v>0</v>
      </c>
      <c r="Z626" s="540">
        <f t="shared" si="71"/>
        <v>0</v>
      </c>
      <c r="AA626" s="471">
        <v>0</v>
      </c>
    </row>
    <row r="627" spans="1:27">
      <c r="A627" s="451" t="str">
        <f>CONCATENATE(VLOOKUP(B627,★営業所!$A$1:$B$5,2,FALSE),VLOOKUP(D627,★サイズ表記!$D$4:$E$55,2,FALSE),VLOOKUP(F627,★折込地区!$A$1:$B$11,2,FALSE))</f>
        <v>C4003Hmm</v>
      </c>
      <c r="B627" s="457" t="s">
        <v>116</v>
      </c>
      <c r="C627" s="452" t="str">
        <f>VLOOKUP(B627,★営業所!$A$1:$B$5,2,FALSE)</f>
        <v>C</v>
      </c>
      <c r="D627" s="465" t="s">
        <v>1360</v>
      </c>
      <c r="E627" s="452" t="str">
        <f>VLOOKUP(D627,★サイズ表記!$D$4:$E$55,2,FALSE)</f>
        <v>4003</v>
      </c>
      <c r="F627" s="457" t="s">
        <v>857</v>
      </c>
      <c r="G627" s="452" t="str">
        <f>VLOOKUP(F627,★折込地区!$A$1:$B$11,2,FALSE)</f>
        <v>Hmm</v>
      </c>
      <c r="H627" s="453">
        <f>INDEX(★サイズ表記!$I$4:$Q$55, MATCH(E627,★サイズ表記!$E$4:$E$55,0), MATCH(G627,★サイズ表記!$I$3:$R$3,0))</f>
        <v>0</v>
      </c>
      <c r="K627" s="471" t="str">
        <f t="shared" si="64"/>
        <v>C4003Hmm</v>
      </c>
      <c r="L627" s="471" t="str">
        <f t="shared" si="65"/>
        <v>タブ8Pホチキス止め</v>
      </c>
      <c r="P627" s="533" t="s">
        <v>1324</v>
      </c>
      <c r="Q627" s="533" t="s">
        <v>1325</v>
      </c>
      <c r="R627" s="534" t="str">
        <f t="shared" si="66"/>
        <v>4003</v>
      </c>
      <c r="S627" s="534" t="str">
        <f t="shared" si="67"/>
        <v>タブ8Pホチキス止め</v>
      </c>
      <c r="T627" s="538" t="str">
        <f t="shared" si="68"/>
        <v>40</v>
      </c>
      <c r="U627" s="538" t="str">
        <f t="shared" si="69"/>
        <v>03</v>
      </c>
      <c r="V627" s="471" t="s">
        <v>1136</v>
      </c>
      <c r="Y627" s="472">
        <f t="shared" si="70"/>
        <v>0</v>
      </c>
      <c r="Z627" s="540">
        <f t="shared" si="71"/>
        <v>0</v>
      </c>
      <c r="AA627" s="471">
        <v>0</v>
      </c>
    </row>
    <row r="628" spans="1:27">
      <c r="A628" s="451" t="str">
        <f>CONCATENATE(VLOOKUP(B628,★営業所!$A$1:$B$5,2,FALSE),VLOOKUP(D628,★サイズ表記!$D$4:$E$55,2,FALSE),VLOOKUP(F628,★折込地区!$A$1:$B$11,2,FALSE))</f>
        <v>C4004Hmm</v>
      </c>
      <c r="B628" s="457" t="s">
        <v>116</v>
      </c>
      <c r="C628" s="452" t="str">
        <f>VLOOKUP(B628,★営業所!$A$1:$B$5,2,FALSE)</f>
        <v>C</v>
      </c>
      <c r="D628" s="465" t="s">
        <v>1350</v>
      </c>
      <c r="E628" s="452" t="str">
        <f>VLOOKUP(D628,★サイズ表記!$D$4:$E$55,2,FALSE)</f>
        <v>4004</v>
      </c>
      <c r="F628" s="457" t="s">
        <v>857</v>
      </c>
      <c r="G628" s="452" t="str">
        <f>VLOOKUP(F628,★折込地区!$A$1:$B$11,2,FALSE)</f>
        <v>Hmm</v>
      </c>
      <c r="H628" s="453">
        <f>INDEX(★サイズ表記!$I$4:$Q$55, MATCH(E628,★サイズ表記!$E$4:$E$55,0), MATCH(G628,★サイズ表記!$I$3:$R$3,0))</f>
        <v>0</v>
      </c>
      <c r="K628" s="471" t="str">
        <f t="shared" si="64"/>
        <v>C4004Hmm</v>
      </c>
      <c r="L628" s="471" t="str">
        <f t="shared" si="65"/>
        <v>タブ10P</v>
      </c>
      <c r="P628" s="533" t="s">
        <v>1324</v>
      </c>
      <c r="Q628" s="533" t="s">
        <v>1325</v>
      </c>
      <c r="R628" s="534" t="str">
        <f t="shared" si="66"/>
        <v>4004</v>
      </c>
      <c r="S628" s="534" t="str">
        <f t="shared" si="67"/>
        <v>タブ10P</v>
      </c>
      <c r="T628" s="538" t="str">
        <f t="shared" si="68"/>
        <v>40</v>
      </c>
      <c r="U628" s="538" t="str">
        <f t="shared" si="69"/>
        <v>04</v>
      </c>
      <c r="V628" s="471" t="s">
        <v>1136</v>
      </c>
      <c r="Y628" s="472">
        <f t="shared" si="70"/>
        <v>0</v>
      </c>
      <c r="Z628" s="540">
        <f t="shared" si="71"/>
        <v>0</v>
      </c>
      <c r="AA628" s="471">
        <v>0</v>
      </c>
    </row>
    <row r="629" spans="1:27">
      <c r="A629" s="451" t="str">
        <f>CONCATENATE(VLOOKUP(B629,★営業所!$A$1:$B$5,2,FALSE),VLOOKUP(D629,★サイズ表記!$D$4:$E$55,2,FALSE),VLOOKUP(F629,★折込地区!$A$1:$B$11,2,FALSE))</f>
        <v>C4005Hmm</v>
      </c>
      <c r="B629" s="457" t="s">
        <v>116</v>
      </c>
      <c r="C629" s="452" t="str">
        <f>VLOOKUP(B629,★営業所!$A$1:$B$5,2,FALSE)</f>
        <v>C</v>
      </c>
      <c r="D629" s="465" t="s">
        <v>1351</v>
      </c>
      <c r="E629" s="452" t="str">
        <f>VLOOKUP(D629,★サイズ表記!$D$4:$E$55,2,FALSE)</f>
        <v>4005</v>
      </c>
      <c r="F629" s="457" t="s">
        <v>857</v>
      </c>
      <c r="G629" s="452" t="str">
        <f>VLOOKUP(F629,★折込地区!$A$1:$B$11,2,FALSE)</f>
        <v>Hmm</v>
      </c>
      <c r="H629" s="453">
        <f>INDEX(★サイズ表記!$I$4:$Q$55, MATCH(E629,★サイズ表記!$E$4:$E$55,0), MATCH(G629,★サイズ表記!$I$3:$R$3,0))</f>
        <v>0</v>
      </c>
      <c r="K629" s="471" t="str">
        <f t="shared" si="64"/>
        <v>C4005Hmm</v>
      </c>
      <c r="L629" s="471" t="str">
        <f t="shared" si="65"/>
        <v>タブ12P</v>
      </c>
      <c r="P629" s="533" t="s">
        <v>1324</v>
      </c>
      <c r="Q629" s="533" t="s">
        <v>1325</v>
      </c>
      <c r="R629" s="534" t="str">
        <f t="shared" si="66"/>
        <v>4005</v>
      </c>
      <c r="S629" s="534" t="str">
        <f t="shared" si="67"/>
        <v>タブ12P</v>
      </c>
      <c r="T629" s="538" t="str">
        <f t="shared" si="68"/>
        <v>40</v>
      </c>
      <c r="U629" s="538" t="str">
        <f t="shared" si="69"/>
        <v>05</v>
      </c>
      <c r="V629" s="471" t="s">
        <v>1136</v>
      </c>
      <c r="Y629" s="472">
        <f t="shared" si="70"/>
        <v>0</v>
      </c>
      <c r="Z629" s="540">
        <f t="shared" si="71"/>
        <v>0</v>
      </c>
      <c r="AA629" s="471">
        <v>0</v>
      </c>
    </row>
    <row r="630" spans="1:27">
      <c r="A630" s="451" t="str">
        <f>CONCATENATE(VLOOKUP(B630,★営業所!$A$1:$B$5,2,FALSE),VLOOKUP(D630,★サイズ表記!$D$4:$E$55,2,FALSE),VLOOKUP(F630,★折込地区!$A$1:$B$11,2,FALSE))</f>
        <v>C4006Hmm</v>
      </c>
      <c r="B630" s="457" t="s">
        <v>116</v>
      </c>
      <c r="C630" s="452" t="str">
        <f>VLOOKUP(B630,★営業所!$A$1:$B$5,2,FALSE)</f>
        <v>C</v>
      </c>
      <c r="D630" s="465" t="s">
        <v>1352</v>
      </c>
      <c r="E630" s="452" t="str">
        <f>VLOOKUP(D630,★サイズ表記!$D$4:$E$55,2,FALSE)</f>
        <v>4006</v>
      </c>
      <c r="F630" s="457" t="s">
        <v>857</v>
      </c>
      <c r="G630" s="452" t="str">
        <f>VLOOKUP(F630,★折込地区!$A$1:$B$11,2,FALSE)</f>
        <v>Hmm</v>
      </c>
      <c r="H630" s="453">
        <f>INDEX(★サイズ表記!$I$4:$Q$55, MATCH(E630,★サイズ表記!$E$4:$E$55,0), MATCH(G630,★サイズ表記!$I$3:$R$3,0))</f>
        <v>0</v>
      </c>
      <c r="K630" s="471" t="str">
        <f t="shared" si="64"/>
        <v>C4006Hmm</v>
      </c>
      <c r="L630" s="471" t="str">
        <f t="shared" si="65"/>
        <v>タブ14P</v>
      </c>
      <c r="P630" s="533" t="s">
        <v>1324</v>
      </c>
      <c r="Q630" s="533" t="s">
        <v>1325</v>
      </c>
      <c r="R630" s="534" t="str">
        <f t="shared" si="66"/>
        <v>4006</v>
      </c>
      <c r="S630" s="534" t="str">
        <f t="shared" si="67"/>
        <v>タブ14P</v>
      </c>
      <c r="T630" s="538" t="str">
        <f t="shared" si="68"/>
        <v>40</v>
      </c>
      <c r="U630" s="538" t="str">
        <f t="shared" si="69"/>
        <v>06</v>
      </c>
      <c r="V630" s="471" t="s">
        <v>1136</v>
      </c>
      <c r="Y630" s="472">
        <f t="shared" si="70"/>
        <v>0</v>
      </c>
      <c r="Z630" s="540">
        <f t="shared" si="71"/>
        <v>0</v>
      </c>
      <c r="AA630" s="471">
        <v>0</v>
      </c>
    </row>
    <row r="631" spans="1:27">
      <c r="A631" s="451" t="str">
        <f>CONCATENATE(VLOOKUP(B631,★営業所!$A$1:$B$5,2,FALSE),VLOOKUP(D631,★サイズ表記!$D$4:$E$55,2,FALSE),VLOOKUP(F631,★折込地区!$A$1:$B$11,2,FALSE))</f>
        <v>C4007Hmm</v>
      </c>
      <c r="B631" s="457" t="s">
        <v>116</v>
      </c>
      <c r="C631" s="452" t="str">
        <f>VLOOKUP(B631,★営業所!$A$1:$B$5,2,FALSE)</f>
        <v>C</v>
      </c>
      <c r="D631" s="465" t="s">
        <v>1353</v>
      </c>
      <c r="E631" s="452" t="str">
        <f>VLOOKUP(D631,★サイズ表記!$D$4:$E$55,2,FALSE)</f>
        <v>4007</v>
      </c>
      <c r="F631" s="457" t="s">
        <v>857</v>
      </c>
      <c r="G631" s="452" t="str">
        <f>VLOOKUP(F631,★折込地区!$A$1:$B$11,2,FALSE)</f>
        <v>Hmm</v>
      </c>
      <c r="H631" s="453">
        <f>INDEX(★サイズ表記!$I$4:$Q$55, MATCH(E631,★サイズ表記!$E$4:$E$55,0), MATCH(G631,★サイズ表記!$I$3:$R$3,0))</f>
        <v>0</v>
      </c>
      <c r="K631" s="471" t="str">
        <f t="shared" si="64"/>
        <v>C4007Hmm</v>
      </c>
      <c r="L631" s="471" t="str">
        <f t="shared" si="65"/>
        <v>タブ16P</v>
      </c>
      <c r="P631" s="533" t="s">
        <v>1324</v>
      </c>
      <c r="Q631" s="533" t="s">
        <v>1325</v>
      </c>
      <c r="R631" s="534" t="str">
        <f t="shared" si="66"/>
        <v>4007</v>
      </c>
      <c r="S631" s="534" t="str">
        <f t="shared" si="67"/>
        <v>タブ16P</v>
      </c>
      <c r="T631" s="538" t="str">
        <f t="shared" si="68"/>
        <v>40</v>
      </c>
      <c r="U631" s="538" t="str">
        <f t="shared" si="69"/>
        <v>07</v>
      </c>
      <c r="V631" s="471" t="s">
        <v>1136</v>
      </c>
      <c r="Y631" s="472">
        <f t="shared" si="70"/>
        <v>0</v>
      </c>
      <c r="Z631" s="540">
        <f t="shared" si="71"/>
        <v>0</v>
      </c>
      <c r="AA631" s="471">
        <v>0</v>
      </c>
    </row>
    <row r="632" spans="1:27">
      <c r="A632" s="451" t="str">
        <f>CONCATENATE(VLOOKUP(B632,★営業所!$A$1:$B$5,2,FALSE),VLOOKUP(D632,★サイズ表記!$D$4:$E$55,2,FALSE),VLOOKUP(F632,★折込地区!$A$1:$B$11,2,FALSE))</f>
        <v>C4008Hmm</v>
      </c>
      <c r="B632" s="457" t="s">
        <v>116</v>
      </c>
      <c r="C632" s="452" t="str">
        <f>VLOOKUP(B632,★営業所!$A$1:$B$5,2,FALSE)</f>
        <v>C</v>
      </c>
      <c r="D632" s="465" t="s">
        <v>1355</v>
      </c>
      <c r="E632" s="452" t="str">
        <f>VLOOKUP(D632,★サイズ表記!$D$4:$E$55,2,FALSE)</f>
        <v>4008</v>
      </c>
      <c r="F632" s="457" t="s">
        <v>857</v>
      </c>
      <c r="G632" s="452" t="str">
        <f>VLOOKUP(F632,★折込地区!$A$1:$B$11,2,FALSE)</f>
        <v>Hmm</v>
      </c>
      <c r="H632" s="453">
        <f>INDEX(★サイズ表記!$I$4:$Q$55, MATCH(E632,★サイズ表記!$E$4:$E$55,0), MATCH(G632,★サイズ表記!$I$3:$R$3,0))</f>
        <v>0</v>
      </c>
      <c r="K632" s="471" t="str">
        <f t="shared" si="64"/>
        <v>C4008Hmm</v>
      </c>
      <c r="L632" s="471" t="str">
        <f t="shared" si="65"/>
        <v>タブ18P</v>
      </c>
      <c r="P632" s="533" t="s">
        <v>1324</v>
      </c>
      <c r="Q632" s="533" t="s">
        <v>1325</v>
      </c>
      <c r="R632" s="534" t="str">
        <f t="shared" si="66"/>
        <v>4008</v>
      </c>
      <c r="S632" s="534" t="str">
        <f t="shared" si="67"/>
        <v>タブ18P</v>
      </c>
      <c r="T632" s="538" t="str">
        <f t="shared" si="68"/>
        <v>40</v>
      </c>
      <c r="U632" s="538" t="str">
        <f t="shared" si="69"/>
        <v>08</v>
      </c>
      <c r="V632" s="471" t="s">
        <v>1136</v>
      </c>
      <c r="Y632" s="472">
        <f t="shared" si="70"/>
        <v>0</v>
      </c>
      <c r="Z632" s="540">
        <f t="shared" si="71"/>
        <v>0</v>
      </c>
      <c r="AA632" s="471">
        <v>0</v>
      </c>
    </row>
    <row r="633" spans="1:27">
      <c r="A633" s="451" t="str">
        <f>CONCATENATE(VLOOKUP(B633,★営業所!$A$1:$B$5,2,FALSE),VLOOKUP(D633,★サイズ表記!$D$4:$E$55,2,FALSE),VLOOKUP(F633,★折込地区!$A$1:$B$11,2,FALSE))</f>
        <v>C4009Hmm</v>
      </c>
      <c r="B633" s="457" t="s">
        <v>116</v>
      </c>
      <c r="C633" s="452" t="str">
        <f>VLOOKUP(B633,★営業所!$A$1:$B$5,2,FALSE)</f>
        <v>C</v>
      </c>
      <c r="D633" s="465" t="s">
        <v>1356</v>
      </c>
      <c r="E633" s="452" t="str">
        <f>VLOOKUP(D633,★サイズ表記!$D$4:$E$55,2,FALSE)</f>
        <v>4009</v>
      </c>
      <c r="F633" s="457" t="s">
        <v>857</v>
      </c>
      <c r="G633" s="452" t="str">
        <f>VLOOKUP(F633,★折込地区!$A$1:$B$11,2,FALSE)</f>
        <v>Hmm</v>
      </c>
      <c r="H633" s="453">
        <f>INDEX(★サイズ表記!$I$4:$Q$55, MATCH(E633,★サイズ表記!$E$4:$E$55,0), MATCH(G633,★サイズ表記!$I$3:$R$3,0))</f>
        <v>0</v>
      </c>
      <c r="K633" s="471" t="str">
        <f t="shared" si="64"/>
        <v>C4009Hmm</v>
      </c>
      <c r="L633" s="471" t="str">
        <f t="shared" si="65"/>
        <v>タブ20P</v>
      </c>
      <c r="P633" s="533" t="s">
        <v>1324</v>
      </c>
      <c r="Q633" s="533" t="s">
        <v>1325</v>
      </c>
      <c r="R633" s="534" t="str">
        <f t="shared" si="66"/>
        <v>4009</v>
      </c>
      <c r="S633" s="534" t="str">
        <f t="shared" si="67"/>
        <v>タブ20P</v>
      </c>
      <c r="T633" s="538" t="str">
        <f t="shared" si="68"/>
        <v>40</v>
      </c>
      <c r="U633" s="538" t="str">
        <f t="shared" si="69"/>
        <v>09</v>
      </c>
      <c r="V633" s="471" t="s">
        <v>1136</v>
      </c>
      <c r="Y633" s="472">
        <f t="shared" si="70"/>
        <v>0</v>
      </c>
      <c r="Z633" s="540">
        <f t="shared" si="71"/>
        <v>0</v>
      </c>
      <c r="AA633" s="471">
        <v>0</v>
      </c>
    </row>
    <row r="634" spans="1:27">
      <c r="A634" s="451" t="str">
        <f>CONCATENATE(VLOOKUP(B634,★営業所!$A$1:$B$5,2,FALSE),VLOOKUP(D634,★サイズ表記!$D$4:$E$55,2,FALSE),VLOOKUP(F634,★折込地区!$A$1:$B$11,2,FALSE))</f>
        <v>C4010Hmm</v>
      </c>
      <c r="B634" s="457" t="s">
        <v>116</v>
      </c>
      <c r="C634" s="452" t="str">
        <f>VLOOKUP(B634,★営業所!$A$1:$B$5,2,FALSE)</f>
        <v>C</v>
      </c>
      <c r="D634" s="465" t="s">
        <v>1354</v>
      </c>
      <c r="E634" s="452" t="str">
        <f>VLOOKUP(D634,★サイズ表記!$D$4:$E$55,2,FALSE)</f>
        <v>4010</v>
      </c>
      <c r="F634" s="457" t="s">
        <v>857</v>
      </c>
      <c r="G634" s="452" t="str">
        <f>VLOOKUP(F634,★折込地区!$A$1:$B$11,2,FALSE)</f>
        <v>Hmm</v>
      </c>
      <c r="H634" s="453">
        <f>INDEX(★サイズ表記!$I$4:$Q$55, MATCH(E634,★サイズ表記!$E$4:$E$55,0), MATCH(G634,★サイズ表記!$I$3:$R$3,0))</f>
        <v>0</v>
      </c>
      <c r="K634" s="471" t="str">
        <f t="shared" si="64"/>
        <v>C4010Hmm</v>
      </c>
      <c r="L634" s="471" t="str">
        <f t="shared" si="65"/>
        <v>タブ16Pホチキス止め</v>
      </c>
      <c r="P634" s="533" t="s">
        <v>1324</v>
      </c>
      <c r="Q634" s="533" t="s">
        <v>1325</v>
      </c>
      <c r="R634" s="534" t="str">
        <f t="shared" si="66"/>
        <v>4010</v>
      </c>
      <c r="S634" s="534" t="str">
        <f t="shared" si="67"/>
        <v>タブ16Pホチキス止め</v>
      </c>
      <c r="T634" s="538" t="str">
        <f t="shared" si="68"/>
        <v>40</v>
      </c>
      <c r="U634" s="538" t="str">
        <f t="shared" si="69"/>
        <v>10</v>
      </c>
      <c r="V634" s="471" t="s">
        <v>1136</v>
      </c>
      <c r="Y634" s="472">
        <f t="shared" si="70"/>
        <v>0</v>
      </c>
      <c r="Z634" s="540">
        <f t="shared" si="71"/>
        <v>0</v>
      </c>
      <c r="AA634" s="471">
        <v>0</v>
      </c>
    </row>
    <row r="635" spans="1:27">
      <c r="A635" s="451" t="str">
        <f>CONCATENATE(VLOOKUP(B635,★営業所!$A$1:$B$5,2,FALSE),VLOOKUP(D635,★サイズ表記!$D$4:$E$55,2,FALSE),VLOOKUP(F635,★折込地区!$A$1:$B$11,2,FALSE))</f>
        <v>C4011Hmm</v>
      </c>
      <c r="B635" s="457" t="s">
        <v>116</v>
      </c>
      <c r="C635" s="452" t="str">
        <f>VLOOKUP(B635,★営業所!$A$1:$B$5,2,FALSE)</f>
        <v>C</v>
      </c>
      <c r="D635" s="465" t="s">
        <v>1357</v>
      </c>
      <c r="E635" s="452" t="str">
        <f>VLOOKUP(D635,★サイズ表記!$D$4:$E$55,2,FALSE)</f>
        <v>4011</v>
      </c>
      <c r="F635" s="457" t="s">
        <v>857</v>
      </c>
      <c r="G635" s="452" t="str">
        <f>VLOOKUP(F635,★折込地区!$A$1:$B$11,2,FALSE)</f>
        <v>Hmm</v>
      </c>
      <c r="H635" s="453">
        <f>INDEX(★サイズ表記!$I$4:$Q$55, MATCH(E635,★サイズ表記!$E$4:$E$55,0), MATCH(G635,★サイズ表記!$I$3:$R$3,0))</f>
        <v>0</v>
      </c>
      <c r="K635" s="471" t="str">
        <f t="shared" si="64"/>
        <v>C4011Hmm</v>
      </c>
      <c r="L635" s="471" t="str">
        <f t="shared" si="65"/>
        <v>タブ40P</v>
      </c>
      <c r="P635" s="533" t="s">
        <v>1324</v>
      </c>
      <c r="Q635" s="533" t="s">
        <v>1325</v>
      </c>
      <c r="R635" s="534" t="str">
        <f t="shared" si="66"/>
        <v>4011</v>
      </c>
      <c r="S635" s="534" t="str">
        <f t="shared" si="67"/>
        <v>タブ40P</v>
      </c>
      <c r="T635" s="538" t="str">
        <f t="shared" si="68"/>
        <v>40</v>
      </c>
      <c r="U635" s="538" t="str">
        <f t="shared" si="69"/>
        <v>11</v>
      </c>
      <c r="V635" s="471" t="s">
        <v>1136</v>
      </c>
      <c r="Y635" s="472">
        <f t="shared" si="70"/>
        <v>0</v>
      </c>
      <c r="Z635" s="540">
        <f t="shared" si="71"/>
        <v>0</v>
      </c>
      <c r="AA635" s="471">
        <v>0</v>
      </c>
    </row>
    <row r="636" spans="1:27">
      <c r="A636" s="451" t="str">
        <f>CONCATENATE(VLOOKUP(B636,★営業所!$A$1:$B$5,2,FALSE),VLOOKUP(D636,★サイズ表記!$D$4:$E$55,2,FALSE),VLOOKUP(F636,★折込地区!$A$1:$B$11,2,FALSE))</f>
        <v>C9001Hmm</v>
      </c>
      <c r="B636" s="457" t="s">
        <v>116</v>
      </c>
      <c r="C636" s="452" t="str">
        <f>VLOOKUP(B636,★営業所!$A$1:$B$5,2,FALSE)</f>
        <v>C</v>
      </c>
      <c r="D636" s="465" t="s">
        <v>975</v>
      </c>
      <c r="E636" s="452" t="str">
        <f>VLOOKUP(D636,★サイズ表記!$D$4:$E$55,2,FALSE)</f>
        <v>9001</v>
      </c>
      <c r="F636" s="457" t="s">
        <v>857</v>
      </c>
      <c r="G636" s="452" t="str">
        <f>VLOOKUP(F636,★折込地区!$A$1:$B$11,2,FALSE)</f>
        <v>Hmm</v>
      </c>
      <c r="H636" s="453">
        <f>INDEX(★サイズ表記!$I$4:$Q$55, MATCH(E636,★サイズ表記!$E$4:$E$55,0), MATCH(G636,★サイズ表記!$I$3:$R$3,0))</f>
        <v>7</v>
      </c>
      <c r="K636" s="471" t="str">
        <f t="shared" si="64"/>
        <v>C9001Hmm</v>
      </c>
      <c r="L636" s="471" t="str">
        <f t="shared" si="65"/>
        <v>うさぎの耳</v>
      </c>
      <c r="P636" s="533" t="s">
        <v>1324</v>
      </c>
      <c r="Q636" s="533" t="s">
        <v>1325</v>
      </c>
      <c r="R636" s="534" t="str">
        <f t="shared" si="66"/>
        <v>9001</v>
      </c>
      <c r="S636" s="534" t="str">
        <f t="shared" si="67"/>
        <v>うさぎの耳</v>
      </c>
      <c r="T636" s="538" t="str">
        <f t="shared" si="68"/>
        <v>90</v>
      </c>
      <c r="U636" s="538" t="str">
        <f t="shared" si="69"/>
        <v>01</v>
      </c>
      <c r="V636" s="471" t="s">
        <v>1136</v>
      </c>
      <c r="Y636" s="472">
        <f t="shared" si="70"/>
        <v>7</v>
      </c>
      <c r="Z636" s="540">
        <f t="shared" si="71"/>
        <v>0.56000000000000005</v>
      </c>
      <c r="AA636" s="471">
        <v>0</v>
      </c>
    </row>
    <row r="637" spans="1:27">
      <c r="A637" s="451" t="str">
        <f>CONCATENATE(VLOOKUP(B637,★営業所!$A$1:$B$5,2,FALSE),VLOOKUP(D637,★サイズ表記!$D$4:$E$55,2,FALSE),VLOOKUP(F637,★折込地区!$A$1:$B$11,2,FALSE))</f>
        <v>C9002Hmm</v>
      </c>
      <c r="B637" s="457" t="s">
        <v>116</v>
      </c>
      <c r="C637" s="452" t="str">
        <f>VLOOKUP(B637,★営業所!$A$1:$B$5,2,FALSE)</f>
        <v>C</v>
      </c>
      <c r="D637" s="465" t="s">
        <v>976</v>
      </c>
      <c r="E637" s="452" t="str">
        <f>VLOOKUP(D637,★サイズ表記!$D$4:$E$55,2,FALSE)</f>
        <v>9002</v>
      </c>
      <c r="F637" s="457" t="s">
        <v>857</v>
      </c>
      <c r="G637" s="452" t="str">
        <f>VLOOKUP(F637,★折込地区!$A$1:$B$11,2,FALSE)</f>
        <v>Hmm</v>
      </c>
      <c r="H637" s="453">
        <f>INDEX(★サイズ表記!$I$4:$Q$55, MATCH(E637,★サイズ表記!$E$4:$E$55,0), MATCH(G637,★サイズ表記!$I$3:$R$3,0))</f>
        <v>5</v>
      </c>
      <c r="K637" s="471" t="str">
        <f t="shared" si="64"/>
        <v>C9002Hmm</v>
      </c>
      <c r="L637" s="471" t="str">
        <f t="shared" si="65"/>
        <v>ユーキャン（題字）</v>
      </c>
      <c r="P637" s="533" t="s">
        <v>1324</v>
      </c>
      <c r="Q637" s="533" t="s">
        <v>1325</v>
      </c>
      <c r="R637" s="534" t="str">
        <f t="shared" si="66"/>
        <v>9002</v>
      </c>
      <c r="S637" s="534" t="str">
        <f t="shared" si="67"/>
        <v>ユーキャン（題字）</v>
      </c>
      <c r="T637" s="538" t="str">
        <f t="shared" si="68"/>
        <v>90</v>
      </c>
      <c r="U637" s="538" t="str">
        <f t="shared" si="69"/>
        <v>02</v>
      </c>
      <c r="V637" s="471" t="s">
        <v>1136</v>
      </c>
      <c r="Y637" s="472">
        <f t="shared" si="70"/>
        <v>5</v>
      </c>
      <c r="Z637" s="540">
        <f t="shared" si="71"/>
        <v>0.4</v>
      </c>
      <c r="AA637" s="471">
        <v>0</v>
      </c>
    </row>
    <row r="638" spans="1:27">
      <c r="A638" s="451" t="str">
        <f>CONCATENATE(VLOOKUP(B638,★営業所!$A$1:$B$5,2,FALSE),VLOOKUP(D638,★サイズ表記!$D$4:$E$55,2,FALSE),VLOOKUP(F638,★折込地区!$A$1:$B$11,2,FALSE))</f>
        <v>C9003Hmm</v>
      </c>
      <c r="B638" s="457" t="s">
        <v>116</v>
      </c>
      <c r="C638" s="452" t="str">
        <f>VLOOKUP(B638,★営業所!$A$1:$B$5,2,FALSE)</f>
        <v>C</v>
      </c>
      <c r="D638" s="465" t="s">
        <v>977</v>
      </c>
      <c r="E638" s="452" t="str">
        <f>VLOOKUP(D638,★サイズ表記!$D$4:$E$55,2,FALSE)</f>
        <v>9003</v>
      </c>
      <c r="F638" s="457" t="s">
        <v>857</v>
      </c>
      <c r="G638" s="452" t="str">
        <f>VLOOKUP(F638,★折込地区!$A$1:$B$11,2,FALSE)</f>
        <v>Hmm</v>
      </c>
      <c r="H638" s="453">
        <f>INDEX(★サイズ表記!$I$4:$Q$55, MATCH(E638,★サイズ表記!$E$4:$E$55,0), MATCH(G638,★サイズ表記!$I$3:$R$3,0))</f>
        <v>0</v>
      </c>
      <c r="K638" s="471" t="str">
        <f t="shared" si="64"/>
        <v>C9003Hmm</v>
      </c>
      <c r="L638" s="471" t="str">
        <f t="shared" si="65"/>
        <v>横長B3</v>
      </c>
      <c r="P638" s="533" t="s">
        <v>1324</v>
      </c>
      <c r="Q638" s="533" t="s">
        <v>1325</v>
      </c>
      <c r="R638" s="534" t="str">
        <f t="shared" si="66"/>
        <v>9003</v>
      </c>
      <c r="S638" s="534" t="str">
        <f t="shared" si="67"/>
        <v>横長B3</v>
      </c>
      <c r="T638" s="538" t="str">
        <f t="shared" si="68"/>
        <v>90</v>
      </c>
      <c r="U638" s="538" t="str">
        <f t="shared" si="69"/>
        <v>03</v>
      </c>
      <c r="V638" s="471" t="s">
        <v>1136</v>
      </c>
      <c r="Y638" s="472">
        <f t="shared" si="70"/>
        <v>0</v>
      </c>
      <c r="Z638" s="540">
        <f t="shared" si="71"/>
        <v>0</v>
      </c>
      <c r="AA638" s="471">
        <v>0</v>
      </c>
    </row>
    <row r="639" spans="1:27">
      <c r="A639" s="451" t="str">
        <f>CONCATENATE(VLOOKUP(B639,★営業所!$A$1:$B$5,2,FALSE),VLOOKUP(D639,★サイズ表記!$D$4:$E$55,2,FALSE),VLOOKUP(F639,★折込地区!$A$1:$B$11,2,FALSE))</f>
        <v>C9004Hmm</v>
      </c>
      <c r="B639" s="457" t="s">
        <v>116</v>
      </c>
      <c r="C639" s="452" t="str">
        <f>VLOOKUP(B639,★営業所!$A$1:$B$5,2,FALSE)</f>
        <v>C</v>
      </c>
      <c r="D639" s="465" t="s">
        <v>978</v>
      </c>
      <c r="E639" s="452" t="str">
        <f>VLOOKUP(D639,★サイズ表記!$D$4:$E$55,2,FALSE)</f>
        <v>9004</v>
      </c>
      <c r="F639" s="457" t="s">
        <v>857</v>
      </c>
      <c r="G639" s="452" t="str">
        <f>VLOOKUP(F639,★折込地区!$A$1:$B$11,2,FALSE)</f>
        <v>Hmm</v>
      </c>
      <c r="H639" s="453">
        <f>INDEX(★サイズ表記!$I$4:$Q$55, MATCH(E639,★サイズ表記!$E$4:$E$55,0), MATCH(G639,★サイズ表記!$I$3:$R$3,0))</f>
        <v>0</v>
      </c>
      <c r="K639" s="471" t="str">
        <f t="shared" si="64"/>
        <v>C9004Hmm</v>
      </c>
      <c r="L639" s="471" t="str">
        <f t="shared" si="65"/>
        <v>AD-BAG</v>
      </c>
      <c r="P639" s="533" t="s">
        <v>1324</v>
      </c>
      <c r="Q639" s="533" t="s">
        <v>1325</v>
      </c>
      <c r="R639" s="534" t="str">
        <f t="shared" si="66"/>
        <v>9004</v>
      </c>
      <c r="S639" s="534" t="str">
        <f t="shared" si="67"/>
        <v>AD-BAG</v>
      </c>
      <c r="T639" s="538" t="str">
        <f t="shared" si="68"/>
        <v>90</v>
      </c>
      <c r="U639" s="538" t="str">
        <f t="shared" si="69"/>
        <v>04</v>
      </c>
      <c r="V639" s="471" t="s">
        <v>1136</v>
      </c>
      <c r="Y639" s="472">
        <f t="shared" si="70"/>
        <v>0</v>
      </c>
      <c r="Z639" s="540">
        <f t="shared" si="71"/>
        <v>0</v>
      </c>
      <c r="AA639" s="471">
        <v>0</v>
      </c>
    </row>
    <row r="640" spans="1:27">
      <c r="A640" s="451" t="str">
        <f>CONCATENATE(VLOOKUP(B640,★営業所!$A$1:$B$5,2,FALSE),VLOOKUP(D640,★サイズ表記!$D$4:$E$55,2,FALSE),VLOOKUP(F640,★折込地区!$A$1:$B$11,2,FALSE))</f>
        <v>C9005Hmm</v>
      </c>
      <c r="B640" s="457" t="s">
        <v>116</v>
      </c>
      <c r="C640" s="452" t="str">
        <f>VLOOKUP(B640,★営業所!$A$1:$B$5,2,FALSE)</f>
        <v>C</v>
      </c>
      <c r="D640" s="465" t="s">
        <v>979</v>
      </c>
      <c r="E640" s="452" t="str">
        <f>VLOOKUP(D640,★サイズ表記!$D$4:$E$55,2,FALSE)</f>
        <v>9005</v>
      </c>
      <c r="F640" s="457" t="s">
        <v>857</v>
      </c>
      <c r="G640" s="452" t="str">
        <f>VLOOKUP(F640,★折込地区!$A$1:$B$11,2,FALSE)</f>
        <v>Hmm</v>
      </c>
      <c r="H640" s="453">
        <f>INDEX(★サイズ表記!$I$4:$Q$55, MATCH(E640,★サイズ表記!$E$4:$E$55,0), MATCH(G640,★サイズ表記!$I$3:$R$3,0))</f>
        <v>0</v>
      </c>
      <c r="K640" s="471" t="str">
        <f t="shared" si="64"/>
        <v>C9005Hmm</v>
      </c>
      <c r="L640" s="471" t="str">
        <f t="shared" si="65"/>
        <v>封筒</v>
      </c>
      <c r="P640" s="533" t="s">
        <v>1324</v>
      </c>
      <c r="Q640" s="533" t="s">
        <v>1325</v>
      </c>
      <c r="R640" s="534" t="str">
        <f t="shared" si="66"/>
        <v>9005</v>
      </c>
      <c r="S640" s="534" t="str">
        <f t="shared" si="67"/>
        <v>封筒</v>
      </c>
      <c r="T640" s="538" t="str">
        <f t="shared" si="68"/>
        <v>90</v>
      </c>
      <c r="U640" s="538" t="str">
        <f t="shared" si="69"/>
        <v>05</v>
      </c>
      <c r="V640" s="471" t="s">
        <v>1136</v>
      </c>
      <c r="Y640" s="472">
        <f t="shared" si="70"/>
        <v>0</v>
      </c>
      <c r="Z640" s="540">
        <f t="shared" si="71"/>
        <v>0</v>
      </c>
      <c r="AA640" s="471">
        <v>0</v>
      </c>
    </row>
    <row r="641" spans="1:27">
      <c r="A641" s="451" t="str">
        <f>CONCATENATE(VLOOKUP(B641,★営業所!$A$1:$B$5,2,FALSE),VLOOKUP(D641,★サイズ表記!$D$4:$E$55,2,FALSE),VLOOKUP(F641,★折込地区!$A$1:$B$11,2,FALSE))</f>
        <v>C9006Hmm</v>
      </c>
      <c r="B641" s="457" t="s">
        <v>116</v>
      </c>
      <c r="C641" s="452" t="str">
        <f>VLOOKUP(B641,★営業所!$A$1:$B$5,2,FALSE)</f>
        <v>C</v>
      </c>
      <c r="D641" s="465" t="s">
        <v>980</v>
      </c>
      <c r="E641" s="452" t="str">
        <f>VLOOKUP(D641,★サイズ表記!$D$4:$E$55,2,FALSE)</f>
        <v>9006</v>
      </c>
      <c r="F641" s="457" t="s">
        <v>857</v>
      </c>
      <c r="G641" s="452" t="str">
        <f>VLOOKUP(F641,★折込地区!$A$1:$B$11,2,FALSE)</f>
        <v>Hmm</v>
      </c>
      <c r="H641" s="453">
        <f>INDEX(★サイズ表記!$I$4:$Q$55, MATCH(E641,★サイズ表記!$E$4:$E$55,0), MATCH(G641,★サイズ表記!$I$3:$R$3,0))</f>
        <v>0</v>
      </c>
      <c r="K641" s="471" t="str">
        <f t="shared" si="64"/>
        <v>C9006Hmm</v>
      </c>
      <c r="L641" s="471" t="str">
        <f t="shared" si="65"/>
        <v>圧着</v>
      </c>
      <c r="P641" s="533" t="s">
        <v>1324</v>
      </c>
      <c r="Q641" s="533" t="s">
        <v>1325</v>
      </c>
      <c r="R641" s="534" t="str">
        <f t="shared" si="66"/>
        <v>9006</v>
      </c>
      <c r="S641" s="534" t="str">
        <f t="shared" si="67"/>
        <v>圧着</v>
      </c>
      <c r="T641" s="538" t="str">
        <f t="shared" si="68"/>
        <v>90</v>
      </c>
      <c r="U641" s="538" t="str">
        <f t="shared" si="69"/>
        <v>06</v>
      </c>
      <c r="V641" s="471" t="s">
        <v>1136</v>
      </c>
      <c r="Y641" s="472">
        <f t="shared" si="70"/>
        <v>0</v>
      </c>
      <c r="Z641" s="540">
        <f t="shared" si="71"/>
        <v>0</v>
      </c>
      <c r="AA641" s="471">
        <v>0</v>
      </c>
    </row>
    <row r="642" spans="1:27">
      <c r="A642" s="451" t="str">
        <f>CONCATENATE(VLOOKUP(B642,★営業所!$A$1:$B$5,2,FALSE),VLOOKUP(D642,★サイズ表記!$D$4:$E$55,2,FALSE),VLOOKUP(F642,★折込地区!$A$1:$B$11,2,FALSE))</f>
        <v>C9007Hmm</v>
      </c>
      <c r="B642" s="457" t="s">
        <v>116</v>
      </c>
      <c r="C642" s="452" t="str">
        <f>VLOOKUP(B642,★営業所!$A$1:$B$5,2,FALSE)</f>
        <v>C</v>
      </c>
      <c r="D642" s="465" t="s">
        <v>981</v>
      </c>
      <c r="E642" s="452" t="str">
        <f>VLOOKUP(D642,★サイズ表記!$D$4:$E$55,2,FALSE)</f>
        <v>9007</v>
      </c>
      <c r="F642" s="457" t="s">
        <v>857</v>
      </c>
      <c r="G642" s="452" t="str">
        <f>VLOOKUP(F642,★折込地区!$A$1:$B$11,2,FALSE)</f>
        <v>Hmm</v>
      </c>
      <c r="H642" s="453">
        <f>INDEX(★サイズ表記!$I$4:$Q$55, MATCH(E642,★サイズ表記!$E$4:$E$55,0), MATCH(G642,★サイズ表記!$I$3:$R$3,0))</f>
        <v>0</v>
      </c>
      <c r="K642" s="471" t="str">
        <f t="shared" si="64"/>
        <v>C9007Hmm</v>
      </c>
      <c r="L642" s="471" t="str">
        <f t="shared" si="65"/>
        <v>圧着厚紙</v>
      </c>
      <c r="P642" s="533" t="s">
        <v>1324</v>
      </c>
      <c r="Q642" s="533" t="s">
        <v>1325</v>
      </c>
      <c r="R642" s="534" t="str">
        <f t="shared" si="66"/>
        <v>9007</v>
      </c>
      <c r="S642" s="534" t="str">
        <f t="shared" si="67"/>
        <v>圧着厚紙</v>
      </c>
      <c r="T642" s="538" t="str">
        <f t="shared" si="68"/>
        <v>90</v>
      </c>
      <c r="U642" s="538" t="str">
        <f t="shared" si="69"/>
        <v>07</v>
      </c>
      <c r="V642" s="471" t="s">
        <v>1136</v>
      </c>
      <c r="Y642" s="472">
        <f t="shared" si="70"/>
        <v>0</v>
      </c>
      <c r="Z642" s="540">
        <f t="shared" si="71"/>
        <v>0</v>
      </c>
      <c r="AA642" s="471">
        <v>0</v>
      </c>
    </row>
    <row r="643" spans="1:27">
      <c r="A643" s="451" t="str">
        <f>CONCATENATE(VLOOKUP(B643,★営業所!$A$1:$B$5,2,FALSE),VLOOKUP(D643,★サイズ表記!$D$4:$E$55,2,FALSE),VLOOKUP(F643,★折込地区!$A$1:$B$11,2,FALSE))</f>
        <v>C1001Hks</v>
      </c>
      <c r="B643" s="457" t="s">
        <v>116</v>
      </c>
      <c r="C643" s="452" t="str">
        <f>VLOOKUP(B643,★営業所!$A$1:$B$5,2,FALSE)</f>
        <v>C</v>
      </c>
      <c r="D643" s="465" t="s">
        <v>948</v>
      </c>
      <c r="E643" s="452" t="str">
        <f>VLOOKUP(D643,★サイズ表記!$D$4:$E$55,2,FALSE)</f>
        <v>1001</v>
      </c>
      <c r="F643" s="457" t="s">
        <v>38</v>
      </c>
      <c r="G643" s="452" t="str">
        <f>VLOOKUP(F643,★折込地区!$A$1:$B$11,2,FALSE)</f>
        <v>Hks</v>
      </c>
      <c r="H643" s="453">
        <f>INDEX(★サイズ表記!$I$4:$Q$55, MATCH(E643,★サイズ表記!$E$4:$E$55,0), MATCH(G643,★サイズ表記!$I$3:$R$3,0))</f>
        <v>3</v>
      </c>
      <c r="K643" s="471" t="str">
        <f t="shared" si="64"/>
        <v>C1001Hks</v>
      </c>
      <c r="L643" s="471" t="str">
        <f t="shared" si="65"/>
        <v>B4（折り無し）</v>
      </c>
      <c r="P643" s="533" t="s">
        <v>1324</v>
      </c>
      <c r="Q643" s="533" t="s">
        <v>1325</v>
      </c>
      <c r="R643" s="534" t="str">
        <f t="shared" si="66"/>
        <v>1001</v>
      </c>
      <c r="S643" s="534" t="str">
        <f t="shared" si="67"/>
        <v>B4（折り無し）</v>
      </c>
      <c r="T643" s="538" t="str">
        <f t="shared" si="68"/>
        <v>10</v>
      </c>
      <c r="U643" s="538" t="str">
        <f t="shared" si="69"/>
        <v>01</v>
      </c>
      <c r="V643" s="471" t="s">
        <v>1136</v>
      </c>
      <c r="Y643" s="472">
        <f t="shared" si="70"/>
        <v>3</v>
      </c>
      <c r="Z643" s="540">
        <f t="shared" si="71"/>
        <v>0.24</v>
      </c>
      <c r="AA643" s="471">
        <v>0</v>
      </c>
    </row>
    <row r="644" spans="1:27">
      <c r="A644" s="451" t="str">
        <f>CONCATENATE(VLOOKUP(B644,★営業所!$A$1:$B$5,2,FALSE),VLOOKUP(D644,★サイズ表記!$D$4:$E$55,2,FALSE),VLOOKUP(F644,★折込地区!$A$1:$B$11,2,FALSE))</f>
        <v>C1002Hks</v>
      </c>
      <c r="B644" s="457" t="s">
        <v>116</v>
      </c>
      <c r="C644" s="452" t="str">
        <f>VLOOKUP(B644,★営業所!$A$1:$B$5,2,FALSE)</f>
        <v>C</v>
      </c>
      <c r="D644" s="465" t="s">
        <v>950</v>
      </c>
      <c r="E644" s="452" t="str">
        <f>VLOOKUP(D644,★サイズ表記!$D$4:$E$55,2,FALSE)</f>
        <v>1002</v>
      </c>
      <c r="F644" s="457" t="s">
        <v>38</v>
      </c>
      <c r="G644" s="452" t="str">
        <f>VLOOKUP(F644,★折込地区!$A$1:$B$11,2,FALSE)</f>
        <v>Hks</v>
      </c>
      <c r="H644" s="453">
        <f>INDEX(★サイズ表記!$I$4:$Q$55, MATCH(E644,★サイズ表記!$E$4:$E$55,0), MATCH(G644,★サイズ表記!$I$3:$R$3,0))</f>
        <v>6</v>
      </c>
      <c r="K644" s="471" t="str">
        <f t="shared" si="64"/>
        <v>C1002Hks</v>
      </c>
      <c r="L644" s="471" t="str">
        <f t="shared" si="65"/>
        <v>B3（2つ折り）</v>
      </c>
      <c r="P644" s="533" t="s">
        <v>1324</v>
      </c>
      <c r="Q644" s="533" t="s">
        <v>1325</v>
      </c>
      <c r="R644" s="534" t="str">
        <f t="shared" si="66"/>
        <v>1002</v>
      </c>
      <c r="S644" s="534" t="str">
        <f t="shared" si="67"/>
        <v>B3（2つ折り）</v>
      </c>
      <c r="T644" s="538" t="str">
        <f t="shared" si="68"/>
        <v>10</v>
      </c>
      <c r="U644" s="538" t="str">
        <f t="shared" si="69"/>
        <v>02</v>
      </c>
      <c r="V644" s="471" t="s">
        <v>1136</v>
      </c>
      <c r="Y644" s="472">
        <f t="shared" si="70"/>
        <v>6</v>
      </c>
      <c r="Z644" s="540">
        <f t="shared" si="71"/>
        <v>0.48</v>
      </c>
      <c r="AA644" s="471">
        <v>0</v>
      </c>
    </row>
    <row r="645" spans="1:27">
      <c r="A645" s="451" t="str">
        <f>CONCATENATE(VLOOKUP(B645,★営業所!$A$1:$B$5,2,FALSE),VLOOKUP(D645,★サイズ表記!$D$4:$E$55,2,FALSE),VLOOKUP(F645,★折込地区!$A$1:$B$11,2,FALSE))</f>
        <v>C1003Hks</v>
      </c>
      <c r="B645" s="457" t="s">
        <v>116</v>
      </c>
      <c r="C645" s="452" t="str">
        <f>VLOOKUP(B645,★営業所!$A$1:$B$5,2,FALSE)</f>
        <v>C</v>
      </c>
      <c r="D645" s="465" t="s">
        <v>951</v>
      </c>
      <c r="E645" s="452" t="str">
        <f>VLOOKUP(D645,★サイズ表記!$D$4:$E$55,2,FALSE)</f>
        <v>1003</v>
      </c>
      <c r="F645" s="457" t="s">
        <v>38</v>
      </c>
      <c r="G645" s="452" t="str">
        <f>VLOOKUP(F645,★折込地区!$A$1:$B$11,2,FALSE)</f>
        <v>Hks</v>
      </c>
      <c r="H645" s="453">
        <f>INDEX(★サイズ表記!$I$4:$Q$55, MATCH(E645,★サイズ表記!$E$4:$E$55,0), MATCH(G645,★サイズ表記!$I$3:$R$3,0))</f>
        <v>0</v>
      </c>
      <c r="K645" s="471" t="str">
        <f t="shared" si="64"/>
        <v>C1003Hks</v>
      </c>
      <c r="L645" s="471" t="str">
        <f t="shared" si="65"/>
        <v>3つ折り</v>
      </c>
      <c r="P645" s="533" t="s">
        <v>1324</v>
      </c>
      <c r="Q645" s="533" t="s">
        <v>1325</v>
      </c>
      <c r="R645" s="534" t="str">
        <f t="shared" si="66"/>
        <v>1003</v>
      </c>
      <c r="S645" s="534" t="str">
        <f t="shared" si="67"/>
        <v>3つ折り</v>
      </c>
      <c r="T645" s="538" t="str">
        <f t="shared" si="68"/>
        <v>10</v>
      </c>
      <c r="U645" s="538" t="str">
        <f t="shared" si="69"/>
        <v>03</v>
      </c>
      <c r="V645" s="471" t="s">
        <v>1136</v>
      </c>
      <c r="Y645" s="472">
        <f t="shared" si="70"/>
        <v>0</v>
      </c>
      <c r="Z645" s="540">
        <f t="shared" si="71"/>
        <v>0</v>
      </c>
      <c r="AA645" s="471">
        <v>0</v>
      </c>
    </row>
    <row r="646" spans="1:27">
      <c r="A646" s="451" t="str">
        <f>CONCATENATE(VLOOKUP(B646,★営業所!$A$1:$B$5,2,FALSE),VLOOKUP(D646,★サイズ表記!$D$4:$E$55,2,FALSE),VLOOKUP(F646,★折込地区!$A$1:$B$11,2,FALSE))</f>
        <v>C1004Hks</v>
      </c>
      <c r="B646" s="457" t="s">
        <v>116</v>
      </c>
      <c r="C646" s="452" t="str">
        <f>VLOOKUP(B646,★営業所!$A$1:$B$5,2,FALSE)</f>
        <v>C</v>
      </c>
      <c r="D646" s="465" t="s">
        <v>947</v>
      </c>
      <c r="E646" s="452" t="str">
        <f>VLOOKUP(D646,★サイズ表記!$D$4:$E$55,2,FALSE)</f>
        <v>1004</v>
      </c>
      <c r="F646" s="457" t="s">
        <v>38</v>
      </c>
      <c r="G646" s="452" t="str">
        <f>VLOOKUP(F646,★折込地区!$A$1:$B$11,2,FALSE)</f>
        <v>Hks</v>
      </c>
      <c r="H646" s="453">
        <f>INDEX(★サイズ表記!$I$4:$Q$55, MATCH(E646,★サイズ表記!$E$4:$E$55,0), MATCH(G646,★サイズ表記!$I$3:$R$3,0))</f>
        <v>0</v>
      </c>
      <c r="K646" s="471" t="str">
        <f t="shared" si="64"/>
        <v>C1004Hks</v>
      </c>
      <c r="L646" s="471" t="str">
        <f t="shared" si="65"/>
        <v>観音折</v>
      </c>
      <c r="P646" s="533" t="s">
        <v>1324</v>
      </c>
      <c r="Q646" s="533" t="s">
        <v>1325</v>
      </c>
      <c r="R646" s="534" t="str">
        <f t="shared" si="66"/>
        <v>1004</v>
      </c>
      <c r="S646" s="534" t="str">
        <f t="shared" si="67"/>
        <v>観音折</v>
      </c>
      <c r="T646" s="538" t="str">
        <f t="shared" si="68"/>
        <v>10</v>
      </c>
      <c r="U646" s="538" t="str">
        <f t="shared" si="69"/>
        <v>04</v>
      </c>
      <c r="V646" s="471" t="s">
        <v>1136</v>
      </c>
      <c r="Y646" s="472">
        <f t="shared" si="70"/>
        <v>0</v>
      </c>
      <c r="Z646" s="540">
        <f t="shared" si="71"/>
        <v>0</v>
      </c>
      <c r="AA646" s="471">
        <v>0</v>
      </c>
    </row>
    <row r="647" spans="1:27">
      <c r="A647" s="451" t="str">
        <f>CONCATENATE(VLOOKUP(B647,★営業所!$A$1:$B$5,2,FALSE),VLOOKUP(D647,★サイズ表記!$D$4:$E$55,2,FALSE),VLOOKUP(F647,★折込地区!$A$1:$B$11,2,FALSE))</f>
        <v>C1005Hks</v>
      </c>
      <c r="B647" s="457" t="s">
        <v>116</v>
      </c>
      <c r="C647" s="452" t="str">
        <f>VLOOKUP(B647,★営業所!$A$1:$B$5,2,FALSE)</f>
        <v>C</v>
      </c>
      <c r="D647" s="465" t="s">
        <v>952</v>
      </c>
      <c r="E647" s="452" t="str">
        <f>VLOOKUP(D647,★サイズ表記!$D$4:$E$55,2,FALSE)</f>
        <v>1005</v>
      </c>
      <c r="F647" s="457" t="s">
        <v>38</v>
      </c>
      <c r="G647" s="452" t="str">
        <f>VLOOKUP(F647,★折込地区!$A$1:$B$11,2,FALSE)</f>
        <v>Hks</v>
      </c>
      <c r="H647" s="453">
        <f>INDEX(★サイズ表記!$I$4:$Q$55, MATCH(E647,★サイズ表記!$E$4:$E$55,0), MATCH(G647,★サイズ表記!$I$3:$R$3,0))</f>
        <v>10</v>
      </c>
      <c r="K647" s="471" t="str">
        <f t="shared" si="64"/>
        <v>C1005Hks</v>
      </c>
      <c r="L647" s="471" t="str">
        <f t="shared" si="65"/>
        <v>B2（4つ折り）</v>
      </c>
      <c r="P647" s="533" t="s">
        <v>1324</v>
      </c>
      <c r="Q647" s="533" t="s">
        <v>1325</v>
      </c>
      <c r="R647" s="534" t="str">
        <f t="shared" si="66"/>
        <v>1005</v>
      </c>
      <c r="S647" s="534" t="str">
        <f t="shared" si="67"/>
        <v>B2（4つ折り）</v>
      </c>
      <c r="T647" s="538" t="str">
        <f t="shared" si="68"/>
        <v>10</v>
      </c>
      <c r="U647" s="538" t="str">
        <f t="shared" si="69"/>
        <v>05</v>
      </c>
      <c r="V647" s="471" t="s">
        <v>1136</v>
      </c>
      <c r="Y647" s="472">
        <f t="shared" si="70"/>
        <v>10</v>
      </c>
      <c r="Z647" s="540">
        <f t="shared" si="71"/>
        <v>0.8</v>
      </c>
      <c r="AA647" s="471">
        <v>0</v>
      </c>
    </row>
    <row r="648" spans="1:27">
      <c r="A648" s="451" t="str">
        <f>CONCATENATE(VLOOKUP(B648,★営業所!$A$1:$B$5,2,FALSE),VLOOKUP(D648,★サイズ表記!$D$4:$E$55,2,FALSE),VLOOKUP(F648,★折込地区!$A$1:$B$11,2,FALSE))</f>
        <v>C1006Hks</v>
      </c>
      <c r="B648" s="457" t="s">
        <v>116</v>
      </c>
      <c r="C648" s="452" t="str">
        <f>VLOOKUP(B648,★営業所!$A$1:$B$5,2,FALSE)</f>
        <v>C</v>
      </c>
      <c r="D648" s="465" t="s">
        <v>955</v>
      </c>
      <c r="E648" s="452" t="str">
        <f>VLOOKUP(D648,★サイズ表記!$D$4:$E$55,2,FALSE)</f>
        <v>1006</v>
      </c>
      <c r="F648" s="457" t="s">
        <v>38</v>
      </c>
      <c r="G648" s="452" t="str">
        <f>VLOOKUP(F648,★折込地区!$A$1:$B$11,2,FALSE)</f>
        <v>Hks</v>
      </c>
      <c r="H648" s="453">
        <f>INDEX(★サイズ表記!$I$4:$Q$55, MATCH(E648,★サイズ表記!$E$4:$E$55,0), MATCH(G648,★サイズ表記!$I$3:$R$3,0))</f>
        <v>15</v>
      </c>
      <c r="K648" s="471" t="str">
        <f t="shared" si="64"/>
        <v>C1006Hks</v>
      </c>
      <c r="L648" s="471" t="str">
        <f t="shared" si="65"/>
        <v>B1（8折り）</v>
      </c>
      <c r="P648" s="533" t="s">
        <v>1324</v>
      </c>
      <c r="Q648" s="533" t="s">
        <v>1325</v>
      </c>
      <c r="R648" s="534" t="str">
        <f t="shared" si="66"/>
        <v>1006</v>
      </c>
      <c r="S648" s="534" t="str">
        <f t="shared" si="67"/>
        <v>B1（8折り）</v>
      </c>
      <c r="T648" s="538" t="str">
        <f t="shared" si="68"/>
        <v>10</v>
      </c>
      <c r="U648" s="538" t="str">
        <f t="shared" si="69"/>
        <v>06</v>
      </c>
      <c r="V648" s="471" t="s">
        <v>1136</v>
      </c>
      <c r="Y648" s="472">
        <f t="shared" si="70"/>
        <v>15</v>
      </c>
      <c r="Z648" s="540">
        <f t="shared" si="71"/>
        <v>1.2</v>
      </c>
      <c r="AA648" s="471">
        <v>0</v>
      </c>
    </row>
    <row r="649" spans="1:27">
      <c r="A649" s="451" t="str">
        <f>CONCATENATE(VLOOKUP(B649,★営業所!$A$1:$B$5,2,FALSE),VLOOKUP(D649,★サイズ表記!$D$4:$E$55,2,FALSE),VLOOKUP(F649,★折込地区!$A$1:$B$11,2,FALSE))</f>
        <v>C1007Hks</v>
      </c>
      <c r="B649" s="457" t="s">
        <v>116</v>
      </c>
      <c r="C649" s="452" t="str">
        <f>VLOOKUP(B649,★営業所!$A$1:$B$5,2,FALSE)</f>
        <v>C</v>
      </c>
      <c r="D649" s="465" t="s">
        <v>956</v>
      </c>
      <c r="E649" s="452" t="str">
        <f>VLOOKUP(D649,★サイズ表記!$D$4:$E$55,2,FALSE)</f>
        <v>1007</v>
      </c>
      <c r="F649" s="457" t="s">
        <v>38</v>
      </c>
      <c r="G649" s="452" t="str">
        <f>VLOOKUP(F649,★折込地区!$A$1:$B$11,2,FALSE)</f>
        <v>Hks</v>
      </c>
      <c r="H649" s="453">
        <f>INDEX(★サイズ表記!$I$4:$Q$55, MATCH(E649,★サイズ表記!$E$4:$E$55,0), MATCH(G649,★サイズ表記!$I$3:$R$3,0))</f>
        <v>0</v>
      </c>
      <c r="K649" s="471" t="str">
        <f t="shared" si="64"/>
        <v>C1007Hks</v>
      </c>
      <c r="L649" s="471" t="str">
        <f t="shared" si="65"/>
        <v>B4厚紙</v>
      </c>
      <c r="P649" s="533" t="s">
        <v>1324</v>
      </c>
      <c r="Q649" s="533" t="s">
        <v>1325</v>
      </c>
      <c r="R649" s="534" t="str">
        <f t="shared" si="66"/>
        <v>1007</v>
      </c>
      <c r="S649" s="534" t="str">
        <f t="shared" si="67"/>
        <v>B4厚紙</v>
      </c>
      <c r="T649" s="538" t="str">
        <f t="shared" si="68"/>
        <v>10</v>
      </c>
      <c r="U649" s="538" t="str">
        <f t="shared" si="69"/>
        <v>07</v>
      </c>
      <c r="V649" s="471" t="s">
        <v>1136</v>
      </c>
      <c r="Y649" s="472">
        <f t="shared" si="70"/>
        <v>0</v>
      </c>
      <c r="Z649" s="540">
        <f t="shared" si="71"/>
        <v>0</v>
      </c>
      <c r="AA649" s="471">
        <v>0</v>
      </c>
    </row>
    <row r="650" spans="1:27">
      <c r="A650" s="451" t="str">
        <f>CONCATENATE(VLOOKUP(B650,★営業所!$A$1:$B$5,2,FALSE),VLOOKUP(D650,★サイズ表記!$D$4:$E$55,2,FALSE),VLOOKUP(F650,★折込地区!$A$1:$B$11,2,FALSE))</f>
        <v>C1008Hks</v>
      </c>
      <c r="B650" s="457" t="s">
        <v>116</v>
      </c>
      <c r="C650" s="452" t="str">
        <f>VLOOKUP(B650,★営業所!$A$1:$B$5,2,FALSE)</f>
        <v>C</v>
      </c>
      <c r="D650" s="465" t="s">
        <v>957</v>
      </c>
      <c r="E650" s="452" t="str">
        <f>VLOOKUP(D650,★サイズ表記!$D$4:$E$55,2,FALSE)</f>
        <v>1008</v>
      </c>
      <c r="F650" s="457" t="s">
        <v>38</v>
      </c>
      <c r="G650" s="452" t="str">
        <f>VLOOKUP(F650,★折込地区!$A$1:$B$11,2,FALSE)</f>
        <v>Hks</v>
      </c>
      <c r="H650" s="453">
        <f>INDEX(★サイズ表記!$I$4:$Q$55, MATCH(E650,★サイズ表記!$E$4:$E$55,0), MATCH(G650,★サイズ表記!$I$3:$R$3,0))</f>
        <v>0</v>
      </c>
      <c r="K650" s="471" t="str">
        <f t="shared" ref="K650:K713" si="72">A650</f>
        <v>C1008Hks</v>
      </c>
      <c r="L650" s="471" t="str">
        <f t="shared" ref="L650:L713" si="73">D650</f>
        <v>B3厚紙</v>
      </c>
      <c r="P650" s="533" t="s">
        <v>1324</v>
      </c>
      <c r="Q650" s="533" t="s">
        <v>1325</v>
      </c>
      <c r="R650" s="534" t="str">
        <f t="shared" si="66"/>
        <v>1008</v>
      </c>
      <c r="S650" s="534" t="str">
        <f t="shared" si="67"/>
        <v>B3厚紙</v>
      </c>
      <c r="T650" s="538" t="str">
        <f t="shared" si="68"/>
        <v>10</v>
      </c>
      <c r="U650" s="538" t="str">
        <f t="shared" si="69"/>
        <v>08</v>
      </c>
      <c r="V650" s="471" t="s">
        <v>1136</v>
      </c>
      <c r="Y650" s="472">
        <f t="shared" si="70"/>
        <v>0</v>
      </c>
      <c r="Z650" s="540">
        <f t="shared" si="71"/>
        <v>0</v>
      </c>
      <c r="AA650" s="471">
        <v>0</v>
      </c>
    </row>
    <row r="651" spans="1:27">
      <c r="A651" s="451" t="str">
        <f>CONCATENATE(VLOOKUP(B651,★営業所!$A$1:$B$5,2,FALSE),VLOOKUP(D651,★サイズ表記!$D$4:$E$55,2,FALSE),VLOOKUP(F651,★折込地区!$A$1:$B$11,2,FALSE))</f>
        <v>C1009Hks</v>
      </c>
      <c r="B651" s="457" t="s">
        <v>116</v>
      </c>
      <c r="C651" s="452" t="str">
        <f>VLOOKUP(B651,★営業所!$A$1:$B$5,2,FALSE)</f>
        <v>C</v>
      </c>
      <c r="D651" s="465" t="s">
        <v>958</v>
      </c>
      <c r="E651" s="452" t="str">
        <f>VLOOKUP(D651,★サイズ表記!$D$4:$E$55,2,FALSE)</f>
        <v>1009</v>
      </c>
      <c r="F651" s="457" t="s">
        <v>38</v>
      </c>
      <c r="G651" s="452" t="str">
        <f>VLOOKUP(F651,★折込地区!$A$1:$B$11,2,FALSE)</f>
        <v>Hks</v>
      </c>
      <c r="H651" s="453">
        <f>INDEX(★サイズ表記!$I$4:$Q$55, MATCH(E651,★サイズ表記!$E$4:$E$55,0), MATCH(G651,★サイズ表記!$I$3:$R$3,0))</f>
        <v>0</v>
      </c>
      <c r="K651" s="471" t="str">
        <f t="shared" si="72"/>
        <v>C1009Hks</v>
      </c>
      <c r="L651" s="471" t="str">
        <f t="shared" si="73"/>
        <v>B2厚紙</v>
      </c>
      <c r="P651" s="533" t="s">
        <v>1324</v>
      </c>
      <c r="Q651" s="533" t="s">
        <v>1325</v>
      </c>
      <c r="R651" s="534" t="str">
        <f t="shared" ref="R651:R714" si="74">E651</f>
        <v>1009</v>
      </c>
      <c r="S651" s="534" t="str">
        <f t="shared" ref="S651:S714" si="75">L651</f>
        <v>B2厚紙</v>
      </c>
      <c r="T651" s="538" t="str">
        <f t="shared" ref="T651:T714" si="76">LEFT($E651,2)</f>
        <v>10</v>
      </c>
      <c r="U651" s="538" t="str">
        <f t="shared" ref="U651:U714" si="77">RIGHT($E651,2)</f>
        <v>09</v>
      </c>
      <c r="V651" s="471" t="s">
        <v>1136</v>
      </c>
      <c r="Y651" s="472">
        <f t="shared" ref="Y651:Y714" si="78">$H651</f>
        <v>0</v>
      </c>
      <c r="Z651" s="540">
        <f t="shared" ref="Z651:Z714" si="79">ROUNDDOWN($H651*8/100,2)</f>
        <v>0</v>
      </c>
      <c r="AA651" s="471">
        <v>0</v>
      </c>
    </row>
    <row r="652" spans="1:27">
      <c r="A652" s="451" t="str">
        <f>CONCATENATE(VLOOKUP(B652,★営業所!$A$1:$B$5,2,FALSE),VLOOKUP(D652,★サイズ表記!$D$4:$E$55,2,FALSE),VLOOKUP(F652,★折込地区!$A$1:$B$11,2,FALSE))</f>
        <v>C1010Hks</v>
      </c>
      <c r="B652" s="457" t="s">
        <v>116</v>
      </c>
      <c r="C652" s="452" t="str">
        <f>VLOOKUP(B652,★営業所!$A$1:$B$5,2,FALSE)</f>
        <v>C</v>
      </c>
      <c r="D652" s="465" t="s">
        <v>959</v>
      </c>
      <c r="E652" s="452" t="str">
        <f>VLOOKUP(D652,★サイズ表記!$D$4:$E$55,2,FALSE)</f>
        <v>1010</v>
      </c>
      <c r="F652" s="457" t="s">
        <v>38</v>
      </c>
      <c r="G652" s="452" t="str">
        <f>VLOOKUP(F652,★折込地区!$A$1:$B$11,2,FALSE)</f>
        <v>Hks</v>
      </c>
      <c r="H652" s="453">
        <f>INDEX(★サイズ表記!$I$4:$Q$55, MATCH(E652,★サイズ表記!$E$4:$E$55,0), MATCH(G652,★サイズ表記!$I$3:$R$3,0))</f>
        <v>0</v>
      </c>
      <c r="K652" s="471" t="str">
        <f t="shared" si="72"/>
        <v>C1010Hks</v>
      </c>
      <c r="L652" s="471" t="str">
        <f t="shared" si="73"/>
        <v>B4以下変形</v>
      </c>
      <c r="P652" s="533" t="s">
        <v>1324</v>
      </c>
      <c r="Q652" s="533" t="s">
        <v>1325</v>
      </c>
      <c r="R652" s="534" t="str">
        <f t="shared" si="74"/>
        <v>1010</v>
      </c>
      <c r="S652" s="534" t="str">
        <f t="shared" si="75"/>
        <v>B4以下変形</v>
      </c>
      <c r="T652" s="538" t="str">
        <f t="shared" si="76"/>
        <v>10</v>
      </c>
      <c r="U652" s="538" t="str">
        <f t="shared" si="77"/>
        <v>10</v>
      </c>
      <c r="V652" s="471" t="s">
        <v>1136</v>
      </c>
      <c r="Y652" s="472">
        <f t="shared" si="78"/>
        <v>0</v>
      </c>
      <c r="Z652" s="540">
        <f t="shared" si="79"/>
        <v>0</v>
      </c>
      <c r="AA652" s="471">
        <v>0</v>
      </c>
    </row>
    <row r="653" spans="1:27">
      <c r="A653" s="451" t="str">
        <f>CONCATENATE(VLOOKUP(B653,★営業所!$A$1:$B$5,2,FALSE),VLOOKUP(D653,★サイズ表記!$D$4:$E$55,2,FALSE),VLOOKUP(F653,★折込地区!$A$1:$B$11,2,FALSE))</f>
        <v>C1011Hks</v>
      </c>
      <c r="B653" s="457" t="s">
        <v>116</v>
      </c>
      <c r="C653" s="452" t="str">
        <f>VLOOKUP(B653,★営業所!$A$1:$B$5,2,FALSE)</f>
        <v>C</v>
      </c>
      <c r="D653" s="465" t="s">
        <v>960</v>
      </c>
      <c r="E653" s="452" t="str">
        <f>VLOOKUP(D653,★サイズ表記!$D$4:$E$55,2,FALSE)</f>
        <v>1011</v>
      </c>
      <c r="F653" s="457" t="s">
        <v>38</v>
      </c>
      <c r="G653" s="452" t="str">
        <f>VLOOKUP(F653,★折込地区!$A$1:$B$11,2,FALSE)</f>
        <v>Hks</v>
      </c>
      <c r="H653" s="453">
        <f>INDEX(★サイズ表記!$I$4:$Q$55, MATCH(E653,★サイズ表記!$E$4:$E$55,0), MATCH(G653,★サイズ表記!$I$3:$R$3,0))</f>
        <v>0</v>
      </c>
      <c r="K653" s="471" t="str">
        <f t="shared" si="72"/>
        <v>C1011Hks</v>
      </c>
      <c r="L653" s="471" t="str">
        <f t="shared" si="73"/>
        <v>B4シール付き</v>
      </c>
      <c r="P653" s="533" t="s">
        <v>1324</v>
      </c>
      <c r="Q653" s="533" t="s">
        <v>1325</v>
      </c>
      <c r="R653" s="534" t="str">
        <f t="shared" si="74"/>
        <v>1011</v>
      </c>
      <c r="S653" s="534" t="str">
        <f t="shared" si="75"/>
        <v>B4シール付き</v>
      </c>
      <c r="T653" s="538" t="str">
        <f t="shared" si="76"/>
        <v>10</v>
      </c>
      <c r="U653" s="538" t="str">
        <f t="shared" si="77"/>
        <v>11</v>
      </c>
      <c r="V653" s="471" t="s">
        <v>1136</v>
      </c>
      <c r="Y653" s="472">
        <f t="shared" si="78"/>
        <v>0</v>
      </c>
      <c r="Z653" s="540">
        <f t="shared" si="79"/>
        <v>0</v>
      </c>
      <c r="AA653" s="471">
        <v>0</v>
      </c>
    </row>
    <row r="654" spans="1:27">
      <c r="A654" s="451" t="str">
        <f>CONCATENATE(VLOOKUP(B654,★営業所!$A$1:$B$5,2,FALSE),VLOOKUP(D654,★サイズ表記!$D$4:$E$55,2,FALSE),VLOOKUP(F654,★折込地区!$A$1:$B$11,2,FALSE))</f>
        <v>C1012Hks</v>
      </c>
      <c r="B654" s="457" t="s">
        <v>116</v>
      </c>
      <c r="C654" s="452" t="str">
        <f>VLOOKUP(B654,★営業所!$A$1:$B$5,2,FALSE)</f>
        <v>C</v>
      </c>
      <c r="D654" s="465" t="s">
        <v>961</v>
      </c>
      <c r="E654" s="452" t="str">
        <f>VLOOKUP(D654,★サイズ表記!$D$4:$E$55,2,FALSE)</f>
        <v>1012</v>
      </c>
      <c r="F654" s="457" t="s">
        <v>38</v>
      </c>
      <c r="G654" s="452" t="str">
        <f>VLOOKUP(F654,★折込地区!$A$1:$B$11,2,FALSE)</f>
        <v>Hks</v>
      </c>
      <c r="H654" s="453">
        <f>INDEX(★サイズ表記!$I$4:$Q$55, MATCH(E654,★サイズ表記!$E$4:$E$55,0), MATCH(G654,★サイズ表記!$I$3:$R$3,0))</f>
        <v>0</v>
      </c>
      <c r="K654" s="471" t="str">
        <f t="shared" si="72"/>
        <v>C1012Hks</v>
      </c>
      <c r="L654" s="471" t="str">
        <f t="shared" si="73"/>
        <v>B3シール付き</v>
      </c>
      <c r="P654" s="533" t="s">
        <v>1324</v>
      </c>
      <c r="Q654" s="533" t="s">
        <v>1325</v>
      </c>
      <c r="R654" s="534" t="str">
        <f t="shared" si="74"/>
        <v>1012</v>
      </c>
      <c r="S654" s="534" t="str">
        <f t="shared" si="75"/>
        <v>B3シール付き</v>
      </c>
      <c r="T654" s="538" t="str">
        <f t="shared" si="76"/>
        <v>10</v>
      </c>
      <c r="U654" s="538" t="str">
        <f t="shared" si="77"/>
        <v>12</v>
      </c>
      <c r="V654" s="471" t="s">
        <v>1136</v>
      </c>
      <c r="Y654" s="472">
        <f t="shared" si="78"/>
        <v>0</v>
      </c>
      <c r="Z654" s="540">
        <f t="shared" si="79"/>
        <v>0</v>
      </c>
      <c r="AA654" s="471">
        <v>0</v>
      </c>
    </row>
    <row r="655" spans="1:27">
      <c r="A655" s="451" t="str">
        <f>CONCATENATE(VLOOKUP(B655,★営業所!$A$1:$B$5,2,FALSE),VLOOKUP(D655,★サイズ表記!$D$4:$E$55,2,FALSE),VLOOKUP(F655,★折込地区!$A$1:$B$11,2,FALSE))</f>
        <v>C1013Hks</v>
      </c>
      <c r="B655" s="457" t="s">
        <v>116</v>
      </c>
      <c r="C655" s="452" t="str">
        <f>VLOOKUP(B655,★営業所!$A$1:$B$5,2,FALSE)</f>
        <v>C</v>
      </c>
      <c r="D655" s="465" t="s">
        <v>962</v>
      </c>
      <c r="E655" s="452" t="str">
        <f>VLOOKUP(D655,★サイズ表記!$D$4:$E$55,2,FALSE)</f>
        <v>1013</v>
      </c>
      <c r="F655" s="457" t="s">
        <v>38</v>
      </c>
      <c r="G655" s="452" t="str">
        <f>VLOOKUP(F655,★折込地区!$A$1:$B$11,2,FALSE)</f>
        <v>Hks</v>
      </c>
      <c r="H655" s="453">
        <f>INDEX(★サイズ表記!$I$4:$Q$55, MATCH(E655,★サイズ表記!$E$4:$E$55,0), MATCH(G655,★サイズ表記!$I$3:$R$3,0))</f>
        <v>0</v>
      </c>
      <c r="K655" s="471" t="str">
        <f t="shared" si="72"/>
        <v>C1013Hks</v>
      </c>
      <c r="L655" s="471" t="str">
        <f t="shared" si="73"/>
        <v>B4スクラッチ付き</v>
      </c>
      <c r="P655" s="533" t="s">
        <v>1324</v>
      </c>
      <c r="Q655" s="533" t="s">
        <v>1325</v>
      </c>
      <c r="R655" s="534" t="str">
        <f t="shared" si="74"/>
        <v>1013</v>
      </c>
      <c r="S655" s="534" t="str">
        <f t="shared" si="75"/>
        <v>B4スクラッチ付き</v>
      </c>
      <c r="T655" s="538" t="str">
        <f t="shared" si="76"/>
        <v>10</v>
      </c>
      <c r="U655" s="538" t="str">
        <f t="shared" si="77"/>
        <v>13</v>
      </c>
      <c r="V655" s="471" t="s">
        <v>1136</v>
      </c>
      <c r="Y655" s="472">
        <f t="shared" si="78"/>
        <v>0</v>
      </c>
      <c r="Z655" s="540">
        <f t="shared" si="79"/>
        <v>0</v>
      </c>
      <c r="AA655" s="471">
        <v>0</v>
      </c>
    </row>
    <row r="656" spans="1:27">
      <c r="A656" s="451" t="str">
        <f>CONCATENATE(VLOOKUP(B656,★営業所!$A$1:$B$5,2,FALSE),VLOOKUP(D656,★サイズ表記!$D$4:$E$55,2,FALSE),VLOOKUP(F656,★折込地区!$A$1:$B$11,2,FALSE))</f>
        <v>C2001Hks</v>
      </c>
      <c r="B656" s="457" t="s">
        <v>116</v>
      </c>
      <c r="C656" s="452" t="str">
        <f>VLOOKUP(B656,★営業所!$A$1:$B$5,2,FALSE)</f>
        <v>C</v>
      </c>
      <c r="D656" s="465" t="s">
        <v>963</v>
      </c>
      <c r="E656" s="452" t="str">
        <f>VLOOKUP(D656,★サイズ表記!$D$4:$E$55,2,FALSE)</f>
        <v>2001</v>
      </c>
      <c r="F656" s="457" t="s">
        <v>38</v>
      </c>
      <c r="G656" s="452" t="str">
        <f>VLOOKUP(F656,★折込地区!$A$1:$B$11,2,FALSE)</f>
        <v>Hks</v>
      </c>
      <c r="H656" s="453">
        <f>INDEX(★サイズ表記!$I$4:$Q$55, MATCH(E656,★サイズ表記!$E$4:$E$55,0), MATCH(G656,★サイズ表記!$I$3:$R$3,0))</f>
        <v>4.5</v>
      </c>
      <c r="K656" s="471" t="str">
        <f t="shared" si="72"/>
        <v>C2001Hks</v>
      </c>
      <c r="L656" s="471" t="str">
        <f t="shared" si="73"/>
        <v>連合B4</v>
      </c>
      <c r="P656" s="533" t="s">
        <v>1324</v>
      </c>
      <c r="Q656" s="533" t="s">
        <v>1325</v>
      </c>
      <c r="R656" s="534" t="str">
        <f t="shared" si="74"/>
        <v>2001</v>
      </c>
      <c r="S656" s="534" t="str">
        <f t="shared" si="75"/>
        <v>連合B4</v>
      </c>
      <c r="T656" s="538" t="str">
        <f t="shared" si="76"/>
        <v>20</v>
      </c>
      <c r="U656" s="538" t="str">
        <f t="shared" si="77"/>
        <v>01</v>
      </c>
      <c r="V656" s="471" t="s">
        <v>1136</v>
      </c>
      <c r="Y656" s="472">
        <f t="shared" si="78"/>
        <v>4.5</v>
      </c>
      <c r="Z656" s="540">
        <f t="shared" si="79"/>
        <v>0.36</v>
      </c>
      <c r="AA656" s="471">
        <v>0</v>
      </c>
    </row>
    <row r="657" spans="1:27">
      <c r="A657" s="451" t="str">
        <f>CONCATENATE(VLOOKUP(B657,★営業所!$A$1:$B$5,2,FALSE),VLOOKUP(D657,★サイズ表記!$D$4:$E$55,2,FALSE),VLOOKUP(F657,★折込地区!$A$1:$B$11,2,FALSE))</f>
        <v>C2002Hks</v>
      </c>
      <c r="B657" s="457" t="s">
        <v>116</v>
      </c>
      <c r="C657" s="452" t="str">
        <f>VLOOKUP(B657,★営業所!$A$1:$B$5,2,FALSE)</f>
        <v>C</v>
      </c>
      <c r="D657" s="465" t="s">
        <v>964</v>
      </c>
      <c r="E657" s="452" t="str">
        <f>VLOOKUP(D657,★サイズ表記!$D$4:$E$55,2,FALSE)</f>
        <v>2002</v>
      </c>
      <c r="F657" s="457" t="s">
        <v>38</v>
      </c>
      <c r="G657" s="452" t="str">
        <f>VLOOKUP(F657,★折込地区!$A$1:$B$11,2,FALSE)</f>
        <v>Hks</v>
      </c>
      <c r="H657" s="453">
        <f>INDEX(★サイズ表記!$I$4:$Q$55, MATCH(E657,★サイズ表記!$E$4:$E$55,0), MATCH(G657,★サイズ表記!$I$3:$R$3,0))</f>
        <v>9</v>
      </c>
      <c r="K657" s="471" t="str">
        <f t="shared" si="72"/>
        <v>C2002Hks</v>
      </c>
      <c r="L657" s="471" t="str">
        <f t="shared" si="73"/>
        <v>連合B3</v>
      </c>
      <c r="P657" s="533" t="s">
        <v>1324</v>
      </c>
      <c r="Q657" s="533" t="s">
        <v>1325</v>
      </c>
      <c r="R657" s="534" t="str">
        <f t="shared" si="74"/>
        <v>2002</v>
      </c>
      <c r="S657" s="534" t="str">
        <f t="shared" si="75"/>
        <v>連合B3</v>
      </c>
      <c r="T657" s="538" t="str">
        <f t="shared" si="76"/>
        <v>20</v>
      </c>
      <c r="U657" s="538" t="str">
        <f t="shared" si="77"/>
        <v>02</v>
      </c>
      <c r="V657" s="471" t="s">
        <v>1136</v>
      </c>
      <c r="Y657" s="472">
        <f t="shared" si="78"/>
        <v>9</v>
      </c>
      <c r="Z657" s="540">
        <f t="shared" si="79"/>
        <v>0.72</v>
      </c>
      <c r="AA657" s="471">
        <v>0</v>
      </c>
    </row>
    <row r="658" spans="1:27">
      <c r="A658" s="451" t="str">
        <f>CONCATENATE(VLOOKUP(B658,★営業所!$A$1:$B$5,2,FALSE),VLOOKUP(D658,★サイズ表記!$D$4:$E$55,2,FALSE),VLOOKUP(F658,★折込地区!$A$1:$B$11,2,FALSE))</f>
        <v>C2003Hks</v>
      </c>
      <c r="B658" s="457" t="s">
        <v>116</v>
      </c>
      <c r="C658" s="452" t="str">
        <f>VLOOKUP(B658,★営業所!$A$1:$B$5,2,FALSE)</f>
        <v>C</v>
      </c>
      <c r="D658" s="465" t="s">
        <v>965</v>
      </c>
      <c r="E658" s="452" t="str">
        <f>VLOOKUP(D658,★サイズ表記!$D$4:$E$55,2,FALSE)</f>
        <v>2003</v>
      </c>
      <c r="F658" s="457" t="s">
        <v>38</v>
      </c>
      <c r="G658" s="452" t="str">
        <f>VLOOKUP(F658,★折込地区!$A$1:$B$11,2,FALSE)</f>
        <v>Hks</v>
      </c>
      <c r="H658" s="453">
        <f>INDEX(★サイズ表記!$I$4:$Q$55, MATCH(E658,★サイズ表記!$E$4:$E$55,0), MATCH(G658,★サイズ表記!$I$3:$R$3,0))</f>
        <v>15</v>
      </c>
      <c r="K658" s="471" t="str">
        <f t="shared" si="72"/>
        <v>C2003Hks</v>
      </c>
      <c r="L658" s="471" t="str">
        <f t="shared" si="73"/>
        <v>連合B2</v>
      </c>
      <c r="P658" s="533" t="s">
        <v>1324</v>
      </c>
      <c r="Q658" s="533" t="s">
        <v>1325</v>
      </c>
      <c r="R658" s="534" t="str">
        <f t="shared" si="74"/>
        <v>2003</v>
      </c>
      <c r="S658" s="534" t="str">
        <f t="shared" si="75"/>
        <v>連合B2</v>
      </c>
      <c r="T658" s="538" t="str">
        <f t="shared" si="76"/>
        <v>20</v>
      </c>
      <c r="U658" s="538" t="str">
        <f t="shared" si="77"/>
        <v>03</v>
      </c>
      <c r="V658" s="471" t="s">
        <v>1136</v>
      </c>
      <c r="Y658" s="472">
        <f t="shared" si="78"/>
        <v>15</v>
      </c>
      <c r="Z658" s="540">
        <f t="shared" si="79"/>
        <v>1.2</v>
      </c>
      <c r="AA658" s="471">
        <v>0</v>
      </c>
    </row>
    <row r="659" spans="1:27">
      <c r="A659" s="451" t="str">
        <f>CONCATENATE(VLOOKUP(B659,★営業所!$A$1:$B$5,2,FALSE),VLOOKUP(D659,★サイズ表記!$D$4:$E$55,2,FALSE),VLOOKUP(F659,★折込地区!$A$1:$B$11,2,FALSE))</f>
        <v>C2004Hks</v>
      </c>
      <c r="B659" s="457" t="s">
        <v>116</v>
      </c>
      <c r="C659" s="452" t="str">
        <f>VLOOKUP(B659,★営業所!$A$1:$B$5,2,FALSE)</f>
        <v>C</v>
      </c>
      <c r="D659" s="465" t="s">
        <v>966</v>
      </c>
      <c r="E659" s="452" t="str">
        <f>VLOOKUP(D659,★サイズ表記!$D$4:$E$55,2,FALSE)</f>
        <v>2004</v>
      </c>
      <c r="F659" s="457" t="s">
        <v>38</v>
      </c>
      <c r="G659" s="452" t="str">
        <f>VLOOKUP(F659,★折込地区!$A$1:$B$11,2,FALSE)</f>
        <v>Hks</v>
      </c>
      <c r="H659" s="453">
        <f>INDEX(★サイズ表記!$I$4:$Q$55, MATCH(E659,★サイズ表記!$E$4:$E$55,0), MATCH(G659,★サイズ表記!$I$3:$R$3,0))</f>
        <v>0</v>
      </c>
      <c r="K659" s="471" t="str">
        <f t="shared" si="72"/>
        <v>C2004Hks</v>
      </c>
      <c r="L659" s="471" t="str">
        <f t="shared" si="73"/>
        <v>連合3つ折り</v>
      </c>
      <c r="P659" s="533" t="s">
        <v>1324</v>
      </c>
      <c r="Q659" s="533" t="s">
        <v>1325</v>
      </c>
      <c r="R659" s="534" t="str">
        <f t="shared" si="74"/>
        <v>2004</v>
      </c>
      <c r="S659" s="534" t="str">
        <f t="shared" si="75"/>
        <v>連合3つ折り</v>
      </c>
      <c r="T659" s="538" t="str">
        <f t="shared" si="76"/>
        <v>20</v>
      </c>
      <c r="U659" s="538" t="str">
        <f t="shared" si="77"/>
        <v>04</v>
      </c>
      <c r="V659" s="471" t="s">
        <v>1136</v>
      </c>
      <c r="Y659" s="472">
        <f t="shared" si="78"/>
        <v>0</v>
      </c>
      <c r="Z659" s="540">
        <f t="shared" si="79"/>
        <v>0</v>
      </c>
      <c r="AA659" s="471">
        <v>0</v>
      </c>
    </row>
    <row r="660" spans="1:27">
      <c r="A660" s="451" t="str">
        <f>CONCATENATE(VLOOKUP(B660,★営業所!$A$1:$B$5,2,FALSE),VLOOKUP(D660,★サイズ表記!$D$4:$E$55,2,FALSE),VLOOKUP(F660,★折込地区!$A$1:$B$11,2,FALSE))</f>
        <v>C2005Hks</v>
      </c>
      <c r="B660" s="457" t="s">
        <v>116</v>
      </c>
      <c r="C660" s="452" t="str">
        <f>VLOOKUP(B660,★営業所!$A$1:$B$5,2,FALSE)</f>
        <v>C</v>
      </c>
      <c r="D660" s="465" t="s">
        <v>967</v>
      </c>
      <c r="E660" s="452" t="str">
        <f>VLOOKUP(D660,★サイズ表記!$D$4:$E$55,2,FALSE)</f>
        <v>2005</v>
      </c>
      <c r="F660" s="457" t="s">
        <v>38</v>
      </c>
      <c r="G660" s="452" t="str">
        <f>VLOOKUP(F660,★折込地区!$A$1:$B$11,2,FALSE)</f>
        <v>Hks</v>
      </c>
      <c r="H660" s="453">
        <f>INDEX(★サイズ表記!$I$4:$Q$55, MATCH(E660,★サイズ表記!$E$4:$E$55,0), MATCH(G660,★サイズ表記!$I$3:$R$3,0))</f>
        <v>0</v>
      </c>
      <c r="K660" s="471" t="str">
        <f t="shared" si="72"/>
        <v>C2005Hks</v>
      </c>
      <c r="L660" s="471" t="str">
        <f t="shared" si="73"/>
        <v>連合B4厚紙</v>
      </c>
      <c r="P660" s="533" t="s">
        <v>1324</v>
      </c>
      <c r="Q660" s="533" t="s">
        <v>1325</v>
      </c>
      <c r="R660" s="534" t="str">
        <f t="shared" si="74"/>
        <v>2005</v>
      </c>
      <c r="S660" s="534" t="str">
        <f t="shared" si="75"/>
        <v>連合B4厚紙</v>
      </c>
      <c r="T660" s="538" t="str">
        <f t="shared" si="76"/>
        <v>20</v>
      </c>
      <c r="U660" s="538" t="str">
        <f t="shared" si="77"/>
        <v>05</v>
      </c>
      <c r="V660" s="471" t="s">
        <v>1136</v>
      </c>
      <c r="Y660" s="472">
        <f t="shared" si="78"/>
        <v>0</v>
      </c>
      <c r="Z660" s="540">
        <f t="shared" si="79"/>
        <v>0</v>
      </c>
      <c r="AA660" s="471">
        <v>0</v>
      </c>
    </row>
    <row r="661" spans="1:27">
      <c r="A661" s="451" t="str">
        <f>CONCATENATE(VLOOKUP(B661,★営業所!$A$1:$B$5,2,FALSE),VLOOKUP(D661,★サイズ表記!$D$4:$E$55,2,FALSE),VLOOKUP(F661,★折込地区!$A$1:$B$11,2,FALSE))</f>
        <v>C2006Hks</v>
      </c>
      <c r="B661" s="457" t="s">
        <v>116</v>
      </c>
      <c r="C661" s="452" t="str">
        <f>VLOOKUP(B661,★営業所!$A$1:$B$5,2,FALSE)</f>
        <v>C</v>
      </c>
      <c r="D661" s="465" t="s">
        <v>968</v>
      </c>
      <c r="E661" s="452" t="str">
        <f>VLOOKUP(D661,★サイズ表記!$D$4:$E$55,2,FALSE)</f>
        <v>2006</v>
      </c>
      <c r="F661" s="457" t="s">
        <v>38</v>
      </c>
      <c r="G661" s="452" t="str">
        <f>VLOOKUP(F661,★折込地区!$A$1:$B$11,2,FALSE)</f>
        <v>Hks</v>
      </c>
      <c r="H661" s="453">
        <f>INDEX(★サイズ表記!$I$4:$Q$55, MATCH(E661,★サイズ表記!$E$4:$E$55,0), MATCH(G661,★サイズ表記!$I$3:$R$3,0))</f>
        <v>0</v>
      </c>
      <c r="K661" s="471" t="str">
        <f t="shared" si="72"/>
        <v>C2006Hks</v>
      </c>
      <c r="L661" s="471" t="str">
        <f t="shared" si="73"/>
        <v>連合2つ折り極小</v>
      </c>
      <c r="P661" s="533" t="s">
        <v>1324</v>
      </c>
      <c r="Q661" s="533" t="s">
        <v>1325</v>
      </c>
      <c r="R661" s="534" t="str">
        <f t="shared" si="74"/>
        <v>2006</v>
      </c>
      <c r="S661" s="534" t="str">
        <f t="shared" si="75"/>
        <v>連合2つ折り極小</v>
      </c>
      <c r="T661" s="538" t="str">
        <f t="shared" si="76"/>
        <v>20</v>
      </c>
      <c r="U661" s="538" t="str">
        <f t="shared" si="77"/>
        <v>06</v>
      </c>
      <c r="V661" s="471" t="s">
        <v>1136</v>
      </c>
      <c r="Y661" s="472">
        <f t="shared" si="78"/>
        <v>0</v>
      </c>
      <c r="Z661" s="540">
        <f t="shared" si="79"/>
        <v>0</v>
      </c>
      <c r="AA661" s="471">
        <v>0</v>
      </c>
    </row>
    <row r="662" spans="1:27">
      <c r="A662" s="451" t="str">
        <f>CONCATENATE(VLOOKUP(B662,★営業所!$A$1:$B$5,2,FALSE),VLOOKUP(D662,★サイズ表記!$D$4:$E$55,2,FALSE),VLOOKUP(F662,★折込地区!$A$1:$B$11,2,FALSE))</f>
        <v>C2007Hks</v>
      </c>
      <c r="B662" s="457" t="s">
        <v>116</v>
      </c>
      <c r="C662" s="452" t="str">
        <f>VLOOKUP(B662,★営業所!$A$1:$B$5,2,FALSE)</f>
        <v>C</v>
      </c>
      <c r="D662" s="465" t="s">
        <v>1365</v>
      </c>
      <c r="E662" s="452" t="str">
        <f>VLOOKUP(D662,★サイズ表記!$D$4:$E$55,2,FALSE)</f>
        <v>2007</v>
      </c>
      <c r="F662" s="457" t="s">
        <v>38</v>
      </c>
      <c r="G662" s="452" t="str">
        <f>VLOOKUP(F662,★折込地区!$A$1:$B$11,2,FALSE)</f>
        <v>Hks</v>
      </c>
      <c r="H662" s="453">
        <f>INDEX(★サイズ表記!$I$4:$Q$55, MATCH(E662,★サイズ表記!$E$4:$E$55,0), MATCH(G662,★サイズ表記!$I$3:$R$3,0))</f>
        <v>0</v>
      </c>
      <c r="K662" s="471" t="str">
        <f t="shared" si="72"/>
        <v>C2007Hks</v>
      </c>
      <c r="L662" s="471" t="str">
        <f t="shared" si="73"/>
        <v>連合タブ6P</v>
      </c>
      <c r="P662" s="533" t="s">
        <v>1324</v>
      </c>
      <c r="Q662" s="533" t="s">
        <v>1325</v>
      </c>
      <c r="R662" s="534" t="str">
        <f t="shared" si="74"/>
        <v>2007</v>
      </c>
      <c r="S662" s="534" t="str">
        <f t="shared" si="75"/>
        <v>連合タブ6P</v>
      </c>
      <c r="T662" s="538" t="str">
        <f t="shared" si="76"/>
        <v>20</v>
      </c>
      <c r="U662" s="538" t="str">
        <f t="shared" si="77"/>
        <v>07</v>
      </c>
      <c r="V662" s="471" t="s">
        <v>1136</v>
      </c>
      <c r="Y662" s="472">
        <f t="shared" si="78"/>
        <v>0</v>
      </c>
      <c r="Z662" s="540">
        <f t="shared" si="79"/>
        <v>0</v>
      </c>
      <c r="AA662" s="471">
        <v>0</v>
      </c>
    </row>
    <row r="663" spans="1:27">
      <c r="A663" s="451" t="str">
        <f>CONCATENATE(VLOOKUP(B663,★営業所!$A$1:$B$5,2,FALSE),VLOOKUP(D663,★サイズ表記!$D$4:$E$55,2,FALSE),VLOOKUP(F663,★折込地区!$A$1:$B$11,2,FALSE))</f>
        <v>C2008Hks</v>
      </c>
      <c r="B663" s="457" t="s">
        <v>116</v>
      </c>
      <c r="C663" s="452" t="str">
        <f>VLOOKUP(B663,★営業所!$A$1:$B$5,2,FALSE)</f>
        <v>C</v>
      </c>
      <c r="D663" s="465" t="s">
        <v>1366</v>
      </c>
      <c r="E663" s="452" t="str">
        <f>VLOOKUP(D663,★サイズ表記!$D$4:$E$55,2,FALSE)</f>
        <v>2008</v>
      </c>
      <c r="F663" s="457" t="s">
        <v>38</v>
      </c>
      <c r="G663" s="452" t="str">
        <f>VLOOKUP(F663,★折込地区!$A$1:$B$11,2,FALSE)</f>
        <v>Hks</v>
      </c>
      <c r="H663" s="453">
        <f>INDEX(★サイズ表記!$I$4:$Q$55, MATCH(E663,★サイズ表記!$E$4:$E$55,0), MATCH(G663,★サイズ表記!$I$3:$R$3,0))</f>
        <v>0</v>
      </c>
      <c r="K663" s="471" t="str">
        <f t="shared" si="72"/>
        <v>C2008Hks</v>
      </c>
      <c r="L663" s="471" t="str">
        <f t="shared" si="73"/>
        <v>連合タブ8P</v>
      </c>
      <c r="P663" s="533" t="s">
        <v>1324</v>
      </c>
      <c r="Q663" s="533" t="s">
        <v>1325</v>
      </c>
      <c r="R663" s="534" t="str">
        <f t="shared" si="74"/>
        <v>2008</v>
      </c>
      <c r="S663" s="534" t="str">
        <f t="shared" si="75"/>
        <v>連合タブ8P</v>
      </c>
      <c r="T663" s="538" t="str">
        <f t="shared" si="76"/>
        <v>20</v>
      </c>
      <c r="U663" s="538" t="str">
        <f t="shared" si="77"/>
        <v>08</v>
      </c>
      <c r="V663" s="471" t="s">
        <v>1136</v>
      </c>
      <c r="Y663" s="472">
        <f t="shared" si="78"/>
        <v>0</v>
      </c>
      <c r="Z663" s="540">
        <f t="shared" si="79"/>
        <v>0</v>
      </c>
      <c r="AA663" s="471">
        <v>0</v>
      </c>
    </row>
    <row r="664" spans="1:27">
      <c r="A664" s="451" t="str">
        <f>CONCATENATE(VLOOKUP(B664,★営業所!$A$1:$B$5,2,FALSE),VLOOKUP(D664,★サイズ表記!$D$4:$E$55,2,FALSE),VLOOKUP(F664,★折込地区!$A$1:$B$11,2,FALSE))</f>
        <v>C2009Hks</v>
      </c>
      <c r="B664" s="457" t="s">
        <v>116</v>
      </c>
      <c r="C664" s="452" t="str">
        <f>VLOOKUP(B664,★営業所!$A$1:$B$5,2,FALSE)</f>
        <v>C</v>
      </c>
      <c r="D664" s="465" t="s">
        <v>1364</v>
      </c>
      <c r="E664" s="452" t="str">
        <f>VLOOKUP(D664,★サイズ表記!$D$4:$E$55,2,FALSE)</f>
        <v>2009</v>
      </c>
      <c r="F664" s="457" t="s">
        <v>38</v>
      </c>
      <c r="G664" s="452" t="str">
        <f>VLOOKUP(F664,★折込地区!$A$1:$B$11,2,FALSE)</f>
        <v>Hks</v>
      </c>
      <c r="H664" s="453">
        <f>INDEX(★サイズ表記!$I$4:$Q$55, MATCH(E664,★サイズ表記!$E$4:$E$55,0), MATCH(G664,★サイズ表記!$I$3:$R$3,0))</f>
        <v>0</v>
      </c>
      <c r="K664" s="471" t="str">
        <f t="shared" si="72"/>
        <v>C2009Hks</v>
      </c>
      <c r="L664" s="471" t="str">
        <f t="shared" si="73"/>
        <v>連合タブ12P</v>
      </c>
      <c r="P664" s="533" t="s">
        <v>1324</v>
      </c>
      <c r="Q664" s="533" t="s">
        <v>1325</v>
      </c>
      <c r="R664" s="534" t="str">
        <f t="shared" si="74"/>
        <v>2009</v>
      </c>
      <c r="S664" s="534" t="str">
        <f t="shared" si="75"/>
        <v>連合タブ12P</v>
      </c>
      <c r="T664" s="538" t="str">
        <f t="shared" si="76"/>
        <v>20</v>
      </c>
      <c r="U664" s="538" t="str">
        <f t="shared" si="77"/>
        <v>09</v>
      </c>
      <c r="V664" s="471" t="s">
        <v>1136</v>
      </c>
      <c r="Y664" s="472">
        <f t="shared" si="78"/>
        <v>0</v>
      </c>
      <c r="Z664" s="540">
        <f t="shared" si="79"/>
        <v>0</v>
      </c>
      <c r="AA664" s="471">
        <v>0</v>
      </c>
    </row>
    <row r="665" spans="1:27">
      <c r="A665" s="451" t="str">
        <f>CONCATENATE(VLOOKUP(B665,★営業所!$A$1:$B$5,2,FALSE),VLOOKUP(D665,★サイズ表記!$D$4:$E$55,2,FALSE),VLOOKUP(F665,★折込地区!$A$1:$B$11,2,FALSE))</f>
        <v>C3001Hks</v>
      </c>
      <c r="B665" s="457" t="s">
        <v>116</v>
      </c>
      <c r="C665" s="452" t="str">
        <f>VLOOKUP(B665,★営業所!$A$1:$B$5,2,FALSE)</f>
        <v>C</v>
      </c>
      <c r="D665" s="465" t="s">
        <v>969</v>
      </c>
      <c r="E665" s="452" t="str">
        <f>VLOOKUP(D665,★サイズ表記!$D$4:$E$55,2,FALSE)</f>
        <v>3001</v>
      </c>
      <c r="F665" s="457" t="s">
        <v>38</v>
      </c>
      <c r="G665" s="452" t="str">
        <f>VLOOKUP(F665,★折込地区!$A$1:$B$11,2,FALSE)</f>
        <v>Hks</v>
      </c>
      <c r="H665" s="453">
        <f>INDEX(★サイズ表記!$I$4:$Q$55, MATCH(E665,★サイズ表記!$E$4:$E$55,0), MATCH(G665,★サイズ表記!$I$3:$R$3,0))</f>
        <v>4.5</v>
      </c>
      <c r="K665" s="471" t="str">
        <f t="shared" si="72"/>
        <v>C3001Hks</v>
      </c>
      <c r="L665" s="471" t="str">
        <f t="shared" si="73"/>
        <v>政治B4</v>
      </c>
      <c r="P665" s="533" t="s">
        <v>1324</v>
      </c>
      <c r="Q665" s="533" t="s">
        <v>1325</v>
      </c>
      <c r="R665" s="534" t="str">
        <f t="shared" si="74"/>
        <v>3001</v>
      </c>
      <c r="S665" s="534" t="str">
        <f t="shared" si="75"/>
        <v>政治B4</v>
      </c>
      <c r="T665" s="538" t="str">
        <f t="shared" si="76"/>
        <v>30</v>
      </c>
      <c r="U665" s="538" t="str">
        <f t="shared" si="77"/>
        <v>01</v>
      </c>
      <c r="V665" s="471" t="s">
        <v>1136</v>
      </c>
      <c r="Y665" s="472">
        <f t="shared" si="78"/>
        <v>4.5</v>
      </c>
      <c r="Z665" s="540">
        <f t="shared" si="79"/>
        <v>0.36</v>
      </c>
      <c r="AA665" s="471">
        <v>0</v>
      </c>
    </row>
    <row r="666" spans="1:27">
      <c r="A666" s="451" t="str">
        <f>CONCATENATE(VLOOKUP(B666,★営業所!$A$1:$B$5,2,FALSE),VLOOKUP(D666,★サイズ表記!$D$4:$E$55,2,FALSE),VLOOKUP(F666,★折込地区!$A$1:$B$11,2,FALSE))</f>
        <v>C3002Hks</v>
      </c>
      <c r="B666" s="457" t="s">
        <v>116</v>
      </c>
      <c r="C666" s="452" t="str">
        <f>VLOOKUP(B666,★営業所!$A$1:$B$5,2,FALSE)</f>
        <v>C</v>
      </c>
      <c r="D666" s="465" t="s">
        <v>970</v>
      </c>
      <c r="E666" s="452" t="str">
        <f>VLOOKUP(D666,★サイズ表記!$D$4:$E$55,2,FALSE)</f>
        <v>3002</v>
      </c>
      <c r="F666" s="457" t="s">
        <v>38</v>
      </c>
      <c r="G666" s="452" t="str">
        <f>VLOOKUP(F666,★折込地区!$A$1:$B$11,2,FALSE)</f>
        <v>Hks</v>
      </c>
      <c r="H666" s="453">
        <f>INDEX(★サイズ表記!$I$4:$Q$55, MATCH(E666,★サイズ表記!$E$4:$E$55,0), MATCH(G666,★サイズ表記!$I$3:$R$3,0))</f>
        <v>9</v>
      </c>
      <c r="K666" s="471" t="str">
        <f t="shared" si="72"/>
        <v>C3002Hks</v>
      </c>
      <c r="L666" s="471" t="str">
        <f t="shared" si="73"/>
        <v>政治B3</v>
      </c>
      <c r="P666" s="533" t="s">
        <v>1324</v>
      </c>
      <c r="Q666" s="533" t="s">
        <v>1325</v>
      </c>
      <c r="R666" s="534" t="str">
        <f t="shared" si="74"/>
        <v>3002</v>
      </c>
      <c r="S666" s="534" t="str">
        <f t="shared" si="75"/>
        <v>政治B3</v>
      </c>
      <c r="T666" s="538" t="str">
        <f t="shared" si="76"/>
        <v>30</v>
      </c>
      <c r="U666" s="538" t="str">
        <f t="shared" si="77"/>
        <v>02</v>
      </c>
      <c r="V666" s="471" t="s">
        <v>1136</v>
      </c>
      <c r="Y666" s="472">
        <f t="shared" si="78"/>
        <v>9</v>
      </c>
      <c r="Z666" s="540">
        <f t="shared" si="79"/>
        <v>0.72</v>
      </c>
      <c r="AA666" s="471">
        <v>0</v>
      </c>
    </row>
    <row r="667" spans="1:27">
      <c r="A667" s="451" t="str">
        <f>CONCATENATE(VLOOKUP(B667,★営業所!$A$1:$B$5,2,FALSE),VLOOKUP(D667,★サイズ表記!$D$4:$E$55,2,FALSE),VLOOKUP(F667,★折込地区!$A$1:$B$11,2,FALSE))</f>
        <v>C3003Hks</v>
      </c>
      <c r="B667" s="457" t="s">
        <v>116</v>
      </c>
      <c r="C667" s="452" t="str">
        <f>VLOOKUP(B667,★営業所!$A$1:$B$5,2,FALSE)</f>
        <v>C</v>
      </c>
      <c r="D667" s="465" t="s">
        <v>971</v>
      </c>
      <c r="E667" s="452" t="str">
        <f>VLOOKUP(D667,★サイズ表記!$D$4:$E$55,2,FALSE)</f>
        <v>3003</v>
      </c>
      <c r="F667" s="457" t="s">
        <v>38</v>
      </c>
      <c r="G667" s="452" t="str">
        <f>VLOOKUP(F667,★折込地区!$A$1:$B$11,2,FALSE)</f>
        <v>Hks</v>
      </c>
      <c r="H667" s="453">
        <f>INDEX(★サイズ表記!$I$4:$Q$55, MATCH(E667,★サイズ表記!$E$4:$E$55,0), MATCH(G667,★サイズ表記!$I$3:$R$3,0))</f>
        <v>15</v>
      </c>
      <c r="K667" s="471" t="str">
        <f t="shared" si="72"/>
        <v>C3003Hks</v>
      </c>
      <c r="L667" s="471" t="str">
        <f t="shared" si="73"/>
        <v>政治B2</v>
      </c>
      <c r="P667" s="533" t="s">
        <v>1324</v>
      </c>
      <c r="Q667" s="533" t="s">
        <v>1325</v>
      </c>
      <c r="R667" s="534" t="str">
        <f t="shared" si="74"/>
        <v>3003</v>
      </c>
      <c r="S667" s="534" t="str">
        <f t="shared" si="75"/>
        <v>政治B2</v>
      </c>
      <c r="T667" s="538" t="str">
        <f t="shared" si="76"/>
        <v>30</v>
      </c>
      <c r="U667" s="538" t="str">
        <f t="shared" si="77"/>
        <v>03</v>
      </c>
      <c r="V667" s="471" t="s">
        <v>1136</v>
      </c>
      <c r="Y667" s="472">
        <f t="shared" si="78"/>
        <v>15</v>
      </c>
      <c r="Z667" s="540">
        <f t="shared" si="79"/>
        <v>1.2</v>
      </c>
      <c r="AA667" s="471">
        <v>0</v>
      </c>
    </row>
    <row r="668" spans="1:27">
      <c r="A668" s="451" t="str">
        <f>CONCATENATE(VLOOKUP(B668,★営業所!$A$1:$B$5,2,FALSE),VLOOKUP(D668,★サイズ表記!$D$4:$E$55,2,FALSE),VLOOKUP(F668,★折込地区!$A$1:$B$11,2,FALSE))</f>
        <v>C3004Hks</v>
      </c>
      <c r="B668" s="457" t="s">
        <v>116</v>
      </c>
      <c r="C668" s="452" t="str">
        <f>VLOOKUP(B668,★営業所!$A$1:$B$5,2,FALSE)</f>
        <v>C</v>
      </c>
      <c r="D668" s="465" t="s">
        <v>972</v>
      </c>
      <c r="E668" s="452" t="str">
        <f>VLOOKUP(D668,★サイズ表記!$D$4:$E$55,2,FALSE)</f>
        <v>3004</v>
      </c>
      <c r="F668" s="457" t="s">
        <v>38</v>
      </c>
      <c r="G668" s="452" t="str">
        <f>VLOOKUP(F668,★折込地区!$A$1:$B$11,2,FALSE)</f>
        <v>Hks</v>
      </c>
      <c r="H668" s="453">
        <f>INDEX(★サイズ表記!$I$4:$Q$55, MATCH(E668,★サイズ表記!$E$4:$E$55,0), MATCH(G668,★サイズ表記!$I$3:$R$3,0))</f>
        <v>0</v>
      </c>
      <c r="K668" s="471" t="str">
        <f t="shared" si="72"/>
        <v>C3004Hks</v>
      </c>
      <c r="L668" s="471" t="str">
        <f t="shared" si="73"/>
        <v>政治3つ折り</v>
      </c>
      <c r="P668" s="533" t="s">
        <v>1324</v>
      </c>
      <c r="Q668" s="533" t="s">
        <v>1325</v>
      </c>
      <c r="R668" s="534" t="str">
        <f t="shared" si="74"/>
        <v>3004</v>
      </c>
      <c r="S668" s="534" t="str">
        <f t="shared" si="75"/>
        <v>政治3つ折り</v>
      </c>
      <c r="T668" s="538" t="str">
        <f t="shared" si="76"/>
        <v>30</v>
      </c>
      <c r="U668" s="538" t="str">
        <f t="shared" si="77"/>
        <v>04</v>
      </c>
      <c r="V668" s="471" t="s">
        <v>1136</v>
      </c>
      <c r="Y668" s="472">
        <f t="shared" si="78"/>
        <v>0</v>
      </c>
      <c r="Z668" s="540">
        <f t="shared" si="79"/>
        <v>0</v>
      </c>
      <c r="AA668" s="471">
        <v>0</v>
      </c>
    </row>
    <row r="669" spans="1:27">
      <c r="A669" s="451" t="str">
        <f>CONCATENATE(VLOOKUP(B669,★営業所!$A$1:$B$5,2,FALSE),VLOOKUP(D669,★サイズ表記!$D$4:$E$55,2,FALSE),VLOOKUP(F669,★折込地区!$A$1:$B$11,2,FALSE))</f>
        <v>C3005Hks</v>
      </c>
      <c r="B669" s="457" t="s">
        <v>116</v>
      </c>
      <c r="C669" s="452" t="str">
        <f>VLOOKUP(B669,★営業所!$A$1:$B$5,2,FALSE)</f>
        <v>C</v>
      </c>
      <c r="D669" s="465" t="s">
        <v>973</v>
      </c>
      <c r="E669" s="452" t="str">
        <f>VLOOKUP(D669,★サイズ表記!$D$4:$E$55,2,FALSE)</f>
        <v>3005</v>
      </c>
      <c r="F669" s="457" t="s">
        <v>38</v>
      </c>
      <c r="G669" s="452" t="str">
        <f>VLOOKUP(F669,★折込地区!$A$1:$B$11,2,FALSE)</f>
        <v>Hks</v>
      </c>
      <c r="H669" s="453">
        <f>INDEX(★サイズ表記!$I$4:$Q$55, MATCH(E669,★サイズ表記!$E$4:$E$55,0), MATCH(G669,★サイズ表記!$I$3:$R$3,0))</f>
        <v>0</v>
      </c>
      <c r="K669" s="471" t="str">
        <f t="shared" si="72"/>
        <v>C3005Hks</v>
      </c>
      <c r="L669" s="471" t="str">
        <f t="shared" si="73"/>
        <v>政治2つ折り極小</v>
      </c>
      <c r="P669" s="533" t="s">
        <v>1324</v>
      </c>
      <c r="Q669" s="533" t="s">
        <v>1325</v>
      </c>
      <c r="R669" s="534" t="str">
        <f t="shared" si="74"/>
        <v>3005</v>
      </c>
      <c r="S669" s="534" t="str">
        <f t="shared" si="75"/>
        <v>政治2つ折り極小</v>
      </c>
      <c r="T669" s="538" t="str">
        <f t="shared" si="76"/>
        <v>30</v>
      </c>
      <c r="U669" s="538" t="str">
        <f t="shared" si="77"/>
        <v>05</v>
      </c>
      <c r="V669" s="471" t="s">
        <v>1136</v>
      </c>
      <c r="Y669" s="472">
        <f t="shared" si="78"/>
        <v>0</v>
      </c>
      <c r="Z669" s="540">
        <f t="shared" si="79"/>
        <v>0</v>
      </c>
      <c r="AA669" s="471">
        <v>0</v>
      </c>
    </row>
    <row r="670" spans="1:27">
      <c r="A670" s="451" t="str">
        <f>CONCATENATE(VLOOKUP(B670,★営業所!$A$1:$B$5,2,FALSE),VLOOKUP(D670,★サイズ表記!$D$4:$E$55,2,FALSE),VLOOKUP(F670,★折込地区!$A$1:$B$11,2,FALSE))</f>
        <v>C3006Hks</v>
      </c>
      <c r="B670" s="457" t="s">
        <v>116</v>
      </c>
      <c r="C670" s="452" t="str">
        <f>VLOOKUP(B670,★営業所!$A$1:$B$5,2,FALSE)</f>
        <v>C</v>
      </c>
      <c r="D670" s="465" t="s">
        <v>974</v>
      </c>
      <c r="E670" s="452" t="str">
        <f>VLOOKUP(D670,★サイズ表記!$D$4:$E$55,2,FALSE)</f>
        <v>3006</v>
      </c>
      <c r="F670" s="457" t="s">
        <v>38</v>
      </c>
      <c r="G670" s="452" t="str">
        <f>VLOOKUP(F670,★折込地区!$A$1:$B$11,2,FALSE)</f>
        <v>Hks</v>
      </c>
      <c r="H670" s="453">
        <f>INDEX(★サイズ表記!$I$4:$Q$55, MATCH(E670,★サイズ表記!$E$4:$E$55,0), MATCH(G670,★サイズ表記!$I$3:$R$3,0))</f>
        <v>0</v>
      </c>
      <c r="K670" s="471" t="str">
        <f t="shared" si="72"/>
        <v>C3006Hks</v>
      </c>
      <c r="L670" s="471" t="str">
        <f t="shared" si="73"/>
        <v>政治B4厚紙</v>
      </c>
      <c r="P670" s="533" t="s">
        <v>1324</v>
      </c>
      <c r="Q670" s="533" t="s">
        <v>1325</v>
      </c>
      <c r="R670" s="534" t="str">
        <f t="shared" si="74"/>
        <v>3006</v>
      </c>
      <c r="S670" s="534" t="str">
        <f t="shared" si="75"/>
        <v>政治B4厚紙</v>
      </c>
      <c r="T670" s="538" t="str">
        <f t="shared" si="76"/>
        <v>30</v>
      </c>
      <c r="U670" s="538" t="str">
        <f t="shared" si="77"/>
        <v>06</v>
      </c>
      <c r="V670" s="471" t="s">
        <v>1136</v>
      </c>
      <c r="Y670" s="472">
        <f t="shared" si="78"/>
        <v>0</v>
      </c>
      <c r="Z670" s="540">
        <f t="shared" si="79"/>
        <v>0</v>
      </c>
      <c r="AA670" s="471">
        <v>0</v>
      </c>
    </row>
    <row r="671" spans="1:27">
      <c r="A671" s="451" t="str">
        <f>CONCATENATE(VLOOKUP(B671,★営業所!$A$1:$B$5,2,FALSE),VLOOKUP(D671,★サイズ表記!$D$4:$E$55,2,FALSE),VLOOKUP(F671,★折込地区!$A$1:$B$11,2,FALSE))</f>
        <v>C3007Hks</v>
      </c>
      <c r="B671" s="457" t="s">
        <v>116</v>
      </c>
      <c r="C671" s="452" t="str">
        <f>VLOOKUP(B671,★営業所!$A$1:$B$5,2,FALSE)</f>
        <v>C</v>
      </c>
      <c r="D671" s="465" t="s">
        <v>1362</v>
      </c>
      <c r="E671" s="452" t="str">
        <f>VLOOKUP(D671,★サイズ表記!$D$4:$E$55,2,FALSE)</f>
        <v>3007</v>
      </c>
      <c r="F671" s="457" t="s">
        <v>38</v>
      </c>
      <c r="G671" s="452" t="str">
        <f>VLOOKUP(F671,★折込地区!$A$1:$B$11,2,FALSE)</f>
        <v>Hks</v>
      </c>
      <c r="H671" s="453">
        <f>INDEX(★サイズ表記!$I$4:$Q$55, MATCH(E671,★サイズ表記!$E$4:$E$55,0), MATCH(G671,★サイズ表記!$I$3:$R$3,0))</f>
        <v>0</v>
      </c>
      <c r="K671" s="471" t="str">
        <f t="shared" si="72"/>
        <v>C3007Hks</v>
      </c>
      <c r="L671" s="471" t="str">
        <f t="shared" si="73"/>
        <v>政治タブ6P</v>
      </c>
      <c r="P671" s="533" t="s">
        <v>1324</v>
      </c>
      <c r="Q671" s="533" t="s">
        <v>1325</v>
      </c>
      <c r="R671" s="534" t="str">
        <f t="shared" si="74"/>
        <v>3007</v>
      </c>
      <c r="S671" s="534" t="str">
        <f t="shared" si="75"/>
        <v>政治タブ6P</v>
      </c>
      <c r="T671" s="538" t="str">
        <f t="shared" si="76"/>
        <v>30</v>
      </c>
      <c r="U671" s="538" t="str">
        <f t="shared" si="77"/>
        <v>07</v>
      </c>
      <c r="V671" s="471" t="s">
        <v>1136</v>
      </c>
      <c r="Y671" s="472">
        <f t="shared" si="78"/>
        <v>0</v>
      </c>
      <c r="Z671" s="540">
        <f t="shared" si="79"/>
        <v>0</v>
      </c>
      <c r="AA671" s="471">
        <v>0</v>
      </c>
    </row>
    <row r="672" spans="1:27">
      <c r="A672" s="451" t="str">
        <f>CONCATENATE(VLOOKUP(B672,★営業所!$A$1:$B$5,2,FALSE),VLOOKUP(D672,★サイズ表記!$D$4:$E$55,2,FALSE),VLOOKUP(F672,★折込地区!$A$1:$B$11,2,FALSE))</f>
        <v>C3008Hks</v>
      </c>
      <c r="B672" s="457" t="s">
        <v>116</v>
      </c>
      <c r="C672" s="452" t="str">
        <f>VLOOKUP(B672,★営業所!$A$1:$B$5,2,FALSE)</f>
        <v>C</v>
      </c>
      <c r="D672" s="465" t="s">
        <v>1363</v>
      </c>
      <c r="E672" s="452" t="str">
        <f>VLOOKUP(D672,★サイズ表記!$D$4:$E$55,2,FALSE)</f>
        <v>3008</v>
      </c>
      <c r="F672" s="457" t="s">
        <v>38</v>
      </c>
      <c r="G672" s="452" t="str">
        <f>VLOOKUP(F672,★折込地区!$A$1:$B$11,2,FALSE)</f>
        <v>Hks</v>
      </c>
      <c r="H672" s="453">
        <f>INDEX(★サイズ表記!$I$4:$Q$55, MATCH(E672,★サイズ表記!$E$4:$E$55,0), MATCH(G672,★サイズ表記!$I$3:$R$3,0))</f>
        <v>0</v>
      </c>
      <c r="K672" s="471" t="str">
        <f t="shared" si="72"/>
        <v>C3008Hks</v>
      </c>
      <c r="L672" s="471" t="str">
        <f t="shared" si="73"/>
        <v>政治タブ8P</v>
      </c>
      <c r="P672" s="533" t="s">
        <v>1324</v>
      </c>
      <c r="Q672" s="533" t="s">
        <v>1325</v>
      </c>
      <c r="R672" s="534" t="str">
        <f t="shared" si="74"/>
        <v>3008</v>
      </c>
      <c r="S672" s="534" t="str">
        <f t="shared" si="75"/>
        <v>政治タブ8P</v>
      </c>
      <c r="T672" s="538" t="str">
        <f t="shared" si="76"/>
        <v>30</v>
      </c>
      <c r="U672" s="538" t="str">
        <f t="shared" si="77"/>
        <v>08</v>
      </c>
      <c r="V672" s="471" t="s">
        <v>1136</v>
      </c>
      <c r="Y672" s="472">
        <f t="shared" si="78"/>
        <v>0</v>
      </c>
      <c r="Z672" s="540">
        <f t="shared" si="79"/>
        <v>0</v>
      </c>
      <c r="AA672" s="471">
        <v>0</v>
      </c>
    </row>
    <row r="673" spans="1:27">
      <c r="A673" s="451" t="str">
        <f>CONCATENATE(VLOOKUP(B673,★営業所!$A$1:$B$5,2,FALSE),VLOOKUP(D673,★サイズ表記!$D$4:$E$55,2,FALSE),VLOOKUP(F673,★折込地区!$A$1:$B$11,2,FALSE))</f>
        <v>C3009Hks</v>
      </c>
      <c r="B673" s="457" t="s">
        <v>116</v>
      </c>
      <c r="C673" s="452" t="str">
        <f>VLOOKUP(B673,★営業所!$A$1:$B$5,2,FALSE)</f>
        <v>C</v>
      </c>
      <c r="D673" s="465" t="s">
        <v>1361</v>
      </c>
      <c r="E673" s="452" t="str">
        <f>VLOOKUP(D673,★サイズ表記!$D$4:$E$55,2,FALSE)</f>
        <v>3009</v>
      </c>
      <c r="F673" s="457" t="s">
        <v>38</v>
      </c>
      <c r="G673" s="452" t="str">
        <f>VLOOKUP(F673,★折込地区!$A$1:$B$11,2,FALSE)</f>
        <v>Hks</v>
      </c>
      <c r="H673" s="453">
        <f>INDEX(★サイズ表記!$I$4:$Q$55, MATCH(E673,★サイズ表記!$E$4:$E$55,0), MATCH(G673,★サイズ表記!$I$3:$R$3,0))</f>
        <v>0</v>
      </c>
      <c r="K673" s="471" t="str">
        <f t="shared" si="72"/>
        <v>C3009Hks</v>
      </c>
      <c r="L673" s="471" t="str">
        <f t="shared" si="73"/>
        <v>政治タブ12P</v>
      </c>
      <c r="P673" s="533" t="s">
        <v>1324</v>
      </c>
      <c r="Q673" s="533" t="s">
        <v>1325</v>
      </c>
      <c r="R673" s="534" t="str">
        <f t="shared" si="74"/>
        <v>3009</v>
      </c>
      <c r="S673" s="534" t="str">
        <f t="shared" si="75"/>
        <v>政治タブ12P</v>
      </c>
      <c r="T673" s="538" t="str">
        <f t="shared" si="76"/>
        <v>30</v>
      </c>
      <c r="U673" s="538" t="str">
        <f t="shared" si="77"/>
        <v>09</v>
      </c>
      <c r="V673" s="471" t="s">
        <v>1136</v>
      </c>
      <c r="Y673" s="472">
        <f t="shared" si="78"/>
        <v>0</v>
      </c>
      <c r="Z673" s="540">
        <f t="shared" si="79"/>
        <v>0</v>
      </c>
      <c r="AA673" s="471">
        <v>0</v>
      </c>
    </row>
    <row r="674" spans="1:27">
      <c r="A674" s="451" t="str">
        <f>CONCATENATE(VLOOKUP(B674,★営業所!$A$1:$B$5,2,FALSE),VLOOKUP(D674,★サイズ表記!$D$4:$E$55,2,FALSE),VLOOKUP(F674,★折込地区!$A$1:$B$11,2,FALSE))</f>
        <v>C4001Hks</v>
      </c>
      <c r="B674" s="457" t="s">
        <v>116</v>
      </c>
      <c r="C674" s="452" t="str">
        <f>VLOOKUP(B674,★営業所!$A$1:$B$5,2,FALSE)</f>
        <v>C</v>
      </c>
      <c r="D674" s="465" t="s">
        <v>1358</v>
      </c>
      <c r="E674" s="452" t="str">
        <f>VLOOKUP(D674,★サイズ表記!$D$4:$E$55,2,FALSE)</f>
        <v>4001</v>
      </c>
      <c r="F674" s="457" t="s">
        <v>38</v>
      </c>
      <c r="G674" s="452" t="str">
        <f>VLOOKUP(F674,★折込地区!$A$1:$B$11,2,FALSE)</f>
        <v>Hks</v>
      </c>
      <c r="H674" s="453">
        <f>INDEX(★サイズ表記!$I$4:$Q$55, MATCH(E674,★サイズ表記!$E$4:$E$55,0), MATCH(G674,★サイズ表記!$I$3:$R$3,0))</f>
        <v>0</v>
      </c>
      <c r="K674" s="471" t="str">
        <f t="shared" si="72"/>
        <v>C4001Hks</v>
      </c>
      <c r="L674" s="471" t="str">
        <f t="shared" si="73"/>
        <v>タブ6P</v>
      </c>
      <c r="P674" s="533" t="s">
        <v>1324</v>
      </c>
      <c r="Q674" s="533" t="s">
        <v>1325</v>
      </c>
      <c r="R674" s="534" t="str">
        <f t="shared" si="74"/>
        <v>4001</v>
      </c>
      <c r="S674" s="534" t="str">
        <f t="shared" si="75"/>
        <v>タブ6P</v>
      </c>
      <c r="T674" s="538" t="str">
        <f t="shared" si="76"/>
        <v>40</v>
      </c>
      <c r="U674" s="538" t="str">
        <f t="shared" si="77"/>
        <v>01</v>
      </c>
      <c r="V674" s="471" t="s">
        <v>1136</v>
      </c>
      <c r="Y674" s="472">
        <f t="shared" si="78"/>
        <v>0</v>
      </c>
      <c r="Z674" s="540">
        <f t="shared" si="79"/>
        <v>0</v>
      </c>
      <c r="AA674" s="471">
        <v>0</v>
      </c>
    </row>
    <row r="675" spans="1:27">
      <c r="A675" s="451" t="str">
        <f>CONCATENATE(VLOOKUP(B675,★営業所!$A$1:$B$5,2,FALSE),VLOOKUP(D675,★サイズ表記!$D$4:$E$55,2,FALSE),VLOOKUP(F675,★折込地区!$A$1:$B$11,2,FALSE))</f>
        <v>C4002Hks</v>
      </c>
      <c r="B675" s="457" t="s">
        <v>116</v>
      </c>
      <c r="C675" s="452" t="str">
        <f>VLOOKUP(B675,★営業所!$A$1:$B$5,2,FALSE)</f>
        <v>C</v>
      </c>
      <c r="D675" s="465" t="s">
        <v>1359</v>
      </c>
      <c r="E675" s="452" t="str">
        <f>VLOOKUP(D675,★サイズ表記!$D$4:$E$55,2,FALSE)</f>
        <v>4002</v>
      </c>
      <c r="F675" s="457" t="s">
        <v>38</v>
      </c>
      <c r="G675" s="452" t="str">
        <f>VLOOKUP(F675,★折込地区!$A$1:$B$11,2,FALSE)</f>
        <v>Hks</v>
      </c>
      <c r="H675" s="453">
        <f>INDEX(★サイズ表記!$I$4:$Q$55, MATCH(E675,★サイズ表記!$E$4:$E$55,0), MATCH(G675,★サイズ表記!$I$3:$R$3,0))</f>
        <v>0</v>
      </c>
      <c r="K675" s="471" t="str">
        <f t="shared" si="72"/>
        <v>C4002Hks</v>
      </c>
      <c r="L675" s="471" t="str">
        <f t="shared" si="73"/>
        <v>タブ8P</v>
      </c>
      <c r="P675" s="533" t="s">
        <v>1324</v>
      </c>
      <c r="Q675" s="533" t="s">
        <v>1325</v>
      </c>
      <c r="R675" s="534" t="str">
        <f t="shared" si="74"/>
        <v>4002</v>
      </c>
      <c r="S675" s="534" t="str">
        <f t="shared" si="75"/>
        <v>タブ8P</v>
      </c>
      <c r="T675" s="538" t="str">
        <f t="shared" si="76"/>
        <v>40</v>
      </c>
      <c r="U675" s="538" t="str">
        <f t="shared" si="77"/>
        <v>02</v>
      </c>
      <c r="V675" s="471" t="s">
        <v>1136</v>
      </c>
      <c r="Y675" s="472">
        <f t="shared" si="78"/>
        <v>0</v>
      </c>
      <c r="Z675" s="540">
        <f t="shared" si="79"/>
        <v>0</v>
      </c>
      <c r="AA675" s="471">
        <v>0</v>
      </c>
    </row>
    <row r="676" spans="1:27">
      <c r="A676" s="451" t="str">
        <f>CONCATENATE(VLOOKUP(B676,★営業所!$A$1:$B$5,2,FALSE),VLOOKUP(D676,★サイズ表記!$D$4:$E$55,2,FALSE),VLOOKUP(F676,★折込地区!$A$1:$B$11,2,FALSE))</f>
        <v>C4003Hks</v>
      </c>
      <c r="B676" s="457" t="s">
        <v>116</v>
      </c>
      <c r="C676" s="452" t="str">
        <f>VLOOKUP(B676,★営業所!$A$1:$B$5,2,FALSE)</f>
        <v>C</v>
      </c>
      <c r="D676" s="465" t="s">
        <v>1360</v>
      </c>
      <c r="E676" s="452" t="str">
        <f>VLOOKUP(D676,★サイズ表記!$D$4:$E$55,2,FALSE)</f>
        <v>4003</v>
      </c>
      <c r="F676" s="457" t="s">
        <v>38</v>
      </c>
      <c r="G676" s="452" t="str">
        <f>VLOOKUP(F676,★折込地区!$A$1:$B$11,2,FALSE)</f>
        <v>Hks</v>
      </c>
      <c r="H676" s="453">
        <f>INDEX(★サイズ表記!$I$4:$Q$55, MATCH(E676,★サイズ表記!$E$4:$E$55,0), MATCH(G676,★サイズ表記!$I$3:$R$3,0))</f>
        <v>0</v>
      </c>
      <c r="K676" s="471" t="str">
        <f t="shared" si="72"/>
        <v>C4003Hks</v>
      </c>
      <c r="L676" s="471" t="str">
        <f t="shared" si="73"/>
        <v>タブ8Pホチキス止め</v>
      </c>
      <c r="P676" s="533" t="s">
        <v>1324</v>
      </c>
      <c r="Q676" s="533" t="s">
        <v>1325</v>
      </c>
      <c r="R676" s="534" t="str">
        <f t="shared" si="74"/>
        <v>4003</v>
      </c>
      <c r="S676" s="534" t="str">
        <f t="shared" si="75"/>
        <v>タブ8Pホチキス止め</v>
      </c>
      <c r="T676" s="538" t="str">
        <f t="shared" si="76"/>
        <v>40</v>
      </c>
      <c r="U676" s="538" t="str">
        <f t="shared" si="77"/>
        <v>03</v>
      </c>
      <c r="V676" s="471" t="s">
        <v>1136</v>
      </c>
      <c r="Y676" s="472">
        <f t="shared" si="78"/>
        <v>0</v>
      </c>
      <c r="Z676" s="540">
        <f t="shared" si="79"/>
        <v>0</v>
      </c>
      <c r="AA676" s="471">
        <v>0</v>
      </c>
    </row>
    <row r="677" spans="1:27">
      <c r="A677" s="451" t="str">
        <f>CONCATENATE(VLOOKUP(B677,★営業所!$A$1:$B$5,2,FALSE),VLOOKUP(D677,★サイズ表記!$D$4:$E$55,2,FALSE),VLOOKUP(F677,★折込地区!$A$1:$B$11,2,FALSE))</f>
        <v>C4004Hks</v>
      </c>
      <c r="B677" s="457" t="s">
        <v>116</v>
      </c>
      <c r="C677" s="452" t="str">
        <f>VLOOKUP(B677,★営業所!$A$1:$B$5,2,FALSE)</f>
        <v>C</v>
      </c>
      <c r="D677" s="465" t="s">
        <v>1350</v>
      </c>
      <c r="E677" s="452" t="str">
        <f>VLOOKUP(D677,★サイズ表記!$D$4:$E$55,2,FALSE)</f>
        <v>4004</v>
      </c>
      <c r="F677" s="457" t="s">
        <v>38</v>
      </c>
      <c r="G677" s="452" t="str">
        <f>VLOOKUP(F677,★折込地区!$A$1:$B$11,2,FALSE)</f>
        <v>Hks</v>
      </c>
      <c r="H677" s="453">
        <f>INDEX(★サイズ表記!$I$4:$Q$55, MATCH(E677,★サイズ表記!$E$4:$E$55,0), MATCH(G677,★サイズ表記!$I$3:$R$3,0))</f>
        <v>0</v>
      </c>
      <c r="K677" s="471" t="str">
        <f t="shared" si="72"/>
        <v>C4004Hks</v>
      </c>
      <c r="L677" s="471" t="str">
        <f t="shared" si="73"/>
        <v>タブ10P</v>
      </c>
      <c r="P677" s="533" t="s">
        <v>1324</v>
      </c>
      <c r="Q677" s="533" t="s">
        <v>1325</v>
      </c>
      <c r="R677" s="534" t="str">
        <f t="shared" si="74"/>
        <v>4004</v>
      </c>
      <c r="S677" s="534" t="str">
        <f t="shared" si="75"/>
        <v>タブ10P</v>
      </c>
      <c r="T677" s="538" t="str">
        <f t="shared" si="76"/>
        <v>40</v>
      </c>
      <c r="U677" s="538" t="str">
        <f t="shared" si="77"/>
        <v>04</v>
      </c>
      <c r="V677" s="471" t="s">
        <v>1136</v>
      </c>
      <c r="Y677" s="472">
        <f t="shared" si="78"/>
        <v>0</v>
      </c>
      <c r="Z677" s="540">
        <f t="shared" si="79"/>
        <v>0</v>
      </c>
      <c r="AA677" s="471">
        <v>0</v>
      </c>
    </row>
    <row r="678" spans="1:27">
      <c r="A678" s="451" t="str">
        <f>CONCATENATE(VLOOKUP(B678,★営業所!$A$1:$B$5,2,FALSE),VLOOKUP(D678,★サイズ表記!$D$4:$E$55,2,FALSE),VLOOKUP(F678,★折込地区!$A$1:$B$11,2,FALSE))</f>
        <v>C4005Hks</v>
      </c>
      <c r="B678" s="457" t="s">
        <v>116</v>
      </c>
      <c r="C678" s="452" t="str">
        <f>VLOOKUP(B678,★営業所!$A$1:$B$5,2,FALSE)</f>
        <v>C</v>
      </c>
      <c r="D678" s="465" t="s">
        <v>1351</v>
      </c>
      <c r="E678" s="452" t="str">
        <f>VLOOKUP(D678,★サイズ表記!$D$4:$E$55,2,FALSE)</f>
        <v>4005</v>
      </c>
      <c r="F678" s="457" t="s">
        <v>38</v>
      </c>
      <c r="G678" s="452" t="str">
        <f>VLOOKUP(F678,★折込地区!$A$1:$B$11,2,FALSE)</f>
        <v>Hks</v>
      </c>
      <c r="H678" s="453">
        <f>INDEX(★サイズ表記!$I$4:$Q$55, MATCH(E678,★サイズ表記!$E$4:$E$55,0), MATCH(G678,★サイズ表記!$I$3:$R$3,0))</f>
        <v>0</v>
      </c>
      <c r="K678" s="471" t="str">
        <f t="shared" si="72"/>
        <v>C4005Hks</v>
      </c>
      <c r="L678" s="471" t="str">
        <f t="shared" si="73"/>
        <v>タブ12P</v>
      </c>
      <c r="P678" s="533" t="s">
        <v>1324</v>
      </c>
      <c r="Q678" s="533" t="s">
        <v>1325</v>
      </c>
      <c r="R678" s="534" t="str">
        <f t="shared" si="74"/>
        <v>4005</v>
      </c>
      <c r="S678" s="534" t="str">
        <f t="shared" si="75"/>
        <v>タブ12P</v>
      </c>
      <c r="T678" s="538" t="str">
        <f t="shared" si="76"/>
        <v>40</v>
      </c>
      <c r="U678" s="538" t="str">
        <f t="shared" si="77"/>
        <v>05</v>
      </c>
      <c r="V678" s="471" t="s">
        <v>1136</v>
      </c>
      <c r="Y678" s="472">
        <f t="shared" si="78"/>
        <v>0</v>
      </c>
      <c r="Z678" s="540">
        <f t="shared" si="79"/>
        <v>0</v>
      </c>
      <c r="AA678" s="471">
        <v>0</v>
      </c>
    </row>
    <row r="679" spans="1:27">
      <c r="A679" s="451" t="str">
        <f>CONCATENATE(VLOOKUP(B679,★営業所!$A$1:$B$5,2,FALSE),VLOOKUP(D679,★サイズ表記!$D$4:$E$55,2,FALSE),VLOOKUP(F679,★折込地区!$A$1:$B$11,2,FALSE))</f>
        <v>C4006Hks</v>
      </c>
      <c r="B679" s="457" t="s">
        <v>116</v>
      </c>
      <c r="C679" s="452" t="str">
        <f>VLOOKUP(B679,★営業所!$A$1:$B$5,2,FALSE)</f>
        <v>C</v>
      </c>
      <c r="D679" s="465" t="s">
        <v>1352</v>
      </c>
      <c r="E679" s="452" t="str">
        <f>VLOOKUP(D679,★サイズ表記!$D$4:$E$55,2,FALSE)</f>
        <v>4006</v>
      </c>
      <c r="F679" s="457" t="s">
        <v>38</v>
      </c>
      <c r="G679" s="452" t="str">
        <f>VLOOKUP(F679,★折込地区!$A$1:$B$11,2,FALSE)</f>
        <v>Hks</v>
      </c>
      <c r="H679" s="453">
        <f>INDEX(★サイズ表記!$I$4:$Q$55, MATCH(E679,★サイズ表記!$E$4:$E$55,0), MATCH(G679,★サイズ表記!$I$3:$R$3,0))</f>
        <v>0</v>
      </c>
      <c r="K679" s="471" t="str">
        <f t="shared" si="72"/>
        <v>C4006Hks</v>
      </c>
      <c r="L679" s="471" t="str">
        <f t="shared" si="73"/>
        <v>タブ14P</v>
      </c>
      <c r="P679" s="533" t="s">
        <v>1324</v>
      </c>
      <c r="Q679" s="533" t="s">
        <v>1325</v>
      </c>
      <c r="R679" s="534" t="str">
        <f t="shared" si="74"/>
        <v>4006</v>
      </c>
      <c r="S679" s="534" t="str">
        <f t="shared" si="75"/>
        <v>タブ14P</v>
      </c>
      <c r="T679" s="538" t="str">
        <f t="shared" si="76"/>
        <v>40</v>
      </c>
      <c r="U679" s="538" t="str">
        <f t="shared" si="77"/>
        <v>06</v>
      </c>
      <c r="V679" s="471" t="s">
        <v>1136</v>
      </c>
      <c r="Y679" s="472">
        <f t="shared" si="78"/>
        <v>0</v>
      </c>
      <c r="Z679" s="540">
        <f t="shared" si="79"/>
        <v>0</v>
      </c>
      <c r="AA679" s="471">
        <v>0</v>
      </c>
    </row>
    <row r="680" spans="1:27">
      <c r="A680" s="451" t="str">
        <f>CONCATENATE(VLOOKUP(B680,★営業所!$A$1:$B$5,2,FALSE),VLOOKUP(D680,★サイズ表記!$D$4:$E$55,2,FALSE),VLOOKUP(F680,★折込地区!$A$1:$B$11,2,FALSE))</f>
        <v>C4007Hks</v>
      </c>
      <c r="B680" s="457" t="s">
        <v>116</v>
      </c>
      <c r="C680" s="452" t="str">
        <f>VLOOKUP(B680,★営業所!$A$1:$B$5,2,FALSE)</f>
        <v>C</v>
      </c>
      <c r="D680" s="465" t="s">
        <v>1353</v>
      </c>
      <c r="E680" s="452" t="str">
        <f>VLOOKUP(D680,★サイズ表記!$D$4:$E$55,2,FALSE)</f>
        <v>4007</v>
      </c>
      <c r="F680" s="457" t="s">
        <v>38</v>
      </c>
      <c r="G680" s="452" t="str">
        <f>VLOOKUP(F680,★折込地区!$A$1:$B$11,2,FALSE)</f>
        <v>Hks</v>
      </c>
      <c r="H680" s="453">
        <f>INDEX(★サイズ表記!$I$4:$Q$55, MATCH(E680,★サイズ表記!$E$4:$E$55,0), MATCH(G680,★サイズ表記!$I$3:$R$3,0))</f>
        <v>0</v>
      </c>
      <c r="K680" s="471" t="str">
        <f t="shared" si="72"/>
        <v>C4007Hks</v>
      </c>
      <c r="L680" s="471" t="str">
        <f t="shared" si="73"/>
        <v>タブ16P</v>
      </c>
      <c r="P680" s="533" t="s">
        <v>1324</v>
      </c>
      <c r="Q680" s="533" t="s">
        <v>1325</v>
      </c>
      <c r="R680" s="534" t="str">
        <f t="shared" si="74"/>
        <v>4007</v>
      </c>
      <c r="S680" s="534" t="str">
        <f t="shared" si="75"/>
        <v>タブ16P</v>
      </c>
      <c r="T680" s="538" t="str">
        <f t="shared" si="76"/>
        <v>40</v>
      </c>
      <c r="U680" s="538" t="str">
        <f t="shared" si="77"/>
        <v>07</v>
      </c>
      <c r="V680" s="471" t="s">
        <v>1136</v>
      </c>
      <c r="Y680" s="472">
        <f t="shared" si="78"/>
        <v>0</v>
      </c>
      <c r="Z680" s="540">
        <f t="shared" si="79"/>
        <v>0</v>
      </c>
      <c r="AA680" s="471">
        <v>0</v>
      </c>
    </row>
    <row r="681" spans="1:27">
      <c r="A681" s="451" t="str">
        <f>CONCATENATE(VLOOKUP(B681,★営業所!$A$1:$B$5,2,FALSE),VLOOKUP(D681,★サイズ表記!$D$4:$E$55,2,FALSE),VLOOKUP(F681,★折込地区!$A$1:$B$11,2,FALSE))</f>
        <v>C4008Hks</v>
      </c>
      <c r="B681" s="457" t="s">
        <v>116</v>
      </c>
      <c r="C681" s="452" t="str">
        <f>VLOOKUP(B681,★営業所!$A$1:$B$5,2,FALSE)</f>
        <v>C</v>
      </c>
      <c r="D681" s="465" t="s">
        <v>1355</v>
      </c>
      <c r="E681" s="452" t="str">
        <f>VLOOKUP(D681,★サイズ表記!$D$4:$E$55,2,FALSE)</f>
        <v>4008</v>
      </c>
      <c r="F681" s="457" t="s">
        <v>38</v>
      </c>
      <c r="G681" s="452" t="str">
        <f>VLOOKUP(F681,★折込地区!$A$1:$B$11,2,FALSE)</f>
        <v>Hks</v>
      </c>
      <c r="H681" s="453">
        <f>INDEX(★サイズ表記!$I$4:$Q$55, MATCH(E681,★サイズ表記!$E$4:$E$55,0), MATCH(G681,★サイズ表記!$I$3:$R$3,0))</f>
        <v>0</v>
      </c>
      <c r="K681" s="471" t="str">
        <f t="shared" si="72"/>
        <v>C4008Hks</v>
      </c>
      <c r="L681" s="471" t="str">
        <f t="shared" si="73"/>
        <v>タブ18P</v>
      </c>
      <c r="P681" s="533" t="s">
        <v>1324</v>
      </c>
      <c r="Q681" s="533" t="s">
        <v>1325</v>
      </c>
      <c r="R681" s="534" t="str">
        <f t="shared" si="74"/>
        <v>4008</v>
      </c>
      <c r="S681" s="534" t="str">
        <f t="shared" si="75"/>
        <v>タブ18P</v>
      </c>
      <c r="T681" s="538" t="str">
        <f t="shared" si="76"/>
        <v>40</v>
      </c>
      <c r="U681" s="538" t="str">
        <f t="shared" si="77"/>
        <v>08</v>
      </c>
      <c r="V681" s="471" t="s">
        <v>1136</v>
      </c>
      <c r="Y681" s="472">
        <f t="shared" si="78"/>
        <v>0</v>
      </c>
      <c r="Z681" s="540">
        <f t="shared" si="79"/>
        <v>0</v>
      </c>
      <c r="AA681" s="471">
        <v>0</v>
      </c>
    </row>
    <row r="682" spans="1:27">
      <c r="A682" s="451" t="str">
        <f>CONCATENATE(VLOOKUP(B682,★営業所!$A$1:$B$5,2,FALSE),VLOOKUP(D682,★サイズ表記!$D$4:$E$55,2,FALSE),VLOOKUP(F682,★折込地区!$A$1:$B$11,2,FALSE))</f>
        <v>C4009Hks</v>
      </c>
      <c r="B682" s="457" t="s">
        <v>116</v>
      </c>
      <c r="C682" s="452" t="str">
        <f>VLOOKUP(B682,★営業所!$A$1:$B$5,2,FALSE)</f>
        <v>C</v>
      </c>
      <c r="D682" s="465" t="s">
        <v>1356</v>
      </c>
      <c r="E682" s="452" t="str">
        <f>VLOOKUP(D682,★サイズ表記!$D$4:$E$55,2,FALSE)</f>
        <v>4009</v>
      </c>
      <c r="F682" s="457" t="s">
        <v>38</v>
      </c>
      <c r="G682" s="452" t="str">
        <f>VLOOKUP(F682,★折込地区!$A$1:$B$11,2,FALSE)</f>
        <v>Hks</v>
      </c>
      <c r="H682" s="453">
        <f>INDEX(★サイズ表記!$I$4:$Q$55, MATCH(E682,★サイズ表記!$E$4:$E$55,0), MATCH(G682,★サイズ表記!$I$3:$R$3,0))</f>
        <v>0</v>
      </c>
      <c r="K682" s="471" t="str">
        <f t="shared" si="72"/>
        <v>C4009Hks</v>
      </c>
      <c r="L682" s="471" t="str">
        <f t="shared" si="73"/>
        <v>タブ20P</v>
      </c>
      <c r="P682" s="533" t="s">
        <v>1324</v>
      </c>
      <c r="Q682" s="533" t="s">
        <v>1325</v>
      </c>
      <c r="R682" s="534" t="str">
        <f t="shared" si="74"/>
        <v>4009</v>
      </c>
      <c r="S682" s="534" t="str">
        <f t="shared" si="75"/>
        <v>タブ20P</v>
      </c>
      <c r="T682" s="538" t="str">
        <f t="shared" si="76"/>
        <v>40</v>
      </c>
      <c r="U682" s="538" t="str">
        <f t="shared" si="77"/>
        <v>09</v>
      </c>
      <c r="V682" s="471" t="s">
        <v>1136</v>
      </c>
      <c r="Y682" s="472">
        <f t="shared" si="78"/>
        <v>0</v>
      </c>
      <c r="Z682" s="540">
        <f t="shared" si="79"/>
        <v>0</v>
      </c>
      <c r="AA682" s="471">
        <v>0</v>
      </c>
    </row>
    <row r="683" spans="1:27">
      <c r="A683" s="451" t="str">
        <f>CONCATENATE(VLOOKUP(B683,★営業所!$A$1:$B$5,2,FALSE),VLOOKUP(D683,★サイズ表記!$D$4:$E$55,2,FALSE),VLOOKUP(F683,★折込地区!$A$1:$B$11,2,FALSE))</f>
        <v>C4010Hks</v>
      </c>
      <c r="B683" s="457" t="s">
        <v>116</v>
      </c>
      <c r="C683" s="452" t="str">
        <f>VLOOKUP(B683,★営業所!$A$1:$B$5,2,FALSE)</f>
        <v>C</v>
      </c>
      <c r="D683" s="465" t="s">
        <v>1354</v>
      </c>
      <c r="E683" s="452" t="str">
        <f>VLOOKUP(D683,★サイズ表記!$D$4:$E$55,2,FALSE)</f>
        <v>4010</v>
      </c>
      <c r="F683" s="457" t="s">
        <v>38</v>
      </c>
      <c r="G683" s="452" t="str">
        <f>VLOOKUP(F683,★折込地区!$A$1:$B$11,2,FALSE)</f>
        <v>Hks</v>
      </c>
      <c r="H683" s="453">
        <f>INDEX(★サイズ表記!$I$4:$Q$55, MATCH(E683,★サイズ表記!$E$4:$E$55,0), MATCH(G683,★サイズ表記!$I$3:$R$3,0))</f>
        <v>0</v>
      </c>
      <c r="K683" s="471" t="str">
        <f t="shared" si="72"/>
        <v>C4010Hks</v>
      </c>
      <c r="L683" s="471" t="str">
        <f t="shared" si="73"/>
        <v>タブ16Pホチキス止め</v>
      </c>
      <c r="P683" s="533" t="s">
        <v>1324</v>
      </c>
      <c r="Q683" s="533" t="s">
        <v>1325</v>
      </c>
      <c r="R683" s="534" t="str">
        <f t="shared" si="74"/>
        <v>4010</v>
      </c>
      <c r="S683" s="534" t="str">
        <f t="shared" si="75"/>
        <v>タブ16Pホチキス止め</v>
      </c>
      <c r="T683" s="538" t="str">
        <f t="shared" si="76"/>
        <v>40</v>
      </c>
      <c r="U683" s="538" t="str">
        <f t="shared" si="77"/>
        <v>10</v>
      </c>
      <c r="V683" s="471" t="s">
        <v>1136</v>
      </c>
      <c r="Y683" s="472">
        <f t="shared" si="78"/>
        <v>0</v>
      </c>
      <c r="Z683" s="540">
        <f t="shared" si="79"/>
        <v>0</v>
      </c>
      <c r="AA683" s="471">
        <v>0</v>
      </c>
    </row>
    <row r="684" spans="1:27">
      <c r="A684" s="451" t="str">
        <f>CONCATENATE(VLOOKUP(B684,★営業所!$A$1:$B$5,2,FALSE),VLOOKUP(D684,★サイズ表記!$D$4:$E$55,2,FALSE),VLOOKUP(F684,★折込地区!$A$1:$B$11,2,FALSE))</f>
        <v>C4011Hks</v>
      </c>
      <c r="B684" s="457" t="s">
        <v>116</v>
      </c>
      <c r="C684" s="452" t="str">
        <f>VLOOKUP(B684,★営業所!$A$1:$B$5,2,FALSE)</f>
        <v>C</v>
      </c>
      <c r="D684" s="465" t="s">
        <v>1357</v>
      </c>
      <c r="E684" s="452" t="str">
        <f>VLOOKUP(D684,★サイズ表記!$D$4:$E$55,2,FALSE)</f>
        <v>4011</v>
      </c>
      <c r="F684" s="457" t="s">
        <v>38</v>
      </c>
      <c r="G684" s="452" t="str">
        <f>VLOOKUP(F684,★折込地区!$A$1:$B$11,2,FALSE)</f>
        <v>Hks</v>
      </c>
      <c r="H684" s="453">
        <f>INDEX(★サイズ表記!$I$4:$Q$55, MATCH(E684,★サイズ表記!$E$4:$E$55,0), MATCH(G684,★サイズ表記!$I$3:$R$3,0))</f>
        <v>0</v>
      </c>
      <c r="K684" s="471" t="str">
        <f t="shared" si="72"/>
        <v>C4011Hks</v>
      </c>
      <c r="L684" s="471" t="str">
        <f t="shared" si="73"/>
        <v>タブ40P</v>
      </c>
      <c r="P684" s="533" t="s">
        <v>1324</v>
      </c>
      <c r="Q684" s="533" t="s">
        <v>1325</v>
      </c>
      <c r="R684" s="534" t="str">
        <f t="shared" si="74"/>
        <v>4011</v>
      </c>
      <c r="S684" s="534" t="str">
        <f t="shared" si="75"/>
        <v>タブ40P</v>
      </c>
      <c r="T684" s="538" t="str">
        <f t="shared" si="76"/>
        <v>40</v>
      </c>
      <c r="U684" s="538" t="str">
        <f t="shared" si="77"/>
        <v>11</v>
      </c>
      <c r="V684" s="471" t="s">
        <v>1136</v>
      </c>
      <c r="Y684" s="472">
        <f t="shared" si="78"/>
        <v>0</v>
      </c>
      <c r="Z684" s="540">
        <f t="shared" si="79"/>
        <v>0</v>
      </c>
      <c r="AA684" s="471">
        <v>0</v>
      </c>
    </row>
    <row r="685" spans="1:27">
      <c r="A685" s="451" t="str">
        <f>CONCATENATE(VLOOKUP(B685,★営業所!$A$1:$B$5,2,FALSE),VLOOKUP(D685,★サイズ表記!$D$4:$E$55,2,FALSE),VLOOKUP(F685,★折込地区!$A$1:$B$11,2,FALSE))</f>
        <v>C9001Hks</v>
      </c>
      <c r="B685" s="457" t="s">
        <v>116</v>
      </c>
      <c r="C685" s="452" t="str">
        <f>VLOOKUP(B685,★営業所!$A$1:$B$5,2,FALSE)</f>
        <v>C</v>
      </c>
      <c r="D685" s="465" t="s">
        <v>975</v>
      </c>
      <c r="E685" s="452" t="str">
        <f>VLOOKUP(D685,★サイズ表記!$D$4:$E$55,2,FALSE)</f>
        <v>9001</v>
      </c>
      <c r="F685" s="457" t="s">
        <v>38</v>
      </c>
      <c r="G685" s="452" t="str">
        <f>VLOOKUP(F685,★折込地区!$A$1:$B$11,2,FALSE)</f>
        <v>Hks</v>
      </c>
      <c r="H685" s="453">
        <f>INDEX(★サイズ表記!$I$4:$Q$55, MATCH(E685,★サイズ表記!$E$4:$E$55,0), MATCH(G685,★サイズ表記!$I$3:$R$3,0))</f>
        <v>7</v>
      </c>
      <c r="K685" s="471" t="str">
        <f t="shared" si="72"/>
        <v>C9001Hks</v>
      </c>
      <c r="L685" s="471" t="str">
        <f t="shared" si="73"/>
        <v>うさぎの耳</v>
      </c>
      <c r="P685" s="533" t="s">
        <v>1324</v>
      </c>
      <c r="Q685" s="533" t="s">
        <v>1325</v>
      </c>
      <c r="R685" s="534" t="str">
        <f t="shared" si="74"/>
        <v>9001</v>
      </c>
      <c r="S685" s="534" t="str">
        <f t="shared" si="75"/>
        <v>うさぎの耳</v>
      </c>
      <c r="T685" s="538" t="str">
        <f t="shared" si="76"/>
        <v>90</v>
      </c>
      <c r="U685" s="538" t="str">
        <f t="shared" si="77"/>
        <v>01</v>
      </c>
      <c r="V685" s="471" t="s">
        <v>1136</v>
      </c>
      <c r="Y685" s="472">
        <f t="shared" si="78"/>
        <v>7</v>
      </c>
      <c r="Z685" s="540">
        <f t="shared" si="79"/>
        <v>0.56000000000000005</v>
      </c>
      <c r="AA685" s="471">
        <v>0</v>
      </c>
    </row>
    <row r="686" spans="1:27">
      <c r="A686" s="451" t="str">
        <f>CONCATENATE(VLOOKUP(B686,★営業所!$A$1:$B$5,2,FALSE),VLOOKUP(D686,★サイズ表記!$D$4:$E$55,2,FALSE),VLOOKUP(F686,★折込地区!$A$1:$B$11,2,FALSE))</f>
        <v>C9002Hks</v>
      </c>
      <c r="B686" s="457" t="s">
        <v>116</v>
      </c>
      <c r="C686" s="452" t="str">
        <f>VLOOKUP(B686,★営業所!$A$1:$B$5,2,FALSE)</f>
        <v>C</v>
      </c>
      <c r="D686" s="465" t="s">
        <v>976</v>
      </c>
      <c r="E686" s="452" t="str">
        <f>VLOOKUP(D686,★サイズ表記!$D$4:$E$55,2,FALSE)</f>
        <v>9002</v>
      </c>
      <c r="F686" s="457" t="s">
        <v>38</v>
      </c>
      <c r="G686" s="452" t="str">
        <f>VLOOKUP(F686,★折込地区!$A$1:$B$11,2,FALSE)</f>
        <v>Hks</v>
      </c>
      <c r="H686" s="453">
        <f>INDEX(★サイズ表記!$I$4:$Q$55, MATCH(E686,★サイズ表記!$E$4:$E$55,0), MATCH(G686,★サイズ表記!$I$3:$R$3,0))</f>
        <v>5</v>
      </c>
      <c r="K686" s="471" t="str">
        <f t="shared" si="72"/>
        <v>C9002Hks</v>
      </c>
      <c r="L686" s="471" t="str">
        <f t="shared" si="73"/>
        <v>ユーキャン（題字）</v>
      </c>
      <c r="P686" s="533" t="s">
        <v>1324</v>
      </c>
      <c r="Q686" s="533" t="s">
        <v>1325</v>
      </c>
      <c r="R686" s="534" t="str">
        <f t="shared" si="74"/>
        <v>9002</v>
      </c>
      <c r="S686" s="534" t="str">
        <f t="shared" si="75"/>
        <v>ユーキャン（題字）</v>
      </c>
      <c r="T686" s="538" t="str">
        <f t="shared" si="76"/>
        <v>90</v>
      </c>
      <c r="U686" s="538" t="str">
        <f t="shared" si="77"/>
        <v>02</v>
      </c>
      <c r="V686" s="471" t="s">
        <v>1136</v>
      </c>
      <c r="Y686" s="472">
        <f t="shared" si="78"/>
        <v>5</v>
      </c>
      <c r="Z686" s="540">
        <f t="shared" si="79"/>
        <v>0.4</v>
      </c>
      <c r="AA686" s="471">
        <v>0</v>
      </c>
    </row>
    <row r="687" spans="1:27">
      <c r="A687" s="451" t="str">
        <f>CONCATENATE(VLOOKUP(B687,★営業所!$A$1:$B$5,2,FALSE),VLOOKUP(D687,★サイズ表記!$D$4:$E$55,2,FALSE),VLOOKUP(F687,★折込地区!$A$1:$B$11,2,FALSE))</f>
        <v>C9003Hks</v>
      </c>
      <c r="B687" s="457" t="s">
        <v>116</v>
      </c>
      <c r="C687" s="452" t="str">
        <f>VLOOKUP(B687,★営業所!$A$1:$B$5,2,FALSE)</f>
        <v>C</v>
      </c>
      <c r="D687" s="465" t="s">
        <v>977</v>
      </c>
      <c r="E687" s="452" t="str">
        <f>VLOOKUP(D687,★サイズ表記!$D$4:$E$55,2,FALSE)</f>
        <v>9003</v>
      </c>
      <c r="F687" s="457" t="s">
        <v>38</v>
      </c>
      <c r="G687" s="452" t="str">
        <f>VLOOKUP(F687,★折込地区!$A$1:$B$11,2,FALSE)</f>
        <v>Hks</v>
      </c>
      <c r="H687" s="453">
        <f>INDEX(★サイズ表記!$I$4:$Q$55, MATCH(E687,★サイズ表記!$E$4:$E$55,0), MATCH(G687,★サイズ表記!$I$3:$R$3,0))</f>
        <v>0</v>
      </c>
      <c r="K687" s="471" t="str">
        <f t="shared" si="72"/>
        <v>C9003Hks</v>
      </c>
      <c r="L687" s="471" t="str">
        <f t="shared" si="73"/>
        <v>横長B3</v>
      </c>
      <c r="P687" s="533" t="s">
        <v>1324</v>
      </c>
      <c r="Q687" s="533" t="s">
        <v>1325</v>
      </c>
      <c r="R687" s="534" t="str">
        <f t="shared" si="74"/>
        <v>9003</v>
      </c>
      <c r="S687" s="534" t="str">
        <f t="shared" si="75"/>
        <v>横長B3</v>
      </c>
      <c r="T687" s="538" t="str">
        <f t="shared" si="76"/>
        <v>90</v>
      </c>
      <c r="U687" s="538" t="str">
        <f t="shared" si="77"/>
        <v>03</v>
      </c>
      <c r="V687" s="471" t="s">
        <v>1136</v>
      </c>
      <c r="Y687" s="472">
        <f t="shared" si="78"/>
        <v>0</v>
      </c>
      <c r="Z687" s="540">
        <f t="shared" si="79"/>
        <v>0</v>
      </c>
      <c r="AA687" s="471">
        <v>0</v>
      </c>
    </row>
    <row r="688" spans="1:27">
      <c r="A688" s="451" t="str">
        <f>CONCATENATE(VLOOKUP(B688,★営業所!$A$1:$B$5,2,FALSE),VLOOKUP(D688,★サイズ表記!$D$4:$E$55,2,FALSE),VLOOKUP(F688,★折込地区!$A$1:$B$11,2,FALSE))</f>
        <v>C9004Hks</v>
      </c>
      <c r="B688" s="457" t="s">
        <v>116</v>
      </c>
      <c r="C688" s="452" t="str">
        <f>VLOOKUP(B688,★営業所!$A$1:$B$5,2,FALSE)</f>
        <v>C</v>
      </c>
      <c r="D688" s="465" t="s">
        <v>978</v>
      </c>
      <c r="E688" s="452" t="str">
        <f>VLOOKUP(D688,★サイズ表記!$D$4:$E$55,2,FALSE)</f>
        <v>9004</v>
      </c>
      <c r="F688" s="457" t="s">
        <v>38</v>
      </c>
      <c r="G688" s="452" t="str">
        <f>VLOOKUP(F688,★折込地区!$A$1:$B$11,2,FALSE)</f>
        <v>Hks</v>
      </c>
      <c r="H688" s="453">
        <f>INDEX(★サイズ表記!$I$4:$Q$55, MATCH(E688,★サイズ表記!$E$4:$E$55,0), MATCH(G688,★サイズ表記!$I$3:$R$3,0))</f>
        <v>0</v>
      </c>
      <c r="K688" s="471" t="str">
        <f t="shared" si="72"/>
        <v>C9004Hks</v>
      </c>
      <c r="L688" s="471" t="str">
        <f t="shared" si="73"/>
        <v>AD-BAG</v>
      </c>
      <c r="P688" s="533" t="s">
        <v>1324</v>
      </c>
      <c r="Q688" s="533" t="s">
        <v>1325</v>
      </c>
      <c r="R688" s="534" t="str">
        <f t="shared" si="74"/>
        <v>9004</v>
      </c>
      <c r="S688" s="534" t="str">
        <f t="shared" si="75"/>
        <v>AD-BAG</v>
      </c>
      <c r="T688" s="538" t="str">
        <f t="shared" si="76"/>
        <v>90</v>
      </c>
      <c r="U688" s="538" t="str">
        <f t="shared" si="77"/>
        <v>04</v>
      </c>
      <c r="V688" s="471" t="s">
        <v>1136</v>
      </c>
      <c r="Y688" s="472">
        <f t="shared" si="78"/>
        <v>0</v>
      </c>
      <c r="Z688" s="540">
        <f t="shared" si="79"/>
        <v>0</v>
      </c>
      <c r="AA688" s="471">
        <v>0</v>
      </c>
    </row>
    <row r="689" spans="1:27">
      <c r="A689" s="451" t="str">
        <f>CONCATENATE(VLOOKUP(B689,★営業所!$A$1:$B$5,2,FALSE),VLOOKUP(D689,★サイズ表記!$D$4:$E$55,2,FALSE),VLOOKUP(F689,★折込地区!$A$1:$B$11,2,FALSE))</f>
        <v>C9005Hks</v>
      </c>
      <c r="B689" s="457" t="s">
        <v>116</v>
      </c>
      <c r="C689" s="452" t="str">
        <f>VLOOKUP(B689,★営業所!$A$1:$B$5,2,FALSE)</f>
        <v>C</v>
      </c>
      <c r="D689" s="465" t="s">
        <v>979</v>
      </c>
      <c r="E689" s="452" t="str">
        <f>VLOOKUP(D689,★サイズ表記!$D$4:$E$55,2,FALSE)</f>
        <v>9005</v>
      </c>
      <c r="F689" s="457" t="s">
        <v>38</v>
      </c>
      <c r="G689" s="452" t="str">
        <f>VLOOKUP(F689,★折込地区!$A$1:$B$11,2,FALSE)</f>
        <v>Hks</v>
      </c>
      <c r="H689" s="453">
        <f>INDEX(★サイズ表記!$I$4:$Q$55, MATCH(E689,★サイズ表記!$E$4:$E$55,0), MATCH(G689,★サイズ表記!$I$3:$R$3,0))</f>
        <v>0</v>
      </c>
      <c r="K689" s="471" t="str">
        <f t="shared" si="72"/>
        <v>C9005Hks</v>
      </c>
      <c r="L689" s="471" t="str">
        <f t="shared" si="73"/>
        <v>封筒</v>
      </c>
      <c r="P689" s="533" t="s">
        <v>1324</v>
      </c>
      <c r="Q689" s="533" t="s">
        <v>1325</v>
      </c>
      <c r="R689" s="534" t="str">
        <f t="shared" si="74"/>
        <v>9005</v>
      </c>
      <c r="S689" s="534" t="str">
        <f t="shared" si="75"/>
        <v>封筒</v>
      </c>
      <c r="T689" s="538" t="str">
        <f t="shared" si="76"/>
        <v>90</v>
      </c>
      <c r="U689" s="538" t="str">
        <f t="shared" si="77"/>
        <v>05</v>
      </c>
      <c r="V689" s="471" t="s">
        <v>1136</v>
      </c>
      <c r="Y689" s="472">
        <f t="shared" si="78"/>
        <v>0</v>
      </c>
      <c r="Z689" s="540">
        <f t="shared" si="79"/>
        <v>0</v>
      </c>
      <c r="AA689" s="471">
        <v>0</v>
      </c>
    </row>
    <row r="690" spans="1:27">
      <c r="A690" s="451" t="str">
        <f>CONCATENATE(VLOOKUP(B690,★営業所!$A$1:$B$5,2,FALSE),VLOOKUP(D690,★サイズ表記!$D$4:$E$55,2,FALSE),VLOOKUP(F690,★折込地区!$A$1:$B$11,2,FALSE))</f>
        <v>C9006Hks</v>
      </c>
      <c r="B690" s="457" t="s">
        <v>116</v>
      </c>
      <c r="C690" s="452" t="str">
        <f>VLOOKUP(B690,★営業所!$A$1:$B$5,2,FALSE)</f>
        <v>C</v>
      </c>
      <c r="D690" s="465" t="s">
        <v>980</v>
      </c>
      <c r="E690" s="452" t="str">
        <f>VLOOKUP(D690,★サイズ表記!$D$4:$E$55,2,FALSE)</f>
        <v>9006</v>
      </c>
      <c r="F690" s="457" t="s">
        <v>38</v>
      </c>
      <c r="G690" s="452" t="str">
        <f>VLOOKUP(F690,★折込地区!$A$1:$B$11,2,FALSE)</f>
        <v>Hks</v>
      </c>
      <c r="H690" s="453">
        <f>INDEX(★サイズ表記!$I$4:$Q$55, MATCH(E690,★サイズ表記!$E$4:$E$55,0), MATCH(G690,★サイズ表記!$I$3:$R$3,0))</f>
        <v>0</v>
      </c>
      <c r="K690" s="471" t="str">
        <f t="shared" si="72"/>
        <v>C9006Hks</v>
      </c>
      <c r="L690" s="471" t="str">
        <f t="shared" si="73"/>
        <v>圧着</v>
      </c>
      <c r="P690" s="533" t="s">
        <v>1324</v>
      </c>
      <c r="Q690" s="533" t="s">
        <v>1325</v>
      </c>
      <c r="R690" s="534" t="str">
        <f t="shared" si="74"/>
        <v>9006</v>
      </c>
      <c r="S690" s="534" t="str">
        <f t="shared" si="75"/>
        <v>圧着</v>
      </c>
      <c r="T690" s="538" t="str">
        <f t="shared" si="76"/>
        <v>90</v>
      </c>
      <c r="U690" s="538" t="str">
        <f t="shared" si="77"/>
        <v>06</v>
      </c>
      <c r="V690" s="471" t="s">
        <v>1136</v>
      </c>
      <c r="Y690" s="472">
        <f t="shared" si="78"/>
        <v>0</v>
      </c>
      <c r="Z690" s="540">
        <f t="shared" si="79"/>
        <v>0</v>
      </c>
      <c r="AA690" s="471">
        <v>0</v>
      </c>
    </row>
    <row r="691" spans="1:27">
      <c r="A691" s="451" t="str">
        <f>CONCATENATE(VLOOKUP(B691,★営業所!$A$1:$B$5,2,FALSE),VLOOKUP(D691,★サイズ表記!$D$4:$E$55,2,FALSE),VLOOKUP(F691,★折込地区!$A$1:$B$11,2,FALSE))</f>
        <v>C9007Hks</v>
      </c>
      <c r="B691" s="457" t="s">
        <v>116</v>
      </c>
      <c r="C691" s="452" t="str">
        <f>VLOOKUP(B691,★営業所!$A$1:$B$5,2,FALSE)</f>
        <v>C</v>
      </c>
      <c r="D691" s="465" t="s">
        <v>981</v>
      </c>
      <c r="E691" s="452" t="str">
        <f>VLOOKUP(D691,★サイズ表記!$D$4:$E$55,2,FALSE)</f>
        <v>9007</v>
      </c>
      <c r="F691" s="457" t="s">
        <v>38</v>
      </c>
      <c r="G691" s="452" t="str">
        <f>VLOOKUP(F691,★折込地区!$A$1:$B$11,2,FALSE)</f>
        <v>Hks</v>
      </c>
      <c r="H691" s="453">
        <f>INDEX(★サイズ表記!$I$4:$Q$55, MATCH(E691,★サイズ表記!$E$4:$E$55,0), MATCH(G691,★サイズ表記!$I$3:$R$3,0))</f>
        <v>0</v>
      </c>
      <c r="K691" s="471" t="str">
        <f t="shared" si="72"/>
        <v>C9007Hks</v>
      </c>
      <c r="L691" s="471" t="str">
        <f t="shared" si="73"/>
        <v>圧着厚紙</v>
      </c>
      <c r="P691" s="533" t="s">
        <v>1324</v>
      </c>
      <c r="Q691" s="533" t="s">
        <v>1325</v>
      </c>
      <c r="R691" s="534" t="str">
        <f t="shared" si="74"/>
        <v>9007</v>
      </c>
      <c r="S691" s="534" t="str">
        <f t="shared" si="75"/>
        <v>圧着厚紙</v>
      </c>
      <c r="T691" s="538" t="str">
        <f t="shared" si="76"/>
        <v>90</v>
      </c>
      <c r="U691" s="538" t="str">
        <f t="shared" si="77"/>
        <v>07</v>
      </c>
      <c r="V691" s="471" t="s">
        <v>1136</v>
      </c>
      <c r="Y691" s="472">
        <f t="shared" si="78"/>
        <v>0</v>
      </c>
      <c r="Z691" s="540">
        <f t="shared" si="79"/>
        <v>0</v>
      </c>
      <c r="AA691" s="471">
        <v>0</v>
      </c>
    </row>
    <row r="692" spans="1:27">
      <c r="A692" s="451" t="str">
        <f>CONCATENATE(VLOOKUP(B692,★営業所!$A$1:$B$5,2,FALSE),VLOOKUP(D692,★サイズ表記!$D$4:$E$55,2,FALSE),VLOOKUP(F692,★折込地区!$A$1:$B$11,2,FALSE))</f>
        <v>C1001Oka</v>
      </c>
      <c r="B692" s="457" t="s">
        <v>116</v>
      </c>
      <c r="C692" s="452" t="str">
        <f>VLOOKUP(B692,★営業所!$A$1:$B$5,2,FALSE)</f>
        <v>C</v>
      </c>
      <c r="D692" s="465" t="s">
        <v>948</v>
      </c>
      <c r="E692" s="452" t="str">
        <f>VLOOKUP(D692,★サイズ表記!$D$4:$E$55,2,FALSE)</f>
        <v>1001</v>
      </c>
      <c r="F692" s="457" t="s">
        <v>42</v>
      </c>
      <c r="G692" s="452" t="str">
        <f>VLOOKUP(F692,★折込地区!$A$1:$B$11,2,FALSE)</f>
        <v>Oka</v>
      </c>
      <c r="H692" s="453">
        <f>INDEX(★サイズ表記!$I$4:$Q$55, MATCH(E692,★サイズ表記!$E$4:$E$55,0), MATCH(G692,★サイズ表記!$I$3:$R$3,0))</f>
        <v>3</v>
      </c>
      <c r="K692" s="471" t="str">
        <f t="shared" si="72"/>
        <v>C1001Oka</v>
      </c>
      <c r="L692" s="471" t="str">
        <f t="shared" si="73"/>
        <v>B4（折り無し）</v>
      </c>
      <c r="P692" s="533" t="s">
        <v>1324</v>
      </c>
      <c r="Q692" s="533" t="s">
        <v>1325</v>
      </c>
      <c r="R692" s="534" t="str">
        <f t="shared" si="74"/>
        <v>1001</v>
      </c>
      <c r="S692" s="534" t="str">
        <f t="shared" si="75"/>
        <v>B4（折り無し）</v>
      </c>
      <c r="T692" s="538" t="str">
        <f t="shared" si="76"/>
        <v>10</v>
      </c>
      <c r="U692" s="538" t="str">
        <f t="shared" si="77"/>
        <v>01</v>
      </c>
      <c r="V692" s="471" t="s">
        <v>1136</v>
      </c>
      <c r="Y692" s="472">
        <f t="shared" si="78"/>
        <v>3</v>
      </c>
      <c r="Z692" s="540">
        <f t="shared" si="79"/>
        <v>0.24</v>
      </c>
      <c r="AA692" s="471">
        <v>0</v>
      </c>
    </row>
    <row r="693" spans="1:27">
      <c r="A693" s="451" t="str">
        <f>CONCATENATE(VLOOKUP(B693,★営業所!$A$1:$B$5,2,FALSE),VLOOKUP(D693,★サイズ表記!$D$4:$E$55,2,FALSE),VLOOKUP(F693,★折込地区!$A$1:$B$11,2,FALSE))</f>
        <v>C1002Oka</v>
      </c>
      <c r="B693" s="457" t="s">
        <v>116</v>
      </c>
      <c r="C693" s="452" t="str">
        <f>VLOOKUP(B693,★営業所!$A$1:$B$5,2,FALSE)</f>
        <v>C</v>
      </c>
      <c r="D693" s="465" t="s">
        <v>950</v>
      </c>
      <c r="E693" s="452" t="str">
        <f>VLOOKUP(D693,★サイズ表記!$D$4:$E$55,2,FALSE)</f>
        <v>1002</v>
      </c>
      <c r="F693" s="457" t="s">
        <v>42</v>
      </c>
      <c r="G693" s="452" t="str">
        <f>VLOOKUP(F693,★折込地区!$A$1:$B$11,2,FALSE)</f>
        <v>Oka</v>
      </c>
      <c r="H693" s="453">
        <f>INDEX(★サイズ表記!$I$4:$Q$55, MATCH(E693,★サイズ表記!$E$4:$E$55,0), MATCH(G693,★サイズ表記!$I$3:$R$3,0))</f>
        <v>4.5</v>
      </c>
      <c r="K693" s="471" t="str">
        <f t="shared" si="72"/>
        <v>C1002Oka</v>
      </c>
      <c r="L693" s="471" t="str">
        <f t="shared" si="73"/>
        <v>B3（2つ折り）</v>
      </c>
      <c r="P693" s="533" t="s">
        <v>1324</v>
      </c>
      <c r="Q693" s="533" t="s">
        <v>1325</v>
      </c>
      <c r="R693" s="534" t="str">
        <f t="shared" si="74"/>
        <v>1002</v>
      </c>
      <c r="S693" s="534" t="str">
        <f t="shared" si="75"/>
        <v>B3（2つ折り）</v>
      </c>
      <c r="T693" s="538" t="str">
        <f t="shared" si="76"/>
        <v>10</v>
      </c>
      <c r="U693" s="538" t="str">
        <f t="shared" si="77"/>
        <v>02</v>
      </c>
      <c r="V693" s="471" t="s">
        <v>1136</v>
      </c>
      <c r="Y693" s="472">
        <f t="shared" si="78"/>
        <v>4.5</v>
      </c>
      <c r="Z693" s="540">
        <f t="shared" si="79"/>
        <v>0.36</v>
      </c>
      <c r="AA693" s="471">
        <v>0</v>
      </c>
    </row>
    <row r="694" spans="1:27">
      <c r="A694" s="451" t="str">
        <f>CONCATENATE(VLOOKUP(B694,★営業所!$A$1:$B$5,2,FALSE),VLOOKUP(D694,★サイズ表記!$D$4:$E$55,2,FALSE),VLOOKUP(F694,★折込地区!$A$1:$B$11,2,FALSE))</f>
        <v>C1003Oka</v>
      </c>
      <c r="B694" s="457" t="s">
        <v>116</v>
      </c>
      <c r="C694" s="452" t="str">
        <f>VLOOKUP(B694,★営業所!$A$1:$B$5,2,FALSE)</f>
        <v>C</v>
      </c>
      <c r="D694" s="465" t="s">
        <v>951</v>
      </c>
      <c r="E694" s="452" t="str">
        <f>VLOOKUP(D694,★サイズ表記!$D$4:$E$55,2,FALSE)</f>
        <v>1003</v>
      </c>
      <c r="F694" s="457" t="s">
        <v>42</v>
      </c>
      <c r="G694" s="452" t="str">
        <f>VLOOKUP(F694,★折込地区!$A$1:$B$11,2,FALSE)</f>
        <v>Oka</v>
      </c>
      <c r="H694" s="453">
        <f>INDEX(★サイズ表記!$I$4:$Q$55, MATCH(E694,★サイズ表記!$E$4:$E$55,0), MATCH(G694,★サイズ表記!$I$3:$R$3,0))</f>
        <v>0</v>
      </c>
      <c r="K694" s="471" t="str">
        <f t="shared" si="72"/>
        <v>C1003Oka</v>
      </c>
      <c r="L694" s="471" t="str">
        <f t="shared" si="73"/>
        <v>3つ折り</v>
      </c>
      <c r="P694" s="533" t="s">
        <v>1324</v>
      </c>
      <c r="Q694" s="533" t="s">
        <v>1325</v>
      </c>
      <c r="R694" s="534" t="str">
        <f t="shared" si="74"/>
        <v>1003</v>
      </c>
      <c r="S694" s="534" t="str">
        <f t="shared" si="75"/>
        <v>3つ折り</v>
      </c>
      <c r="T694" s="538" t="str">
        <f t="shared" si="76"/>
        <v>10</v>
      </c>
      <c r="U694" s="538" t="str">
        <f t="shared" si="77"/>
        <v>03</v>
      </c>
      <c r="V694" s="471" t="s">
        <v>1136</v>
      </c>
      <c r="Y694" s="472">
        <f t="shared" si="78"/>
        <v>0</v>
      </c>
      <c r="Z694" s="540">
        <f t="shared" si="79"/>
        <v>0</v>
      </c>
      <c r="AA694" s="471">
        <v>0</v>
      </c>
    </row>
    <row r="695" spans="1:27">
      <c r="A695" s="451" t="str">
        <f>CONCATENATE(VLOOKUP(B695,★営業所!$A$1:$B$5,2,FALSE),VLOOKUP(D695,★サイズ表記!$D$4:$E$55,2,FALSE),VLOOKUP(F695,★折込地区!$A$1:$B$11,2,FALSE))</f>
        <v>C1004Oka</v>
      </c>
      <c r="B695" s="457" t="s">
        <v>116</v>
      </c>
      <c r="C695" s="452" t="str">
        <f>VLOOKUP(B695,★営業所!$A$1:$B$5,2,FALSE)</f>
        <v>C</v>
      </c>
      <c r="D695" s="465" t="s">
        <v>947</v>
      </c>
      <c r="E695" s="452" t="str">
        <f>VLOOKUP(D695,★サイズ表記!$D$4:$E$55,2,FALSE)</f>
        <v>1004</v>
      </c>
      <c r="F695" s="457" t="s">
        <v>42</v>
      </c>
      <c r="G695" s="452" t="str">
        <f>VLOOKUP(F695,★折込地区!$A$1:$B$11,2,FALSE)</f>
        <v>Oka</v>
      </c>
      <c r="H695" s="453">
        <f>INDEX(★サイズ表記!$I$4:$Q$55, MATCH(E695,★サイズ表記!$E$4:$E$55,0), MATCH(G695,★サイズ表記!$I$3:$R$3,0))</f>
        <v>0</v>
      </c>
      <c r="K695" s="471" t="str">
        <f t="shared" si="72"/>
        <v>C1004Oka</v>
      </c>
      <c r="L695" s="471" t="str">
        <f t="shared" si="73"/>
        <v>観音折</v>
      </c>
      <c r="P695" s="533" t="s">
        <v>1324</v>
      </c>
      <c r="Q695" s="533" t="s">
        <v>1325</v>
      </c>
      <c r="R695" s="534" t="str">
        <f t="shared" si="74"/>
        <v>1004</v>
      </c>
      <c r="S695" s="534" t="str">
        <f t="shared" si="75"/>
        <v>観音折</v>
      </c>
      <c r="T695" s="538" t="str">
        <f t="shared" si="76"/>
        <v>10</v>
      </c>
      <c r="U695" s="538" t="str">
        <f t="shared" si="77"/>
        <v>04</v>
      </c>
      <c r="V695" s="471" t="s">
        <v>1136</v>
      </c>
      <c r="Y695" s="472">
        <f t="shared" si="78"/>
        <v>0</v>
      </c>
      <c r="Z695" s="540">
        <f t="shared" si="79"/>
        <v>0</v>
      </c>
      <c r="AA695" s="471">
        <v>0</v>
      </c>
    </row>
    <row r="696" spans="1:27">
      <c r="A696" s="451" t="str">
        <f>CONCATENATE(VLOOKUP(B696,★営業所!$A$1:$B$5,2,FALSE),VLOOKUP(D696,★サイズ表記!$D$4:$E$55,2,FALSE),VLOOKUP(F696,★折込地区!$A$1:$B$11,2,FALSE))</f>
        <v>C1005Oka</v>
      </c>
      <c r="B696" s="457" t="s">
        <v>116</v>
      </c>
      <c r="C696" s="452" t="str">
        <f>VLOOKUP(B696,★営業所!$A$1:$B$5,2,FALSE)</f>
        <v>C</v>
      </c>
      <c r="D696" s="465" t="s">
        <v>952</v>
      </c>
      <c r="E696" s="452" t="str">
        <f>VLOOKUP(D696,★サイズ表記!$D$4:$E$55,2,FALSE)</f>
        <v>1005</v>
      </c>
      <c r="F696" s="457" t="s">
        <v>42</v>
      </c>
      <c r="G696" s="452" t="str">
        <f>VLOOKUP(F696,★折込地区!$A$1:$B$11,2,FALSE)</f>
        <v>Oka</v>
      </c>
      <c r="H696" s="453">
        <f>INDEX(★サイズ表記!$I$4:$Q$55, MATCH(E696,★サイズ表記!$E$4:$E$55,0), MATCH(G696,★サイズ表記!$I$3:$R$3,0))</f>
        <v>7.7</v>
      </c>
      <c r="K696" s="471" t="str">
        <f t="shared" si="72"/>
        <v>C1005Oka</v>
      </c>
      <c r="L696" s="471" t="str">
        <f t="shared" si="73"/>
        <v>B2（4つ折り）</v>
      </c>
      <c r="P696" s="533" t="s">
        <v>1324</v>
      </c>
      <c r="Q696" s="533" t="s">
        <v>1325</v>
      </c>
      <c r="R696" s="534" t="str">
        <f t="shared" si="74"/>
        <v>1005</v>
      </c>
      <c r="S696" s="534" t="str">
        <f t="shared" si="75"/>
        <v>B2（4つ折り）</v>
      </c>
      <c r="T696" s="538" t="str">
        <f t="shared" si="76"/>
        <v>10</v>
      </c>
      <c r="U696" s="538" t="str">
        <f t="shared" si="77"/>
        <v>05</v>
      </c>
      <c r="V696" s="471" t="s">
        <v>1136</v>
      </c>
      <c r="Y696" s="472">
        <f t="shared" si="78"/>
        <v>7.7</v>
      </c>
      <c r="Z696" s="540">
        <f t="shared" si="79"/>
        <v>0.61</v>
      </c>
      <c r="AA696" s="471">
        <v>0</v>
      </c>
    </row>
    <row r="697" spans="1:27">
      <c r="A697" s="451" t="str">
        <f>CONCATENATE(VLOOKUP(B697,★営業所!$A$1:$B$5,2,FALSE),VLOOKUP(D697,★サイズ表記!$D$4:$E$55,2,FALSE),VLOOKUP(F697,★折込地区!$A$1:$B$11,2,FALSE))</f>
        <v>C1006Oka</v>
      </c>
      <c r="B697" s="457" t="s">
        <v>116</v>
      </c>
      <c r="C697" s="452" t="str">
        <f>VLOOKUP(B697,★営業所!$A$1:$B$5,2,FALSE)</f>
        <v>C</v>
      </c>
      <c r="D697" s="465" t="s">
        <v>955</v>
      </c>
      <c r="E697" s="452" t="str">
        <f>VLOOKUP(D697,★サイズ表記!$D$4:$E$55,2,FALSE)</f>
        <v>1006</v>
      </c>
      <c r="F697" s="457" t="s">
        <v>42</v>
      </c>
      <c r="G697" s="452" t="str">
        <f>VLOOKUP(F697,★折込地区!$A$1:$B$11,2,FALSE)</f>
        <v>Oka</v>
      </c>
      <c r="H697" s="453">
        <f>INDEX(★サイズ表記!$I$4:$Q$55, MATCH(E697,★サイズ表記!$E$4:$E$55,0), MATCH(G697,★サイズ表記!$I$3:$R$3,0))</f>
        <v>13.6</v>
      </c>
      <c r="K697" s="471" t="str">
        <f t="shared" si="72"/>
        <v>C1006Oka</v>
      </c>
      <c r="L697" s="471" t="str">
        <f t="shared" si="73"/>
        <v>B1（8折り）</v>
      </c>
      <c r="P697" s="533" t="s">
        <v>1324</v>
      </c>
      <c r="Q697" s="533" t="s">
        <v>1325</v>
      </c>
      <c r="R697" s="534" t="str">
        <f t="shared" si="74"/>
        <v>1006</v>
      </c>
      <c r="S697" s="534" t="str">
        <f t="shared" si="75"/>
        <v>B1（8折り）</v>
      </c>
      <c r="T697" s="538" t="str">
        <f t="shared" si="76"/>
        <v>10</v>
      </c>
      <c r="U697" s="538" t="str">
        <f t="shared" si="77"/>
        <v>06</v>
      </c>
      <c r="V697" s="471" t="s">
        <v>1136</v>
      </c>
      <c r="Y697" s="472">
        <f t="shared" si="78"/>
        <v>13.6</v>
      </c>
      <c r="Z697" s="540">
        <f t="shared" si="79"/>
        <v>1.08</v>
      </c>
      <c r="AA697" s="471">
        <v>0</v>
      </c>
    </row>
    <row r="698" spans="1:27">
      <c r="A698" s="451" t="str">
        <f>CONCATENATE(VLOOKUP(B698,★営業所!$A$1:$B$5,2,FALSE),VLOOKUP(D698,★サイズ表記!$D$4:$E$55,2,FALSE),VLOOKUP(F698,★折込地区!$A$1:$B$11,2,FALSE))</f>
        <v>C1007Oka</v>
      </c>
      <c r="B698" s="457" t="s">
        <v>116</v>
      </c>
      <c r="C698" s="452" t="str">
        <f>VLOOKUP(B698,★営業所!$A$1:$B$5,2,FALSE)</f>
        <v>C</v>
      </c>
      <c r="D698" s="465" t="s">
        <v>956</v>
      </c>
      <c r="E698" s="452" t="str">
        <f>VLOOKUP(D698,★サイズ表記!$D$4:$E$55,2,FALSE)</f>
        <v>1007</v>
      </c>
      <c r="F698" s="457" t="s">
        <v>42</v>
      </c>
      <c r="G698" s="452" t="str">
        <f>VLOOKUP(F698,★折込地区!$A$1:$B$11,2,FALSE)</f>
        <v>Oka</v>
      </c>
      <c r="H698" s="453">
        <f>INDEX(★サイズ表記!$I$4:$Q$55, MATCH(E698,★サイズ表記!$E$4:$E$55,0), MATCH(G698,★サイズ表記!$I$3:$R$3,0))</f>
        <v>0</v>
      </c>
      <c r="K698" s="471" t="str">
        <f t="shared" si="72"/>
        <v>C1007Oka</v>
      </c>
      <c r="L698" s="471" t="str">
        <f t="shared" si="73"/>
        <v>B4厚紙</v>
      </c>
      <c r="P698" s="533" t="s">
        <v>1324</v>
      </c>
      <c r="Q698" s="533" t="s">
        <v>1325</v>
      </c>
      <c r="R698" s="534" t="str">
        <f t="shared" si="74"/>
        <v>1007</v>
      </c>
      <c r="S698" s="534" t="str">
        <f t="shared" si="75"/>
        <v>B4厚紙</v>
      </c>
      <c r="T698" s="538" t="str">
        <f t="shared" si="76"/>
        <v>10</v>
      </c>
      <c r="U698" s="538" t="str">
        <f t="shared" si="77"/>
        <v>07</v>
      </c>
      <c r="V698" s="471" t="s">
        <v>1136</v>
      </c>
      <c r="Y698" s="472">
        <f t="shared" si="78"/>
        <v>0</v>
      </c>
      <c r="Z698" s="540">
        <f t="shared" si="79"/>
        <v>0</v>
      </c>
      <c r="AA698" s="471">
        <v>0</v>
      </c>
    </row>
    <row r="699" spans="1:27">
      <c r="A699" s="451" t="str">
        <f>CONCATENATE(VLOOKUP(B699,★営業所!$A$1:$B$5,2,FALSE),VLOOKUP(D699,★サイズ表記!$D$4:$E$55,2,FALSE),VLOOKUP(F699,★折込地区!$A$1:$B$11,2,FALSE))</f>
        <v>C1008Oka</v>
      </c>
      <c r="B699" s="457" t="s">
        <v>116</v>
      </c>
      <c r="C699" s="452" t="str">
        <f>VLOOKUP(B699,★営業所!$A$1:$B$5,2,FALSE)</f>
        <v>C</v>
      </c>
      <c r="D699" s="465" t="s">
        <v>957</v>
      </c>
      <c r="E699" s="452" t="str">
        <f>VLOOKUP(D699,★サイズ表記!$D$4:$E$55,2,FALSE)</f>
        <v>1008</v>
      </c>
      <c r="F699" s="457" t="s">
        <v>42</v>
      </c>
      <c r="G699" s="452" t="str">
        <f>VLOOKUP(F699,★折込地区!$A$1:$B$11,2,FALSE)</f>
        <v>Oka</v>
      </c>
      <c r="H699" s="453">
        <f>INDEX(★サイズ表記!$I$4:$Q$55, MATCH(E699,★サイズ表記!$E$4:$E$55,0), MATCH(G699,★サイズ表記!$I$3:$R$3,0))</f>
        <v>0</v>
      </c>
      <c r="K699" s="471" t="str">
        <f t="shared" si="72"/>
        <v>C1008Oka</v>
      </c>
      <c r="L699" s="471" t="str">
        <f t="shared" si="73"/>
        <v>B3厚紙</v>
      </c>
      <c r="P699" s="533" t="s">
        <v>1324</v>
      </c>
      <c r="Q699" s="533" t="s">
        <v>1325</v>
      </c>
      <c r="R699" s="534" t="str">
        <f t="shared" si="74"/>
        <v>1008</v>
      </c>
      <c r="S699" s="534" t="str">
        <f t="shared" si="75"/>
        <v>B3厚紙</v>
      </c>
      <c r="T699" s="538" t="str">
        <f t="shared" si="76"/>
        <v>10</v>
      </c>
      <c r="U699" s="538" t="str">
        <f t="shared" si="77"/>
        <v>08</v>
      </c>
      <c r="V699" s="471" t="s">
        <v>1136</v>
      </c>
      <c r="Y699" s="472">
        <f t="shared" si="78"/>
        <v>0</v>
      </c>
      <c r="Z699" s="540">
        <f t="shared" si="79"/>
        <v>0</v>
      </c>
      <c r="AA699" s="471">
        <v>0</v>
      </c>
    </row>
    <row r="700" spans="1:27">
      <c r="A700" s="451" t="str">
        <f>CONCATENATE(VLOOKUP(B700,★営業所!$A$1:$B$5,2,FALSE),VLOOKUP(D700,★サイズ表記!$D$4:$E$55,2,FALSE),VLOOKUP(F700,★折込地区!$A$1:$B$11,2,FALSE))</f>
        <v>C1009Oka</v>
      </c>
      <c r="B700" s="457" t="s">
        <v>116</v>
      </c>
      <c r="C700" s="452" t="str">
        <f>VLOOKUP(B700,★営業所!$A$1:$B$5,2,FALSE)</f>
        <v>C</v>
      </c>
      <c r="D700" s="465" t="s">
        <v>958</v>
      </c>
      <c r="E700" s="452" t="str">
        <f>VLOOKUP(D700,★サイズ表記!$D$4:$E$55,2,FALSE)</f>
        <v>1009</v>
      </c>
      <c r="F700" s="457" t="s">
        <v>42</v>
      </c>
      <c r="G700" s="452" t="str">
        <f>VLOOKUP(F700,★折込地区!$A$1:$B$11,2,FALSE)</f>
        <v>Oka</v>
      </c>
      <c r="H700" s="453">
        <f>INDEX(★サイズ表記!$I$4:$Q$55, MATCH(E700,★サイズ表記!$E$4:$E$55,0), MATCH(G700,★サイズ表記!$I$3:$R$3,0))</f>
        <v>0</v>
      </c>
      <c r="K700" s="471" t="str">
        <f t="shared" si="72"/>
        <v>C1009Oka</v>
      </c>
      <c r="L700" s="471" t="str">
        <f t="shared" si="73"/>
        <v>B2厚紙</v>
      </c>
      <c r="P700" s="533" t="s">
        <v>1324</v>
      </c>
      <c r="Q700" s="533" t="s">
        <v>1325</v>
      </c>
      <c r="R700" s="534" t="str">
        <f t="shared" si="74"/>
        <v>1009</v>
      </c>
      <c r="S700" s="534" t="str">
        <f t="shared" si="75"/>
        <v>B2厚紙</v>
      </c>
      <c r="T700" s="538" t="str">
        <f t="shared" si="76"/>
        <v>10</v>
      </c>
      <c r="U700" s="538" t="str">
        <f t="shared" si="77"/>
        <v>09</v>
      </c>
      <c r="V700" s="471" t="s">
        <v>1136</v>
      </c>
      <c r="Y700" s="472">
        <f t="shared" si="78"/>
        <v>0</v>
      </c>
      <c r="Z700" s="540">
        <f t="shared" si="79"/>
        <v>0</v>
      </c>
      <c r="AA700" s="471">
        <v>0</v>
      </c>
    </row>
    <row r="701" spans="1:27">
      <c r="A701" s="451" t="str">
        <f>CONCATENATE(VLOOKUP(B701,★営業所!$A$1:$B$5,2,FALSE),VLOOKUP(D701,★サイズ表記!$D$4:$E$55,2,FALSE),VLOOKUP(F701,★折込地区!$A$1:$B$11,2,FALSE))</f>
        <v>C1010Oka</v>
      </c>
      <c r="B701" s="457" t="s">
        <v>116</v>
      </c>
      <c r="C701" s="452" t="str">
        <f>VLOOKUP(B701,★営業所!$A$1:$B$5,2,FALSE)</f>
        <v>C</v>
      </c>
      <c r="D701" s="465" t="s">
        <v>959</v>
      </c>
      <c r="E701" s="452" t="str">
        <f>VLOOKUP(D701,★サイズ表記!$D$4:$E$55,2,FALSE)</f>
        <v>1010</v>
      </c>
      <c r="F701" s="457" t="s">
        <v>42</v>
      </c>
      <c r="G701" s="452" t="str">
        <f>VLOOKUP(F701,★折込地区!$A$1:$B$11,2,FALSE)</f>
        <v>Oka</v>
      </c>
      <c r="H701" s="453">
        <f>INDEX(★サイズ表記!$I$4:$Q$55, MATCH(E701,★サイズ表記!$E$4:$E$55,0), MATCH(G701,★サイズ表記!$I$3:$R$3,0))</f>
        <v>0</v>
      </c>
      <c r="K701" s="471" t="str">
        <f t="shared" si="72"/>
        <v>C1010Oka</v>
      </c>
      <c r="L701" s="471" t="str">
        <f t="shared" si="73"/>
        <v>B4以下変形</v>
      </c>
      <c r="P701" s="533" t="s">
        <v>1324</v>
      </c>
      <c r="Q701" s="533" t="s">
        <v>1325</v>
      </c>
      <c r="R701" s="534" t="str">
        <f t="shared" si="74"/>
        <v>1010</v>
      </c>
      <c r="S701" s="534" t="str">
        <f t="shared" si="75"/>
        <v>B4以下変形</v>
      </c>
      <c r="T701" s="538" t="str">
        <f t="shared" si="76"/>
        <v>10</v>
      </c>
      <c r="U701" s="538" t="str">
        <f t="shared" si="77"/>
        <v>10</v>
      </c>
      <c r="V701" s="471" t="s">
        <v>1136</v>
      </c>
      <c r="Y701" s="472">
        <f t="shared" si="78"/>
        <v>0</v>
      </c>
      <c r="Z701" s="540">
        <f t="shared" si="79"/>
        <v>0</v>
      </c>
      <c r="AA701" s="471">
        <v>0</v>
      </c>
    </row>
    <row r="702" spans="1:27">
      <c r="A702" s="451" t="str">
        <f>CONCATENATE(VLOOKUP(B702,★営業所!$A$1:$B$5,2,FALSE),VLOOKUP(D702,★サイズ表記!$D$4:$E$55,2,FALSE),VLOOKUP(F702,★折込地区!$A$1:$B$11,2,FALSE))</f>
        <v>C1011Oka</v>
      </c>
      <c r="B702" s="457" t="s">
        <v>116</v>
      </c>
      <c r="C702" s="452" t="str">
        <f>VLOOKUP(B702,★営業所!$A$1:$B$5,2,FALSE)</f>
        <v>C</v>
      </c>
      <c r="D702" s="465" t="s">
        <v>960</v>
      </c>
      <c r="E702" s="452" t="str">
        <f>VLOOKUP(D702,★サイズ表記!$D$4:$E$55,2,FALSE)</f>
        <v>1011</v>
      </c>
      <c r="F702" s="457" t="s">
        <v>42</v>
      </c>
      <c r="G702" s="452" t="str">
        <f>VLOOKUP(F702,★折込地区!$A$1:$B$11,2,FALSE)</f>
        <v>Oka</v>
      </c>
      <c r="H702" s="453">
        <f>INDEX(★サイズ表記!$I$4:$Q$55, MATCH(E702,★サイズ表記!$E$4:$E$55,0), MATCH(G702,★サイズ表記!$I$3:$R$3,0))</f>
        <v>0</v>
      </c>
      <c r="K702" s="471" t="str">
        <f t="shared" si="72"/>
        <v>C1011Oka</v>
      </c>
      <c r="L702" s="471" t="str">
        <f t="shared" si="73"/>
        <v>B4シール付き</v>
      </c>
      <c r="P702" s="533" t="s">
        <v>1324</v>
      </c>
      <c r="Q702" s="533" t="s">
        <v>1325</v>
      </c>
      <c r="R702" s="534" t="str">
        <f t="shared" si="74"/>
        <v>1011</v>
      </c>
      <c r="S702" s="534" t="str">
        <f t="shared" si="75"/>
        <v>B4シール付き</v>
      </c>
      <c r="T702" s="538" t="str">
        <f t="shared" si="76"/>
        <v>10</v>
      </c>
      <c r="U702" s="538" t="str">
        <f t="shared" si="77"/>
        <v>11</v>
      </c>
      <c r="V702" s="471" t="s">
        <v>1136</v>
      </c>
      <c r="Y702" s="472">
        <f t="shared" si="78"/>
        <v>0</v>
      </c>
      <c r="Z702" s="540">
        <f t="shared" si="79"/>
        <v>0</v>
      </c>
      <c r="AA702" s="471">
        <v>0</v>
      </c>
    </row>
    <row r="703" spans="1:27">
      <c r="A703" s="451" t="str">
        <f>CONCATENATE(VLOOKUP(B703,★営業所!$A$1:$B$5,2,FALSE),VLOOKUP(D703,★サイズ表記!$D$4:$E$55,2,FALSE),VLOOKUP(F703,★折込地区!$A$1:$B$11,2,FALSE))</f>
        <v>C1012Oka</v>
      </c>
      <c r="B703" s="457" t="s">
        <v>116</v>
      </c>
      <c r="C703" s="452" t="str">
        <f>VLOOKUP(B703,★営業所!$A$1:$B$5,2,FALSE)</f>
        <v>C</v>
      </c>
      <c r="D703" s="465" t="s">
        <v>961</v>
      </c>
      <c r="E703" s="452" t="str">
        <f>VLOOKUP(D703,★サイズ表記!$D$4:$E$55,2,FALSE)</f>
        <v>1012</v>
      </c>
      <c r="F703" s="457" t="s">
        <v>42</v>
      </c>
      <c r="G703" s="452" t="str">
        <f>VLOOKUP(F703,★折込地区!$A$1:$B$11,2,FALSE)</f>
        <v>Oka</v>
      </c>
      <c r="H703" s="453">
        <f>INDEX(★サイズ表記!$I$4:$Q$55, MATCH(E703,★サイズ表記!$E$4:$E$55,0), MATCH(G703,★サイズ表記!$I$3:$R$3,0))</f>
        <v>0</v>
      </c>
      <c r="K703" s="471" t="str">
        <f t="shared" si="72"/>
        <v>C1012Oka</v>
      </c>
      <c r="L703" s="471" t="str">
        <f t="shared" si="73"/>
        <v>B3シール付き</v>
      </c>
      <c r="P703" s="533" t="s">
        <v>1324</v>
      </c>
      <c r="Q703" s="533" t="s">
        <v>1325</v>
      </c>
      <c r="R703" s="534" t="str">
        <f t="shared" si="74"/>
        <v>1012</v>
      </c>
      <c r="S703" s="534" t="str">
        <f t="shared" si="75"/>
        <v>B3シール付き</v>
      </c>
      <c r="T703" s="538" t="str">
        <f t="shared" si="76"/>
        <v>10</v>
      </c>
      <c r="U703" s="538" t="str">
        <f t="shared" si="77"/>
        <v>12</v>
      </c>
      <c r="V703" s="471" t="s">
        <v>1136</v>
      </c>
      <c r="Y703" s="472">
        <f t="shared" si="78"/>
        <v>0</v>
      </c>
      <c r="Z703" s="540">
        <f t="shared" si="79"/>
        <v>0</v>
      </c>
      <c r="AA703" s="471">
        <v>0</v>
      </c>
    </row>
    <row r="704" spans="1:27">
      <c r="A704" s="451" t="str">
        <f>CONCATENATE(VLOOKUP(B704,★営業所!$A$1:$B$5,2,FALSE),VLOOKUP(D704,★サイズ表記!$D$4:$E$55,2,FALSE),VLOOKUP(F704,★折込地区!$A$1:$B$11,2,FALSE))</f>
        <v>C1013Oka</v>
      </c>
      <c r="B704" s="457" t="s">
        <v>116</v>
      </c>
      <c r="C704" s="452" t="str">
        <f>VLOOKUP(B704,★営業所!$A$1:$B$5,2,FALSE)</f>
        <v>C</v>
      </c>
      <c r="D704" s="465" t="s">
        <v>962</v>
      </c>
      <c r="E704" s="452" t="str">
        <f>VLOOKUP(D704,★サイズ表記!$D$4:$E$55,2,FALSE)</f>
        <v>1013</v>
      </c>
      <c r="F704" s="457" t="s">
        <v>42</v>
      </c>
      <c r="G704" s="452" t="str">
        <f>VLOOKUP(F704,★折込地区!$A$1:$B$11,2,FALSE)</f>
        <v>Oka</v>
      </c>
      <c r="H704" s="453">
        <f>INDEX(★サイズ表記!$I$4:$Q$55, MATCH(E704,★サイズ表記!$E$4:$E$55,0), MATCH(G704,★サイズ表記!$I$3:$R$3,0))</f>
        <v>0</v>
      </c>
      <c r="K704" s="471" t="str">
        <f t="shared" si="72"/>
        <v>C1013Oka</v>
      </c>
      <c r="L704" s="471" t="str">
        <f t="shared" si="73"/>
        <v>B4スクラッチ付き</v>
      </c>
      <c r="P704" s="533" t="s">
        <v>1324</v>
      </c>
      <c r="Q704" s="533" t="s">
        <v>1325</v>
      </c>
      <c r="R704" s="534" t="str">
        <f t="shared" si="74"/>
        <v>1013</v>
      </c>
      <c r="S704" s="534" t="str">
        <f t="shared" si="75"/>
        <v>B4スクラッチ付き</v>
      </c>
      <c r="T704" s="538" t="str">
        <f t="shared" si="76"/>
        <v>10</v>
      </c>
      <c r="U704" s="538" t="str">
        <f t="shared" si="77"/>
        <v>13</v>
      </c>
      <c r="V704" s="471" t="s">
        <v>1136</v>
      </c>
      <c r="Y704" s="472">
        <f t="shared" si="78"/>
        <v>0</v>
      </c>
      <c r="Z704" s="540">
        <f t="shared" si="79"/>
        <v>0</v>
      </c>
      <c r="AA704" s="471">
        <v>0</v>
      </c>
    </row>
    <row r="705" spans="1:27">
      <c r="A705" s="451" t="str">
        <f>CONCATENATE(VLOOKUP(B705,★営業所!$A$1:$B$5,2,FALSE),VLOOKUP(D705,★サイズ表記!$D$4:$E$55,2,FALSE),VLOOKUP(F705,★折込地区!$A$1:$B$11,2,FALSE))</f>
        <v>C2001Oka</v>
      </c>
      <c r="B705" s="457" t="s">
        <v>116</v>
      </c>
      <c r="C705" s="452" t="str">
        <f>VLOOKUP(B705,★営業所!$A$1:$B$5,2,FALSE)</f>
        <v>C</v>
      </c>
      <c r="D705" s="465" t="s">
        <v>963</v>
      </c>
      <c r="E705" s="452" t="str">
        <f>VLOOKUP(D705,★サイズ表記!$D$4:$E$55,2,FALSE)</f>
        <v>2001</v>
      </c>
      <c r="F705" s="457" t="s">
        <v>42</v>
      </c>
      <c r="G705" s="452" t="str">
        <f>VLOOKUP(F705,★折込地区!$A$1:$B$11,2,FALSE)</f>
        <v>Oka</v>
      </c>
      <c r="H705" s="453">
        <f>INDEX(★サイズ表記!$I$4:$Q$55, MATCH(E705,★サイズ表記!$E$4:$E$55,0), MATCH(G705,★サイズ表記!$I$3:$R$3,0))</f>
        <v>0</v>
      </c>
      <c r="K705" s="471" t="str">
        <f t="shared" si="72"/>
        <v>C2001Oka</v>
      </c>
      <c r="L705" s="471" t="str">
        <f t="shared" si="73"/>
        <v>連合B4</v>
      </c>
      <c r="P705" s="533" t="s">
        <v>1324</v>
      </c>
      <c r="Q705" s="533" t="s">
        <v>1325</v>
      </c>
      <c r="R705" s="534" t="str">
        <f t="shared" si="74"/>
        <v>2001</v>
      </c>
      <c r="S705" s="534" t="str">
        <f t="shared" si="75"/>
        <v>連合B4</v>
      </c>
      <c r="T705" s="538" t="str">
        <f t="shared" si="76"/>
        <v>20</v>
      </c>
      <c r="U705" s="538" t="str">
        <f t="shared" si="77"/>
        <v>01</v>
      </c>
      <c r="V705" s="471" t="s">
        <v>1136</v>
      </c>
      <c r="Y705" s="472">
        <f t="shared" si="78"/>
        <v>0</v>
      </c>
      <c r="Z705" s="540">
        <f t="shared" si="79"/>
        <v>0</v>
      </c>
      <c r="AA705" s="471">
        <v>0</v>
      </c>
    </row>
    <row r="706" spans="1:27">
      <c r="A706" s="451" t="str">
        <f>CONCATENATE(VLOOKUP(B706,★営業所!$A$1:$B$5,2,FALSE),VLOOKUP(D706,★サイズ表記!$D$4:$E$55,2,FALSE),VLOOKUP(F706,★折込地区!$A$1:$B$11,2,FALSE))</f>
        <v>C2002Oka</v>
      </c>
      <c r="B706" s="457" t="s">
        <v>116</v>
      </c>
      <c r="C706" s="452" t="str">
        <f>VLOOKUP(B706,★営業所!$A$1:$B$5,2,FALSE)</f>
        <v>C</v>
      </c>
      <c r="D706" s="465" t="s">
        <v>964</v>
      </c>
      <c r="E706" s="452" t="str">
        <f>VLOOKUP(D706,★サイズ表記!$D$4:$E$55,2,FALSE)</f>
        <v>2002</v>
      </c>
      <c r="F706" s="457" t="s">
        <v>42</v>
      </c>
      <c r="G706" s="452" t="str">
        <f>VLOOKUP(F706,★折込地区!$A$1:$B$11,2,FALSE)</f>
        <v>Oka</v>
      </c>
      <c r="H706" s="453">
        <f>INDEX(★サイズ表記!$I$4:$Q$55, MATCH(E706,★サイズ表記!$E$4:$E$55,0), MATCH(G706,★サイズ表記!$I$3:$R$3,0))</f>
        <v>0</v>
      </c>
      <c r="K706" s="471" t="str">
        <f t="shared" si="72"/>
        <v>C2002Oka</v>
      </c>
      <c r="L706" s="471" t="str">
        <f t="shared" si="73"/>
        <v>連合B3</v>
      </c>
      <c r="P706" s="533" t="s">
        <v>1324</v>
      </c>
      <c r="Q706" s="533" t="s">
        <v>1325</v>
      </c>
      <c r="R706" s="534" t="str">
        <f t="shared" si="74"/>
        <v>2002</v>
      </c>
      <c r="S706" s="534" t="str">
        <f t="shared" si="75"/>
        <v>連合B3</v>
      </c>
      <c r="T706" s="538" t="str">
        <f t="shared" si="76"/>
        <v>20</v>
      </c>
      <c r="U706" s="538" t="str">
        <f t="shared" si="77"/>
        <v>02</v>
      </c>
      <c r="V706" s="471" t="s">
        <v>1136</v>
      </c>
      <c r="Y706" s="472">
        <f t="shared" si="78"/>
        <v>0</v>
      </c>
      <c r="Z706" s="540">
        <f t="shared" si="79"/>
        <v>0</v>
      </c>
      <c r="AA706" s="471">
        <v>0</v>
      </c>
    </row>
    <row r="707" spans="1:27">
      <c r="A707" s="451" t="str">
        <f>CONCATENATE(VLOOKUP(B707,★営業所!$A$1:$B$5,2,FALSE),VLOOKUP(D707,★サイズ表記!$D$4:$E$55,2,FALSE),VLOOKUP(F707,★折込地区!$A$1:$B$11,2,FALSE))</f>
        <v>C2003Oka</v>
      </c>
      <c r="B707" s="457" t="s">
        <v>116</v>
      </c>
      <c r="C707" s="452" t="str">
        <f>VLOOKUP(B707,★営業所!$A$1:$B$5,2,FALSE)</f>
        <v>C</v>
      </c>
      <c r="D707" s="465" t="s">
        <v>965</v>
      </c>
      <c r="E707" s="452" t="str">
        <f>VLOOKUP(D707,★サイズ表記!$D$4:$E$55,2,FALSE)</f>
        <v>2003</v>
      </c>
      <c r="F707" s="457" t="s">
        <v>42</v>
      </c>
      <c r="G707" s="452" t="str">
        <f>VLOOKUP(F707,★折込地区!$A$1:$B$11,2,FALSE)</f>
        <v>Oka</v>
      </c>
      <c r="H707" s="453">
        <f>INDEX(★サイズ表記!$I$4:$Q$55, MATCH(E707,★サイズ表記!$E$4:$E$55,0), MATCH(G707,★サイズ表記!$I$3:$R$3,0))</f>
        <v>0</v>
      </c>
      <c r="K707" s="471" t="str">
        <f t="shared" si="72"/>
        <v>C2003Oka</v>
      </c>
      <c r="L707" s="471" t="str">
        <f t="shared" si="73"/>
        <v>連合B2</v>
      </c>
      <c r="P707" s="533" t="s">
        <v>1324</v>
      </c>
      <c r="Q707" s="533" t="s">
        <v>1325</v>
      </c>
      <c r="R707" s="534" t="str">
        <f t="shared" si="74"/>
        <v>2003</v>
      </c>
      <c r="S707" s="534" t="str">
        <f t="shared" si="75"/>
        <v>連合B2</v>
      </c>
      <c r="T707" s="538" t="str">
        <f t="shared" si="76"/>
        <v>20</v>
      </c>
      <c r="U707" s="538" t="str">
        <f t="shared" si="77"/>
        <v>03</v>
      </c>
      <c r="V707" s="471" t="s">
        <v>1136</v>
      </c>
      <c r="Y707" s="472">
        <f t="shared" si="78"/>
        <v>0</v>
      </c>
      <c r="Z707" s="540">
        <f t="shared" si="79"/>
        <v>0</v>
      </c>
      <c r="AA707" s="471">
        <v>0</v>
      </c>
    </row>
    <row r="708" spans="1:27">
      <c r="A708" s="451" t="str">
        <f>CONCATENATE(VLOOKUP(B708,★営業所!$A$1:$B$5,2,FALSE),VLOOKUP(D708,★サイズ表記!$D$4:$E$55,2,FALSE),VLOOKUP(F708,★折込地区!$A$1:$B$11,2,FALSE))</f>
        <v>C2004Oka</v>
      </c>
      <c r="B708" s="457" t="s">
        <v>116</v>
      </c>
      <c r="C708" s="452" t="str">
        <f>VLOOKUP(B708,★営業所!$A$1:$B$5,2,FALSE)</f>
        <v>C</v>
      </c>
      <c r="D708" s="465" t="s">
        <v>966</v>
      </c>
      <c r="E708" s="452" t="str">
        <f>VLOOKUP(D708,★サイズ表記!$D$4:$E$55,2,FALSE)</f>
        <v>2004</v>
      </c>
      <c r="F708" s="457" t="s">
        <v>42</v>
      </c>
      <c r="G708" s="452" t="str">
        <f>VLOOKUP(F708,★折込地区!$A$1:$B$11,2,FALSE)</f>
        <v>Oka</v>
      </c>
      <c r="H708" s="453">
        <f>INDEX(★サイズ表記!$I$4:$Q$55, MATCH(E708,★サイズ表記!$E$4:$E$55,0), MATCH(G708,★サイズ表記!$I$3:$R$3,0))</f>
        <v>0</v>
      </c>
      <c r="K708" s="471" t="str">
        <f t="shared" si="72"/>
        <v>C2004Oka</v>
      </c>
      <c r="L708" s="471" t="str">
        <f t="shared" si="73"/>
        <v>連合3つ折り</v>
      </c>
      <c r="P708" s="533" t="s">
        <v>1324</v>
      </c>
      <c r="Q708" s="533" t="s">
        <v>1325</v>
      </c>
      <c r="R708" s="534" t="str">
        <f t="shared" si="74"/>
        <v>2004</v>
      </c>
      <c r="S708" s="534" t="str">
        <f t="shared" si="75"/>
        <v>連合3つ折り</v>
      </c>
      <c r="T708" s="538" t="str">
        <f t="shared" si="76"/>
        <v>20</v>
      </c>
      <c r="U708" s="538" t="str">
        <f t="shared" si="77"/>
        <v>04</v>
      </c>
      <c r="V708" s="471" t="s">
        <v>1136</v>
      </c>
      <c r="Y708" s="472">
        <f t="shared" si="78"/>
        <v>0</v>
      </c>
      <c r="Z708" s="540">
        <f t="shared" si="79"/>
        <v>0</v>
      </c>
      <c r="AA708" s="471">
        <v>0</v>
      </c>
    </row>
    <row r="709" spans="1:27">
      <c r="A709" s="451" t="str">
        <f>CONCATENATE(VLOOKUP(B709,★営業所!$A$1:$B$5,2,FALSE),VLOOKUP(D709,★サイズ表記!$D$4:$E$55,2,FALSE),VLOOKUP(F709,★折込地区!$A$1:$B$11,2,FALSE))</f>
        <v>C2005Oka</v>
      </c>
      <c r="B709" s="457" t="s">
        <v>116</v>
      </c>
      <c r="C709" s="452" t="str">
        <f>VLOOKUP(B709,★営業所!$A$1:$B$5,2,FALSE)</f>
        <v>C</v>
      </c>
      <c r="D709" s="465" t="s">
        <v>967</v>
      </c>
      <c r="E709" s="452" t="str">
        <f>VLOOKUP(D709,★サイズ表記!$D$4:$E$55,2,FALSE)</f>
        <v>2005</v>
      </c>
      <c r="F709" s="457" t="s">
        <v>42</v>
      </c>
      <c r="G709" s="452" t="str">
        <f>VLOOKUP(F709,★折込地区!$A$1:$B$11,2,FALSE)</f>
        <v>Oka</v>
      </c>
      <c r="H709" s="453">
        <f>INDEX(★サイズ表記!$I$4:$Q$55, MATCH(E709,★サイズ表記!$E$4:$E$55,0), MATCH(G709,★サイズ表記!$I$3:$R$3,0))</f>
        <v>0</v>
      </c>
      <c r="K709" s="471" t="str">
        <f t="shared" si="72"/>
        <v>C2005Oka</v>
      </c>
      <c r="L709" s="471" t="str">
        <f t="shared" si="73"/>
        <v>連合B4厚紙</v>
      </c>
      <c r="P709" s="533" t="s">
        <v>1324</v>
      </c>
      <c r="Q709" s="533" t="s">
        <v>1325</v>
      </c>
      <c r="R709" s="534" t="str">
        <f t="shared" si="74"/>
        <v>2005</v>
      </c>
      <c r="S709" s="534" t="str">
        <f t="shared" si="75"/>
        <v>連合B4厚紙</v>
      </c>
      <c r="T709" s="538" t="str">
        <f t="shared" si="76"/>
        <v>20</v>
      </c>
      <c r="U709" s="538" t="str">
        <f t="shared" si="77"/>
        <v>05</v>
      </c>
      <c r="V709" s="471" t="s">
        <v>1136</v>
      </c>
      <c r="Y709" s="472">
        <f t="shared" si="78"/>
        <v>0</v>
      </c>
      <c r="Z709" s="540">
        <f t="shared" si="79"/>
        <v>0</v>
      </c>
      <c r="AA709" s="471">
        <v>0</v>
      </c>
    </row>
    <row r="710" spans="1:27">
      <c r="A710" s="451" t="str">
        <f>CONCATENATE(VLOOKUP(B710,★営業所!$A$1:$B$5,2,FALSE),VLOOKUP(D710,★サイズ表記!$D$4:$E$55,2,FALSE),VLOOKUP(F710,★折込地区!$A$1:$B$11,2,FALSE))</f>
        <v>C2006Oka</v>
      </c>
      <c r="B710" s="457" t="s">
        <v>116</v>
      </c>
      <c r="C710" s="452" t="str">
        <f>VLOOKUP(B710,★営業所!$A$1:$B$5,2,FALSE)</f>
        <v>C</v>
      </c>
      <c r="D710" s="465" t="s">
        <v>968</v>
      </c>
      <c r="E710" s="452" t="str">
        <f>VLOOKUP(D710,★サイズ表記!$D$4:$E$55,2,FALSE)</f>
        <v>2006</v>
      </c>
      <c r="F710" s="457" t="s">
        <v>42</v>
      </c>
      <c r="G710" s="452" t="str">
        <f>VLOOKUP(F710,★折込地区!$A$1:$B$11,2,FALSE)</f>
        <v>Oka</v>
      </c>
      <c r="H710" s="453">
        <f>INDEX(★サイズ表記!$I$4:$Q$55, MATCH(E710,★サイズ表記!$E$4:$E$55,0), MATCH(G710,★サイズ表記!$I$3:$R$3,0))</f>
        <v>0</v>
      </c>
      <c r="K710" s="471" t="str">
        <f t="shared" si="72"/>
        <v>C2006Oka</v>
      </c>
      <c r="L710" s="471" t="str">
        <f t="shared" si="73"/>
        <v>連合2つ折り極小</v>
      </c>
      <c r="P710" s="533" t="s">
        <v>1324</v>
      </c>
      <c r="Q710" s="533" t="s">
        <v>1325</v>
      </c>
      <c r="R710" s="534" t="str">
        <f t="shared" si="74"/>
        <v>2006</v>
      </c>
      <c r="S710" s="534" t="str">
        <f t="shared" si="75"/>
        <v>連合2つ折り極小</v>
      </c>
      <c r="T710" s="538" t="str">
        <f t="shared" si="76"/>
        <v>20</v>
      </c>
      <c r="U710" s="538" t="str">
        <f t="shared" si="77"/>
        <v>06</v>
      </c>
      <c r="V710" s="471" t="s">
        <v>1136</v>
      </c>
      <c r="Y710" s="472">
        <f t="shared" si="78"/>
        <v>0</v>
      </c>
      <c r="Z710" s="540">
        <f t="shared" si="79"/>
        <v>0</v>
      </c>
      <c r="AA710" s="471">
        <v>0</v>
      </c>
    </row>
    <row r="711" spans="1:27">
      <c r="A711" s="451" t="str">
        <f>CONCATENATE(VLOOKUP(B711,★営業所!$A$1:$B$5,2,FALSE),VLOOKUP(D711,★サイズ表記!$D$4:$E$55,2,FALSE),VLOOKUP(F711,★折込地区!$A$1:$B$11,2,FALSE))</f>
        <v>C2007Oka</v>
      </c>
      <c r="B711" s="457" t="s">
        <v>116</v>
      </c>
      <c r="C711" s="452" t="str">
        <f>VLOOKUP(B711,★営業所!$A$1:$B$5,2,FALSE)</f>
        <v>C</v>
      </c>
      <c r="D711" s="465" t="s">
        <v>1365</v>
      </c>
      <c r="E711" s="452" t="str">
        <f>VLOOKUP(D711,★サイズ表記!$D$4:$E$55,2,FALSE)</f>
        <v>2007</v>
      </c>
      <c r="F711" s="457" t="s">
        <v>42</v>
      </c>
      <c r="G711" s="452" t="str">
        <f>VLOOKUP(F711,★折込地区!$A$1:$B$11,2,FALSE)</f>
        <v>Oka</v>
      </c>
      <c r="H711" s="453">
        <f>INDEX(★サイズ表記!$I$4:$Q$55, MATCH(E711,★サイズ表記!$E$4:$E$55,0), MATCH(G711,★サイズ表記!$I$3:$R$3,0))</f>
        <v>0</v>
      </c>
      <c r="K711" s="471" t="str">
        <f t="shared" si="72"/>
        <v>C2007Oka</v>
      </c>
      <c r="L711" s="471" t="str">
        <f t="shared" si="73"/>
        <v>連合タブ6P</v>
      </c>
      <c r="P711" s="533" t="s">
        <v>1324</v>
      </c>
      <c r="Q711" s="533" t="s">
        <v>1325</v>
      </c>
      <c r="R711" s="534" t="str">
        <f t="shared" si="74"/>
        <v>2007</v>
      </c>
      <c r="S711" s="534" t="str">
        <f t="shared" si="75"/>
        <v>連合タブ6P</v>
      </c>
      <c r="T711" s="538" t="str">
        <f t="shared" si="76"/>
        <v>20</v>
      </c>
      <c r="U711" s="538" t="str">
        <f t="shared" si="77"/>
        <v>07</v>
      </c>
      <c r="V711" s="471" t="s">
        <v>1136</v>
      </c>
      <c r="Y711" s="472">
        <f t="shared" si="78"/>
        <v>0</v>
      </c>
      <c r="Z711" s="540">
        <f t="shared" si="79"/>
        <v>0</v>
      </c>
      <c r="AA711" s="471">
        <v>0</v>
      </c>
    </row>
    <row r="712" spans="1:27">
      <c r="A712" s="451" t="str">
        <f>CONCATENATE(VLOOKUP(B712,★営業所!$A$1:$B$5,2,FALSE),VLOOKUP(D712,★サイズ表記!$D$4:$E$55,2,FALSE),VLOOKUP(F712,★折込地区!$A$1:$B$11,2,FALSE))</f>
        <v>C2008Oka</v>
      </c>
      <c r="B712" s="457" t="s">
        <v>116</v>
      </c>
      <c r="C712" s="452" t="str">
        <f>VLOOKUP(B712,★営業所!$A$1:$B$5,2,FALSE)</f>
        <v>C</v>
      </c>
      <c r="D712" s="465" t="s">
        <v>1366</v>
      </c>
      <c r="E712" s="452" t="str">
        <f>VLOOKUP(D712,★サイズ表記!$D$4:$E$55,2,FALSE)</f>
        <v>2008</v>
      </c>
      <c r="F712" s="457" t="s">
        <v>42</v>
      </c>
      <c r="G712" s="452" t="str">
        <f>VLOOKUP(F712,★折込地区!$A$1:$B$11,2,FALSE)</f>
        <v>Oka</v>
      </c>
      <c r="H712" s="453">
        <f>INDEX(★サイズ表記!$I$4:$Q$55, MATCH(E712,★サイズ表記!$E$4:$E$55,0), MATCH(G712,★サイズ表記!$I$3:$R$3,0))</f>
        <v>0</v>
      </c>
      <c r="K712" s="471" t="str">
        <f t="shared" si="72"/>
        <v>C2008Oka</v>
      </c>
      <c r="L712" s="471" t="str">
        <f t="shared" si="73"/>
        <v>連合タブ8P</v>
      </c>
      <c r="P712" s="533" t="s">
        <v>1324</v>
      </c>
      <c r="Q712" s="533" t="s">
        <v>1325</v>
      </c>
      <c r="R712" s="534" t="str">
        <f t="shared" si="74"/>
        <v>2008</v>
      </c>
      <c r="S712" s="534" t="str">
        <f t="shared" si="75"/>
        <v>連合タブ8P</v>
      </c>
      <c r="T712" s="538" t="str">
        <f t="shared" si="76"/>
        <v>20</v>
      </c>
      <c r="U712" s="538" t="str">
        <f t="shared" si="77"/>
        <v>08</v>
      </c>
      <c r="V712" s="471" t="s">
        <v>1136</v>
      </c>
      <c r="Y712" s="472">
        <f t="shared" si="78"/>
        <v>0</v>
      </c>
      <c r="Z712" s="540">
        <f t="shared" si="79"/>
        <v>0</v>
      </c>
      <c r="AA712" s="471">
        <v>0</v>
      </c>
    </row>
    <row r="713" spans="1:27">
      <c r="A713" s="451" t="str">
        <f>CONCATENATE(VLOOKUP(B713,★営業所!$A$1:$B$5,2,FALSE),VLOOKUP(D713,★サイズ表記!$D$4:$E$55,2,FALSE),VLOOKUP(F713,★折込地区!$A$1:$B$11,2,FALSE))</f>
        <v>C2009Oka</v>
      </c>
      <c r="B713" s="457" t="s">
        <v>116</v>
      </c>
      <c r="C713" s="452" t="str">
        <f>VLOOKUP(B713,★営業所!$A$1:$B$5,2,FALSE)</f>
        <v>C</v>
      </c>
      <c r="D713" s="465" t="s">
        <v>1364</v>
      </c>
      <c r="E713" s="452" t="str">
        <f>VLOOKUP(D713,★サイズ表記!$D$4:$E$55,2,FALSE)</f>
        <v>2009</v>
      </c>
      <c r="F713" s="457" t="s">
        <v>42</v>
      </c>
      <c r="G713" s="452" t="str">
        <f>VLOOKUP(F713,★折込地区!$A$1:$B$11,2,FALSE)</f>
        <v>Oka</v>
      </c>
      <c r="H713" s="453">
        <f>INDEX(★サイズ表記!$I$4:$Q$55, MATCH(E713,★サイズ表記!$E$4:$E$55,0), MATCH(G713,★サイズ表記!$I$3:$R$3,0))</f>
        <v>0</v>
      </c>
      <c r="K713" s="471" t="str">
        <f t="shared" si="72"/>
        <v>C2009Oka</v>
      </c>
      <c r="L713" s="471" t="str">
        <f t="shared" si="73"/>
        <v>連合タブ12P</v>
      </c>
      <c r="P713" s="533" t="s">
        <v>1324</v>
      </c>
      <c r="Q713" s="533" t="s">
        <v>1325</v>
      </c>
      <c r="R713" s="534" t="str">
        <f t="shared" si="74"/>
        <v>2009</v>
      </c>
      <c r="S713" s="534" t="str">
        <f t="shared" si="75"/>
        <v>連合タブ12P</v>
      </c>
      <c r="T713" s="538" t="str">
        <f t="shared" si="76"/>
        <v>20</v>
      </c>
      <c r="U713" s="538" t="str">
        <f t="shared" si="77"/>
        <v>09</v>
      </c>
      <c r="V713" s="471" t="s">
        <v>1136</v>
      </c>
      <c r="Y713" s="472">
        <f t="shared" si="78"/>
        <v>0</v>
      </c>
      <c r="Z713" s="540">
        <f t="shared" si="79"/>
        <v>0</v>
      </c>
      <c r="AA713" s="471">
        <v>0</v>
      </c>
    </row>
    <row r="714" spans="1:27">
      <c r="A714" s="451" t="str">
        <f>CONCATENATE(VLOOKUP(B714,★営業所!$A$1:$B$5,2,FALSE),VLOOKUP(D714,★サイズ表記!$D$4:$E$55,2,FALSE),VLOOKUP(F714,★折込地区!$A$1:$B$11,2,FALSE))</f>
        <v>C3001Oka</v>
      </c>
      <c r="B714" s="457" t="s">
        <v>116</v>
      </c>
      <c r="C714" s="452" t="str">
        <f>VLOOKUP(B714,★営業所!$A$1:$B$5,2,FALSE)</f>
        <v>C</v>
      </c>
      <c r="D714" s="465" t="s">
        <v>969</v>
      </c>
      <c r="E714" s="452" t="str">
        <f>VLOOKUP(D714,★サイズ表記!$D$4:$E$55,2,FALSE)</f>
        <v>3001</v>
      </c>
      <c r="F714" s="457" t="s">
        <v>42</v>
      </c>
      <c r="G714" s="452" t="str">
        <f>VLOOKUP(F714,★折込地区!$A$1:$B$11,2,FALSE)</f>
        <v>Oka</v>
      </c>
      <c r="H714" s="453">
        <f>INDEX(★サイズ表記!$I$4:$Q$55, MATCH(E714,★サイズ表記!$E$4:$E$55,0), MATCH(G714,★サイズ表記!$I$3:$R$3,0))</f>
        <v>0</v>
      </c>
      <c r="K714" s="471" t="str">
        <f t="shared" ref="K714:K777" si="80">A714</f>
        <v>C3001Oka</v>
      </c>
      <c r="L714" s="471" t="str">
        <f t="shared" ref="L714:L777" si="81">D714</f>
        <v>政治B4</v>
      </c>
      <c r="P714" s="533" t="s">
        <v>1324</v>
      </c>
      <c r="Q714" s="533" t="s">
        <v>1325</v>
      </c>
      <c r="R714" s="534" t="str">
        <f t="shared" si="74"/>
        <v>3001</v>
      </c>
      <c r="S714" s="534" t="str">
        <f t="shared" si="75"/>
        <v>政治B4</v>
      </c>
      <c r="T714" s="538" t="str">
        <f t="shared" si="76"/>
        <v>30</v>
      </c>
      <c r="U714" s="538" t="str">
        <f t="shared" si="77"/>
        <v>01</v>
      </c>
      <c r="V714" s="471" t="s">
        <v>1136</v>
      </c>
      <c r="Y714" s="472">
        <f t="shared" si="78"/>
        <v>0</v>
      </c>
      <c r="Z714" s="540">
        <f t="shared" si="79"/>
        <v>0</v>
      </c>
      <c r="AA714" s="471">
        <v>0</v>
      </c>
    </row>
    <row r="715" spans="1:27">
      <c r="A715" s="451" t="str">
        <f>CONCATENATE(VLOOKUP(B715,★営業所!$A$1:$B$5,2,FALSE),VLOOKUP(D715,★サイズ表記!$D$4:$E$55,2,FALSE),VLOOKUP(F715,★折込地区!$A$1:$B$11,2,FALSE))</f>
        <v>C3002Oka</v>
      </c>
      <c r="B715" s="457" t="s">
        <v>116</v>
      </c>
      <c r="C715" s="452" t="str">
        <f>VLOOKUP(B715,★営業所!$A$1:$B$5,2,FALSE)</f>
        <v>C</v>
      </c>
      <c r="D715" s="465" t="s">
        <v>970</v>
      </c>
      <c r="E715" s="452" t="str">
        <f>VLOOKUP(D715,★サイズ表記!$D$4:$E$55,2,FALSE)</f>
        <v>3002</v>
      </c>
      <c r="F715" s="457" t="s">
        <v>42</v>
      </c>
      <c r="G715" s="452" t="str">
        <f>VLOOKUP(F715,★折込地区!$A$1:$B$11,2,FALSE)</f>
        <v>Oka</v>
      </c>
      <c r="H715" s="453">
        <f>INDEX(★サイズ表記!$I$4:$Q$55, MATCH(E715,★サイズ表記!$E$4:$E$55,0), MATCH(G715,★サイズ表記!$I$3:$R$3,0))</f>
        <v>0</v>
      </c>
      <c r="K715" s="471" t="str">
        <f t="shared" si="80"/>
        <v>C3002Oka</v>
      </c>
      <c r="L715" s="471" t="str">
        <f t="shared" si="81"/>
        <v>政治B3</v>
      </c>
      <c r="P715" s="533" t="s">
        <v>1324</v>
      </c>
      <c r="Q715" s="533" t="s">
        <v>1325</v>
      </c>
      <c r="R715" s="534" t="str">
        <f t="shared" ref="R715:R778" si="82">E715</f>
        <v>3002</v>
      </c>
      <c r="S715" s="534" t="str">
        <f t="shared" ref="S715:S778" si="83">L715</f>
        <v>政治B3</v>
      </c>
      <c r="T715" s="538" t="str">
        <f t="shared" ref="T715:T778" si="84">LEFT($E715,2)</f>
        <v>30</v>
      </c>
      <c r="U715" s="538" t="str">
        <f t="shared" ref="U715:U778" si="85">RIGHT($E715,2)</f>
        <v>02</v>
      </c>
      <c r="V715" s="471" t="s">
        <v>1136</v>
      </c>
      <c r="Y715" s="472">
        <f t="shared" ref="Y715:Y778" si="86">$H715</f>
        <v>0</v>
      </c>
      <c r="Z715" s="540">
        <f t="shared" ref="Z715:Z778" si="87">ROUNDDOWN($H715*8/100,2)</f>
        <v>0</v>
      </c>
      <c r="AA715" s="471">
        <v>0</v>
      </c>
    </row>
    <row r="716" spans="1:27">
      <c r="A716" s="451" t="str">
        <f>CONCATENATE(VLOOKUP(B716,★営業所!$A$1:$B$5,2,FALSE),VLOOKUP(D716,★サイズ表記!$D$4:$E$55,2,FALSE),VLOOKUP(F716,★折込地区!$A$1:$B$11,2,FALSE))</f>
        <v>C3003Oka</v>
      </c>
      <c r="B716" s="457" t="s">
        <v>116</v>
      </c>
      <c r="C716" s="452" t="str">
        <f>VLOOKUP(B716,★営業所!$A$1:$B$5,2,FALSE)</f>
        <v>C</v>
      </c>
      <c r="D716" s="465" t="s">
        <v>971</v>
      </c>
      <c r="E716" s="452" t="str">
        <f>VLOOKUP(D716,★サイズ表記!$D$4:$E$55,2,FALSE)</f>
        <v>3003</v>
      </c>
      <c r="F716" s="457" t="s">
        <v>42</v>
      </c>
      <c r="G716" s="452" t="str">
        <f>VLOOKUP(F716,★折込地区!$A$1:$B$11,2,FALSE)</f>
        <v>Oka</v>
      </c>
      <c r="H716" s="453">
        <f>INDEX(★サイズ表記!$I$4:$Q$55, MATCH(E716,★サイズ表記!$E$4:$E$55,0), MATCH(G716,★サイズ表記!$I$3:$R$3,0))</f>
        <v>0</v>
      </c>
      <c r="K716" s="471" t="str">
        <f t="shared" si="80"/>
        <v>C3003Oka</v>
      </c>
      <c r="L716" s="471" t="str">
        <f t="shared" si="81"/>
        <v>政治B2</v>
      </c>
      <c r="P716" s="533" t="s">
        <v>1324</v>
      </c>
      <c r="Q716" s="533" t="s">
        <v>1325</v>
      </c>
      <c r="R716" s="534" t="str">
        <f t="shared" si="82"/>
        <v>3003</v>
      </c>
      <c r="S716" s="534" t="str">
        <f t="shared" si="83"/>
        <v>政治B2</v>
      </c>
      <c r="T716" s="538" t="str">
        <f t="shared" si="84"/>
        <v>30</v>
      </c>
      <c r="U716" s="538" t="str">
        <f t="shared" si="85"/>
        <v>03</v>
      </c>
      <c r="V716" s="471" t="s">
        <v>1136</v>
      </c>
      <c r="Y716" s="472">
        <f t="shared" si="86"/>
        <v>0</v>
      </c>
      <c r="Z716" s="540">
        <f t="shared" si="87"/>
        <v>0</v>
      </c>
      <c r="AA716" s="471">
        <v>0</v>
      </c>
    </row>
    <row r="717" spans="1:27">
      <c r="A717" s="451" t="str">
        <f>CONCATENATE(VLOOKUP(B717,★営業所!$A$1:$B$5,2,FALSE),VLOOKUP(D717,★サイズ表記!$D$4:$E$55,2,FALSE),VLOOKUP(F717,★折込地区!$A$1:$B$11,2,FALSE))</f>
        <v>C3004Oka</v>
      </c>
      <c r="B717" s="457" t="s">
        <v>116</v>
      </c>
      <c r="C717" s="452" t="str">
        <f>VLOOKUP(B717,★営業所!$A$1:$B$5,2,FALSE)</f>
        <v>C</v>
      </c>
      <c r="D717" s="465" t="s">
        <v>972</v>
      </c>
      <c r="E717" s="452" t="str">
        <f>VLOOKUP(D717,★サイズ表記!$D$4:$E$55,2,FALSE)</f>
        <v>3004</v>
      </c>
      <c r="F717" s="457" t="s">
        <v>42</v>
      </c>
      <c r="G717" s="452" t="str">
        <f>VLOOKUP(F717,★折込地区!$A$1:$B$11,2,FALSE)</f>
        <v>Oka</v>
      </c>
      <c r="H717" s="453">
        <f>INDEX(★サイズ表記!$I$4:$Q$55, MATCH(E717,★サイズ表記!$E$4:$E$55,0), MATCH(G717,★サイズ表記!$I$3:$R$3,0))</f>
        <v>0</v>
      </c>
      <c r="K717" s="471" t="str">
        <f t="shared" si="80"/>
        <v>C3004Oka</v>
      </c>
      <c r="L717" s="471" t="str">
        <f t="shared" si="81"/>
        <v>政治3つ折り</v>
      </c>
      <c r="P717" s="533" t="s">
        <v>1324</v>
      </c>
      <c r="Q717" s="533" t="s">
        <v>1325</v>
      </c>
      <c r="R717" s="534" t="str">
        <f t="shared" si="82"/>
        <v>3004</v>
      </c>
      <c r="S717" s="534" t="str">
        <f t="shared" si="83"/>
        <v>政治3つ折り</v>
      </c>
      <c r="T717" s="538" t="str">
        <f t="shared" si="84"/>
        <v>30</v>
      </c>
      <c r="U717" s="538" t="str">
        <f t="shared" si="85"/>
        <v>04</v>
      </c>
      <c r="V717" s="471" t="s">
        <v>1136</v>
      </c>
      <c r="Y717" s="472">
        <f t="shared" si="86"/>
        <v>0</v>
      </c>
      <c r="Z717" s="540">
        <f t="shared" si="87"/>
        <v>0</v>
      </c>
      <c r="AA717" s="471">
        <v>0</v>
      </c>
    </row>
    <row r="718" spans="1:27">
      <c r="A718" s="451" t="str">
        <f>CONCATENATE(VLOOKUP(B718,★営業所!$A$1:$B$5,2,FALSE),VLOOKUP(D718,★サイズ表記!$D$4:$E$55,2,FALSE),VLOOKUP(F718,★折込地区!$A$1:$B$11,2,FALSE))</f>
        <v>C3005Oka</v>
      </c>
      <c r="B718" s="457" t="s">
        <v>116</v>
      </c>
      <c r="C718" s="452" t="str">
        <f>VLOOKUP(B718,★営業所!$A$1:$B$5,2,FALSE)</f>
        <v>C</v>
      </c>
      <c r="D718" s="465" t="s">
        <v>973</v>
      </c>
      <c r="E718" s="452" t="str">
        <f>VLOOKUP(D718,★サイズ表記!$D$4:$E$55,2,FALSE)</f>
        <v>3005</v>
      </c>
      <c r="F718" s="457" t="s">
        <v>42</v>
      </c>
      <c r="G718" s="452" t="str">
        <f>VLOOKUP(F718,★折込地区!$A$1:$B$11,2,FALSE)</f>
        <v>Oka</v>
      </c>
      <c r="H718" s="453">
        <f>INDEX(★サイズ表記!$I$4:$Q$55, MATCH(E718,★サイズ表記!$E$4:$E$55,0), MATCH(G718,★サイズ表記!$I$3:$R$3,0))</f>
        <v>0</v>
      </c>
      <c r="K718" s="471" t="str">
        <f t="shared" si="80"/>
        <v>C3005Oka</v>
      </c>
      <c r="L718" s="471" t="str">
        <f t="shared" si="81"/>
        <v>政治2つ折り極小</v>
      </c>
      <c r="P718" s="533" t="s">
        <v>1324</v>
      </c>
      <c r="Q718" s="533" t="s">
        <v>1325</v>
      </c>
      <c r="R718" s="534" t="str">
        <f t="shared" si="82"/>
        <v>3005</v>
      </c>
      <c r="S718" s="534" t="str">
        <f t="shared" si="83"/>
        <v>政治2つ折り極小</v>
      </c>
      <c r="T718" s="538" t="str">
        <f t="shared" si="84"/>
        <v>30</v>
      </c>
      <c r="U718" s="538" t="str">
        <f t="shared" si="85"/>
        <v>05</v>
      </c>
      <c r="V718" s="471" t="s">
        <v>1136</v>
      </c>
      <c r="Y718" s="472">
        <f t="shared" si="86"/>
        <v>0</v>
      </c>
      <c r="Z718" s="540">
        <f t="shared" si="87"/>
        <v>0</v>
      </c>
      <c r="AA718" s="471">
        <v>0</v>
      </c>
    </row>
    <row r="719" spans="1:27">
      <c r="A719" s="451" t="str">
        <f>CONCATENATE(VLOOKUP(B719,★営業所!$A$1:$B$5,2,FALSE),VLOOKUP(D719,★サイズ表記!$D$4:$E$55,2,FALSE),VLOOKUP(F719,★折込地区!$A$1:$B$11,2,FALSE))</f>
        <v>C3006Oka</v>
      </c>
      <c r="B719" s="457" t="s">
        <v>116</v>
      </c>
      <c r="C719" s="452" t="str">
        <f>VLOOKUP(B719,★営業所!$A$1:$B$5,2,FALSE)</f>
        <v>C</v>
      </c>
      <c r="D719" s="465" t="s">
        <v>974</v>
      </c>
      <c r="E719" s="452" t="str">
        <f>VLOOKUP(D719,★サイズ表記!$D$4:$E$55,2,FALSE)</f>
        <v>3006</v>
      </c>
      <c r="F719" s="457" t="s">
        <v>42</v>
      </c>
      <c r="G719" s="452" t="str">
        <f>VLOOKUP(F719,★折込地区!$A$1:$B$11,2,FALSE)</f>
        <v>Oka</v>
      </c>
      <c r="H719" s="453">
        <f>INDEX(★サイズ表記!$I$4:$Q$55, MATCH(E719,★サイズ表記!$E$4:$E$55,0), MATCH(G719,★サイズ表記!$I$3:$R$3,0))</f>
        <v>0</v>
      </c>
      <c r="K719" s="471" t="str">
        <f t="shared" si="80"/>
        <v>C3006Oka</v>
      </c>
      <c r="L719" s="471" t="str">
        <f t="shared" si="81"/>
        <v>政治B4厚紙</v>
      </c>
      <c r="P719" s="533" t="s">
        <v>1324</v>
      </c>
      <c r="Q719" s="533" t="s">
        <v>1325</v>
      </c>
      <c r="R719" s="534" t="str">
        <f t="shared" si="82"/>
        <v>3006</v>
      </c>
      <c r="S719" s="534" t="str">
        <f t="shared" si="83"/>
        <v>政治B4厚紙</v>
      </c>
      <c r="T719" s="538" t="str">
        <f t="shared" si="84"/>
        <v>30</v>
      </c>
      <c r="U719" s="538" t="str">
        <f t="shared" si="85"/>
        <v>06</v>
      </c>
      <c r="V719" s="471" t="s">
        <v>1136</v>
      </c>
      <c r="Y719" s="472">
        <f t="shared" si="86"/>
        <v>0</v>
      </c>
      <c r="Z719" s="540">
        <f t="shared" si="87"/>
        <v>0</v>
      </c>
      <c r="AA719" s="471">
        <v>0</v>
      </c>
    </row>
    <row r="720" spans="1:27">
      <c r="A720" s="451" t="str">
        <f>CONCATENATE(VLOOKUP(B720,★営業所!$A$1:$B$5,2,FALSE),VLOOKUP(D720,★サイズ表記!$D$4:$E$55,2,FALSE),VLOOKUP(F720,★折込地区!$A$1:$B$11,2,FALSE))</f>
        <v>C3007Oka</v>
      </c>
      <c r="B720" s="457" t="s">
        <v>116</v>
      </c>
      <c r="C720" s="452" t="str">
        <f>VLOOKUP(B720,★営業所!$A$1:$B$5,2,FALSE)</f>
        <v>C</v>
      </c>
      <c r="D720" s="465" t="s">
        <v>1362</v>
      </c>
      <c r="E720" s="452" t="str">
        <f>VLOOKUP(D720,★サイズ表記!$D$4:$E$55,2,FALSE)</f>
        <v>3007</v>
      </c>
      <c r="F720" s="457" t="s">
        <v>42</v>
      </c>
      <c r="G720" s="452" t="str">
        <f>VLOOKUP(F720,★折込地区!$A$1:$B$11,2,FALSE)</f>
        <v>Oka</v>
      </c>
      <c r="H720" s="453">
        <f>INDEX(★サイズ表記!$I$4:$Q$55, MATCH(E720,★サイズ表記!$E$4:$E$55,0), MATCH(G720,★サイズ表記!$I$3:$R$3,0))</f>
        <v>0</v>
      </c>
      <c r="K720" s="471" t="str">
        <f t="shared" si="80"/>
        <v>C3007Oka</v>
      </c>
      <c r="L720" s="471" t="str">
        <f t="shared" si="81"/>
        <v>政治タブ6P</v>
      </c>
      <c r="P720" s="533" t="s">
        <v>1324</v>
      </c>
      <c r="Q720" s="533" t="s">
        <v>1325</v>
      </c>
      <c r="R720" s="534" t="str">
        <f t="shared" si="82"/>
        <v>3007</v>
      </c>
      <c r="S720" s="534" t="str">
        <f t="shared" si="83"/>
        <v>政治タブ6P</v>
      </c>
      <c r="T720" s="538" t="str">
        <f t="shared" si="84"/>
        <v>30</v>
      </c>
      <c r="U720" s="538" t="str">
        <f t="shared" si="85"/>
        <v>07</v>
      </c>
      <c r="V720" s="471" t="s">
        <v>1136</v>
      </c>
      <c r="Y720" s="472">
        <f t="shared" si="86"/>
        <v>0</v>
      </c>
      <c r="Z720" s="540">
        <f t="shared" si="87"/>
        <v>0</v>
      </c>
      <c r="AA720" s="471">
        <v>0</v>
      </c>
    </row>
    <row r="721" spans="1:27">
      <c r="A721" s="451" t="str">
        <f>CONCATENATE(VLOOKUP(B721,★営業所!$A$1:$B$5,2,FALSE),VLOOKUP(D721,★サイズ表記!$D$4:$E$55,2,FALSE),VLOOKUP(F721,★折込地区!$A$1:$B$11,2,FALSE))</f>
        <v>C3008Oka</v>
      </c>
      <c r="B721" s="457" t="s">
        <v>116</v>
      </c>
      <c r="C721" s="452" t="str">
        <f>VLOOKUP(B721,★営業所!$A$1:$B$5,2,FALSE)</f>
        <v>C</v>
      </c>
      <c r="D721" s="465" t="s">
        <v>1363</v>
      </c>
      <c r="E721" s="452" t="str">
        <f>VLOOKUP(D721,★サイズ表記!$D$4:$E$55,2,FALSE)</f>
        <v>3008</v>
      </c>
      <c r="F721" s="457" t="s">
        <v>42</v>
      </c>
      <c r="G721" s="452" t="str">
        <f>VLOOKUP(F721,★折込地区!$A$1:$B$11,2,FALSE)</f>
        <v>Oka</v>
      </c>
      <c r="H721" s="453">
        <f>INDEX(★サイズ表記!$I$4:$Q$55, MATCH(E721,★サイズ表記!$E$4:$E$55,0), MATCH(G721,★サイズ表記!$I$3:$R$3,0))</f>
        <v>0</v>
      </c>
      <c r="K721" s="471" t="str">
        <f t="shared" si="80"/>
        <v>C3008Oka</v>
      </c>
      <c r="L721" s="471" t="str">
        <f t="shared" si="81"/>
        <v>政治タブ8P</v>
      </c>
      <c r="P721" s="533" t="s">
        <v>1324</v>
      </c>
      <c r="Q721" s="533" t="s">
        <v>1325</v>
      </c>
      <c r="R721" s="534" t="str">
        <f t="shared" si="82"/>
        <v>3008</v>
      </c>
      <c r="S721" s="534" t="str">
        <f t="shared" si="83"/>
        <v>政治タブ8P</v>
      </c>
      <c r="T721" s="538" t="str">
        <f t="shared" si="84"/>
        <v>30</v>
      </c>
      <c r="U721" s="538" t="str">
        <f t="shared" si="85"/>
        <v>08</v>
      </c>
      <c r="V721" s="471" t="s">
        <v>1136</v>
      </c>
      <c r="Y721" s="472">
        <f t="shared" si="86"/>
        <v>0</v>
      </c>
      <c r="Z721" s="540">
        <f t="shared" si="87"/>
        <v>0</v>
      </c>
      <c r="AA721" s="471">
        <v>0</v>
      </c>
    </row>
    <row r="722" spans="1:27">
      <c r="A722" s="451" t="str">
        <f>CONCATENATE(VLOOKUP(B722,★営業所!$A$1:$B$5,2,FALSE),VLOOKUP(D722,★サイズ表記!$D$4:$E$55,2,FALSE),VLOOKUP(F722,★折込地区!$A$1:$B$11,2,FALSE))</f>
        <v>C3009Oka</v>
      </c>
      <c r="B722" s="457" t="s">
        <v>116</v>
      </c>
      <c r="C722" s="452" t="str">
        <f>VLOOKUP(B722,★営業所!$A$1:$B$5,2,FALSE)</f>
        <v>C</v>
      </c>
      <c r="D722" s="465" t="s">
        <v>1361</v>
      </c>
      <c r="E722" s="452" t="str">
        <f>VLOOKUP(D722,★サイズ表記!$D$4:$E$55,2,FALSE)</f>
        <v>3009</v>
      </c>
      <c r="F722" s="457" t="s">
        <v>42</v>
      </c>
      <c r="G722" s="452" t="str">
        <f>VLOOKUP(F722,★折込地区!$A$1:$B$11,2,FALSE)</f>
        <v>Oka</v>
      </c>
      <c r="H722" s="453">
        <f>INDEX(★サイズ表記!$I$4:$Q$55, MATCH(E722,★サイズ表記!$E$4:$E$55,0), MATCH(G722,★サイズ表記!$I$3:$R$3,0))</f>
        <v>0</v>
      </c>
      <c r="K722" s="471" t="str">
        <f t="shared" si="80"/>
        <v>C3009Oka</v>
      </c>
      <c r="L722" s="471" t="str">
        <f t="shared" si="81"/>
        <v>政治タブ12P</v>
      </c>
      <c r="P722" s="533" t="s">
        <v>1324</v>
      </c>
      <c r="Q722" s="533" t="s">
        <v>1325</v>
      </c>
      <c r="R722" s="534" t="str">
        <f t="shared" si="82"/>
        <v>3009</v>
      </c>
      <c r="S722" s="534" t="str">
        <f t="shared" si="83"/>
        <v>政治タブ12P</v>
      </c>
      <c r="T722" s="538" t="str">
        <f t="shared" si="84"/>
        <v>30</v>
      </c>
      <c r="U722" s="538" t="str">
        <f t="shared" si="85"/>
        <v>09</v>
      </c>
      <c r="V722" s="471" t="s">
        <v>1136</v>
      </c>
      <c r="Y722" s="472">
        <f t="shared" si="86"/>
        <v>0</v>
      </c>
      <c r="Z722" s="540">
        <f t="shared" si="87"/>
        <v>0</v>
      </c>
      <c r="AA722" s="471">
        <v>0</v>
      </c>
    </row>
    <row r="723" spans="1:27">
      <c r="A723" s="451" t="str">
        <f>CONCATENATE(VLOOKUP(B723,★営業所!$A$1:$B$5,2,FALSE),VLOOKUP(D723,★サイズ表記!$D$4:$E$55,2,FALSE),VLOOKUP(F723,★折込地区!$A$1:$B$11,2,FALSE))</f>
        <v>C4001Oka</v>
      </c>
      <c r="B723" s="457" t="s">
        <v>116</v>
      </c>
      <c r="C723" s="452" t="str">
        <f>VLOOKUP(B723,★営業所!$A$1:$B$5,2,FALSE)</f>
        <v>C</v>
      </c>
      <c r="D723" s="465" t="s">
        <v>1358</v>
      </c>
      <c r="E723" s="452" t="str">
        <f>VLOOKUP(D723,★サイズ表記!$D$4:$E$55,2,FALSE)</f>
        <v>4001</v>
      </c>
      <c r="F723" s="457" t="s">
        <v>42</v>
      </c>
      <c r="G723" s="452" t="str">
        <f>VLOOKUP(F723,★折込地区!$A$1:$B$11,2,FALSE)</f>
        <v>Oka</v>
      </c>
      <c r="H723" s="453">
        <f>INDEX(★サイズ表記!$I$4:$Q$55, MATCH(E723,★サイズ表記!$E$4:$E$55,0), MATCH(G723,★サイズ表記!$I$3:$R$3,0))</f>
        <v>0</v>
      </c>
      <c r="K723" s="471" t="str">
        <f t="shared" si="80"/>
        <v>C4001Oka</v>
      </c>
      <c r="L723" s="471" t="str">
        <f t="shared" si="81"/>
        <v>タブ6P</v>
      </c>
      <c r="P723" s="533" t="s">
        <v>1324</v>
      </c>
      <c r="Q723" s="533" t="s">
        <v>1325</v>
      </c>
      <c r="R723" s="534" t="str">
        <f t="shared" si="82"/>
        <v>4001</v>
      </c>
      <c r="S723" s="534" t="str">
        <f t="shared" si="83"/>
        <v>タブ6P</v>
      </c>
      <c r="T723" s="538" t="str">
        <f t="shared" si="84"/>
        <v>40</v>
      </c>
      <c r="U723" s="538" t="str">
        <f t="shared" si="85"/>
        <v>01</v>
      </c>
      <c r="V723" s="471" t="s">
        <v>1136</v>
      </c>
      <c r="Y723" s="472">
        <f t="shared" si="86"/>
        <v>0</v>
      </c>
      <c r="Z723" s="540">
        <f t="shared" si="87"/>
        <v>0</v>
      </c>
      <c r="AA723" s="471">
        <v>0</v>
      </c>
    </row>
    <row r="724" spans="1:27">
      <c r="A724" s="451" t="str">
        <f>CONCATENATE(VLOOKUP(B724,★営業所!$A$1:$B$5,2,FALSE),VLOOKUP(D724,★サイズ表記!$D$4:$E$55,2,FALSE),VLOOKUP(F724,★折込地区!$A$1:$B$11,2,FALSE))</f>
        <v>C4002Oka</v>
      </c>
      <c r="B724" s="457" t="s">
        <v>116</v>
      </c>
      <c r="C724" s="452" t="str">
        <f>VLOOKUP(B724,★営業所!$A$1:$B$5,2,FALSE)</f>
        <v>C</v>
      </c>
      <c r="D724" s="465" t="s">
        <v>1359</v>
      </c>
      <c r="E724" s="452" t="str">
        <f>VLOOKUP(D724,★サイズ表記!$D$4:$E$55,2,FALSE)</f>
        <v>4002</v>
      </c>
      <c r="F724" s="457" t="s">
        <v>42</v>
      </c>
      <c r="G724" s="452" t="str">
        <f>VLOOKUP(F724,★折込地区!$A$1:$B$11,2,FALSE)</f>
        <v>Oka</v>
      </c>
      <c r="H724" s="453">
        <f>INDEX(★サイズ表記!$I$4:$Q$55, MATCH(E724,★サイズ表記!$E$4:$E$55,0), MATCH(G724,★サイズ表記!$I$3:$R$3,0))</f>
        <v>0</v>
      </c>
      <c r="K724" s="471" t="str">
        <f t="shared" si="80"/>
        <v>C4002Oka</v>
      </c>
      <c r="L724" s="471" t="str">
        <f t="shared" si="81"/>
        <v>タブ8P</v>
      </c>
      <c r="P724" s="533" t="s">
        <v>1324</v>
      </c>
      <c r="Q724" s="533" t="s">
        <v>1325</v>
      </c>
      <c r="R724" s="534" t="str">
        <f t="shared" si="82"/>
        <v>4002</v>
      </c>
      <c r="S724" s="534" t="str">
        <f t="shared" si="83"/>
        <v>タブ8P</v>
      </c>
      <c r="T724" s="538" t="str">
        <f t="shared" si="84"/>
        <v>40</v>
      </c>
      <c r="U724" s="538" t="str">
        <f t="shared" si="85"/>
        <v>02</v>
      </c>
      <c r="V724" s="471" t="s">
        <v>1136</v>
      </c>
      <c r="Y724" s="472">
        <f t="shared" si="86"/>
        <v>0</v>
      </c>
      <c r="Z724" s="540">
        <f t="shared" si="87"/>
        <v>0</v>
      </c>
      <c r="AA724" s="471">
        <v>0</v>
      </c>
    </row>
    <row r="725" spans="1:27">
      <c r="A725" s="451" t="str">
        <f>CONCATENATE(VLOOKUP(B725,★営業所!$A$1:$B$5,2,FALSE),VLOOKUP(D725,★サイズ表記!$D$4:$E$55,2,FALSE),VLOOKUP(F725,★折込地区!$A$1:$B$11,2,FALSE))</f>
        <v>C4003Oka</v>
      </c>
      <c r="B725" s="457" t="s">
        <v>116</v>
      </c>
      <c r="C725" s="452" t="str">
        <f>VLOOKUP(B725,★営業所!$A$1:$B$5,2,FALSE)</f>
        <v>C</v>
      </c>
      <c r="D725" s="465" t="s">
        <v>1360</v>
      </c>
      <c r="E725" s="452" t="str">
        <f>VLOOKUP(D725,★サイズ表記!$D$4:$E$55,2,FALSE)</f>
        <v>4003</v>
      </c>
      <c r="F725" s="457" t="s">
        <v>42</v>
      </c>
      <c r="G725" s="452" t="str">
        <f>VLOOKUP(F725,★折込地区!$A$1:$B$11,2,FALSE)</f>
        <v>Oka</v>
      </c>
      <c r="H725" s="453">
        <f>INDEX(★サイズ表記!$I$4:$Q$55, MATCH(E725,★サイズ表記!$E$4:$E$55,0), MATCH(G725,★サイズ表記!$I$3:$R$3,0))</f>
        <v>0</v>
      </c>
      <c r="K725" s="471" t="str">
        <f t="shared" si="80"/>
        <v>C4003Oka</v>
      </c>
      <c r="L725" s="471" t="str">
        <f t="shared" si="81"/>
        <v>タブ8Pホチキス止め</v>
      </c>
      <c r="P725" s="533" t="s">
        <v>1324</v>
      </c>
      <c r="Q725" s="533" t="s">
        <v>1325</v>
      </c>
      <c r="R725" s="534" t="str">
        <f t="shared" si="82"/>
        <v>4003</v>
      </c>
      <c r="S725" s="534" t="str">
        <f t="shared" si="83"/>
        <v>タブ8Pホチキス止め</v>
      </c>
      <c r="T725" s="538" t="str">
        <f t="shared" si="84"/>
        <v>40</v>
      </c>
      <c r="U725" s="538" t="str">
        <f t="shared" si="85"/>
        <v>03</v>
      </c>
      <c r="V725" s="471" t="s">
        <v>1136</v>
      </c>
      <c r="Y725" s="472">
        <f t="shared" si="86"/>
        <v>0</v>
      </c>
      <c r="Z725" s="540">
        <f t="shared" si="87"/>
        <v>0</v>
      </c>
      <c r="AA725" s="471">
        <v>0</v>
      </c>
    </row>
    <row r="726" spans="1:27">
      <c r="A726" s="451" t="str">
        <f>CONCATENATE(VLOOKUP(B726,★営業所!$A$1:$B$5,2,FALSE),VLOOKUP(D726,★サイズ表記!$D$4:$E$55,2,FALSE),VLOOKUP(F726,★折込地区!$A$1:$B$11,2,FALSE))</f>
        <v>C4004Oka</v>
      </c>
      <c r="B726" s="457" t="s">
        <v>116</v>
      </c>
      <c r="C726" s="452" t="str">
        <f>VLOOKUP(B726,★営業所!$A$1:$B$5,2,FALSE)</f>
        <v>C</v>
      </c>
      <c r="D726" s="465" t="s">
        <v>1350</v>
      </c>
      <c r="E726" s="452" t="str">
        <f>VLOOKUP(D726,★サイズ表記!$D$4:$E$55,2,FALSE)</f>
        <v>4004</v>
      </c>
      <c r="F726" s="457" t="s">
        <v>42</v>
      </c>
      <c r="G726" s="452" t="str">
        <f>VLOOKUP(F726,★折込地区!$A$1:$B$11,2,FALSE)</f>
        <v>Oka</v>
      </c>
      <c r="H726" s="453">
        <f>INDEX(★サイズ表記!$I$4:$Q$55, MATCH(E726,★サイズ表記!$E$4:$E$55,0), MATCH(G726,★サイズ表記!$I$3:$R$3,0))</f>
        <v>0</v>
      </c>
      <c r="K726" s="471" t="str">
        <f t="shared" si="80"/>
        <v>C4004Oka</v>
      </c>
      <c r="L726" s="471" t="str">
        <f t="shared" si="81"/>
        <v>タブ10P</v>
      </c>
      <c r="P726" s="533" t="s">
        <v>1324</v>
      </c>
      <c r="Q726" s="533" t="s">
        <v>1325</v>
      </c>
      <c r="R726" s="534" t="str">
        <f t="shared" si="82"/>
        <v>4004</v>
      </c>
      <c r="S726" s="534" t="str">
        <f t="shared" si="83"/>
        <v>タブ10P</v>
      </c>
      <c r="T726" s="538" t="str">
        <f t="shared" si="84"/>
        <v>40</v>
      </c>
      <c r="U726" s="538" t="str">
        <f t="shared" si="85"/>
        <v>04</v>
      </c>
      <c r="V726" s="471" t="s">
        <v>1136</v>
      </c>
      <c r="Y726" s="472">
        <f t="shared" si="86"/>
        <v>0</v>
      </c>
      <c r="Z726" s="540">
        <f t="shared" si="87"/>
        <v>0</v>
      </c>
      <c r="AA726" s="471">
        <v>0</v>
      </c>
    </row>
    <row r="727" spans="1:27">
      <c r="A727" s="451" t="str">
        <f>CONCATENATE(VLOOKUP(B727,★営業所!$A$1:$B$5,2,FALSE),VLOOKUP(D727,★サイズ表記!$D$4:$E$55,2,FALSE),VLOOKUP(F727,★折込地区!$A$1:$B$11,2,FALSE))</f>
        <v>C4005Oka</v>
      </c>
      <c r="B727" s="457" t="s">
        <v>116</v>
      </c>
      <c r="C727" s="452" t="str">
        <f>VLOOKUP(B727,★営業所!$A$1:$B$5,2,FALSE)</f>
        <v>C</v>
      </c>
      <c r="D727" s="465" t="s">
        <v>1351</v>
      </c>
      <c r="E727" s="452" t="str">
        <f>VLOOKUP(D727,★サイズ表記!$D$4:$E$55,2,FALSE)</f>
        <v>4005</v>
      </c>
      <c r="F727" s="457" t="s">
        <v>42</v>
      </c>
      <c r="G727" s="452" t="str">
        <f>VLOOKUP(F727,★折込地区!$A$1:$B$11,2,FALSE)</f>
        <v>Oka</v>
      </c>
      <c r="H727" s="453">
        <f>INDEX(★サイズ表記!$I$4:$Q$55, MATCH(E727,★サイズ表記!$E$4:$E$55,0), MATCH(G727,★サイズ表記!$I$3:$R$3,0))</f>
        <v>0</v>
      </c>
      <c r="K727" s="471" t="str">
        <f t="shared" si="80"/>
        <v>C4005Oka</v>
      </c>
      <c r="L727" s="471" t="str">
        <f t="shared" si="81"/>
        <v>タブ12P</v>
      </c>
      <c r="P727" s="533" t="s">
        <v>1324</v>
      </c>
      <c r="Q727" s="533" t="s">
        <v>1325</v>
      </c>
      <c r="R727" s="534" t="str">
        <f t="shared" si="82"/>
        <v>4005</v>
      </c>
      <c r="S727" s="534" t="str">
        <f t="shared" si="83"/>
        <v>タブ12P</v>
      </c>
      <c r="T727" s="538" t="str">
        <f t="shared" si="84"/>
        <v>40</v>
      </c>
      <c r="U727" s="538" t="str">
        <f t="shared" si="85"/>
        <v>05</v>
      </c>
      <c r="V727" s="471" t="s">
        <v>1136</v>
      </c>
      <c r="Y727" s="472">
        <f t="shared" si="86"/>
        <v>0</v>
      </c>
      <c r="Z727" s="540">
        <f t="shared" si="87"/>
        <v>0</v>
      </c>
      <c r="AA727" s="471">
        <v>0</v>
      </c>
    </row>
    <row r="728" spans="1:27">
      <c r="A728" s="451" t="str">
        <f>CONCATENATE(VLOOKUP(B728,★営業所!$A$1:$B$5,2,FALSE),VLOOKUP(D728,★サイズ表記!$D$4:$E$55,2,FALSE),VLOOKUP(F728,★折込地区!$A$1:$B$11,2,FALSE))</f>
        <v>C4006Oka</v>
      </c>
      <c r="B728" s="457" t="s">
        <v>116</v>
      </c>
      <c r="C728" s="452" t="str">
        <f>VLOOKUP(B728,★営業所!$A$1:$B$5,2,FALSE)</f>
        <v>C</v>
      </c>
      <c r="D728" s="465" t="s">
        <v>1352</v>
      </c>
      <c r="E728" s="452" t="str">
        <f>VLOOKUP(D728,★サイズ表記!$D$4:$E$55,2,FALSE)</f>
        <v>4006</v>
      </c>
      <c r="F728" s="457" t="s">
        <v>42</v>
      </c>
      <c r="G728" s="452" t="str">
        <f>VLOOKUP(F728,★折込地区!$A$1:$B$11,2,FALSE)</f>
        <v>Oka</v>
      </c>
      <c r="H728" s="453">
        <f>INDEX(★サイズ表記!$I$4:$Q$55, MATCH(E728,★サイズ表記!$E$4:$E$55,0), MATCH(G728,★サイズ表記!$I$3:$R$3,0))</f>
        <v>0</v>
      </c>
      <c r="K728" s="471" t="str">
        <f t="shared" si="80"/>
        <v>C4006Oka</v>
      </c>
      <c r="L728" s="471" t="str">
        <f t="shared" si="81"/>
        <v>タブ14P</v>
      </c>
      <c r="P728" s="533" t="s">
        <v>1324</v>
      </c>
      <c r="Q728" s="533" t="s">
        <v>1325</v>
      </c>
      <c r="R728" s="534" t="str">
        <f t="shared" si="82"/>
        <v>4006</v>
      </c>
      <c r="S728" s="534" t="str">
        <f t="shared" si="83"/>
        <v>タブ14P</v>
      </c>
      <c r="T728" s="538" t="str">
        <f t="shared" si="84"/>
        <v>40</v>
      </c>
      <c r="U728" s="538" t="str">
        <f t="shared" si="85"/>
        <v>06</v>
      </c>
      <c r="V728" s="471" t="s">
        <v>1136</v>
      </c>
      <c r="Y728" s="472">
        <f t="shared" si="86"/>
        <v>0</v>
      </c>
      <c r="Z728" s="540">
        <f t="shared" si="87"/>
        <v>0</v>
      </c>
      <c r="AA728" s="471">
        <v>0</v>
      </c>
    </row>
    <row r="729" spans="1:27">
      <c r="A729" s="451" t="str">
        <f>CONCATENATE(VLOOKUP(B729,★営業所!$A$1:$B$5,2,FALSE),VLOOKUP(D729,★サイズ表記!$D$4:$E$55,2,FALSE),VLOOKUP(F729,★折込地区!$A$1:$B$11,2,FALSE))</f>
        <v>C4007Oka</v>
      </c>
      <c r="B729" s="457" t="s">
        <v>116</v>
      </c>
      <c r="C729" s="452" t="str">
        <f>VLOOKUP(B729,★営業所!$A$1:$B$5,2,FALSE)</f>
        <v>C</v>
      </c>
      <c r="D729" s="465" t="s">
        <v>1353</v>
      </c>
      <c r="E729" s="452" t="str">
        <f>VLOOKUP(D729,★サイズ表記!$D$4:$E$55,2,FALSE)</f>
        <v>4007</v>
      </c>
      <c r="F729" s="457" t="s">
        <v>42</v>
      </c>
      <c r="G729" s="452" t="str">
        <f>VLOOKUP(F729,★折込地区!$A$1:$B$11,2,FALSE)</f>
        <v>Oka</v>
      </c>
      <c r="H729" s="453">
        <f>INDEX(★サイズ表記!$I$4:$Q$55, MATCH(E729,★サイズ表記!$E$4:$E$55,0), MATCH(G729,★サイズ表記!$I$3:$R$3,0))</f>
        <v>0</v>
      </c>
      <c r="K729" s="471" t="str">
        <f t="shared" si="80"/>
        <v>C4007Oka</v>
      </c>
      <c r="L729" s="471" t="str">
        <f t="shared" si="81"/>
        <v>タブ16P</v>
      </c>
      <c r="P729" s="533" t="s">
        <v>1324</v>
      </c>
      <c r="Q729" s="533" t="s">
        <v>1325</v>
      </c>
      <c r="R729" s="534" t="str">
        <f t="shared" si="82"/>
        <v>4007</v>
      </c>
      <c r="S729" s="534" t="str">
        <f t="shared" si="83"/>
        <v>タブ16P</v>
      </c>
      <c r="T729" s="538" t="str">
        <f t="shared" si="84"/>
        <v>40</v>
      </c>
      <c r="U729" s="538" t="str">
        <f t="shared" si="85"/>
        <v>07</v>
      </c>
      <c r="V729" s="471" t="s">
        <v>1136</v>
      </c>
      <c r="Y729" s="472">
        <f t="shared" si="86"/>
        <v>0</v>
      </c>
      <c r="Z729" s="540">
        <f t="shared" si="87"/>
        <v>0</v>
      </c>
      <c r="AA729" s="471">
        <v>0</v>
      </c>
    </row>
    <row r="730" spans="1:27">
      <c r="A730" s="451" t="str">
        <f>CONCATENATE(VLOOKUP(B730,★営業所!$A$1:$B$5,2,FALSE),VLOOKUP(D730,★サイズ表記!$D$4:$E$55,2,FALSE),VLOOKUP(F730,★折込地区!$A$1:$B$11,2,FALSE))</f>
        <v>C4008Oka</v>
      </c>
      <c r="B730" s="457" t="s">
        <v>116</v>
      </c>
      <c r="C730" s="452" t="str">
        <f>VLOOKUP(B730,★営業所!$A$1:$B$5,2,FALSE)</f>
        <v>C</v>
      </c>
      <c r="D730" s="465" t="s">
        <v>1355</v>
      </c>
      <c r="E730" s="452" t="str">
        <f>VLOOKUP(D730,★サイズ表記!$D$4:$E$55,2,FALSE)</f>
        <v>4008</v>
      </c>
      <c r="F730" s="457" t="s">
        <v>42</v>
      </c>
      <c r="G730" s="452" t="str">
        <f>VLOOKUP(F730,★折込地区!$A$1:$B$11,2,FALSE)</f>
        <v>Oka</v>
      </c>
      <c r="H730" s="453">
        <f>INDEX(★サイズ表記!$I$4:$Q$55, MATCH(E730,★サイズ表記!$E$4:$E$55,0), MATCH(G730,★サイズ表記!$I$3:$R$3,0))</f>
        <v>0</v>
      </c>
      <c r="K730" s="471" t="str">
        <f t="shared" si="80"/>
        <v>C4008Oka</v>
      </c>
      <c r="L730" s="471" t="str">
        <f t="shared" si="81"/>
        <v>タブ18P</v>
      </c>
      <c r="P730" s="533" t="s">
        <v>1324</v>
      </c>
      <c r="Q730" s="533" t="s">
        <v>1325</v>
      </c>
      <c r="R730" s="534" t="str">
        <f t="shared" si="82"/>
        <v>4008</v>
      </c>
      <c r="S730" s="534" t="str">
        <f t="shared" si="83"/>
        <v>タブ18P</v>
      </c>
      <c r="T730" s="538" t="str">
        <f t="shared" si="84"/>
        <v>40</v>
      </c>
      <c r="U730" s="538" t="str">
        <f t="shared" si="85"/>
        <v>08</v>
      </c>
      <c r="V730" s="471" t="s">
        <v>1136</v>
      </c>
      <c r="Y730" s="472">
        <f t="shared" si="86"/>
        <v>0</v>
      </c>
      <c r="Z730" s="540">
        <f t="shared" si="87"/>
        <v>0</v>
      </c>
      <c r="AA730" s="471">
        <v>0</v>
      </c>
    </row>
    <row r="731" spans="1:27">
      <c r="A731" s="451" t="str">
        <f>CONCATENATE(VLOOKUP(B731,★営業所!$A$1:$B$5,2,FALSE),VLOOKUP(D731,★サイズ表記!$D$4:$E$55,2,FALSE),VLOOKUP(F731,★折込地区!$A$1:$B$11,2,FALSE))</f>
        <v>C4009Oka</v>
      </c>
      <c r="B731" s="457" t="s">
        <v>116</v>
      </c>
      <c r="C731" s="452" t="str">
        <f>VLOOKUP(B731,★営業所!$A$1:$B$5,2,FALSE)</f>
        <v>C</v>
      </c>
      <c r="D731" s="465" t="s">
        <v>1356</v>
      </c>
      <c r="E731" s="452" t="str">
        <f>VLOOKUP(D731,★サイズ表記!$D$4:$E$55,2,FALSE)</f>
        <v>4009</v>
      </c>
      <c r="F731" s="457" t="s">
        <v>42</v>
      </c>
      <c r="G731" s="452" t="str">
        <f>VLOOKUP(F731,★折込地区!$A$1:$B$11,2,FALSE)</f>
        <v>Oka</v>
      </c>
      <c r="H731" s="453">
        <f>INDEX(★サイズ表記!$I$4:$Q$55, MATCH(E731,★サイズ表記!$E$4:$E$55,0), MATCH(G731,★サイズ表記!$I$3:$R$3,0))</f>
        <v>0</v>
      </c>
      <c r="K731" s="471" t="str">
        <f t="shared" si="80"/>
        <v>C4009Oka</v>
      </c>
      <c r="L731" s="471" t="str">
        <f t="shared" si="81"/>
        <v>タブ20P</v>
      </c>
      <c r="P731" s="533" t="s">
        <v>1324</v>
      </c>
      <c r="Q731" s="533" t="s">
        <v>1325</v>
      </c>
      <c r="R731" s="534" t="str">
        <f t="shared" si="82"/>
        <v>4009</v>
      </c>
      <c r="S731" s="534" t="str">
        <f t="shared" si="83"/>
        <v>タブ20P</v>
      </c>
      <c r="T731" s="538" t="str">
        <f t="shared" si="84"/>
        <v>40</v>
      </c>
      <c r="U731" s="538" t="str">
        <f t="shared" si="85"/>
        <v>09</v>
      </c>
      <c r="V731" s="471" t="s">
        <v>1136</v>
      </c>
      <c r="Y731" s="472">
        <f t="shared" si="86"/>
        <v>0</v>
      </c>
      <c r="Z731" s="540">
        <f t="shared" si="87"/>
        <v>0</v>
      </c>
      <c r="AA731" s="471">
        <v>0</v>
      </c>
    </row>
    <row r="732" spans="1:27">
      <c r="A732" s="451" t="str">
        <f>CONCATENATE(VLOOKUP(B732,★営業所!$A$1:$B$5,2,FALSE),VLOOKUP(D732,★サイズ表記!$D$4:$E$55,2,FALSE),VLOOKUP(F732,★折込地区!$A$1:$B$11,2,FALSE))</f>
        <v>C4010Oka</v>
      </c>
      <c r="B732" s="457" t="s">
        <v>116</v>
      </c>
      <c r="C732" s="452" t="str">
        <f>VLOOKUP(B732,★営業所!$A$1:$B$5,2,FALSE)</f>
        <v>C</v>
      </c>
      <c r="D732" s="465" t="s">
        <v>1354</v>
      </c>
      <c r="E732" s="452" t="str">
        <f>VLOOKUP(D732,★サイズ表記!$D$4:$E$55,2,FALSE)</f>
        <v>4010</v>
      </c>
      <c r="F732" s="457" t="s">
        <v>42</v>
      </c>
      <c r="G732" s="452" t="str">
        <f>VLOOKUP(F732,★折込地区!$A$1:$B$11,2,FALSE)</f>
        <v>Oka</v>
      </c>
      <c r="H732" s="453">
        <f>INDEX(★サイズ表記!$I$4:$Q$55, MATCH(E732,★サイズ表記!$E$4:$E$55,0), MATCH(G732,★サイズ表記!$I$3:$R$3,0))</f>
        <v>0</v>
      </c>
      <c r="K732" s="471" t="str">
        <f t="shared" si="80"/>
        <v>C4010Oka</v>
      </c>
      <c r="L732" s="471" t="str">
        <f t="shared" si="81"/>
        <v>タブ16Pホチキス止め</v>
      </c>
      <c r="P732" s="533" t="s">
        <v>1324</v>
      </c>
      <c r="Q732" s="533" t="s">
        <v>1325</v>
      </c>
      <c r="R732" s="534" t="str">
        <f t="shared" si="82"/>
        <v>4010</v>
      </c>
      <c r="S732" s="534" t="str">
        <f t="shared" si="83"/>
        <v>タブ16Pホチキス止め</v>
      </c>
      <c r="T732" s="538" t="str">
        <f t="shared" si="84"/>
        <v>40</v>
      </c>
      <c r="U732" s="538" t="str">
        <f t="shared" si="85"/>
        <v>10</v>
      </c>
      <c r="V732" s="471" t="s">
        <v>1136</v>
      </c>
      <c r="Y732" s="472">
        <f t="shared" si="86"/>
        <v>0</v>
      </c>
      <c r="Z732" s="540">
        <f t="shared" si="87"/>
        <v>0</v>
      </c>
      <c r="AA732" s="471">
        <v>0</v>
      </c>
    </row>
    <row r="733" spans="1:27">
      <c r="A733" s="451" t="str">
        <f>CONCATENATE(VLOOKUP(B733,★営業所!$A$1:$B$5,2,FALSE),VLOOKUP(D733,★サイズ表記!$D$4:$E$55,2,FALSE),VLOOKUP(F733,★折込地区!$A$1:$B$11,2,FALSE))</f>
        <v>C4011Oka</v>
      </c>
      <c r="B733" s="457" t="s">
        <v>116</v>
      </c>
      <c r="C733" s="452" t="str">
        <f>VLOOKUP(B733,★営業所!$A$1:$B$5,2,FALSE)</f>
        <v>C</v>
      </c>
      <c r="D733" s="465" t="s">
        <v>1357</v>
      </c>
      <c r="E733" s="452" t="str">
        <f>VLOOKUP(D733,★サイズ表記!$D$4:$E$55,2,FALSE)</f>
        <v>4011</v>
      </c>
      <c r="F733" s="457" t="s">
        <v>42</v>
      </c>
      <c r="G733" s="452" t="str">
        <f>VLOOKUP(F733,★折込地区!$A$1:$B$11,2,FALSE)</f>
        <v>Oka</v>
      </c>
      <c r="H733" s="453">
        <f>INDEX(★サイズ表記!$I$4:$Q$55, MATCH(E733,★サイズ表記!$E$4:$E$55,0), MATCH(G733,★サイズ表記!$I$3:$R$3,0))</f>
        <v>0</v>
      </c>
      <c r="K733" s="471" t="str">
        <f t="shared" si="80"/>
        <v>C4011Oka</v>
      </c>
      <c r="L733" s="471" t="str">
        <f t="shared" si="81"/>
        <v>タブ40P</v>
      </c>
      <c r="P733" s="533" t="s">
        <v>1324</v>
      </c>
      <c r="Q733" s="533" t="s">
        <v>1325</v>
      </c>
      <c r="R733" s="534" t="str">
        <f t="shared" si="82"/>
        <v>4011</v>
      </c>
      <c r="S733" s="534" t="str">
        <f t="shared" si="83"/>
        <v>タブ40P</v>
      </c>
      <c r="T733" s="538" t="str">
        <f t="shared" si="84"/>
        <v>40</v>
      </c>
      <c r="U733" s="538" t="str">
        <f t="shared" si="85"/>
        <v>11</v>
      </c>
      <c r="V733" s="471" t="s">
        <v>1136</v>
      </c>
      <c r="Y733" s="472">
        <f t="shared" si="86"/>
        <v>0</v>
      </c>
      <c r="Z733" s="540">
        <f t="shared" si="87"/>
        <v>0</v>
      </c>
      <c r="AA733" s="471">
        <v>0</v>
      </c>
    </row>
    <row r="734" spans="1:27">
      <c r="A734" s="451" t="str">
        <f>CONCATENATE(VLOOKUP(B734,★営業所!$A$1:$B$5,2,FALSE),VLOOKUP(D734,★サイズ表記!$D$4:$E$55,2,FALSE),VLOOKUP(F734,★折込地区!$A$1:$B$11,2,FALSE))</f>
        <v>C9001Oka</v>
      </c>
      <c r="B734" s="457" t="s">
        <v>116</v>
      </c>
      <c r="C734" s="452" t="str">
        <f>VLOOKUP(B734,★営業所!$A$1:$B$5,2,FALSE)</f>
        <v>C</v>
      </c>
      <c r="D734" s="465" t="s">
        <v>975</v>
      </c>
      <c r="E734" s="452" t="str">
        <f>VLOOKUP(D734,★サイズ表記!$D$4:$E$55,2,FALSE)</f>
        <v>9001</v>
      </c>
      <c r="F734" s="457" t="s">
        <v>42</v>
      </c>
      <c r="G734" s="452" t="str">
        <f>VLOOKUP(F734,★折込地区!$A$1:$B$11,2,FALSE)</f>
        <v>Oka</v>
      </c>
      <c r="H734" s="453">
        <f>INDEX(★サイズ表記!$I$4:$Q$55, MATCH(E734,★サイズ表記!$E$4:$E$55,0), MATCH(G734,★サイズ表記!$I$3:$R$3,0))</f>
        <v>0</v>
      </c>
      <c r="K734" s="471" t="str">
        <f t="shared" si="80"/>
        <v>C9001Oka</v>
      </c>
      <c r="L734" s="471" t="str">
        <f t="shared" si="81"/>
        <v>うさぎの耳</v>
      </c>
      <c r="P734" s="533" t="s">
        <v>1324</v>
      </c>
      <c r="Q734" s="533" t="s">
        <v>1325</v>
      </c>
      <c r="R734" s="534" t="str">
        <f t="shared" si="82"/>
        <v>9001</v>
      </c>
      <c r="S734" s="534" t="str">
        <f t="shared" si="83"/>
        <v>うさぎの耳</v>
      </c>
      <c r="T734" s="538" t="str">
        <f t="shared" si="84"/>
        <v>90</v>
      </c>
      <c r="U734" s="538" t="str">
        <f t="shared" si="85"/>
        <v>01</v>
      </c>
      <c r="V734" s="471" t="s">
        <v>1136</v>
      </c>
      <c r="Y734" s="472">
        <f t="shared" si="86"/>
        <v>0</v>
      </c>
      <c r="Z734" s="540">
        <f t="shared" si="87"/>
        <v>0</v>
      </c>
      <c r="AA734" s="471">
        <v>0</v>
      </c>
    </row>
    <row r="735" spans="1:27">
      <c r="A735" s="451" t="str">
        <f>CONCATENATE(VLOOKUP(B735,★営業所!$A$1:$B$5,2,FALSE),VLOOKUP(D735,★サイズ表記!$D$4:$E$55,2,FALSE),VLOOKUP(F735,★折込地区!$A$1:$B$11,2,FALSE))</f>
        <v>C9002Oka</v>
      </c>
      <c r="B735" s="457" t="s">
        <v>116</v>
      </c>
      <c r="C735" s="452" t="str">
        <f>VLOOKUP(B735,★営業所!$A$1:$B$5,2,FALSE)</f>
        <v>C</v>
      </c>
      <c r="D735" s="465" t="s">
        <v>976</v>
      </c>
      <c r="E735" s="452" t="str">
        <f>VLOOKUP(D735,★サイズ表記!$D$4:$E$55,2,FALSE)</f>
        <v>9002</v>
      </c>
      <c r="F735" s="457" t="s">
        <v>42</v>
      </c>
      <c r="G735" s="452" t="str">
        <f>VLOOKUP(F735,★折込地区!$A$1:$B$11,2,FALSE)</f>
        <v>Oka</v>
      </c>
      <c r="H735" s="453">
        <f>INDEX(★サイズ表記!$I$4:$Q$55, MATCH(E735,★サイズ表記!$E$4:$E$55,0), MATCH(G735,★サイズ表記!$I$3:$R$3,0))</f>
        <v>0</v>
      </c>
      <c r="K735" s="471" t="str">
        <f t="shared" si="80"/>
        <v>C9002Oka</v>
      </c>
      <c r="L735" s="471" t="str">
        <f t="shared" si="81"/>
        <v>ユーキャン（題字）</v>
      </c>
      <c r="P735" s="533" t="s">
        <v>1324</v>
      </c>
      <c r="Q735" s="533" t="s">
        <v>1325</v>
      </c>
      <c r="R735" s="534" t="str">
        <f t="shared" si="82"/>
        <v>9002</v>
      </c>
      <c r="S735" s="534" t="str">
        <f t="shared" si="83"/>
        <v>ユーキャン（題字）</v>
      </c>
      <c r="T735" s="538" t="str">
        <f t="shared" si="84"/>
        <v>90</v>
      </c>
      <c r="U735" s="538" t="str">
        <f t="shared" si="85"/>
        <v>02</v>
      </c>
      <c r="V735" s="471" t="s">
        <v>1136</v>
      </c>
      <c r="Y735" s="472">
        <f t="shared" si="86"/>
        <v>0</v>
      </c>
      <c r="Z735" s="540">
        <f t="shared" si="87"/>
        <v>0</v>
      </c>
      <c r="AA735" s="471">
        <v>0</v>
      </c>
    </row>
    <row r="736" spans="1:27">
      <c r="A736" s="451" t="str">
        <f>CONCATENATE(VLOOKUP(B736,★営業所!$A$1:$B$5,2,FALSE),VLOOKUP(D736,★サイズ表記!$D$4:$E$55,2,FALSE),VLOOKUP(F736,★折込地区!$A$1:$B$11,2,FALSE))</f>
        <v>C9003Oka</v>
      </c>
      <c r="B736" s="457" t="s">
        <v>116</v>
      </c>
      <c r="C736" s="452" t="str">
        <f>VLOOKUP(B736,★営業所!$A$1:$B$5,2,FALSE)</f>
        <v>C</v>
      </c>
      <c r="D736" s="465" t="s">
        <v>977</v>
      </c>
      <c r="E736" s="452" t="str">
        <f>VLOOKUP(D736,★サイズ表記!$D$4:$E$55,2,FALSE)</f>
        <v>9003</v>
      </c>
      <c r="F736" s="457" t="s">
        <v>42</v>
      </c>
      <c r="G736" s="452" t="str">
        <f>VLOOKUP(F736,★折込地区!$A$1:$B$11,2,FALSE)</f>
        <v>Oka</v>
      </c>
      <c r="H736" s="453">
        <f>INDEX(★サイズ表記!$I$4:$Q$55, MATCH(E736,★サイズ表記!$E$4:$E$55,0), MATCH(G736,★サイズ表記!$I$3:$R$3,0))</f>
        <v>0</v>
      </c>
      <c r="K736" s="471" t="str">
        <f t="shared" si="80"/>
        <v>C9003Oka</v>
      </c>
      <c r="L736" s="471" t="str">
        <f t="shared" si="81"/>
        <v>横長B3</v>
      </c>
      <c r="P736" s="533" t="s">
        <v>1324</v>
      </c>
      <c r="Q736" s="533" t="s">
        <v>1325</v>
      </c>
      <c r="R736" s="534" t="str">
        <f t="shared" si="82"/>
        <v>9003</v>
      </c>
      <c r="S736" s="534" t="str">
        <f t="shared" si="83"/>
        <v>横長B3</v>
      </c>
      <c r="T736" s="538" t="str">
        <f t="shared" si="84"/>
        <v>90</v>
      </c>
      <c r="U736" s="538" t="str">
        <f t="shared" si="85"/>
        <v>03</v>
      </c>
      <c r="V736" s="471" t="s">
        <v>1136</v>
      </c>
      <c r="Y736" s="472">
        <f t="shared" si="86"/>
        <v>0</v>
      </c>
      <c r="Z736" s="540">
        <f t="shared" si="87"/>
        <v>0</v>
      </c>
      <c r="AA736" s="471">
        <v>0</v>
      </c>
    </row>
    <row r="737" spans="1:27">
      <c r="A737" s="451" t="str">
        <f>CONCATENATE(VLOOKUP(B737,★営業所!$A$1:$B$5,2,FALSE),VLOOKUP(D737,★サイズ表記!$D$4:$E$55,2,FALSE),VLOOKUP(F737,★折込地区!$A$1:$B$11,2,FALSE))</f>
        <v>C9004Oka</v>
      </c>
      <c r="B737" s="457" t="s">
        <v>116</v>
      </c>
      <c r="C737" s="452" t="str">
        <f>VLOOKUP(B737,★営業所!$A$1:$B$5,2,FALSE)</f>
        <v>C</v>
      </c>
      <c r="D737" s="465" t="s">
        <v>978</v>
      </c>
      <c r="E737" s="452" t="str">
        <f>VLOOKUP(D737,★サイズ表記!$D$4:$E$55,2,FALSE)</f>
        <v>9004</v>
      </c>
      <c r="F737" s="457" t="s">
        <v>42</v>
      </c>
      <c r="G737" s="452" t="str">
        <f>VLOOKUP(F737,★折込地区!$A$1:$B$11,2,FALSE)</f>
        <v>Oka</v>
      </c>
      <c r="H737" s="453">
        <f>INDEX(★サイズ表記!$I$4:$Q$55, MATCH(E737,★サイズ表記!$E$4:$E$55,0), MATCH(G737,★サイズ表記!$I$3:$R$3,0))</f>
        <v>0</v>
      </c>
      <c r="K737" s="471" t="str">
        <f t="shared" si="80"/>
        <v>C9004Oka</v>
      </c>
      <c r="L737" s="471" t="str">
        <f t="shared" si="81"/>
        <v>AD-BAG</v>
      </c>
      <c r="P737" s="533" t="s">
        <v>1324</v>
      </c>
      <c r="Q737" s="533" t="s">
        <v>1325</v>
      </c>
      <c r="R737" s="534" t="str">
        <f t="shared" si="82"/>
        <v>9004</v>
      </c>
      <c r="S737" s="534" t="str">
        <f t="shared" si="83"/>
        <v>AD-BAG</v>
      </c>
      <c r="T737" s="538" t="str">
        <f t="shared" si="84"/>
        <v>90</v>
      </c>
      <c r="U737" s="538" t="str">
        <f t="shared" si="85"/>
        <v>04</v>
      </c>
      <c r="V737" s="471" t="s">
        <v>1136</v>
      </c>
      <c r="Y737" s="472">
        <f t="shared" si="86"/>
        <v>0</v>
      </c>
      <c r="Z737" s="540">
        <f t="shared" si="87"/>
        <v>0</v>
      </c>
      <c r="AA737" s="471">
        <v>0</v>
      </c>
    </row>
    <row r="738" spans="1:27">
      <c r="A738" s="451" t="str">
        <f>CONCATENATE(VLOOKUP(B738,★営業所!$A$1:$B$5,2,FALSE),VLOOKUP(D738,★サイズ表記!$D$4:$E$55,2,FALSE),VLOOKUP(F738,★折込地区!$A$1:$B$11,2,FALSE))</f>
        <v>C9005Oka</v>
      </c>
      <c r="B738" s="457" t="s">
        <v>116</v>
      </c>
      <c r="C738" s="452" t="str">
        <f>VLOOKUP(B738,★営業所!$A$1:$B$5,2,FALSE)</f>
        <v>C</v>
      </c>
      <c r="D738" s="465" t="s">
        <v>979</v>
      </c>
      <c r="E738" s="452" t="str">
        <f>VLOOKUP(D738,★サイズ表記!$D$4:$E$55,2,FALSE)</f>
        <v>9005</v>
      </c>
      <c r="F738" s="457" t="s">
        <v>42</v>
      </c>
      <c r="G738" s="452" t="str">
        <f>VLOOKUP(F738,★折込地区!$A$1:$B$11,2,FALSE)</f>
        <v>Oka</v>
      </c>
      <c r="H738" s="453">
        <f>INDEX(★サイズ表記!$I$4:$Q$55, MATCH(E738,★サイズ表記!$E$4:$E$55,0), MATCH(G738,★サイズ表記!$I$3:$R$3,0))</f>
        <v>0</v>
      </c>
      <c r="K738" s="471" t="str">
        <f t="shared" si="80"/>
        <v>C9005Oka</v>
      </c>
      <c r="L738" s="471" t="str">
        <f t="shared" si="81"/>
        <v>封筒</v>
      </c>
      <c r="P738" s="533" t="s">
        <v>1324</v>
      </c>
      <c r="Q738" s="533" t="s">
        <v>1325</v>
      </c>
      <c r="R738" s="534" t="str">
        <f t="shared" si="82"/>
        <v>9005</v>
      </c>
      <c r="S738" s="534" t="str">
        <f t="shared" si="83"/>
        <v>封筒</v>
      </c>
      <c r="T738" s="538" t="str">
        <f t="shared" si="84"/>
        <v>90</v>
      </c>
      <c r="U738" s="538" t="str">
        <f t="shared" si="85"/>
        <v>05</v>
      </c>
      <c r="V738" s="471" t="s">
        <v>1136</v>
      </c>
      <c r="Y738" s="472">
        <f t="shared" si="86"/>
        <v>0</v>
      </c>
      <c r="Z738" s="540">
        <f t="shared" si="87"/>
        <v>0</v>
      </c>
      <c r="AA738" s="471">
        <v>0</v>
      </c>
    </row>
    <row r="739" spans="1:27">
      <c r="A739" s="451" t="str">
        <f>CONCATENATE(VLOOKUP(B739,★営業所!$A$1:$B$5,2,FALSE),VLOOKUP(D739,★サイズ表記!$D$4:$E$55,2,FALSE),VLOOKUP(F739,★折込地区!$A$1:$B$11,2,FALSE))</f>
        <v>C9006Oka</v>
      </c>
      <c r="B739" s="457" t="s">
        <v>116</v>
      </c>
      <c r="C739" s="452" t="str">
        <f>VLOOKUP(B739,★営業所!$A$1:$B$5,2,FALSE)</f>
        <v>C</v>
      </c>
      <c r="D739" s="465" t="s">
        <v>980</v>
      </c>
      <c r="E739" s="452" t="str">
        <f>VLOOKUP(D739,★サイズ表記!$D$4:$E$55,2,FALSE)</f>
        <v>9006</v>
      </c>
      <c r="F739" s="457" t="s">
        <v>42</v>
      </c>
      <c r="G739" s="452" t="str">
        <f>VLOOKUP(F739,★折込地区!$A$1:$B$11,2,FALSE)</f>
        <v>Oka</v>
      </c>
      <c r="H739" s="453">
        <f>INDEX(★サイズ表記!$I$4:$Q$55, MATCH(E739,★サイズ表記!$E$4:$E$55,0), MATCH(G739,★サイズ表記!$I$3:$R$3,0))</f>
        <v>0</v>
      </c>
      <c r="K739" s="471" t="str">
        <f t="shared" si="80"/>
        <v>C9006Oka</v>
      </c>
      <c r="L739" s="471" t="str">
        <f t="shared" si="81"/>
        <v>圧着</v>
      </c>
      <c r="P739" s="533" t="s">
        <v>1324</v>
      </c>
      <c r="Q739" s="533" t="s">
        <v>1325</v>
      </c>
      <c r="R739" s="534" t="str">
        <f t="shared" si="82"/>
        <v>9006</v>
      </c>
      <c r="S739" s="534" t="str">
        <f t="shared" si="83"/>
        <v>圧着</v>
      </c>
      <c r="T739" s="538" t="str">
        <f t="shared" si="84"/>
        <v>90</v>
      </c>
      <c r="U739" s="538" t="str">
        <f t="shared" si="85"/>
        <v>06</v>
      </c>
      <c r="V739" s="471" t="s">
        <v>1136</v>
      </c>
      <c r="Y739" s="472">
        <f t="shared" si="86"/>
        <v>0</v>
      </c>
      <c r="Z739" s="540">
        <f t="shared" si="87"/>
        <v>0</v>
      </c>
      <c r="AA739" s="471">
        <v>0</v>
      </c>
    </row>
    <row r="740" spans="1:27">
      <c r="A740" s="451" t="str">
        <f>CONCATENATE(VLOOKUP(B740,★営業所!$A$1:$B$5,2,FALSE),VLOOKUP(D740,★サイズ表記!$D$4:$E$55,2,FALSE),VLOOKUP(F740,★折込地区!$A$1:$B$11,2,FALSE))</f>
        <v>C9007Oka</v>
      </c>
      <c r="B740" s="457" t="s">
        <v>116</v>
      </c>
      <c r="C740" s="452" t="str">
        <f>VLOOKUP(B740,★営業所!$A$1:$B$5,2,FALSE)</f>
        <v>C</v>
      </c>
      <c r="D740" s="465" t="s">
        <v>981</v>
      </c>
      <c r="E740" s="452" t="str">
        <f>VLOOKUP(D740,★サイズ表記!$D$4:$E$55,2,FALSE)</f>
        <v>9007</v>
      </c>
      <c r="F740" s="457" t="s">
        <v>42</v>
      </c>
      <c r="G740" s="452" t="str">
        <f>VLOOKUP(F740,★折込地区!$A$1:$B$11,2,FALSE)</f>
        <v>Oka</v>
      </c>
      <c r="H740" s="453">
        <f>INDEX(★サイズ表記!$I$4:$Q$55, MATCH(E740,★サイズ表記!$E$4:$E$55,0), MATCH(G740,★サイズ表記!$I$3:$R$3,0))</f>
        <v>0</v>
      </c>
      <c r="K740" s="471" t="str">
        <f t="shared" si="80"/>
        <v>C9007Oka</v>
      </c>
      <c r="L740" s="471" t="str">
        <f t="shared" si="81"/>
        <v>圧着厚紙</v>
      </c>
      <c r="P740" s="533" t="s">
        <v>1324</v>
      </c>
      <c r="Q740" s="533" t="s">
        <v>1325</v>
      </c>
      <c r="R740" s="534" t="str">
        <f t="shared" si="82"/>
        <v>9007</v>
      </c>
      <c r="S740" s="534" t="str">
        <f t="shared" si="83"/>
        <v>圧着厚紙</v>
      </c>
      <c r="T740" s="538" t="str">
        <f t="shared" si="84"/>
        <v>90</v>
      </c>
      <c r="U740" s="538" t="str">
        <f t="shared" si="85"/>
        <v>07</v>
      </c>
      <c r="V740" s="471" t="s">
        <v>1136</v>
      </c>
      <c r="Y740" s="472">
        <f t="shared" si="86"/>
        <v>0</v>
      </c>
      <c r="Z740" s="540">
        <f t="shared" si="87"/>
        <v>0</v>
      </c>
      <c r="AA740" s="471">
        <v>0</v>
      </c>
    </row>
    <row r="741" spans="1:27">
      <c r="A741" s="451" t="str">
        <f>CONCATENATE(VLOOKUP(B741,★営業所!$A$1:$B$5,2,FALSE),VLOOKUP(D741,★サイズ表記!$D$4:$E$55,2,FALSE),VLOOKUP(F741,★折込地区!$A$1:$B$11,2,FALSE))</f>
        <v>C1001Shi</v>
      </c>
      <c r="B741" s="457" t="s">
        <v>116</v>
      </c>
      <c r="C741" s="452" t="str">
        <f>VLOOKUP(B741,★営業所!$A$1:$B$5,2,FALSE)</f>
        <v>C</v>
      </c>
      <c r="D741" s="465" t="s">
        <v>948</v>
      </c>
      <c r="E741" s="452" t="str">
        <f>VLOOKUP(D741,★サイズ表記!$D$4:$E$55,2,FALSE)</f>
        <v>1001</v>
      </c>
      <c r="F741" s="457" t="s">
        <v>41</v>
      </c>
      <c r="G741" s="452" t="str">
        <f>VLOOKUP(F741,★折込地区!$A$1:$B$11,2,FALSE)</f>
        <v>Shi</v>
      </c>
      <c r="H741" s="453">
        <f>INDEX(★サイズ表記!$I$4:$Q$55, MATCH(E741,★サイズ表記!$E$4:$E$55,0), MATCH(G741,★サイズ表記!$I$3:$R$3,0))</f>
        <v>3</v>
      </c>
      <c r="K741" s="471" t="str">
        <f t="shared" si="80"/>
        <v>C1001Shi</v>
      </c>
      <c r="L741" s="471" t="str">
        <f t="shared" si="81"/>
        <v>B4（折り無し）</v>
      </c>
      <c r="P741" s="533" t="s">
        <v>1324</v>
      </c>
      <c r="Q741" s="533" t="s">
        <v>1325</v>
      </c>
      <c r="R741" s="534" t="str">
        <f t="shared" si="82"/>
        <v>1001</v>
      </c>
      <c r="S741" s="534" t="str">
        <f t="shared" si="83"/>
        <v>B4（折り無し）</v>
      </c>
      <c r="T741" s="538" t="str">
        <f t="shared" si="84"/>
        <v>10</v>
      </c>
      <c r="U741" s="538" t="str">
        <f t="shared" si="85"/>
        <v>01</v>
      </c>
      <c r="V741" s="471" t="s">
        <v>1136</v>
      </c>
      <c r="Y741" s="472">
        <f t="shared" si="86"/>
        <v>3</v>
      </c>
      <c r="Z741" s="540">
        <f t="shared" si="87"/>
        <v>0.24</v>
      </c>
      <c r="AA741" s="471">
        <v>0</v>
      </c>
    </row>
    <row r="742" spans="1:27">
      <c r="A742" s="451" t="str">
        <f>CONCATENATE(VLOOKUP(B742,★営業所!$A$1:$B$5,2,FALSE),VLOOKUP(D742,★サイズ表記!$D$4:$E$55,2,FALSE),VLOOKUP(F742,★折込地区!$A$1:$B$11,2,FALSE))</f>
        <v>C1002Shi</v>
      </c>
      <c r="B742" s="457" t="s">
        <v>116</v>
      </c>
      <c r="C742" s="452" t="str">
        <f>VLOOKUP(B742,★営業所!$A$1:$B$5,2,FALSE)</f>
        <v>C</v>
      </c>
      <c r="D742" s="465" t="s">
        <v>950</v>
      </c>
      <c r="E742" s="452" t="str">
        <f>VLOOKUP(D742,★サイズ表記!$D$4:$E$55,2,FALSE)</f>
        <v>1002</v>
      </c>
      <c r="F742" s="457" t="s">
        <v>41</v>
      </c>
      <c r="G742" s="452" t="str">
        <f>VLOOKUP(F742,★折込地区!$A$1:$B$11,2,FALSE)</f>
        <v>Shi</v>
      </c>
      <c r="H742" s="453">
        <f>INDEX(★サイズ表記!$I$4:$Q$55, MATCH(E742,★サイズ表記!$E$4:$E$55,0), MATCH(G742,★サイズ表記!$I$3:$R$3,0))</f>
        <v>4</v>
      </c>
      <c r="K742" s="471" t="str">
        <f t="shared" si="80"/>
        <v>C1002Shi</v>
      </c>
      <c r="L742" s="471" t="str">
        <f t="shared" si="81"/>
        <v>B3（2つ折り）</v>
      </c>
      <c r="P742" s="533" t="s">
        <v>1324</v>
      </c>
      <c r="Q742" s="533" t="s">
        <v>1325</v>
      </c>
      <c r="R742" s="534" t="str">
        <f t="shared" si="82"/>
        <v>1002</v>
      </c>
      <c r="S742" s="534" t="str">
        <f t="shared" si="83"/>
        <v>B3（2つ折り）</v>
      </c>
      <c r="T742" s="538" t="str">
        <f t="shared" si="84"/>
        <v>10</v>
      </c>
      <c r="U742" s="538" t="str">
        <f t="shared" si="85"/>
        <v>02</v>
      </c>
      <c r="V742" s="471" t="s">
        <v>1136</v>
      </c>
      <c r="Y742" s="472">
        <f t="shared" si="86"/>
        <v>4</v>
      </c>
      <c r="Z742" s="540">
        <f t="shared" si="87"/>
        <v>0.32</v>
      </c>
      <c r="AA742" s="471">
        <v>0</v>
      </c>
    </row>
    <row r="743" spans="1:27">
      <c r="A743" s="451" t="str">
        <f>CONCATENATE(VLOOKUP(B743,★営業所!$A$1:$B$5,2,FALSE),VLOOKUP(D743,★サイズ表記!$D$4:$E$55,2,FALSE),VLOOKUP(F743,★折込地区!$A$1:$B$11,2,FALSE))</f>
        <v>C1003Shi</v>
      </c>
      <c r="B743" s="457" t="s">
        <v>116</v>
      </c>
      <c r="C743" s="452" t="str">
        <f>VLOOKUP(B743,★営業所!$A$1:$B$5,2,FALSE)</f>
        <v>C</v>
      </c>
      <c r="D743" s="465" t="s">
        <v>951</v>
      </c>
      <c r="E743" s="452" t="str">
        <f>VLOOKUP(D743,★サイズ表記!$D$4:$E$55,2,FALSE)</f>
        <v>1003</v>
      </c>
      <c r="F743" s="457" t="s">
        <v>41</v>
      </c>
      <c r="G743" s="452" t="str">
        <f>VLOOKUP(F743,★折込地区!$A$1:$B$11,2,FALSE)</f>
        <v>Shi</v>
      </c>
      <c r="H743" s="453">
        <f>INDEX(★サイズ表記!$I$4:$Q$55, MATCH(E743,★サイズ表記!$E$4:$E$55,0), MATCH(G743,★サイズ表記!$I$3:$R$3,0))</f>
        <v>0</v>
      </c>
      <c r="K743" s="471" t="str">
        <f t="shared" si="80"/>
        <v>C1003Shi</v>
      </c>
      <c r="L743" s="471" t="str">
        <f t="shared" si="81"/>
        <v>3つ折り</v>
      </c>
      <c r="P743" s="533" t="s">
        <v>1324</v>
      </c>
      <c r="Q743" s="533" t="s">
        <v>1325</v>
      </c>
      <c r="R743" s="534" t="str">
        <f t="shared" si="82"/>
        <v>1003</v>
      </c>
      <c r="S743" s="534" t="str">
        <f t="shared" si="83"/>
        <v>3つ折り</v>
      </c>
      <c r="T743" s="538" t="str">
        <f t="shared" si="84"/>
        <v>10</v>
      </c>
      <c r="U743" s="538" t="str">
        <f t="shared" si="85"/>
        <v>03</v>
      </c>
      <c r="V743" s="471" t="s">
        <v>1136</v>
      </c>
      <c r="Y743" s="472">
        <f t="shared" si="86"/>
        <v>0</v>
      </c>
      <c r="Z743" s="540">
        <f t="shared" si="87"/>
        <v>0</v>
      </c>
      <c r="AA743" s="471">
        <v>0</v>
      </c>
    </row>
    <row r="744" spans="1:27">
      <c r="A744" s="451" t="str">
        <f>CONCATENATE(VLOOKUP(B744,★営業所!$A$1:$B$5,2,FALSE),VLOOKUP(D744,★サイズ表記!$D$4:$E$55,2,FALSE),VLOOKUP(F744,★折込地区!$A$1:$B$11,2,FALSE))</f>
        <v>C1004Shi</v>
      </c>
      <c r="B744" s="457" t="s">
        <v>116</v>
      </c>
      <c r="C744" s="452" t="str">
        <f>VLOOKUP(B744,★営業所!$A$1:$B$5,2,FALSE)</f>
        <v>C</v>
      </c>
      <c r="D744" s="465" t="s">
        <v>947</v>
      </c>
      <c r="E744" s="452" t="str">
        <f>VLOOKUP(D744,★サイズ表記!$D$4:$E$55,2,FALSE)</f>
        <v>1004</v>
      </c>
      <c r="F744" s="457" t="s">
        <v>41</v>
      </c>
      <c r="G744" s="452" t="str">
        <f>VLOOKUP(F744,★折込地区!$A$1:$B$11,2,FALSE)</f>
        <v>Shi</v>
      </c>
      <c r="H744" s="453">
        <f>INDEX(★サイズ表記!$I$4:$Q$55, MATCH(E744,★サイズ表記!$E$4:$E$55,0), MATCH(G744,★サイズ表記!$I$3:$R$3,0))</f>
        <v>0</v>
      </c>
      <c r="K744" s="471" t="str">
        <f t="shared" si="80"/>
        <v>C1004Shi</v>
      </c>
      <c r="L744" s="471" t="str">
        <f t="shared" si="81"/>
        <v>観音折</v>
      </c>
      <c r="P744" s="533" t="s">
        <v>1324</v>
      </c>
      <c r="Q744" s="533" t="s">
        <v>1325</v>
      </c>
      <c r="R744" s="534" t="str">
        <f t="shared" si="82"/>
        <v>1004</v>
      </c>
      <c r="S744" s="534" t="str">
        <f t="shared" si="83"/>
        <v>観音折</v>
      </c>
      <c r="T744" s="538" t="str">
        <f t="shared" si="84"/>
        <v>10</v>
      </c>
      <c r="U744" s="538" t="str">
        <f t="shared" si="85"/>
        <v>04</v>
      </c>
      <c r="V744" s="471" t="s">
        <v>1136</v>
      </c>
      <c r="Y744" s="472">
        <f t="shared" si="86"/>
        <v>0</v>
      </c>
      <c r="Z744" s="540">
        <f t="shared" si="87"/>
        <v>0</v>
      </c>
      <c r="AA744" s="471">
        <v>0</v>
      </c>
    </row>
    <row r="745" spans="1:27">
      <c r="A745" s="451" t="str">
        <f>CONCATENATE(VLOOKUP(B745,★営業所!$A$1:$B$5,2,FALSE),VLOOKUP(D745,★サイズ表記!$D$4:$E$55,2,FALSE),VLOOKUP(F745,★折込地区!$A$1:$B$11,2,FALSE))</f>
        <v>C1005Shi</v>
      </c>
      <c r="B745" s="457" t="s">
        <v>116</v>
      </c>
      <c r="C745" s="452" t="str">
        <f>VLOOKUP(B745,★営業所!$A$1:$B$5,2,FALSE)</f>
        <v>C</v>
      </c>
      <c r="D745" s="465" t="s">
        <v>952</v>
      </c>
      <c r="E745" s="452" t="str">
        <f>VLOOKUP(D745,★サイズ表記!$D$4:$E$55,2,FALSE)</f>
        <v>1005</v>
      </c>
      <c r="F745" s="457" t="s">
        <v>41</v>
      </c>
      <c r="G745" s="452" t="str">
        <f>VLOOKUP(F745,★折込地区!$A$1:$B$11,2,FALSE)</f>
        <v>Shi</v>
      </c>
      <c r="H745" s="453">
        <f>INDEX(★サイズ表記!$I$4:$Q$55, MATCH(E745,★サイズ表記!$E$4:$E$55,0), MATCH(G745,★サイズ表記!$I$3:$R$3,0))</f>
        <v>7</v>
      </c>
      <c r="K745" s="471" t="str">
        <f t="shared" si="80"/>
        <v>C1005Shi</v>
      </c>
      <c r="L745" s="471" t="str">
        <f t="shared" si="81"/>
        <v>B2（4つ折り）</v>
      </c>
      <c r="P745" s="533" t="s">
        <v>1324</v>
      </c>
      <c r="Q745" s="533" t="s">
        <v>1325</v>
      </c>
      <c r="R745" s="534" t="str">
        <f t="shared" si="82"/>
        <v>1005</v>
      </c>
      <c r="S745" s="534" t="str">
        <f t="shared" si="83"/>
        <v>B2（4つ折り）</v>
      </c>
      <c r="T745" s="538" t="str">
        <f t="shared" si="84"/>
        <v>10</v>
      </c>
      <c r="U745" s="538" t="str">
        <f t="shared" si="85"/>
        <v>05</v>
      </c>
      <c r="V745" s="471" t="s">
        <v>1136</v>
      </c>
      <c r="Y745" s="472">
        <f t="shared" si="86"/>
        <v>7</v>
      </c>
      <c r="Z745" s="540">
        <f t="shared" si="87"/>
        <v>0.56000000000000005</v>
      </c>
      <c r="AA745" s="471">
        <v>0</v>
      </c>
    </row>
    <row r="746" spans="1:27">
      <c r="A746" s="451" t="str">
        <f>CONCATENATE(VLOOKUP(B746,★営業所!$A$1:$B$5,2,FALSE),VLOOKUP(D746,★サイズ表記!$D$4:$E$55,2,FALSE),VLOOKUP(F746,★折込地区!$A$1:$B$11,2,FALSE))</f>
        <v>C1006Shi</v>
      </c>
      <c r="B746" s="457" t="s">
        <v>116</v>
      </c>
      <c r="C746" s="452" t="str">
        <f>VLOOKUP(B746,★営業所!$A$1:$B$5,2,FALSE)</f>
        <v>C</v>
      </c>
      <c r="D746" s="465" t="s">
        <v>955</v>
      </c>
      <c r="E746" s="452" t="str">
        <f>VLOOKUP(D746,★サイズ表記!$D$4:$E$55,2,FALSE)</f>
        <v>1006</v>
      </c>
      <c r="F746" s="457" t="s">
        <v>41</v>
      </c>
      <c r="G746" s="452" t="str">
        <f>VLOOKUP(F746,★折込地区!$A$1:$B$11,2,FALSE)</f>
        <v>Shi</v>
      </c>
      <c r="H746" s="453">
        <f>INDEX(★サイズ表記!$I$4:$Q$55, MATCH(E746,★サイズ表記!$E$4:$E$55,0), MATCH(G746,★サイズ表記!$I$3:$R$3,0))</f>
        <v>20</v>
      </c>
      <c r="K746" s="471" t="str">
        <f t="shared" si="80"/>
        <v>C1006Shi</v>
      </c>
      <c r="L746" s="471" t="str">
        <f t="shared" si="81"/>
        <v>B1（8折り）</v>
      </c>
      <c r="P746" s="533" t="s">
        <v>1324</v>
      </c>
      <c r="Q746" s="533" t="s">
        <v>1325</v>
      </c>
      <c r="R746" s="534" t="str">
        <f t="shared" si="82"/>
        <v>1006</v>
      </c>
      <c r="S746" s="534" t="str">
        <f t="shared" si="83"/>
        <v>B1（8折り）</v>
      </c>
      <c r="T746" s="538" t="str">
        <f t="shared" si="84"/>
        <v>10</v>
      </c>
      <c r="U746" s="538" t="str">
        <f t="shared" si="85"/>
        <v>06</v>
      </c>
      <c r="V746" s="471" t="s">
        <v>1136</v>
      </c>
      <c r="Y746" s="472">
        <f t="shared" si="86"/>
        <v>20</v>
      </c>
      <c r="Z746" s="540">
        <f t="shared" si="87"/>
        <v>1.6</v>
      </c>
      <c r="AA746" s="471">
        <v>0</v>
      </c>
    </row>
    <row r="747" spans="1:27">
      <c r="A747" s="451" t="str">
        <f>CONCATENATE(VLOOKUP(B747,★営業所!$A$1:$B$5,2,FALSE),VLOOKUP(D747,★サイズ表記!$D$4:$E$55,2,FALSE),VLOOKUP(F747,★折込地区!$A$1:$B$11,2,FALSE))</f>
        <v>C1007Shi</v>
      </c>
      <c r="B747" s="457" t="s">
        <v>116</v>
      </c>
      <c r="C747" s="452" t="str">
        <f>VLOOKUP(B747,★営業所!$A$1:$B$5,2,FALSE)</f>
        <v>C</v>
      </c>
      <c r="D747" s="465" t="s">
        <v>956</v>
      </c>
      <c r="E747" s="452" t="str">
        <f>VLOOKUP(D747,★サイズ表記!$D$4:$E$55,2,FALSE)</f>
        <v>1007</v>
      </c>
      <c r="F747" s="457" t="s">
        <v>41</v>
      </c>
      <c r="G747" s="452" t="str">
        <f>VLOOKUP(F747,★折込地区!$A$1:$B$11,2,FALSE)</f>
        <v>Shi</v>
      </c>
      <c r="H747" s="453">
        <f>INDEX(★サイズ表記!$I$4:$Q$55, MATCH(E747,★サイズ表記!$E$4:$E$55,0), MATCH(G747,★サイズ表記!$I$3:$R$3,0))</f>
        <v>0</v>
      </c>
      <c r="K747" s="471" t="str">
        <f t="shared" si="80"/>
        <v>C1007Shi</v>
      </c>
      <c r="L747" s="471" t="str">
        <f t="shared" si="81"/>
        <v>B4厚紙</v>
      </c>
      <c r="P747" s="533" t="s">
        <v>1324</v>
      </c>
      <c r="Q747" s="533" t="s">
        <v>1325</v>
      </c>
      <c r="R747" s="534" t="str">
        <f t="shared" si="82"/>
        <v>1007</v>
      </c>
      <c r="S747" s="534" t="str">
        <f t="shared" si="83"/>
        <v>B4厚紙</v>
      </c>
      <c r="T747" s="538" t="str">
        <f t="shared" si="84"/>
        <v>10</v>
      </c>
      <c r="U747" s="538" t="str">
        <f t="shared" si="85"/>
        <v>07</v>
      </c>
      <c r="V747" s="471" t="s">
        <v>1136</v>
      </c>
      <c r="Y747" s="472">
        <f t="shared" si="86"/>
        <v>0</v>
      </c>
      <c r="Z747" s="540">
        <f t="shared" si="87"/>
        <v>0</v>
      </c>
      <c r="AA747" s="471">
        <v>0</v>
      </c>
    </row>
    <row r="748" spans="1:27">
      <c r="A748" s="451" t="str">
        <f>CONCATENATE(VLOOKUP(B748,★営業所!$A$1:$B$5,2,FALSE),VLOOKUP(D748,★サイズ表記!$D$4:$E$55,2,FALSE),VLOOKUP(F748,★折込地区!$A$1:$B$11,2,FALSE))</f>
        <v>C1008Shi</v>
      </c>
      <c r="B748" s="457" t="s">
        <v>116</v>
      </c>
      <c r="C748" s="452" t="str">
        <f>VLOOKUP(B748,★営業所!$A$1:$B$5,2,FALSE)</f>
        <v>C</v>
      </c>
      <c r="D748" s="465" t="s">
        <v>957</v>
      </c>
      <c r="E748" s="452" t="str">
        <f>VLOOKUP(D748,★サイズ表記!$D$4:$E$55,2,FALSE)</f>
        <v>1008</v>
      </c>
      <c r="F748" s="457" t="s">
        <v>41</v>
      </c>
      <c r="G748" s="452" t="str">
        <f>VLOOKUP(F748,★折込地区!$A$1:$B$11,2,FALSE)</f>
        <v>Shi</v>
      </c>
      <c r="H748" s="453">
        <f>INDEX(★サイズ表記!$I$4:$Q$55, MATCH(E748,★サイズ表記!$E$4:$E$55,0), MATCH(G748,★サイズ表記!$I$3:$R$3,0))</f>
        <v>0</v>
      </c>
      <c r="K748" s="471" t="str">
        <f t="shared" si="80"/>
        <v>C1008Shi</v>
      </c>
      <c r="L748" s="471" t="str">
        <f t="shared" si="81"/>
        <v>B3厚紙</v>
      </c>
      <c r="P748" s="533" t="s">
        <v>1324</v>
      </c>
      <c r="Q748" s="533" t="s">
        <v>1325</v>
      </c>
      <c r="R748" s="534" t="str">
        <f t="shared" si="82"/>
        <v>1008</v>
      </c>
      <c r="S748" s="534" t="str">
        <f t="shared" si="83"/>
        <v>B3厚紙</v>
      </c>
      <c r="T748" s="538" t="str">
        <f t="shared" si="84"/>
        <v>10</v>
      </c>
      <c r="U748" s="538" t="str">
        <f t="shared" si="85"/>
        <v>08</v>
      </c>
      <c r="V748" s="471" t="s">
        <v>1136</v>
      </c>
      <c r="Y748" s="472">
        <f t="shared" si="86"/>
        <v>0</v>
      </c>
      <c r="Z748" s="540">
        <f t="shared" si="87"/>
        <v>0</v>
      </c>
      <c r="AA748" s="471">
        <v>0</v>
      </c>
    </row>
    <row r="749" spans="1:27">
      <c r="A749" s="451" t="str">
        <f>CONCATENATE(VLOOKUP(B749,★営業所!$A$1:$B$5,2,FALSE),VLOOKUP(D749,★サイズ表記!$D$4:$E$55,2,FALSE),VLOOKUP(F749,★折込地区!$A$1:$B$11,2,FALSE))</f>
        <v>C1009Shi</v>
      </c>
      <c r="B749" s="457" t="s">
        <v>116</v>
      </c>
      <c r="C749" s="452" t="str">
        <f>VLOOKUP(B749,★営業所!$A$1:$B$5,2,FALSE)</f>
        <v>C</v>
      </c>
      <c r="D749" s="465" t="s">
        <v>958</v>
      </c>
      <c r="E749" s="452" t="str">
        <f>VLOOKUP(D749,★サイズ表記!$D$4:$E$55,2,FALSE)</f>
        <v>1009</v>
      </c>
      <c r="F749" s="457" t="s">
        <v>41</v>
      </c>
      <c r="G749" s="452" t="str">
        <f>VLOOKUP(F749,★折込地区!$A$1:$B$11,2,FALSE)</f>
        <v>Shi</v>
      </c>
      <c r="H749" s="453">
        <f>INDEX(★サイズ表記!$I$4:$Q$55, MATCH(E749,★サイズ表記!$E$4:$E$55,0), MATCH(G749,★サイズ表記!$I$3:$R$3,0))</f>
        <v>0</v>
      </c>
      <c r="K749" s="471" t="str">
        <f t="shared" si="80"/>
        <v>C1009Shi</v>
      </c>
      <c r="L749" s="471" t="str">
        <f t="shared" si="81"/>
        <v>B2厚紙</v>
      </c>
      <c r="P749" s="533" t="s">
        <v>1324</v>
      </c>
      <c r="Q749" s="533" t="s">
        <v>1325</v>
      </c>
      <c r="R749" s="534" t="str">
        <f t="shared" si="82"/>
        <v>1009</v>
      </c>
      <c r="S749" s="534" t="str">
        <f t="shared" si="83"/>
        <v>B2厚紙</v>
      </c>
      <c r="T749" s="538" t="str">
        <f t="shared" si="84"/>
        <v>10</v>
      </c>
      <c r="U749" s="538" t="str">
        <f t="shared" si="85"/>
        <v>09</v>
      </c>
      <c r="V749" s="471" t="s">
        <v>1136</v>
      </c>
      <c r="Y749" s="472">
        <f t="shared" si="86"/>
        <v>0</v>
      </c>
      <c r="Z749" s="540">
        <f t="shared" si="87"/>
        <v>0</v>
      </c>
      <c r="AA749" s="471">
        <v>0</v>
      </c>
    </row>
    <row r="750" spans="1:27">
      <c r="A750" s="451" t="str">
        <f>CONCATENATE(VLOOKUP(B750,★営業所!$A$1:$B$5,2,FALSE),VLOOKUP(D750,★サイズ表記!$D$4:$E$55,2,FALSE),VLOOKUP(F750,★折込地区!$A$1:$B$11,2,FALSE))</f>
        <v>C1010Shi</v>
      </c>
      <c r="B750" s="457" t="s">
        <v>116</v>
      </c>
      <c r="C750" s="452" t="str">
        <f>VLOOKUP(B750,★営業所!$A$1:$B$5,2,FALSE)</f>
        <v>C</v>
      </c>
      <c r="D750" s="465" t="s">
        <v>959</v>
      </c>
      <c r="E750" s="452" t="str">
        <f>VLOOKUP(D750,★サイズ表記!$D$4:$E$55,2,FALSE)</f>
        <v>1010</v>
      </c>
      <c r="F750" s="457" t="s">
        <v>41</v>
      </c>
      <c r="G750" s="452" t="str">
        <f>VLOOKUP(F750,★折込地区!$A$1:$B$11,2,FALSE)</f>
        <v>Shi</v>
      </c>
      <c r="H750" s="453">
        <f>INDEX(★サイズ表記!$I$4:$Q$55, MATCH(E750,★サイズ表記!$E$4:$E$55,0), MATCH(G750,★サイズ表記!$I$3:$R$3,0))</f>
        <v>0</v>
      </c>
      <c r="K750" s="471" t="str">
        <f t="shared" si="80"/>
        <v>C1010Shi</v>
      </c>
      <c r="L750" s="471" t="str">
        <f t="shared" si="81"/>
        <v>B4以下変形</v>
      </c>
      <c r="P750" s="533" t="s">
        <v>1324</v>
      </c>
      <c r="Q750" s="533" t="s">
        <v>1325</v>
      </c>
      <c r="R750" s="534" t="str">
        <f t="shared" si="82"/>
        <v>1010</v>
      </c>
      <c r="S750" s="534" t="str">
        <f t="shared" si="83"/>
        <v>B4以下変形</v>
      </c>
      <c r="T750" s="538" t="str">
        <f t="shared" si="84"/>
        <v>10</v>
      </c>
      <c r="U750" s="538" t="str">
        <f t="shared" si="85"/>
        <v>10</v>
      </c>
      <c r="V750" s="471" t="s">
        <v>1136</v>
      </c>
      <c r="Y750" s="472">
        <f t="shared" si="86"/>
        <v>0</v>
      </c>
      <c r="Z750" s="540">
        <f t="shared" si="87"/>
        <v>0</v>
      </c>
      <c r="AA750" s="471">
        <v>0</v>
      </c>
    </row>
    <row r="751" spans="1:27">
      <c r="A751" s="451" t="str">
        <f>CONCATENATE(VLOOKUP(B751,★営業所!$A$1:$B$5,2,FALSE),VLOOKUP(D751,★サイズ表記!$D$4:$E$55,2,FALSE),VLOOKUP(F751,★折込地区!$A$1:$B$11,2,FALSE))</f>
        <v>C1011Shi</v>
      </c>
      <c r="B751" s="457" t="s">
        <v>116</v>
      </c>
      <c r="C751" s="452" t="str">
        <f>VLOOKUP(B751,★営業所!$A$1:$B$5,2,FALSE)</f>
        <v>C</v>
      </c>
      <c r="D751" s="465" t="s">
        <v>960</v>
      </c>
      <c r="E751" s="452" t="str">
        <f>VLOOKUP(D751,★サイズ表記!$D$4:$E$55,2,FALSE)</f>
        <v>1011</v>
      </c>
      <c r="F751" s="457" t="s">
        <v>41</v>
      </c>
      <c r="G751" s="452" t="str">
        <f>VLOOKUP(F751,★折込地区!$A$1:$B$11,2,FALSE)</f>
        <v>Shi</v>
      </c>
      <c r="H751" s="453">
        <f>INDEX(★サイズ表記!$I$4:$Q$55, MATCH(E751,★サイズ表記!$E$4:$E$55,0), MATCH(G751,★サイズ表記!$I$3:$R$3,0))</f>
        <v>0</v>
      </c>
      <c r="K751" s="471" t="str">
        <f t="shared" si="80"/>
        <v>C1011Shi</v>
      </c>
      <c r="L751" s="471" t="str">
        <f t="shared" si="81"/>
        <v>B4シール付き</v>
      </c>
      <c r="P751" s="533" t="s">
        <v>1324</v>
      </c>
      <c r="Q751" s="533" t="s">
        <v>1325</v>
      </c>
      <c r="R751" s="534" t="str">
        <f t="shared" si="82"/>
        <v>1011</v>
      </c>
      <c r="S751" s="534" t="str">
        <f t="shared" si="83"/>
        <v>B4シール付き</v>
      </c>
      <c r="T751" s="538" t="str">
        <f t="shared" si="84"/>
        <v>10</v>
      </c>
      <c r="U751" s="538" t="str">
        <f t="shared" si="85"/>
        <v>11</v>
      </c>
      <c r="V751" s="471" t="s">
        <v>1136</v>
      </c>
      <c r="Y751" s="472">
        <f t="shared" si="86"/>
        <v>0</v>
      </c>
      <c r="Z751" s="540">
        <f t="shared" si="87"/>
        <v>0</v>
      </c>
      <c r="AA751" s="471">
        <v>0</v>
      </c>
    </row>
    <row r="752" spans="1:27">
      <c r="A752" s="451" t="str">
        <f>CONCATENATE(VLOOKUP(B752,★営業所!$A$1:$B$5,2,FALSE),VLOOKUP(D752,★サイズ表記!$D$4:$E$55,2,FALSE),VLOOKUP(F752,★折込地区!$A$1:$B$11,2,FALSE))</f>
        <v>C1012Shi</v>
      </c>
      <c r="B752" s="457" t="s">
        <v>116</v>
      </c>
      <c r="C752" s="452" t="str">
        <f>VLOOKUP(B752,★営業所!$A$1:$B$5,2,FALSE)</f>
        <v>C</v>
      </c>
      <c r="D752" s="465" t="s">
        <v>961</v>
      </c>
      <c r="E752" s="452" t="str">
        <f>VLOOKUP(D752,★サイズ表記!$D$4:$E$55,2,FALSE)</f>
        <v>1012</v>
      </c>
      <c r="F752" s="457" t="s">
        <v>41</v>
      </c>
      <c r="G752" s="452" t="str">
        <f>VLOOKUP(F752,★折込地区!$A$1:$B$11,2,FALSE)</f>
        <v>Shi</v>
      </c>
      <c r="H752" s="453">
        <f>INDEX(★サイズ表記!$I$4:$Q$55, MATCH(E752,★サイズ表記!$E$4:$E$55,0), MATCH(G752,★サイズ表記!$I$3:$R$3,0))</f>
        <v>0</v>
      </c>
      <c r="K752" s="471" t="str">
        <f t="shared" si="80"/>
        <v>C1012Shi</v>
      </c>
      <c r="L752" s="471" t="str">
        <f t="shared" si="81"/>
        <v>B3シール付き</v>
      </c>
      <c r="P752" s="533" t="s">
        <v>1324</v>
      </c>
      <c r="Q752" s="533" t="s">
        <v>1325</v>
      </c>
      <c r="R752" s="534" t="str">
        <f t="shared" si="82"/>
        <v>1012</v>
      </c>
      <c r="S752" s="534" t="str">
        <f t="shared" si="83"/>
        <v>B3シール付き</v>
      </c>
      <c r="T752" s="538" t="str">
        <f t="shared" si="84"/>
        <v>10</v>
      </c>
      <c r="U752" s="538" t="str">
        <f t="shared" si="85"/>
        <v>12</v>
      </c>
      <c r="V752" s="471" t="s">
        <v>1136</v>
      </c>
      <c r="Y752" s="472">
        <f t="shared" si="86"/>
        <v>0</v>
      </c>
      <c r="Z752" s="540">
        <f t="shared" si="87"/>
        <v>0</v>
      </c>
      <c r="AA752" s="471">
        <v>0</v>
      </c>
    </row>
    <row r="753" spans="1:27">
      <c r="A753" s="451" t="str">
        <f>CONCATENATE(VLOOKUP(B753,★営業所!$A$1:$B$5,2,FALSE),VLOOKUP(D753,★サイズ表記!$D$4:$E$55,2,FALSE),VLOOKUP(F753,★折込地区!$A$1:$B$11,2,FALSE))</f>
        <v>C1013Shi</v>
      </c>
      <c r="B753" s="457" t="s">
        <v>116</v>
      </c>
      <c r="C753" s="452" t="str">
        <f>VLOOKUP(B753,★営業所!$A$1:$B$5,2,FALSE)</f>
        <v>C</v>
      </c>
      <c r="D753" s="465" t="s">
        <v>962</v>
      </c>
      <c r="E753" s="452" t="str">
        <f>VLOOKUP(D753,★サイズ表記!$D$4:$E$55,2,FALSE)</f>
        <v>1013</v>
      </c>
      <c r="F753" s="457" t="s">
        <v>41</v>
      </c>
      <c r="G753" s="452" t="str">
        <f>VLOOKUP(F753,★折込地区!$A$1:$B$11,2,FALSE)</f>
        <v>Shi</v>
      </c>
      <c r="H753" s="453">
        <f>INDEX(★サイズ表記!$I$4:$Q$55, MATCH(E753,★サイズ表記!$E$4:$E$55,0), MATCH(G753,★サイズ表記!$I$3:$R$3,0))</f>
        <v>0</v>
      </c>
      <c r="K753" s="471" t="str">
        <f t="shared" si="80"/>
        <v>C1013Shi</v>
      </c>
      <c r="L753" s="471" t="str">
        <f t="shared" si="81"/>
        <v>B4スクラッチ付き</v>
      </c>
      <c r="P753" s="533" t="s">
        <v>1324</v>
      </c>
      <c r="Q753" s="533" t="s">
        <v>1325</v>
      </c>
      <c r="R753" s="534" t="str">
        <f t="shared" si="82"/>
        <v>1013</v>
      </c>
      <c r="S753" s="534" t="str">
        <f t="shared" si="83"/>
        <v>B4スクラッチ付き</v>
      </c>
      <c r="T753" s="538" t="str">
        <f t="shared" si="84"/>
        <v>10</v>
      </c>
      <c r="U753" s="538" t="str">
        <f t="shared" si="85"/>
        <v>13</v>
      </c>
      <c r="V753" s="471" t="s">
        <v>1136</v>
      </c>
      <c r="Y753" s="472">
        <f t="shared" si="86"/>
        <v>0</v>
      </c>
      <c r="Z753" s="540">
        <f t="shared" si="87"/>
        <v>0</v>
      </c>
      <c r="AA753" s="471">
        <v>0</v>
      </c>
    </row>
    <row r="754" spans="1:27">
      <c r="A754" s="451" t="str">
        <f>CONCATENATE(VLOOKUP(B754,★営業所!$A$1:$B$5,2,FALSE),VLOOKUP(D754,★サイズ表記!$D$4:$E$55,2,FALSE),VLOOKUP(F754,★折込地区!$A$1:$B$11,2,FALSE))</f>
        <v>C2001Shi</v>
      </c>
      <c r="B754" s="457" t="s">
        <v>116</v>
      </c>
      <c r="C754" s="452" t="str">
        <f>VLOOKUP(B754,★営業所!$A$1:$B$5,2,FALSE)</f>
        <v>C</v>
      </c>
      <c r="D754" s="465" t="s">
        <v>963</v>
      </c>
      <c r="E754" s="452" t="str">
        <f>VLOOKUP(D754,★サイズ表記!$D$4:$E$55,2,FALSE)</f>
        <v>2001</v>
      </c>
      <c r="F754" s="457" t="s">
        <v>41</v>
      </c>
      <c r="G754" s="452" t="str">
        <f>VLOOKUP(F754,★折込地区!$A$1:$B$11,2,FALSE)</f>
        <v>Shi</v>
      </c>
      <c r="H754" s="453">
        <f>INDEX(★サイズ表記!$I$4:$Q$55, MATCH(E754,★サイズ表記!$E$4:$E$55,0), MATCH(G754,★サイズ表記!$I$3:$R$3,0))</f>
        <v>0</v>
      </c>
      <c r="K754" s="471" t="str">
        <f t="shared" si="80"/>
        <v>C2001Shi</v>
      </c>
      <c r="L754" s="471" t="str">
        <f t="shared" si="81"/>
        <v>連合B4</v>
      </c>
      <c r="P754" s="533" t="s">
        <v>1324</v>
      </c>
      <c r="Q754" s="533" t="s">
        <v>1325</v>
      </c>
      <c r="R754" s="534" t="str">
        <f t="shared" si="82"/>
        <v>2001</v>
      </c>
      <c r="S754" s="534" t="str">
        <f t="shared" si="83"/>
        <v>連合B4</v>
      </c>
      <c r="T754" s="538" t="str">
        <f t="shared" si="84"/>
        <v>20</v>
      </c>
      <c r="U754" s="538" t="str">
        <f t="shared" si="85"/>
        <v>01</v>
      </c>
      <c r="V754" s="471" t="s">
        <v>1136</v>
      </c>
      <c r="Y754" s="472">
        <f t="shared" si="86"/>
        <v>0</v>
      </c>
      <c r="Z754" s="540">
        <f t="shared" si="87"/>
        <v>0</v>
      </c>
      <c r="AA754" s="471">
        <v>0</v>
      </c>
    </row>
    <row r="755" spans="1:27">
      <c r="A755" s="451" t="str">
        <f>CONCATENATE(VLOOKUP(B755,★営業所!$A$1:$B$5,2,FALSE),VLOOKUP(D755,★サイズ表記!$D$4:$E$55,2,FALSE),VLOOKUP(F755,★折込地区!$A$1:$B$11,2,FALSE))</f>
        <v>C2002Shi</v>
      </c>
      <c r="B755" s="457" t="s">
        <v>116</v>
      </c>
      <c r="C755" s="452" t="str">
        <f>VLOOKUP(B755,★営業所!$A$1:$B$5,2,FALSE)</f>
        <v>C</v>
      </c>
      <c r="D755" s="465" t="s">
        <v>964</v>
      </c>
      <c r="E755" s="452" t="str">
        <f>VLOOKUP(D755,★サイズ表記!$D$4:$E$55,2,FALSE)</f>
        <v>2002</v>
      </c>
      <c r="F755" s="457" t="s">
        <v>41</v>
      </c>
      <c r="G755" s="452" t="str">
        <f>VLOOKUP(F755,★折込地区!$A$1:$B$11,2,FALSE)</f>
        <v>Shi</v>
      </c>
      <c r="H755" s="453">
        <f>INDEX(★サイズ表記!$I$4:$Q$55, MATCH(E755,★サイズ表記!$E$4:$E$55,0), MATCH(G755,★サイズ表記!$I$3:$R$3,0))</f>
        <v>0</v>
      </c>
      <c r="K755" s="471" t="str">
        <f t="shared" si="80"/>
        <v>C2002Shi</v>
      </c>
      <c r="L755" s="471" t="str">
        <f t="shared" si="81"/>
        <v>連合B3</v>
      </c>
      <c r="P755" s="533" t="s">
        <v>1324</v>
      </c>
      <c r="Q755" s="533" t="s">
        <v>1325</v>
      </c>
      <c r="R755" s="534" t="str">
        <f t="shared" si="82"/>
        <v>2002</v>
      </c>
      <c r="S755" s="534" t="str">
        <f t="shared" si="83"/>
        <v>連合B3</v>
      </c>
      <c r="T755" s="538" t="str">
        <f t="shared" si="84"/>
        <v>20</v>
      </c>
      <c r="U755" s="538" t="str">
        <f t="shared" si="85"/>
        <v>02</v>
      </c>
      <c r="V755" s="471" t="s">
        <v>1136</v>
      </c>
      <c r="Y755" s="472">
        <f t="shared" si="86"/>
        <v>0</v>
      </c>
      <c r="Z755" s="540">
        <f t="shared" si="87"/>
        <v>0</v>
      </c>
      <c r="AA755" s="471">
        <v>0</v>
      </c>
    </row>
    <row r="756" spans="1:27">
      <c r="A756" s="451" t="str">
        <f>CONCATENATE(VLOOKUP(B756,★営業所!$A$1:$B$5,2,FALSE),VLOOKUP(D756,★サイズ表記!$D$4:$E$55,2,FALSE),VLOOKUP(F756,★折込地区!$A$1:$B$11,2,FALSE))</f>
        <v>C2003Shi</v>
      </c>
      <c r="B756" s="457" t="s">
        <v>116</v>
      </c>
      <c r="C756" s="452" t="str">
        <f>VLOOKUP(B756,★営業所!$A$1:$B$5,2,FALSE)</f>
        <v>C</v>
      </c>
      <c r="D756" s="465" t="s">
        <v>965</v>
      </c>
      <c r="E756" s="452" t="str">
        <f>VLOOKUP(D756,★サイズ表記!$D$4:$E$55,2,FALSE)</f>
        <v>2003</v>
      </c>
      <c r="F756" s="457" t="s">
        <v>41</v>
      </c>
      <c r="G756" s="452" t="str">
        <f>VLOOKUP(F756,★折込地区!$A$1:$B$11,2,FALSE)</f>
        <v>Shi</v>
      </c>
      <c r="H756" s="453">
        <f>INDEX(★サイズ表記!$I$4:$Q$55, MATCH(E756,★サイズ表記!$E$4:$E$55,0), MATCH(G756,★サイズ表記!$I$3:$R$3,0))</f>
        <v>0</v>
      </c>
      <c r="K756" s="471" t="str">
        <f t="shared" si="80"/>
        <v>C2003Shi</v>
      </c>
      <c r="L756" s="471" t="str">
        <f t="shared" si="81"/>
        <v>連合B2</v>
      </c>
      <c r="P756" s="533" t="s">
        <v>1324</v>
      </c>
      <c r="Q756" s="533" t="s">
        <v>1325</v>
      </c>
      <c r="R756" s="534" t="str">
        <f t="shared" si="82"/>
        <v>2003</v>
      </c>
      <c r="S756" s="534" t="str">
        <f t="shared" si="83"/>
        <v>連合B2</v>
      </c>
      <c r="T756" s="538" t="str">
        <f t="shared" si="84"/>
        <v>20</v>
      </c>
      <c r="U756" s="538" t="str">
        <f t="shared" si="85"/>
        <v>03</v>
      </c>
      <c r="V756" s="471" t="s">
        <v>1136</v>
      </c>
      <c r="Y756" s="472">
        <f t="shared" si="86"/>
        <v>0</v>
      </c>
      <c r="Z756" s="540">
        <f t="shared" si="87"/>
        <v>0</v>
      </c>
      <c r="AA756" s="471">
        <v>0</v>
      </c>
    </row>
    <row r="757" spans="1:27">
      <c r="A757" s="451" t="str">
        <f>CONCATENATE(VLOOKUP(B757,★営業所!$A$1:$B$5,2,FALSE),VLOOKUP(D757,★サイズ表記!$D$4:$E$55,2,FALSE),VLOOKUP(F757,★折込地区!$A$1:$B$11,2,FALSE))</f>
        <v>C2004Shi</v>
      </c>
      <c r="B757" s="457" t="s">
        <v>116</v>
      </c>
      <c r="C757" s="452" t="str">
        <f>VLOOKUP(B757,★営業所!$A$1:$B$5,2,FALSE)</f>
        <v>C</v>
      </c>
      <c r="D757" s="465" t="s">
        <v>966</v>
      </c>
      <c r="E757" s="452" t="str">
        <f>VLOOKUP(D757,★サイズ表記!$D$4:$E$55,2,FALSE)</f>
        <v>2004</v>
      </c>
      <c r="F757" s="457" t="s">
        <v>41</v>
      </c>
      <c r="G757" s="452" t="str">
        <f>VLOOKUP(F757,★折込地区!$A$1:$B$11,2,FALSE)</f>
        <v>Shi</v>
      </c>
      <c r="H757" s="453">
        <f>INDEX(★サイズ表記!$I$4:$Q$55, MATCH(E757,★サイズ表記!$E$4:$E$55,0), MATCH(G757,★サイズ表記!$I$3:$R$3,0))</f>
        <v>0</v>
      </c>
      <c r="K757" s="471" t="str">
        <f t="shared" si="80"/>
        <v>C2004Shi</v>
      </c>
      <c r="L757" s="471" t="str">
        <f t="shared" si="81"/>
        <v>連合3つ折り</v>
      </c>
      <c r="P757" s="533" t="s">
        <v>1324</v>
      </c>
      <c r="Q757" s="533" t="s">
        <v>1325</v>
      </c>
      <c r="R757" s="534" t="str">
        <f t="shared" si="82"/>
        <v>2004</v>
      </c>
      <c r="S757" s="534" t="str">
        <f t="shared" si="83"/>
        <v>連合3つ折り</v>
      </c>
      <c r="T757" s="538" t="str">
        <f t="shared" si="84"/>
        <v>20</v>
      </c>
      <c r="U757" s="538" t="str">
        <f t="shared" si="85"/>
        <v>04</v>
      </c>
      <c r="V757" s="471" t="s">
        <v>1136</v>
      </c>
      <c r="Y757" s="472">
        <f t="shared" si="86"/>
        <v>0</v>
      </c>
      <c r="Z757" s="540">
        <f t="shared" si="87"/>
        <v>0</v>
      </c>
      <c r="AA757" s="471">
        <v>0</v>
      </c>
    </row>
    <row r="758" spans="1:27">
      <c r="A758" s="451" t="str">
        <f>CONCATENATE(VLOOKUP(B758,★営業所!$A$1:$B$5,2,FALSE),VLOOKUP(D758,★サイズ表記!$D$4:$E$55,2,FALSE),VLOOKUP(F758,★折込地区!$A$1:$B$11,2,FALSE))</f>
        <v>C2005Shi</v>
      </c>
      <c r="B758" s="457" t="s">
        <v>116</v>
      </c>
      <c r="C758" s="452" t="str">
        <f>VLOOKUP(B758,★営業所!$A$1:$B$5,2,FALSE)</f>
        <v>C</v>
      </c>
      <c r="D758" s="465" t="s">
        <v>967</v>
      </c>
      <c r="E758" s="452" t="str">
        <f>VLOOKUP(D758,★サイズ表記!$D$4:$E$55,2,FALSE)</f>
        <v>2005</v>
      </c>
      <c r="F758" s="457" t="s">
        <v>41</v>
      </c>
      <c r="G758" s="452" t="str">
        <f>VLOOKUP(F758,★折込地区!$A$1:$B$11,2,FALSE)</f>
        <v>Shi</v>
      </c>
      <c r="H758" s="453">
        <f>INDEX(★サイズ表記!$I$4:$Q$55, MATCH(E758,★サイズ表記!$E$4:$E$55,0), MATCH(G758,★サイズ表記!$I$3:$R$3,0))</f>
        <v>0</v>
      </c>
      <c r="K758" s="471" t="str">
        <f t="shared" si="80"/>
        <v>C2005Shi</v>
      </c>
      <c r="L758" s="471" t="str">
        <f t="shared" si="81"/>
        <v>連合B4厚紙</v>
      </c>
      <c r="P758" s="533" t="s">
        <v>1324</v>
      </c>
      <c r="Q758" s="533" t="s">
        <v>1325</v>
      </c>
      <c r="R758" s="534" t="str">
        <f t="shared" si="82"/>
        <v>2005</v>
      </c>
      <c r="S758" s="534" t="str">
        <f t="shared" si="83"/>
        <v>連合B4厚紙</v>
      </c>
      <c r="T758" s="538" t="str">
        <f t="shared" si="84"/>
        <v>20</v>
      </c>
      <c r="U758" s="538" t="str">
        <f t="shared" si="85"/>
        <v>05</v>
      </c>
      <c r="V758" s="471" t="s">
        <v>1136</v>
      </c>
      <c r="Y758" s="472">
        <f t="shared" si="86"/>
        <v>0</v>
      </c>
      <c r="Z758" s="540">
        <f t="shared" si="87"/>
        <v>0</v>
      </c>
      <c r="AA758" s="471">
        <v>0</v>
      </c>
    </row>
    <row r="759" spans="1:27">
      <c r="A759" s="451" t="str">
        <f>CONCATENATE(VLOOKUP(B759,★営業所!$A$1:$B$5,2,FALSE),VLOOKUP(D759,★サイズ表記!$D$4:$E$55,2,FALSE),VLOOKUP(F759,★折込地区!$A$1:$B$11,2,FALSE))</f>
        <v>C2006Shi</v>
      </c>
      <c r="B759" s="457" t="s">
        <v>116</v>
      </c>
      <c r="C759" s="452" t="str">
        <f>VLOOKUP(B759,★営業所!$A$1:$B$5,2,FALSE)</f>
        <v>C</v>
      </c>
      <c r="D759" s="465" t="s">
        <v>968</v>
      </c>
      <c r="E759" s="452" t="str">
        <f>VLOOKUP(D759,★サイズ表記!$D$4:$E$55,2,FALSE)</f>
        <v>2006</v>
      </c>
      <c r="F759" s="457" t="s">
        <v>41</v>
      </c>
      <c r="G759" s="452" t="str">
        <f>VLOOKUP(F759,★折込地区!$A$1:$B$11,2,FALSE)</f>
        <v>Shi</v>
      </c>
      <c r="H759" s="453">
        <f>INDEX(★サイズ表記!$I$4:$Q$55, MATCH(E759,★サイズ表記!$E$4:$E$55,0), MATCH(G759,★サイズ表記!$I$3:$R$3,0))</f>
        <v>0</v>
      </c>
      <c r="K759" s="471" t="str">
        <f t="shared" si="80"/>
        <v>C2006Shi</v>
      </c>
      <c r="L759" s="471" t="str">
        <f t="shared" si="81"/>
        <v>連合2つ折り極小</v>
      </c>
      <c r="P759" s="533" t="s">
        <v>1324</v>
      </c>
      <c r="Q759" s="533" t="s">
        <v>1325</v>
      </c>
      <c r="R759" s="534" t="str">
        <f t="shared" si="82"/>
        <v>2006</v>
      </c>
      <c r="S759" s="534" t="str">
        <f t="shared" si="83"/>
        <v>連合2つ折り極小</v>
      </c>
      <c r="T759" s="538" t="str">
        <f t="shared" si="84"/>
        <v>20</v>
      </c>
      <c r="U759" s="538" t="str">
        <f t="shared" si="85"/>
        <v>06</v>
      </c>
      <c r="V759" s="471" t="s">
        <v>1136</v>
      </c>
      <c r="Y759" s="472">
        <f t="shared" si="86"/>
        <v>0</v>
      </c>
      <c r="Z759" s="540">
        <f t="shared" si="87"/>
        <v>0</v>
      </c>
      <c r="AA759" s="471">
        <v>0</v>
      </c>
    </row>
    <row r="760" spans="1:27">
      <c r="A760" s="451" t="str">
        <f>CONCATENATE(VLOOKUP(B760,★営業所!$A$1:$B$5,2,FALSE),VLOOKUP(D760,★サイズ表記!$D$4:$E$55,2,FALSE),VLOOKUP(F760,★折込地区!$A$1:$B$11,2,FALSE))</f>
        <v>C2007Shi</v>
      </c>
      <c r="B760" s="457" t="s">
        <v>116</v>
      </c>
      <c r="C760" s="452" t="str">
        <f>VLOOKUP(B760,★営業所!$A$1:$B$5,2,FALSE)</f>
        <v>C</v>
      </c>
      <c r="D760" s="465" t="s">
        <v>1365</v>
      </c>
      <c r="E760" s="452" t="str">
        <f>VLOOKUP(D760,★サイズ表記!$D$4:$E$55,2,FALSE)</f>
        <v>2007</v>
      </c>
      <c r="F760" s="457" t="s">
        <v>41</v>
      </c>
      <c r="G760" s="452" t="str">
        <f>VLOOKUP(F760,★折込地区!$A$1:$B$11,2,FALSE)</f>
        <v>Shi</v>
      </c>
      <c r="H760" s="453">
        <f>INDEX(★サイズ表記!$I$4:$Q$55, MATCH(E760,★サイズ表記!$E$4:$E$55,0), MATCH(G760,★サイズ表記!$I$3:$R$3,0))</f>
        <v>0</v>
      </c>
      <c r="K760" s="471" t="str">
        <f t="shared" si="80"/>
        <v>C2007Shi</v>
      </c>
      <c r="L760" s="471" t="str">
        <f t="shared" si="81"/>
        <v>連合タブ6P</v>
      </c>
      <c r="P760" s="533" t="s">
        <v>1324</v>
      </c>
      <c r="Q760" s="533" t="s">
        <v>1325</v>
      </c>
      <c r="R760" s="534" t="str">
        <f t="shared" si="82"/>
        <v>2007</v>
      </c>
      <c r="S760" s="534" t="str">
        <f t="shared" si="83"/>
        <v>連合タブ6P</v>
      </c>
      <c r="T760" s="538" t="str">
        <f t="shared" si="84"/>
        <v>20</v>
      </c>
      <c r="U760" s="538" t="str">
        <f t="shared" si="85"/>
        <v>07</v>
      </c>
      <c r="V760" s="471" t="s">
        <v>1136</v>
      </c>
      <c r="Y760" s="472">
        <f t="shared" si="86"/>
        <v>0</v>
      </c>
      <c r="Z760" s="540">
        <f t="shared" si="87"/>
        <v>0</v>
      </c>
      <c r="AA760" s="471">
        <v>0</v>
      </c>
    </row>
    <row r="761" spans="1:27">
      <c r="A761" s="451" t="str">
        <f>CONCATENATE(VLOOKUP(B761,★営業所!$A$1:$B$5,2,FALSE),VLOOKUP(D761,★サイズ表記!$D$4:$E$55,2,FALSE),VLOOKUP(F761,★折込地区!$A$1:$B$11,2,FALSE))</f>
        <v>C2008Shi</v>
      </c>
      <c r="B761" s="457" t="s">
        <v>116</v>
      </c>
      <c r="C761" s="452" t="str">
        <f>VLOOKUP(B761,★営業所!$A$1:$B$5,2,FALSE)</f>
        <v>C</v>
      </c>
      <c r="D761" s="465" t="s">
        <v>1366</v>
      </c>
      <c r="E761" s="452" t="str">
        <f>VLOOKUP(D761,★サイズ表記!$D$4:$E$55,2,FALSE)</f>
        <v>2008</v>
      </c>
      <c r="F761" s="457" t="s">
        <v>41</v>
      </c>
      <c r="G761" s="452" t="str">
        <f>VLOOKUP(F761,★折込地区!$A$1:$B$11,2,FALSE)</f>
        <v>Shi</v>
      </c>
      <c r="H761" s="453">
        <f>INDEX(★サイズ表記!$I$4:$Q$55, MATCH(E761,★サイズ表記!$E$4:$E$55,0), MATCH(G761,★サイズ表記!$I$3:$R$3,0))</f>
        <v>0</v>
      </c>
      <c r="K761" s="471" t="str">
        <f t="shared" si="80"/>
        <v>C2008Shi</v>
      </c>
      <c r="L761" s="471" t="str">
        <f t="shared" si="81"/>
        <v>連合タブ8P</v>
      </c>
      <c r="P761" s="533" t="s">
        <v>1324</v>
      </c>
      <c r="Q761" s="533" t="s">
        <v>1325</v>
      </c>
      <c r="R761" s="534" t="str">
        <f t="shared" si="82"/>
        <v>2008</v>
      </c>
      <c r="S761" s="534" t="str">
        <f t="shared" si="83"/>
        <v>連合タブ8P</v>
      </c>
      <c r="T761" s="538" t="str">
        <f t="shared" si="84"/>
        <v>20</v>
      </c>
      <c r="U761" s="538" t="str">
        <f t="shared" si="85"/>
        <v>08</v>
      </c>
      <c r="V761" s="471" t="s">
        <v>1136</v>
      </c>
      <c r="Y761" s="472">
        <f t="shared" si="86"/>
        <v>0</v>
      </c>
      <c r="Z761" s="540">
        <f t="shared" si="87"/>
        <v>0</v>
      </c>
      <c r="AA761" s="471">
        <v>0</v>
      </c>
    </row>
    <row r="762" spans="1:27">
      <c r="A762" s="451" t="str">
        <f>CONCATENATE(VLOOKUP(B762,★営業所!$A$1:$B$5,2,FALSE),VLOOKUP(D762,★サイズ表記!$D$4:$E$55,2,FALSE),VLOOKUP(F762,★折込地区!$A$1:$B$11,2,FALSE))</f>
        <v>C2009Shi</v>
      </c>
      <c r="B762" s="457" t="s">
        <v>116</v>
      </c>
      <c r="C762" s="452" t="str">
        <f>VLOOKUP(B762,★営業所!$A$1:$B$5,2,FALSE)</f>
        <v>C</v>
      </c>
      <c r="D762" s="465" t="s">
        <v>1364</v>
      </c>
      <c r="E762" s="452" t="str">
        <f>VLOOKUP(D762,★サイズ表記!$D$4:$E$55,2,FALSE)</f>
        <v>2009</v>
      </c>
      <c r="F762" s="457" t="s">
        <v>41</v>
      </c>
      <c r="G762" s="452" t="str">
        <f>VLOOKUP(F762,★折込地区!$A$1:$B$11,2,FALSE)</f>
        <v>Shi</v>
      </c>
      <c r="H762" s="453">
        <f>INDEX(★サイズ表記!$I$4:$Q$55, MATCH(E762,★サイズ表記!$E$4:$E$55,0), MATCH(G762,★サイズ表記!$I$3:$R$3,0))</f>
        <v>0</v>
      </c>
      <c r="K762" s="471" t="str">
        <f t="shared" si="80"/>
        <v>C2009Shi</v>
      </c>
      <c r="L762" s="471" t="str">
        <f t="shared" si="81"/>
        <v>連合タブ12P</v>
      </c>
      <c r="P762" s="533" t="s">
        <v>1324</v>
      </c>
      <c r="Q762" s="533" t="s">
        <v>1325</v>
      </c>
      <c r="R762" s="534" t="str">
        <f t="shared" si="82"/>
        <v>2009</v>
      </c>
      <c r="S762" s="534" t="str">
        <f t="shared" si="83"/>
        <v>連合タブ12P</v>
      </c>
      <c r="T762" s="538" t="str">
        <f t="shared" si="84"/>
        <v>20</v>
      </c>
      <c r="U762" s="538" t="str">
        <f t="shared" si="85"/>
        <v>09</v>
      </c>
      <c r="V762" s="471" t="s">
        <v>1136</v>
      </c>
      <c r="Y762" s="472">
        <f t="shared" si="86"/>
        <v>0</v>
      </c>
      <c r="Z762" s="540">
        <f t="shared" si="87"/>
        <v>0</v>
      </c>
      <c r="AA762" s="471">
        <v>0</v>
      </c>
    </row>
    <row r="763" spans="1:27">
      <c r="A763" s="451" t="str">
        <f>CONCATENATE(VLOOKUP(B763,★営業所!$A$1:$B$5,2,FALSE),VLOOKUP(D763,★サイズ表記!$D$4:$E$55,2,FALSE),VLOOKUP(F763,★折込地区!$A$1:$B$11,2,FALSE))</f>
        <v>C3001Shi</v>
      </c>
      <c r="B763" s="457" t="s">
        <v>116</v>
      </c>
      <c r="C763" s="452" t="str">
        <f>VLOOKUP(B763,★営業所!$A$1:$B$5,2,FALSE)</f>
        <v>C</v>
      </c>
      <c r="D763" s="465" t="s">
        <v>969</v>
      </c>
      <c r="E763" s="452" t="str">
        <f>VLOOKUP(D763,★サイズ表記!$D$4:$E$55,2,FALSE)</f>
        <v>3001</v>
      </c>
      <c r="F763" s="457" t="s">
        <v>41</v>
      </c>
      <c r="G763" s="452" t="str">
        <f>VLOOKUP(F763,★折込地区!$A$1:$B$11,2,FALSE)</f>
        <v>Shi</v>
      </c>
      <c r="H763" s="453">
        <f>INDEX(★サイズ表記!$I$4:$Q$55, MATCH(E763,★サイズ表記!$E$4:$E$55,0), MATCH(G763,★サイズ表記!$I$3:$R$3,0))</f>
        <v>0</v>
      </c>
      <c r="K763" s="471" t="str">
        <f t="shared" si="80"/>
        <v>C3001Shi</v>
      </c>
      <c r="L763" s="471" t="str">
        <f t="shared" si="81"/>
        <v>政治B4</v>
      </c>
      <c r="P763" s="533" t="s">
        <v>1324</v>
      </c>
      <c r="Q763" s="533" t="s">
        <v>1325</v>
      </c>
      <c r="R763" s="534" t="str">
        <f t="shared" si="82"/>
        <v>3001</v>
      </c>
      <c r="S763" s="534" t="str">
        <f t="shared" si="83"/>
        <v>政治B4</v>
      </c>
      <c r="T763" s="538" t="str">
        <f t="shared" si="84"/>
        <v>30</v>
      </c>
      <c r="U763" s="538" t="str">
        <f t="shared" si="85"/>
        <v>01</v>
      </c>
      <c r="V763" s="471" t="s">
        <v>1136</v>
      </c>
      <c r="Y763" s="472">
        <f t="shared" si="86"/>
        <v>0</v>
      </c>
      <c r="Z763" s="540">
        <f t="shared" si="87"/>
        <v>0</v>
      </c>
      <c r="AA763" s="471">
        <v>0</v>
      </c>
    </row>
    <row r="764" spans="1:27">
      <c r="A764" s="451" t="str">
        <f>CONCATENATE(VLOOKUP(B764,★営業所!$A$1:$B$5,2,FALSE),VLOOKUP(D764,★サイズ表記!$D$4:$E$55,2,FALSE),VLOOKUP(F764,★折込地区!$A$1:$B$11,2,FALSE))</f>
        <v>C3002Shi</v>
      </c>
      <c r="B764" s="457" t="s">
        <v>116</v>
      </c>
      <c r="C764" s="452" t="str">
        <f>VLOOKUP(B764,★営業所!$A$1:$B$5,2,FALSE)</f>
        <v>C</v>
      </c>
      <c r="D764" s="465" t="s">
        <v>970</v>
      </c>
      <c r="E764" s="452" t="str">
        <f>VLOOKUP(D764,★サイズ表記!$D$4:$E$55,2,FALSE)</f>
        <v>3002</v>
      </c>
      <c r="F764" s="457" t="s">
        <v>41</v>
      </c>
      <c r="G764" s="452" t="str">
        <f>VLOOKUP(F764,★折込地区!$A$1:$B$11,2,FALSE)</f>
        <v>Shi</v>
      </c>
      <c r="H764" s="453">
        <f>INDEX(★サイズ表記!$I$4:$Q$55, MATCH(E764,★サイズ表記!$E$4:$E$55,0), MATCH(G764,★サイズ表記!$I$3:$R$3,0))</f>
        <v>0</v>
      </c>
      <c r="K764" s="471" t="str">
        <f t="shared" si="80"/>
        <v>C3002Shi</v>
      </c>
      <c r="L764" s="471" t="str">
        <f t="shared" si="81"/>
        <v>政治B3</v>
      </c>
      <c r="P764" s="533" t="s">
        <v>1324</v>
      </c>
      <c r="Q764" s="533" t="s">
        <v>1325</v>
      </c>
      <c r="R764" s="534" t="str">
        <f t="shared" si="82"/>
        <v>3002</v>
      </c>
      <c r="S764" s="534" t="str">
        <f t="shared" si="83"/>
        <v>政治B3</v>
      </c>
      <c r="T764" s="538" t="str">
        <f t="shared" si="84"/>
        <v>30</v>
      </c>
      <c r="U764" s="538" t="str">
        <f t="shared" si="85"/>
        <v>02</v>
      </c>
      <c r="V764" s="471" t="s">
        <v>1136</v>
      </c>
      <c r="Y764" s="472">
        <f t="shared" si="86"/>
        <v>0</v>
      </c>
      <c r="Z764" s="540">
        <f t="shared" si="87"/>
        <v>0</v>
      </c>
      <c r="AA764" s="471">
        <v>0</v>
      </c>
    </row>
    <row r="765" spans="1:27">
      <c r="A765" s="451" t="str">
        <f>CONCATENATE(VLOOKUP(B765,★営業所!$A$1:$B$5,2,FALSE),VLOOKUP(D765,★サイズ表記!$D$4:$E$55,2,FALSE),VLOOKUP(F765,★折込地区!$A$1:$B$11,2,FALSE))</f>
        <v>C3003Shi</v>
      </c>
      <c r="B765" s="457" t="s">
        <v>116</v>
      </c>
      <c r="C765" s="452" t="str">
        <f>VLOOKUP(B765,★営業所!$A$1:$B$5,2,FALSE)</f>
        <v>C</v>
      </c>
      <c r="D765" s="465" t="s">
        <v>971</v>
      </c>
      <c r="E765" s="452" t="str">
        <f>VLOOKUP(D765,★サイズ表記!$D$4:$E$55,2,FALSE)</f>
        <v>3003</v>
      </c>
      <c r="F765" s="457" t="s">
        <v>41</v>
      </c>
      <c r="G765" s="452" t="str">
        <f>VLOOKUP(F765,★折込地区!$A$1:$B$11,2,FALSE)</f>
        <v>Shi</v>
      </c>
      <c r="H765" s="453">
        <f>INDEX(★サイズ表記!$I$4:$Q$55, MATCH(E765,★サイズ表記!$E$4:$E$55,0), MATCH(G765,★サイズ表記!$I$3:$R$3,0))</f>
        <v>0</v>
      </c>
      <c r="K765" s="471" t="str">
        <f t="shared" si="80"/>
        <v>C3003Shi</v>
      </c>
      <c r="L765" s="471" t="str">
        <f t="shared" si="81"/>
        <v>政治B2</v>
      </c>
      <c r="P765" s="533" t="s">
        <v>1324</v>
      </c>
      <c r="Q765" s="533" t="s">
        <v>1325</v>
      </c>
      <c r="R765" s="534" t="str">
        <f t="shared" si="82"/>
        <v>3003</v>
      </c>
      <c r="S765" s="534" t="str">
        <f t="shared" si="83"/>
        <v>政治B2</v>
      </c>
      <c r="T765" s="538" t="str">
        <f t="shared" si="84"/>
        <v>30</v>
      </c>
      <c r="U765" s="538" t="str">
        <f t="shared" si="85"/>
        <v>03</v>
      </c>
      <c r="V765" s="471" t="s">
        <v>1136</v>
      </c>
      <c r="Y765" s="472">
        <f t="shared" si="86"/>
        <v>0</v>
      </c>
      <c r="Z765" s="540">
        <f t="shared" si="87"/>
        <v>0</v>
      </c>
      <c r="AA765" s="471">
        <v>0</v>
      </c>
    </row>
    <row r="766" spans="1:27">
      <c r="A766" s="451" t="str">
        <f>CONCATENATE(VLOOKUP(B766,★営業所!$A$1:$B$5,2,FALSE),VLOOKUP(D766,★サイズ表記!$D$4:$E$55,2,FALSE),VLOOKUP(F766,★折込地区!$A$1:$B$11,2,FALSE))</f>
        <v>C3004Shi</v>
      </c>
      <c r="B766" s="457" t="s">
        <v>116</v>
      </c>
      <c r="C766" s="452" t="str">
        <f>VLOOKUP(B766,★営業所!$A$1:$B$5,2,FALSE)</f>
        <v>C</v>
      </c>
      <c r="D766" s="465" t="s">
        <v>972</v>
      </c>
      <c r="E766" s="452" t="str">
        <f>VLOOKUP(D766,★サイズ表記!$D$4:$E$55,2,FALSE)</f>
        <v>3004</v>
      </c>
      <c r="F766" s="457" t="s">
        <v>41</v>
      </c>
      <c r="G766" s="452" t="str">
        <f>VLOOKUP(F766,★折込地区!$A$1:$B$11,2,FALSE)</f>
        <v>Shi</v>
      </c>
      <c r="H766" s="453">
        <f>INDEX(★サイズ表記!$I$4:$Q$55, MATCH(E766,★サイズ表記!$E$4:$E$55,0), MATCH(G766,★サイズ表記!$I$3:$R$3,0))</f>
        <v>0</v>
      </c>
      <c r="K766" s="471" t="str">
        <f t="shared" si="80"/>
        <v>C3004Shi</v>
      </c>
      <c r="L766" s="471" t="str">
        <f t="shared" si="81"/>
        <v>政治3つ折り</v>
      </c>
      <c r="P766" s="533" t="s">
        <v>1324</v>
      </c>
      <c r="Q766" s="533" t="s">
        <v>1325</v>
      </c>
      <c r="R766" s="534" t="str">
        <f t="shared" si="82"/>
        <v>3004</v>
      </c>
      <c r="S766" s="534" t="str">
        <f t="shared" si="83"/>
        <v>政治3つ折り</v>
      </c>
      <c r="T766" s="538" t="str">
        <f t="shared" si="84"/>
        <v>30</v>
      </c>
      <c r="U766" s="538" t="str">
        <f t="shared" si="85"/>
        <v>04</v>
      </c>
      <c r="V766" s="471" t="s">
        <v>1136</v>
      </c>
      <c r="Y766" s="472">
        <f t="shared" si="86"/>
        <v>0</v>
      </c>
      <c r="Z766" s="540">
        <f t="shared" si="87"/>
        <v>0</v>
      </c>
      <c r="AA766" s="471">
        <v>0</v>
      </c>
    </row>
    <row r="767" spans="1:27">
      <c r="A767" s="451" t="str">
        <f>CONCATENATE(VLOOKUP(B767,★営業所!$A$1:$B$5,2,FALSE),VLOOKUP(D767,★サイズ表記!$D$4:$E$55,2,FALSE),VLOOKUP(F767,★折込地区!$A$1:$B$11,2,FALSE))</f>
        <v>C3005Shi</v>
      </c>
      <c r="B767" s="457" t="s">
        <v>116</v>
      </c>
      <c r="C767" s="452" t="str">
        <f>VLOOKUP(B767,★営業所!$A$1:$B$5,2,FALSE)</f>
        <v>C</v>
      </c>
      <c r="D767" s="465" t="s">
        <v>973</v>
      </c>
      <c r="E767" s="452" t="str">
        <f>VLOOKUP(D767,★サイズ表記!$D$4:$E$55,2,FALSE)</f>
        <v>3005</v>
      </c>
      <c r="F767" s="457" t="s">
        <v>41</v>
      </c>
      <c r="G767" s="452" t="str">
        <f>VLOOKUP(F767,★折込地区!$A$1:$B$11,2,FALSE)</f>
        <v>Shi</v>
      </c>
      <c r="H767" s="453">
        <f>INDEX(★サイズ表記!$I$4:$Q$55, MATCH(E767,★サイズ表記!$E$4:$E$55,0), MATCH(G767,★サイズ表記!$I$3:$R$3,0))</f>
        <v>0</v>
      </c>
      <c r="K767" s="471" t="str">
        <f t="shared" si="80"/>
        <v>C3005Shi</v>
      </c>
      <c r="L767" s="471" t="str">
        <f t="shared" si="81"/>
        <v>政治2つ折り極小</v>
      </c>
      <c r="P767" s="533" t="s">
        <v>1324</v>
      </c>
      <c r="Q767" s="533" t="s">
        <v>1325</v>
      </c>
      <c r="R767" s="534" t="str">
        <f t="shared" si="82"/>
        <v>3005</v>
      </c>
      <c r="S767" s="534" t="str">
        <f t="shared" si="83"/>
        <v>政治2つ折り極小</v>
      </c>
      <c r="T767" s="538" t="str">
        <f t="shared" si="84"/>
        <v>30</v>
      </c>
      <c r="U767" s="538" t="str">
        <f t="shared" si="85"/>
        <v>05</v>
      </c>
      <c r="V767" s="471" t="s">
        <v>1136</v>
      </c>
      <c r="Y767" s="472">
        <f t="shared" si="86"/>
        <v>0</v>
      </c>
      <c r="Z767" s="540">
        <f t="shared" si="87"/>
        <v>0</v>
      </c>
      <c r="AA767" s="471">
        <v>0</v>
      </c>
    </row>
    <row r="768" spans="1:27">
      <c r="A768" s="451" t="str">
        <f>CONCATENATE(VLOOKUP(B768,★営業所!$A$1:$B$5,2,FALSE),VLOOKUP(D768,★サイズ表記!$D$4:$E$55,2,FALSE),VLOOKUP(F768,★折込地区!$A$1:$B$11,2,FALSE))</f>
        <v>C3006Shi</v>
      </c>
      <c r="B768" s="457" t="s">
        <v>116</v>
      </c>
      <c r="C768" s="452" t="str">
        <f>VLOOKUP(B768,★営業所!$A$1:$B$5,2,FALSE)</f>
        <v>C</v>
      </c>
      <c r="D768" s="465" t="s">
        <v>974</v>
      </c>
      <c r="E768" s="452" t="str">
        <f>VLOOKUP(D768,★サイズ表記!$D$4:$E$55,2,FALSE)</f>
        <v>3006</v>
      </c>
      <c r="F768" s="457" t="s">
        <v>41</v>
      </c>
      <c r="G768" s="452" t="str">
        <f>VLOOKUP(F768,★折込地区!$A$1:$B$11,2,FALSE)</f>
        <v>Shi</v>
      </c>
      <c r="H768" s="453">
        <f>INDEX(★サイズ表記!$I$4:$Q$55, MATCH(E768,★サイズ表記!$E$4:$E$55,0), MATCH(G768,★サイズ表記!$I$3:$R$3,0))</f>
        <v>0</v>
      </c>
      <c r="K768" s="471" t="str">
        <f t="shared" si="80"/>
        <v>C3006Shi</v>
      </c>
      <c r="L768" s="471" t="str">
        <f t="shared" si="81"/>
        <v>政治B4厚紙</v>
      </c>
      <c r="P768" s="533" t="s">
        <v>1324</v>
      </c>
      <c r="Q768" s="533" t="s">
        <v>1325</v>
      </c>
      <c r="R768" s="534" t="str">
        <f t="shared" si="82"/>
        <v>3006</v>
      </c>
      <c r="S768" s="534" t="str">
        <f t="shared" si="83"/>
        <v>政治B4厚紙</v>
      </c>
      <c r="T768" s="538" t="str">
        <f t="shared" si="84"/>
        <v>30</v>
      </c>
      <c r="U768" s="538" t="str">
        <f t="shared" si="85"/>
        <v>06</v>
      </c>
      <c r="V768" s="471" t="s">
        <v>1136</v>
      </c>
      <c r="Y768" s="472">
        <f t="shared" si="86"/>
        <v>0</v>
      </c>
      <c r="Z768" s="540">
        <f t="shared" si="87"/>
        <v>0</v>
      </c>
      <c r="AA768" s="471">
        <v>0</v>
      </c>
    </row>
    <row r="769" spans="1:27">
      <c r="A769" s="451" t="str">
        <f>CONCATENATE(VLOOKUP(B769,★営業所!$A$1:$B$5,2,FALSE),VLOOKUP(D769,★サイズ表記!$D$4:$E$55,2,FALSE),VLOOKUP(F769,★折込地区!$A$1:$B$11,2,FALSE))</f>
        <v>C3007Shi</v>
      </c>
      <c r="B769" s="457" t="s">
        <v>116</v>
      </c>
      <c r="C769" s="452" t="str">
        <f>VLOOKUP(B769,★営業所!$A$1:$B$5,2,FALSE)</f>
        <v>C</v>
      </c>
      <c r="D769" s="465" t="s">
        <v>1362</v>
      </c>
      <c r="E769" s="452" t="str">
        <f>VLOOKUP(D769,★サイズ表記!$D$4:$E$55,2,FALSE)</f>
        <v>3007</v>
      </c>
      <c r="F769" s="457" t="s">
        <v>41</v>
      </c>
      <c r="G769" s="452" t="str">
        <f>VLOOKUP(F769,★折込地区!$A$1:$B$11,2,FALSE)</f>
        <v>Shi</v>
      </c>
      <c r="H769" s="453">
        <f>INDEX(★サイズ表記!$I$4:$Q$55, MATCH(E769,★サイズ表記!$E$4:$E$55,0), MATCH(G769,★サイズ表記!$I$3:$R$3,0))</f>
        <v>0</v>
      </c>
      <c r="K769" s="471" t="str">
        <f t="shared" si="80"/>
        <v>C3007Shi</v>
      </c>
      <c r="L769" s="471" t="str">
        <f t="shared" si="81"/>
        <v>政治タブ6P</v>
      </c>
      <c r="P769" s="533" t="s">
        <v>1324</v>
      </c>
      <c r="Q769" s="533" t="s">
        <v>1325</v>
      </c>
      <c r="R769" s="534" t="str">
        <f t="shared" si="82"/>
        <v>3007</v>
      </c>
      <c r="S769" s="534" t="str">
        <f t="shared" si="83"/>
        <v>政治タブ6P</v>
      </c>
      <c r="T769" s="538" t="str">
        <f t="shared" si="84"/>
        <v>30</v>
      </c>
      <c r="U769" s="538" t="str">
        <f t="shared" si="85"/>
        <v>07</v>
      </c>
      <c r="V769" s="471" t="s">
        <v>1136</v>
      </c>
      <c r="Y769" s="472">
        <f t="shared" si="86"/>
        <v>0</v>
      </c>
      <c r="Z769" s="540">
        <f t="shared" si="87"/>
        <v>0</v>
      </c>
      <c r="AA769" s="471">
        <v>0</v>
      </c>
    </row>
    <row r="770" spans="1:27">
      <c r="A770" s="451" t="str">
        <f>CONCATENATE(VLOOKUP(B770,★営業所!$A$1:$B$5,2,FALSE),VLOOKUP(D770,★サイズ表記!$D$4:$E$55,2,FALSE),VLOOKUP(F770,★折込地区!$A$1:$B$11,2,FALSE))</f>
        <v>C3008Shi</v>
      </c>
      <c r="B770" s="457" t="s">
        <v>116</v>
      </c>
      <c r="C770" s="452" t="str">
        <f>VLOOKUP(B770,★営業所!$A$1:$B$5,2,FALSE)</f>
        <v>C</v>
      </c>
      <c r="D770" s="465" t="s">
        <v>1363</v>
      </c>
      <c r="E770" s="452" t="str">
        <f>VLOOKUP(D770,★サイズ表記!$D$4:$E$55,2,FALSE)</f>
        <v>3008</v>
      </c>
      <c r="F770" s="457" t="s">
        <v>41</v>
      </c>
      <c r="G770" s="452" t="str">
        <f>VLOOKUP(F770,★折込地区!$A$1:$B$11,2,FALSE)</f>
        <v>Shi</v>
      </c>
      <c r="H770" s="453">
        <f>INDEX(★サイズ表記!$I$4:$Q$55, MATCH(E770,★サイズ表記!$E$4:$E$55,0), MATCH(G770,★サイズ表記!$I$3:$R$3,0))</f>
        <v>0</v>
      </c>
      <c r="K770" s="471" t="str">
        <f t="shared" si="80"/>
        <v>C3008Shi</v>
      </c>
      <c r="L770" s="471" t="str">
        <f t="shared" si="81"/>
        <v>政治タブ8P</v>
      </c>
      <c r="P770" s="533" t="s">
        <v>1324</v>
      </c>
      <c r="Q770" s="533" t="s">
        <v>1325</v>
      </c>
      <c r="R770" s="534" t="str">
        <f t="shared" si="82"/>
        <v>3008</v>
      </c>
      <c r="S770" s="534" t="str">
        <f t="shared" si="83"/>
        <v>政治タブ8P</v>
      </c>
      <c r="T770" s="538" t="str">
        <f t="shared" si="84"/>
        <v>30</v>
      </c>
      <c r="U770" s="538" t="str">
        <f t="shared" si="85"/>
        <v>08</v>
      </c>
      <c r="V770" s="471" t="s">
        <v>1136</v>
      </c>
      <c r="Y770" s="472">
        <f t="shared" si="86"/>
        <v>0</v>
      </c>
      <c r="Z770" s="540">
        <f t="shared" si="87"/>
        <v>0</v>
      </c>
      <c r="AA770" s="471">
        <v>0</v>
      </c>
    </row>
    <row r="771" spans="1:27">
      <c r="A771" s="451" t="str">
        <f>CONCATENATE(VLOOKUP(B771,★営業所!$A$1:$B$5,2,FALSE),VLOOKUP(D771,★サイズ表記!$D$4:$E$55,2,FALSE),VLOOKUP(F771,★折込地区!$A$1:$B$11,2,FALSE))</f>
        <v>C3009Shi</v>
      </c>
      <c r="B771" s="457" t="s">
        <v>116</v>
      </c>
      <c r="C771" s="452" t="str">
        <f>VLOOKUP(B771,★営業所!$A$1:$B$5,2,FALSE)</f>
        <v>C</v>
      </c>
      <c r="D771" s="465" t="s">
        <v>1361</v>
      </c>
      <c r="E771" s="452" t="str">
        <f>VLOOKUP(D771,★サイズ表記!$D$4:$E$55,2,FALSE)</f>
        <v>3009</v>
      </c>
      <c r="F771" s="457" t="s">
        <v>41</v>
      </c>
      <c r="G771" s="452" t="str">
        <f>VLOOKUP(F771,★折込地区!$A$1:$B$11,2,FALSE)</f>
        <v>Shi</v>
      </c>
      <c r="H771" s="453">
        <f>INDEX(★サイズ表記!$I$4:$Q$55, MATCH(E771,★サイズ表記!$E$4:$E$55,0), MATCH(G771,★サイズ表記!$I$3:$R$3,0))</f>
        <v>0</v>
      </c>
      <c r="K771" s="471" t="str">
        <f t="shared" si="80"/>
        <v>C3009Shi</v>
      </c>
      <c r="L771" s="471" t="str">
        <f t="shared" si="81"/>
        <v>政治タブ12P</v>
      </c>
      <c r="P771" s="533" t="s">
        <v>1324</v>
      </c>
      <c r="Q771" s="533" t="s">
        <v>1325</v>
      </c>
      <c r="R771" s="534" t="str">
        <f t="shared" si="82"/>
        <v>3009</v>
      </c>
      <c r="S771" s="534" t="str">
        <f t="shared" si="83"/>
        <v>政治タブ12P</v>
      </c>
      <c r="T771" s="538" t="str">
        <f t="shared" si="84"/>
        <v>30</v>
      </c>
      <c r="U771" s="538" t="str">
        <f t="shared" si="85"/>
        <v>09</v>
      </c>
      <c r="V771" s="471" t="s">
        <v>1136</v>
      </c>
      <c r="Y771" s="472">
        <f t="shared" si="86"/>
        <v>0</v>
      </c>
      <c r="Z771" s="540">
        <f t="shared" si="87"/>
        <v>0</v>
      </c>
      <c r="AA771" s="471">
        <v>0</v>
      </c>
    </row>
    <row r="772" spans="1:27">
      <c r="A772" s="451" t="str">
        <f>CONCATENATE(VLOOKUP(B772,★営業所!$A$1:$B$5,2,FALSE),VLOOKUP(D772,★サイズ表記!$D$4:$E$55,2,FALSE),VLOOKUP(F772,★折込地区!$A$1:$B$11,2,FALSE))</f>
        <v>C4001Shi</v>
      </c>
      <c r="B772" s="457" t="s">
        <v>116</v>
      </c>
      <c r="C772" s="452" t="str">
        <f>VLOOKUP(B772,★営業所!$A$1:$B$5,2,FALSE)</f>
        <v>C</v>
      </c>
      <c r="D772" s="465" t="s">
        <v>1358</v>
      </c>
      <c r="E772" s="452" t="str">
        <f>VLOOKUP(D772,★サイズ表記!$D$4:$E$55,2,FALSE)</f>
        <v>4001</v>
      </c>
      <c r="F772" s="457" t="s">
        <v>41</v>
      </c>
      <c r="G772" s="452" t="str">
        <f>VLOOKUP(F772,★折込地区!$A$1:$B$11,2,FALSE)</f>
        <v>Shi</v>
      </c>
      <c r="H772" s="453">
        <f>INDEX(★サイズ表記!$I$4:$Q$55, MATCH(E772,★サイズ表記!$E$4:$E$55,0), MATCH(G772,★サイズ表記!$I$3:$R$3,0))</f>
        <v>0</v>
      </c>
      <c r="K772" s="471" t="str">
        <f t="shared" si="80"/>
        <v>C4001Shi</v>
      </c>
      <c r="L772" s="471" t="str">
        <f t="shared" si="81"/>
        <v>タブ6P</v>
      </c>
      <c r="P772" s="533" t="s">
        <v>1324</v>
      </c>
      <c r="Q772" s="533" t="s">
        <v>1325</v>
      </c>
      <c r="R772" s="534" t="str">
        <f t="shared" si="82"/>
        <v>4001</v>
      </c>
      <c r="S772" s="534" t="str">
        <f t="shared" si="83"/>
        <v>タブ6P</v>
      </c>
      <c r="T772" s="538" t="str">
        <f t="shared" si="84"/>
        <v>40</v>
      </c>
      <c r="U772" s="538" t="str">
        <f t="shared" si="85"/>
        <v>01</v>
      </c>
      <c r="V772" s="471" t="s">
        <v>1136</v>
      </c>
      <c r="Y772" s="472">
        <f t="shared" si="86"/>
        <v>0</v>
      </c>
      <c r="Z772" s="540">
        <f t="shared" si="87"/>
        <v>0</v>
      </c>
      <c r="AA772" s="471">
        <v>0</v>
      </c>
    </row>
    <row r="773" spans="1:27">
      <c r="A773" s="451" t="str">
        <f>CONCATENATE(VLOOKUP(B773,★営業所!$A$1:$B$5,2,FALSE),VLOOKUP(D773,★サイズ表記!$D$4:$E$55,2,FALSE),VLOOKUP(F773,★折込地区!$A$1:$B$11,2,FALSE))</f>
        <v>C4002Shi</v>
      </c>
      <c r="B773" s="457" t="s">
        <v>116</v>
      </c>
      <c r="C773" s="452" t="str">
        <f>VLOOKUP(B773,★営業所!$A$1:$B$5,2,FALSE)</f>
        <v>C</v>
      </c>
      <c r="D773" s="465" t="s">
        <v>1359</v>
      </c>
      <c r="E773" s="452" t="str">
        <f>VLOOKUP(D773,★サイズ表記!$D$4:$E$55,2,FALSE)</f>
        <v>4002</v>
      </c>
      <c r="F773" s="457" t="s">
        <v>41</v>
      </c>
      <c r="G773" s="452" t="str">
        <f>VLOOKUP(F773,★折込地区!$A$1:$B$11,2,FALSE)</f>
        <v>Shi</v>
      </c>
      <c r="H773" s="453">
        <f>INDEX(★サイズ表記!$I$4:$Q$55, MATCH(E773,★サイズ表記!$E$4:$E$55,0), MATCH(G773,★サイズ表記!$I$3:$R$3,0))</f>
        <v>0</v>
      </c>
      <c r="K773" s="471" t="str">
        <f t="shared" si="80"/>
        <v>C4002Shi</v>
      </c>
      <c r="L773" s="471" t="str">
        <f t="shared" si="81"/>
        <v>タブ8P</v>
      </c>
      <c r="P773" s="533" t="s">
        <v>1324</v>
      </c>
      <c r="Q773" s="533" t="s">
        <v>1325</v>
      </c>
      <c r="R773" s="534" t="str">
        <f t="shared" si="82"/>
        <v>4002</v>
      </c>
      <c r="S773" s="534" t="str">
        <f t="shared" si="83"/>
        <v>タブ8P</v>
      </c>
      <c r="T773" s="538" t="str">
        <f t="shared" si="84"/>
        <v>40</v>
      </c>
      <c r="U773" s="538" t="str">
        <f t="shared" si="85"/>
        <v>02</v>
      </c>
      <c r="V773" s="471" t="s">
        <v>1136</v>
      </c>
      <c r="Y773" s="472">
        <f t="shared" si="86"/>
        <v>0</v>
      </c>
      <c r="Z773" s="540">
        <f t="shared" si="87"/>
        <v>0</v>
      </c>
      <c r="AA773" s="471">
        <v>0</v>
      </c>
    </row>
    <row r="774" spans="1:27">
      <c r="A774" s="451" t="str">
        <f>CONCATENATE(VLOOKUP(B774,★営業所!$A$1:$B$5,2,FALSE),VLOOKUP(D774,★サイズ表記!$D$4:$E$55,2,FALSE),VLOOKUP(F774,★折込地区!$A$1:$B$11,2,FALSE))</f>
        <v>C4003Shi</v>
      </c>
      <c r="B774" s="457" t="s">
        <v>116</v>
      </c>
      <c r="C774" s="452" t="str">
        <f>VLOOKUP(B774,★営業所!$A$1:$B$5,2,FALSE)</f>
        <v>C</v>
      </c>
      <c r="D774" s="465" t="s">
        <v>1360</v>
      </c>
      <c r="E774" s="452" t="str">
        <f>VLOOKUP(D774,★サイズ表記!$D$4:$E$55,2,FALSE)</f>
        <v>4003</v>
      </c>
      <c r="F774" s="457" t="s">
        <v>41</v>
      </c>
      <c r="G774" s="452" t="str">
        <f>VLOOKUP(F774,★折込地区!$A$1:$B$11,2,FALSE)</f>
        <v>Shi</v>
      </c>
      <c r="H774" s="453">
        <f>INDEX(★サイズ表記!$I$4:$Q$55, MATCH(E774,★サイズ表記!$E$4:$E$55,0), MATCH(G774,★サイズ表記!$I$3:$R$3,0))</f>
        <v>0</v>
      </c>
      <c r="K774" s="471" t="str">
        <f t="shared" si="80"/>
        <v>C4003Shi</v>
      </c>
      <c r="L774" s="471" t="str">
        <f t="shared" si="81"/>
        <v>タブ8Pホチキス止め</v>
      </c>
      <c r="P774" s="533" t="s">
        <v>1324</v>
      </c>
      <c r="Q774" s="533" t="s">
        <v>1325</v>
      </c>
      <c r="R774" s="534" t="str">
        <f t="shared" si="82"/>
        <v>4003</v>
      </c>
      <c r="S774" s="534" t="str">
        <f t="shared" si="83"/>
        <v>タブ8Pホチキス止め</v>
      </c>
      <c r="T774" s="538" t="str">
        <f t="shared" si="84"/>
        <v>40</v>
      </c>
      <c r="U774" s="538" t="str">
        <f t="shared" si="85"/>
        <v>03</v>
      </c>
      <c r="V774" s="471" t="s">
        <v>1136</v>
      </c>
      <c r="Y774" s="472">
        <f t="shared" si="86"/>
        <v>0</v>
      </c>
      <c r="Z774" s="540">
        <f t="shared" si="87"/>
        <v>0</v>
      </c>
      <c r="AA774" s="471">
        <v>0</v>
      </c>
    </row>
    <row r="775" spans="1:27">
      <c r="A775" s="451" t="str">
        <f>CONCATENATE(VLOOKUP(B775,★営業所!$A$1:$B$5,2,FALSE),VLOOKUP(D775,★サイズ表記!$D$4:$E$55,2,FALSE),VLOOKUP(F775,★折込地区!$A$1:$B$11,2,FALSE))</f>
        <v>C4004Shi</v>
      </c>
      <c r="B775" s="457" t="s">
        <v>116</v>
      </c>
      <c r="C775" s="452" t="str">
        <f>VLOOKUP(B775,★営業所!$A$1:$B$5,2,FALSE)</f>
        <v>C</v>
      </c>
      <c r="D775" s="465" t="s">
        <v>1350</v>
      </c>
      <c r="E775" s="452" t="str">
        <f>VLOOKUP(D775,★サイズ表記!$D$4:$E$55,2,FALSE)</f>
        <v>4004</v>
      </c>
      <c r="F775" s="457" t="s">
        <v>41</v>
      </c>
      <c r="G775" s="452" t="str">
        <f>VLOOKUP(F775,★折込地区!$A$1:$B$11,2,FALSE)</f>
        <v>Shi</v>
      </c>
      <c r="H775" s="453">
        <f>INDEX(★サイズ表記!$I$4:$Q$55, MATCH(E775,★サイズ表記!$E$4:$E$55,0), MATCH(G775,★サイズ表記!$I$3:$R$3,0))</f>
        <v>0</v>
      </c>
      <c r="K775" s="471" t="str">
        <f t="shared" si="80"/>
        <v>C4004Shi</v>
      </c>
      <c r="L775" s="471" t="str">
        <f t="shared" si="81"/>
        <v>タブ10P</v>
      </c>
      <c r="P775" s="533" t="s">
        <v>1324</v>
      </c>
      <c r="Q775" s="533" t="s">
        <v>1325</v>
      </c>
      <c r="R775" s="534" t="str">
        <f t="shared" si="82"/>
        <v>4004</v>
      </c>
      <c r="S775" s="534" t="str">
        <f t="shared" si="83"/>
        <v>タブ10P</v>
      </c>
      <c r="T775" s="538" t="str">
        <f t="shared" si="84"/>
        <v>40</v>
      </c>
      <c r="U775" s="538" t="str">
        <f t="shared" si="85"/>
        <v>04</v>
      </c>
      <c r="V775" s="471" t="s">
        <v>1136</v>
      </c>
      <c r="Y775" s="472">
        <f t="shared" si="86"/>
        <v>0</v>
      </c>
      <c r="Z775" s="540">
        <f t="shared" si="87"/>
        <v>0</v>
      </c>
      <c r="AA775" s="471">
        <v>0</v>
      </c>
    </row>
    <row r="776" spans="1:27">
      <c r="A776" s="451" t="str">
        <f>CONCATENATE(VLOOKUP(B776,★営業所!$A$1:$B$5,2,FALSE),VLOOKUP(D776,★サイズ表記!$D$4:$E$55,2,FALSE),VLOOKUP(F776,★折込地区!$A$1:$B$11,2,FALSE))</f>
        <v>C4005Shi</v>
      </c>
      <c r="B776" s="457" t="s">
        <v>116</v>
      </c>
      <c r="C776" s="452" t="str">
        <f>VLOOKUP(B776,★営業所!$A$1:$B$5,2,FALSE)</f>
        <v>C</v>
      </c>
      <c r="D776" s="465" t="s">
        <v>1351</v>
      </c>
      <c r="E776" s="452" t="str">
        <f>VLOOKUP(D776,★サイズ表記!$D$4:$E$55,2,FALSE)</f>
        <v>4005</v>
      </c>
      <c r="F776" s="457" t="s">
        <v>41</v>
      </c>
      <c r="G776" s="452" t="str">
        <f>VLOOKUP(F776,★折込地区!$A$1:$B$11,2,FALSE)</f>
        <v>Shi</v>
      </c>
      <c r="H776" s="453">
        <f>INDEX(★サイズ表記!$I$4:$Q$55, MATCH(E776,★サイズ表記!$E$4:$E$55,0), MATCH(G776,★サイズ表記!$I$3:$R$3,0))</f>
        <v>0</v>
      </c>
      <c r="K776" s="471" t="str">
        <f t="shared" si="80"/>
        <v>C4005Shi</v>
      </c>
      <c r="L776" s="471" t="str">
        <f t="shared" si="81"/>
        <v>タブ12P</v>
      </c>
      <c r="P776" s="533" t="s">
        <v>1324</v>
      </c>
      <c r="Q776" s="533" t="s">
        <v>1325</v>
      </c>
      <c r="R776" s="534" t="str">
        <f t="shared" si="82"/>
        <v>4005</v>
      </c>
      <c r="S776" s="534" t="str">
        <f t="shared" si="83"/>
        <v>タブ12P</v>
      </c>
      <c r="T776" s="538" t="str">
        <f t="shared" si="84"/>
        <v>40</v>
      </c>
      <c r="U776" s="538" t="str">
        <f t="shared" si="85"/>
        <v>05</v>
      </c>
      <c r="V776" s="471" t="s">
        <v>1136</v>
      </c>
      <c r="Y776" s="472">
        <f t="shared" si="86"/>
        <v>0</v>
      </c>
      <c r="Z776" s="540">
        <f t="shared" si="87"/>
        <v>0</v>
      </c>
      <c r="AA776" s="471">
        <v>0</v>
      </c>
    </row>
    <row r="777" spans="1:27">
      <c r="A777" s="451" t="str">
        <f>CONCATENATE(VLOOKUP(B777,★営業所!$A$1:$B$5,2,FALSE),VLOOKUP(D777,★サイズ表記!$D$4:$E$55,2,FALSE),VLOOKUP(F777,★折込地区!$A$1:$B$11,2,FALSE))</f>
        <v>C4006Shi</v>
      </c>
      <c r="B777" s="457" t="s">
        <v>116</v>
      </c>
      <c r="C777" s="452" t="str">
        <f>VLOOKUP(B777,★営業所!$A$1:$B$5,2,FALSE)</f>
        <v>C</v>
      </c>
      <c r="D777" s="465" t="s">
        <v>1352</v>
      </c>
      <c r="E777" s="452" t="str">
        <f>VLOOKUP(D777,★サイズ表記!$D$4:$E$55,2,FALSE)</f>
        <v>4006</v>
      </c>
      <c r="F777" s="457" t="s">
        <v>41</v>
      </c>
      <c r="G777" s="452" t="str">
        <f>VLOOKUP(F777,★折込地区!$A$1:$B$11,2,FALSE)</f>
        <v>Shi</v>
      </c>
      <c r="H777" s="453">
        <f>INDEX(★サイズ表記!$I$4:$Q$55, MATCH(E777,★サイズ表記!$E$4:$E$55,0), MATCH(G777,★サイズ表記!$I$3:$R$3,0))</f>
        <v>0</v>
      </c>
      <c r="K777" s="471" t="str">
        <f t="shared" si="80"/>
        <v>C4006Shi</v>
      </c>
      <c r="L777" s="471" t="str">
        <f t="shared" si="81"/>
        <v>タブ14P</v>
      </c>
      <c r="P777" s="533" t="s">
        <v>1324</v>
      </c>
      <c r="Q777" s="533" t="s">
        <v>1325</v>
      </c>
      <c r="R777" s="534" t="str">
        <f t="shared" si="82"/>
        <v>4006</v>
      </c>
      <c r="S777" s="534" t="str">
        <f t="shared" si="83"/>
        <v>タブ14P</v>
      </c>
      <c r="T777" s="538" t="str">
        <f t="shared" si="84"/>
        <v>40</v>
      </c>
      <c r="U777" s="538" t="str">
        <f t="shared" si="85"/>
        <v>06</v>
      </c>
      <c r="V777" s="471" t="s">
        <v>1136</v>
      </c>
      <c r="Y777" s="472">
        <f t="shared" si="86"/>
        <v>0</v>
      </c>
      <c r="Z777" s="540">
        <f t="shared" si="87"/>
        <v>0</v>
      </c>
      <c r="AA777" s="471">
        <v>0</v>
      </c>
    </row>
    <row r="778" spans="1:27">
      <c r="A778" s="451" t="str">
        <f>CONCATENATE(VLOOKUP(B778,★営業所!$A$1:$B$5,2,FALSE),VLOOKUP(D778,★サイズ表記!$D$4:$E$55,2,FALSE),VLOOKUP(F778,★折込地区!$A$1:$B$11,2,FALSE))</f>
        <v>C4007Shi</v>
      </c>
      <c r="B778" s="457" t="s">
        <v>116</v>
      </c>
      <c r="C778" s="452" t="str">
        <f>VLOOKUP(B778,★営業所!$A$1:$B$5,2,FALSE)</f>
        <v>C</v>
      </c>
      <c r="D778" s="465" t="s">
        <v>1353</v>
      </c>
      <c r="E778" s="452" t="str">
        <f>VLOOKUP(D778,★サイズ表記!$D$4:$E$55,2,FALSE)</f>
        <v>4007</v>
      </c>
      <c r="F778" s="457" t="s">
        <v>41</v>
      </c>
      <c r="G778" s="452" t="str">
        <f>VLOOKUP(F778,★折込地区!$A$1:$B$11,2,FALSE)</f>
        <v>Shi</v>
      </c>
      <c r="H778" s="453">
        <f>INDEX(★サイズ表記!$I$4:$Q$55, MATCH(E778,★サイズ表記!$E$4:$E$55,0), MATCH(G778,★サイズ表記!$I$3:$R$3,0))</f>
        <v>0</v>
      </c>
      <c r="K778" s="471" t="str">
        <f t="shared" ref="K778:K939" si="88">A778</f>
        <v>C4007Shi</v>
      </c>
      <c r="L778" s="471" t="str">
        <f t="shared" ref="L778:L939" si="89">D778</f>
        <v>タブ16P</v>
      </c>
      <c r="P778" s="533" t="s">
        <v>1324</v>
      </c>
      <c r="Q778" s="533" t="s">
        <v>1325</v>
      </c>
      <c r="R778" s="534" t="str">
        <f t="shared" si="82"/>
        <v>4007</v>
      </c>
      <c r="S778" s="534" t="str">
        <f t="shared" si="83"/>
        <v>タブ16P</v>
      </c>
      <c r="T778" s="538" t="str">
        <f t="shared" si="84"/>
        <v>40</v>
      </c>
      <c r="U778" s="538" t="str">
        <f t="shared" si="85"/>
        <v>07</v>
      </c>
      <c r="V778" s="471" t="s">
        <v>1136</v>
      </c>
      <c r="Y778" s="472">
        <f t="shared" si="86"/>
        <v>0</v>
      </c>
      <c r="Z778" s="540">
        <f t="shared" si="87"/>
        <v>0</v>
      </c>
      <c r="AA778" s="471">
        <v>0</v>
      </c>
    </row>
    <row r="779" spans="1:27">
      <c r="A779" s="451" t="str">
        <f>CONCATENATE(VLOOKUP(B779,★営業所!$A$1:$B$5,2,FALSE),VLOOKUP(D779,★サイズ表記!$D$4:$E$55,2,FALSE),VLOOKUP(F779,★折込地区!$A$1:$B$11,2,FALSE))</f>
        <v>C4008Shi</v>
      </c>
      <c r="B779" s="457" t="s">
        <v>116</v>
      </c>
      <c r="C779" s="452" t="str">
        <f>VLOOKUP(B779,★営業所!$A$1:$B$5,2,FALSE)</f>
        <v>C</v>
      </c>
      <c r="D779" s="465" t="s">
        <v>1355</v>
      </c>
      <c r="E779" s="452" t="str">
        <f>VLOOKUP(D779,★サイズ表記!$D$4:$E$55,2,FALSE)</f>
        <v>4008</v>
      </c>
      <c r="F779" s="457" t="s">
        <v>41</v>
      </c>
      <c r="G779" s="452" t="str">
        <f>VLOOKUP(F779,★折込地区!$A$1:$B$11,2,FALSE)</f>
        <v>Shi</v>
      </c>
      <c r="H779" s="453">
        <f>INDEX(★サイズ表記!$I$4:$Q$55, MATCH(E779,★サイズ表記!$E$4:$E$55,0), MATCH(G779,★サイズ表記!$I$3:$R$3,0))</f>
        <v>0</v>
      </c>
      <c r="K779" s="471" t="str">
        <f t="shared" si="88"/>
        <v>C4008Shi</v>
      </c>
      <c r="L779" s="471" t="str">
        <f t="shared" si="89"/>
        <v>タブ18P</v>
      </c>
      <c r="P779" s="533" t="s">
        <v>1324</v>
      </c>
      <c r="Q779" s="533" t="s">
        <v>1325</v>
      </c>
      <c r="R779" s="534" t="str">
        <f t="shared" ref="R779:R940" si="90">E779</f>
        <v>4008</v>
      </c>
      <c r="S779" s="534" t="str">
        <f t="shared" ref="S779:S940" si="91">L779</f>
        <v>タブ18P</v>
      </c>
      <c r="T779" s="538" t="str">
        <f t="shared" ref="T779:T940" si="92">LEFT($E779,2)</f>
        <v>40</v>
      </c>
      <c r="U779" s="538" t="str">
        <f t="shared" ref="U779:U940" si="93">RIGHT($E779,2)</f>
        <v>08</v>
      </c>
      <c r="V779" s="471" t="s">
        <v>1136</v>
      </c>
      <c r="Y779" s="472">
        <f t="shared" ref="Y779:Y940" si="94">$H779</f>
        <v>0</v>
      </c>
      <c r="Z779" s="540">
        <f t="shared" ref="Z779:Z940" si="95">ROUNDDOWN($H779*8/100,2)</f>
        <v>0</v>
      </c>
      <c r="AA779" s="471">
        <v>0</v>
      </c>
    </row>
    <row r="780" spans="1:27">
      <c r="A780" s="451" t="str">
        <f>CONCATENATE(VLOOKUP(B780,★営業所!$A$1:$B$5,2,FALSE),VLOOKUP(D780,★サイズ表記!$D$4:$E$55,2,FALSE),VLOOKUP(F780,★折込地区!$A$1:$B$11,2,FALSE))</f>
        <v>C4009Shi</v>
      </c>
      <c r="B780" s="457" t="s">
        <v>116</v>
      </c>
      <c r="C780" s="452" t="str">
        <f>VLOOKUP(B780,★営業所!$A$1:$B$5,2,FALSE)</f>
        <v>C</v>
      </c>
      <c r="D780" s="465" t="s">
        <v>1356</v>
      </c>
      <c r="E780" s="452" t="str">
        <f>VLOOKUP(D780,★サイズ表記!$D$4:$E$55,2,FALSE)</f>
        <v>4009</v>
      </c>
      <c r="F780" s="457" t="s">
        <v>41</v>
      </c>
      <c r="G780" s="452" t="str">
        <f>VLOOKUP(F780,★折込地区!$A$1:$B$11,2,FALSE)</f>
        <v>Shi</v>
      </c>
      <c r="H780" s="453">
        <f>INDEX(★サイズ表記!$I$4:$Q$55, MATCH(E780,★サイズ表記!$E$4:$E$55,0), MATCH(G780,★サイズ表記!$I$3:$R$3,0))</f>
        <v>0</v>
      </c>
      <c r="K780" s="471" t="str">
        <f t="shared" si="88"/>
        <v>C4009Shi</v>
      </c>
      <c r="L780" s="471" t="str">
        <f t="shared" si="89"/>
        <v>タブ20P</v>
      </c>
      <c r="P780" s="533" t="s">
        <v>1324</v>
      </c>
      <c r="Q780" s="533" t="s">
        <v>1325</v>
      </c>
      <c r="R780" s="534" t="str">
        <f t="shared" si="90"/>
        <v>4009</v>
      </c>
      <c r="S780" s="534" t="str">
        <f t="shared" si="91"/>
        <v>タブ20P</v>
      </c>
      <c r="T780" s="538" t="str">
        <f t="shared" si="92"/>
        <v>40</v>
      </c>
      <c r="U780" s="538" t="str">
        <f t="shared" si="93"/>
        <v>09</v>
      </c>
      <c r="V780" s="471" t="s">
        <v>1136</v>
      </c>
      <c r="Y780" s="472">
        <f t="shared" si="94"/>
        <v>0</v>
      </c>
      <c r="Z780" s="540">
        <f t="shared" si="95"/>
        <v>0</v>
      </c>
      <c r="AA780" s="471">
        <v>0</v>
      </c>
    </row>
    <row r="781" spans="1:27">
      <c r="A781" s="451" t="str">
        <f>CONCATENATE(VLOOKUP(B781,★営業所!$A$1:$B$5,2,FALSE),VLOOKUP(D781,★サイズ表記!$D$4:$E$55,2,FALSE),VLOOKUP(F781,★折込地区!$A$1:$B$11,2,FALSE))</f>
        <v>C4010Shi</v>
      </c>
      <c r="B781" s="457" t="s">
        <v>116</v>
      </c>
      <c r="C781" s="452" t="str">
        <f>VLOOKUP(B781,★営業所!$A$1:$B$5,2,FALSE)</f>
        <v>C</v>
      </c>
      <c r="D781" s="465" t="s">
        <v>1354</v>
      </c>
      <c r="E781" s="452" t="str">
        <f>VLOOKUP(D781,★サイズ表記!$D$4:$E$55,2,FALSE)</f>
        <v>4010</v>
      </c>
      <c r="F781" s="457" t="s">
        <v>41</v>
      </c>
      <c r="G781" s="452" t="str">
        <f>VLOOKUP(F781,★折込地区!$A$1:$B$11,2,FALSE)</f>
        <v>Shi</v>
      </c>
      <c r="H781" s="453">
        <f>INDEX(★サイズ表記!$I$4:$Q$55, MATCH(E781,★サイズ表記!$E$4:$E$55,0), MATCH(G781,★サイズ表記!$I$3:$R$3,0))</f>
        <v>0</v>
      </c>
      <c r="K781" s="471" t="str">
        <f t="shared" si="88"/>
        <v>C4010Shi</v>
      </c>
      <c r="L781" s="471" t="str">
        <f t="shared" si="89"/>
        <v>タブ16Pホチキス止め</v>
      </c>
      <c r="P781" s="533" t="s">
        <v>1324</v>
      </c>
      <c r="Q781" s="533" t="s">
        <v>1325</v>
      </c>
      <c r="R781" s="534" t="str">
        <f t="shared" si="90"/>
        <v>4010</v>
      </c>
      <c r="S781" s="534" t="str">
        <f t="shared" si="91"/>
        <v>タブ16Pホチキス止め</v>
      </c>
      <c r="T781" s="538" t="str">
        <f t="shared" si="92"/>
        <v>40</v>
      </c>
      <c r="U781" s="538" t="str">
        <f t="shared" si="93"/>
        <v>10</v>
      </c>
      <c r="V781" s="471" t="s">
        <v>1136</v>
      </c>
      <c r="Y781" s="472">
        <f t="shared" si="94"/>
        <v>0</v>
      </c>
      <c r="Z781" s="540">
        <f t="shared" si="95"/>
        <v>0</v>
      </c>
      <c r="AA781" s="471">
        <v>0</v>
      </c>
    </row>
    <row r="782" spans="1:27">
      <c r="A782" s="451" t="str">
        <f>CONCATENATE(VLOOKUP(B782,★営業所!$A$1:$B$5,2,FALSE),VLOOKUP(D782,★サイズ表記!$D$4:$E$55,2,FALSE),VLOOKUP(F782,★折込地区!$A$1:$B$11,2,FALSE))</f>
        <v>C4011Shi</v>
      </c>
      <c r="B782" s="457" t="s">
        <v>116</v>
      </c>
      <c r="C782" s="452" t="str">
        <f>VLOOKUP(B782,★営業所!$A$1:$B$5,2,FALSE)</f>
        <v>C</v>
      </c>
      <c r="D782" s="465" t="s">
        <v>1357</v>
      </c>
      <c r="E782" s="452" t="str">
        <f>VLOOKUP(D782,★サイズ表記!$D$4:$E$55,2,FALSE)</f>
        <v>4011</v>
      </c>
      <c r="F782" s="457" t="s">
        <v>41</v>
      </c>
      <c r="G782" s="452" t="str">
        <f>VLOOKUP(F782,★折込地区!$A$1:$B$11,2,FALSE)</f>
        <v>Shi</v>
      </c>
      <c r="H782" s="453">
        <f>INDEX(★サイズ表記!$I$4:$Q$55, MATCH(E782,★サイズ表記!$E$4:$E$55,0), MATCH(G782,★サイズ表記!$I$3:$R$3,0))</f>
        <v>0</v>
      </c>
      <c r="K782" s="471" t="str">
        <f t="shared" si="88"/>
        <v>C4011Shi</v>
      </c>
      <c r="L782" s="471" t="str">
        <f t="shared" si="89"/>
        <v>タブ40P</v>
      </c>
      <c r="P782" s="533" t="s">
        <v>1324</v>
      </c>
      <c r="Q782" s="533" t="s">
        <v>1325</v>
      </c>
      <c r="R782" s="534" t="str">
        <f t="shared" si="90"/>
        <v>4011</v>
      </c>
      <c r="S782" s="534" t="str">
        <f t="shared" si="91"/>
        <v>タブ40P</v>
      </c>
      <c r="T782" s="538" t="str">
        <f t="shared" si="92"/>
        <v>40</v>
      </c>
      <c r="U782" s="538" t="str">
        <f t="shared" si="93"/>
        <v>11</v>
      </c>
      <c r="V782" s="471" t="s">
        <v>1136</v>
      </c>
      <c r="Y782" s="472">
        <f t="shared" si="94"/>
        <v>0</v>
      </c>
      <c r="Z782" s="540">
        <f t="shared" si="95"/>
        <v>0</v>
      </c>
      <c r="AA782" s="471">
        <v>0</v>
      </c>
    </row>
    <row r="783" spans="1:27">
      <c r="A783" s="451" t="str">
        <f>CONCATENATE(VLOOKUP(B783,★営業所!$A$1:$B$5,2,FALSE),VLOOKUP(D783,★サイズ表記!$D$4:$E$55,2,FALSE),VLOOKUP(F783,★折込地区!$A$1:$B$11,2,FALSE))</f>
        <v>C9001Shi</v>
      </c>
      <c r="B783" s="457" t="s">
        <v>116</v>
      </c>
      <c r="C783" s="452" t="str">
        <f>VLOOKUP(B783,★営業所!$A$1:$B$5,2,FALSE)</f>
        <v>C</v>
      </c>
      <c r="D783" s="465" t="s">
        <v>975</v>
      </c>
      <c r="E783" s="452" t="str">
        <f>VLOOKUP(D783,★サイズ表記!$D$4:$E$55,2,FALSE)</f>
        <v>9001</v>
      </c>
      <c r="F783" s="457" t="s">
        <v>41</v>
      </c>
      <c r="G783" s="452" t="str">
        <f>VLOOKUP(F783,★折込地区!$A$1:$B$11,2,FALSE)</f>
        <v>Shi</v>
      </c>
      <c r="H783" s="453">
        <f>INDEX(★サイズ表記!$I$4:$Q$55, MATCH(E783,★サイズ表記!$E$4:$E$55,0), MATCH(G783,★サイズ表記!$I$3:$R$3,0))</f>
        <v>0</v>
      </c>
      <c r="K783" s="471" t="str">
        <f t="shared" si="88"/>
        <v>C9001Shi</v>
      </c>
      <c r="L783" s="471" t="str">
        <f t="shared" si="89"/>
        <v>うさぎの耳</v>
      </c>
      <c r="P783" s="533" t="s">
        <v>1324</v>
      </c>
      <c r="Q783" s="533" t="s">
        <v>1325</v>
      </c>
      <c r="R783" s="534" t="str">
        <f t="shared" si="90"/>
        <v>9001</v>
      </c>
      <c r="S783" s="534" t="str">
        <f t="shared" si="91"/>
        <v>うさぎの耳</v>
      </c>
      <c r="T783" s="538" t="str">
        <f t="shared" si="92"/>
        <v>90</v>
      </c>
      <c r="U783" s="538" t="str">
        <f t="shared" si="93"/>
        <v>01</v>
      </c>
      <c r="V783" s="471" t="s">
        <v>1136</v>
      </c>
      <c r="Y783" s="472">
        <f t="shared" si="94"/>
        <v>0</v>
      </c>
      <c r="Z783" s="540">
        <f t="shared" si="95"/>
        <v>0</v>
      </c>
      <c r="AA783" s="471">
        <v>0</v>
      </c>
    </row>
    <row r="784" spans="1:27">
      <c r="A784" s="451" t="str">
        <f>CONCATENATE(VLOOKUP(B784,★営業所!$A$1:$B$5,2,FALSE),VLOOKUP(D784,★サイズ表記!$D$4:$E$55,2,FALSE),VLOOKUP(F784,★折込地区!$A$1:$B$11,2,FALSE))</f>
        <v>C9002Shi</v>
      </c>
      <c r="B784" s="457" t="s">
        <v>116</v>
      </c>
      <c r="C784" s="452" t="str">
        <f>VLOOKUP(B784,★営業所!$A$1:$B$5,2,FALSE)</f>
        <v>C</v>
      </c>
      <c r="D784" s="465" t="s">
        <v>976</v>
      </c>
      <c r="E784" s="452" t="str">
        <f>VLOOKUP(D784,★サイズ表記!$D$4:$E$55,2,FALSE)</f>
        <v>9002</v>
      </c>
      <c r="F784" s="457" t="s">
        <v>41</v>
      </c>
      <c r="G784" s="452" t="str">
        <f>VLOOKUP(F784,★折込地区!$A$1:$B$11,2,FALSE)</f>
        <v>Shi</v>
      </c>
      <c r="H784" s="453">
        <f>INDEX(★サイズ表記!$I$4:$Q$55, MATCH(E784,★サイズ表記!$E$4:$E$55,0), MATCH(G784,★サイズ表記!$I$3:$R$3,0))</f>
        <v>0</v>
      </c>
      <c r="K784" s="471" t="str">
        <f t="shared" si="88"/>
        <v>C9002Shi</v>
      </c>
      <c r="L784" s="471" t="str">
        <f t="shared" si="89"/>
        <v>ユーキャン（題字）</v>
      </c>
      <c r="P784" s="533" t="s">
        <v>1324</v>
      </c>
      <c r="Q784" s="533" t="s">
        <v>1325</v>
      </c>
      <c r="R784" s="534" t="str">
        <f t="shared" si="90"/>
        <v>9002</v>
      </c>
      <c r="S784" s="534" t="str">
        <f t="shared" si="91"/>
        <v>ユーキャン（題字）</v>
      </c>
      <c r="T784" s="538" t="str">
        <f t="shared" si="92"/>
        <v>90</v>
      </c>
      <c r="U784" s="538" t="str">
        <f t="shared" si="93"/>
        <v>02</v>
      </c>
      <c r="V784" s="471" t="s">
        <v>1136</v>
      </c>
      <c r="Y784" s="472">
        <f t="shared" si="94"/>
        <v>0</v>
      </c>
      <c r="Z784" s="540">
        <f t="shared" si="95"/>
        <v>0</v>
      </c>
      <c r="AA784" s="471">
        <v>0</v>
      </c>
    </row>
    <row r="785" spans="1:27">
      <c r="A785" s="451" t="str">
        <f>CONCATENATE(VLOOKUP(B785,★営業所!$A$1:$B$5,2,FALSE),VLOOKUP(D785,★サイズ表記!$D$4:$E$55,2,FALSE),VLOOKUP(F785,★折込地区!$A$1:$B$11,2,FALSE))</f>
        <v>C9003Shi</v>
      </c>
      <c r="B785" s="457" t="s">
        <v>116</v>
      </c>
      <c r="C785" s="452" t="str">
        <f>VLOOKUP(B785,★営業所!$A$1:$B$5,2,FALSE)</f>
        <v>C</v>
      </c>
      <c r="D785" s="465" t="s">
        <v>977</v>
      </c>
      <c r="E785" s="452" t="str">
        <f>VLOOKUP(D785,★サイズ表記!$D$4:$E$55,2,FALSE)</f>
        <v>9003</v>
      </c>
      <c r="F785" s="457" t="s">
        <v>41</v>
      </c>
      <c r="G785" s="452" t="str">
        <f>VLOOKUP(F785,★折込地区!$A$1:$B$11,2,FALSE)</f>
        <v>Shi</v>
      </c>
      <c r="H785" s="453">
        <f>INDEX(★サイズ表記!$I$4:$Q$55, MATCH(E785,★サイズ表記!$E$4:$E$55,0), MATCH(G785,★サイズ表記!$I$3:$R$3,0))</f>
        <v>0</v>
      </c>
      <c r="K785" s="471" t="str">
        <f t="shared" si="88"/>
        <v>C9003Shi</v>
      </c>
      <c r="L785" s="471" t="str">
        <f t="shared" si="89"/>
        <v>横長B3</v>
      </c>
      <c r="P785" s="533" t="s">
        <v>1324</v>
      </c>
      <c r="Q785" s="533" t="s">
        <v>1325</v>
      </c>
      <c r="R785" s="534" t="str">
        <f t="shared" si="90"/>
        <v>9003</v>
      </c>
      <c r="S785" s="534" t="str">
        <f t="shared" si="91"/>
        <v>横長B3</v>
      </c>
      <c r="T785" s="538" t="str">
        <f t="shared" si="92"/>
        <v>90</v>
      </c>
      <c r="U785" s="538" t="str">
        <f t="shared" si="93"/>
        <v>03</v>
      </c>
      <c r="V785" s="471" t="s">
        <v>1136</v>
      </c>
      <c r="Y785" s="472">
        <f t="shared" si="94"/>
        <v>0</v>
      </c>
      <c r="Z785" s="540">
        <f t="shared" si="95"/>
        <v>0</v>
      </c>
      <c r="AA785" s="471">
        <v>0</v>
      </c>
    </row>
    <row r="786" spans="1:27">
      <c r="A786" s="451" t="str">
        <f>CONCATENATE(VLOOKUP(B786,★営業所!$A$1:$B$5,2,FALSE),VLOOKUP(D786,★サイズ表記!$D$4:$E$55,2,FALSE),VLOOKUP(F786,★折込地区!$A$1:$B$11,2,FALSE))</f>
        <v>C9004Shi</v>
      </c>
      <c r="B786" s="457" t="s">
        <v>116</v>
      </c>
      <c r="C786" s="452" t="str">
        <f>VLOOKUP(B786,★営業所!$A$1:$B$5,2,FALSE)</f>
        <v>C</v>
      </c>
      <c r="D786" s="465" t="s">
        <v>978</v>
      </c>
      <c r="E786" s="452" t="str">
        <f>VLOOKUP(D786,★サイズ表記!$D$4:$E$55,2,FALSE)</f>
        <v>9004</v>
      </c>
      <c r="F786" s="457" t="s">
        <v>41</v>
      </c>
      <c r="G786" s="452" t="str">
        <f>VLOOKUP(F786,★折込地区!$A$1:$B$11,2,FALSE)</f>
        <v>Shi</v>
      </c>
      <c r="H786" s="453">
        <f>INDEX(★サイズ表記!$I$4:$Q$55, MATCH(E786,★サイズ表記!$E$4:$E$55,0), MATCH(G786,★サイズ表記!$I$3:$R$3,0))</f>
        <v>0</v>
      </c>
      <c r="K786" s="471" t="str">
        <f t="shared" si="88"/>
        <v>C9004Shi</v>
      </c>
      <c r="L786" s="471" t="str">
        <f t="shared" si="89"/>
        <v>AD-BAG</v>
      </c>
      <c r="P786" s="533" t="s">
        <v>1324</v>
      </c>
      <c r="Q786" s="533" t="s">
        <v>1325</v>
      </c>
      <c r="R786" s="534" t="str">
        <f t="shared" si="90"/>
        <v>9004</v>
      </c>
      <c r="S786" s="534" t="str">
        <f t="shared" si="91"/>
        <v>AD-BAG</v>
      </c>
      <c r="T786" s="538" t="str">
        <f t="shared" si="92"/>
        <v>90</v>
      </c>
      <c r="U786" s="538" t="str">
        <f t="shared" si="93"/>
        <v>04</v>
      </c>
      <c r="V786" s="471" t="s">
        <v>1136</v>
      </c>
      <c r="Y786" s="472">
        <f t="shared" si="94"/>
        <v>0</v>
      </c>
      <c r="Z786" s="540">
        <f t="shared" si="95"/>
        <v>0</v>
      </c>
      <c r="AA786" s="471">
        <v>0</v>
      </c>
    </row>
    <row r="787" spans="1:27">
      <c r="A787" s="451" t="str">
        <f>CONCATENATE(VLOOKUP(B787,★営業所!$A$1:$B$5,2,FALSE),VLOOKUP(D787,★サイズ表記!$D$4:$E$55,2,FALSE),VLOOKUP(F787,★折込地区!$A$1:$B$11,2,FALSE))</f>
        <v>C9005Shi</v>
      </c>
      <c r="B787" s="457" t="s">
        <v>116</v>
      </c>
      <c r="C787" s="452" t="str">
        <f>VLOOKUP(B787,★営業所!$A$1:$B$5,2,FALSE)</f>
        <v>C</v>
      </c>
      <c r="D787" s="465" t="s">
        <v>979</v>
      </c>
      <c r="E787" s="452" t="str">
        <f>VLOOKUP(D787,★サイズ表記!$D$4:$E$55,2,FALSE)</f>
        <v>9005</v>
      </c>
      <c r="F787" s="457" t="s">
        <v>41</v>
      </c>
      <c r="G787" s="452" t="str">
        <f>VLOOKUP(F787,★折込地区!$A$1:$B$11,2,FALSE)</f>
        <v>Shi</v>
      </c>
      <c r="H787" s="453">
        <f>INDEX(★サイズ表記!$I$4:$Q$55, MATCH(E787,★サイズ表記!$E$4:$E$55,0), MATCH(G787,★サイズ表記!$I$3:$R$3,0))</f>
        <v>0</v>
      </c>
      <c r="K787" s="471" t="str">
        <f t="shared" si="88"/>
        <v>C9005Shi</v>
      </c>
      <c r="L787" s="471" t="str">
        <f t="shared" si="89"/>
        <v>封筒</v>
      </c>
      <c r="P787" s="533" t="s">
        <v>1324</v>
      </c>
      <c r="Q787" s="533" t="s">
        <v>1325</v>
      </c>
      <c r="R787" s="534" t="str">
        <f t="shared" si="90"/>
        <v>9005</v>
      </c>
      <c r="S787" s="534" t="str">
        <f t="shared" si="91"/>
        <v>封筒</v>
      </c>
      <c r="T787" s="538" t="str">
        <f t="shared" si="92"/>
        <v>90</v>
      </c>
      <c r="U787" s="538" t="str">
        <f t="shared" si="93"/>
        <v>05</v>
      </c>
      <c r="V787" s="471" t="s">
        <v>1136</v>
      </c>
      <c r="Y787" s="472">
        <f t="shared" si="94"/>
        <v>0</v>
      </c>
      <c r="Z787" s="540">
        <f t="shared" si="95"/>
        <v>0</v>
      </c>
      <c r="AA787" s="471">
        <v>0</v>
      </c>
    </row>
    <row r="788" spans="1:27">
      <c r="A788" s="451" t="str">
        <f>CONCATENATE(VLOOKUP(B788,★営業所!$A$1:$B$5,2,FALSE),VLOOKUP(D788,★サイズ表記!$D$4:$E$55,2,FALSE),VLOOKUP(F788,★折込地区!$A$1:$B$11,2,FALSE))</f>
        <v>C9006Shi</v>
      </c>
      <c r="B788" s="457" t="s">
        <v>116</v>
      </c>
      <c r="C788" s="452" t="str">
        <f>VLOOKUP(B788,★営業所!$A$1:$B$5,2,FALSE)</f>
        <v>C</v>
      </c>
      <c r="D788" s="465" t="s">
        <v>980</v>
      </c>
      <c r="E788" s="452" t="str">
        <f>VLOOKUP(D788,★サイズ表記!$D$4:$E$55,2,FALSE)</f>
        <v>9006</v>
      </c>
      <c r="F788" s="457" t="s">
        <v>41</v>
      </c>
      <c r="G788" s="452" t="str">
        <f>VLOOKUP(F788,★折込地区!$A$1:$B$11,2,FALSE)</f>
        <v>Shi</v>
      </c>
      <c r="H788" s="453">
        <f>INDEX(★サイズ表記!$I$4:$Q$55, MATCH(E788,★サイズ表記!$E$4:$E$55,0), MATCH(G788,★サイズ表記!$I$3:$R$3,0))</f>
        <v>0</v>
      </c>
      <c r="K788" s="471" t="str">
        <f t="shared" si="88"/>
        <v>C9006Shi</v>
      </c>
      <c r="L788" s="471" t="str">
        <f t="shared" si="89"/>
        <v>圧着</v>
      </c>
      <c r="P788" s="533" t="s">
        <v>1324</v>
      </c>
      <c r="Q788" s="533" t="s">
        <v>1325</v>
      </c>
      <c r="R788" s="534" t="str">
        <f t="shared" si="90"/>
        <v>9006</v>
      </c>
      <c r="S788" s="534" t="str">
        <f t="shared" si="91"/>
        <v>圧着</v>
      </c>
      <c r="T788" s="538" t="str">
        <f t="shared" si="92"/>
        <v>90</v>
      </c>
      <c r="U788" s="538" t="str">
        <f t="shared" si="93"/>
        <v>06</v>
      </c>
      <c r="V788" s="471" t="s">
        <v>1136</v>
      </c>
      <c r="Y788" s="472">
        <f t="shared" si="94"/>
        <v>0</v>
      </c>
      <c r="Z788" s="540">
        <f t="shared" si="95"/>
        <v>0</v>
      </c>
      <c r="AA788" s="471">
        <v>0</v>
      </c>
    </row>
    <row r="789" spans="1:27">
      <c r="A789" s="451" t="str">
        <f>CONCATENATE(VLOOKUP(B789,★営業所!$A$1:$B$5,2,FALSE),VLOOKUP(D789,★サイズ表記!$D$4:$E$55,2,FALSE),VLOOKUP(F789,★折込地区!$A$1:$B$11,2,FALSE))</f>
        <v>C9007Shi</v>
      </c>
      <c r="B789" s="457" t="s">
        <v>116</v>
      </c>
      <c r="C789" s="452" t="str">
        <f>VLOOKUP(B789,★営業所!$A$1:$B$5,2,FALSE)</f>
        <v>C</v>
      </c>
      <c r="D789" s="465" t="s">
        <v>981</v>
      </c>
      <c r="E789" s="452" t="str">
        <f>VLOOKUP(D789,★サイズ表記!$D$4:$E$55,2,FALSE)</f>
        <v>9007</v>
      </c>
      <c r="F789" s="457" t="s">
        <v>41</v>
      </c>
      <c r="G789" s="452" t="str">
        <f>VLOOKUP(F789,★折込地区!$A$1:$B$11,2,FALSE)</f>
        <v>Shi</v>
      </c>
      <c r="H789" s="453">
        <f>INDEX(★サイズ表記!$I$4:$Q$55, MATCH(E789,★サイズ表記!$E$4:$E$55,0), MATCH(G789,★サイズ表記!$I$3:$R$3,0))</f>
        <v>0</v>
      </c>
      <c r="K789" s="471" t="str">
        <f t="shared" si="88"/>
        <v>C9007Shi</v>
      </c>
      <c r="L789" s="471" t="str">
        <f t="shared" si="89"/>
        <v>圧着厚紙</v>
      </c>
      <c r="P789" s="533" t="s">
        <v>1324</v>
      </c>
      <c r="Q789" s="533" t="s">
        <v>1325</v>
      </c>
      <c r="R789" s="534" t="str">
        <f t="shared" si="90"/>
        <v>9007</v>
      </c>
      <c r="S789" s="534" t="str">
        <f t="shared" si="91"/>
        <v>圧着厚紙</v>
      </c>
      <c r="T789" s="538" t="str">
        <f t="shared" si="92"/>
        <v>90</v>
      </c>
      <c r="U789" s="538" t="str">
        <f t="shared" si="93"/>
        <v>07</v>
      </c>
      <c r="V789" s="471" t="s">
        <v>1136</v>
      </c>
      <c r="Y789" s="472">
        <f t="shared" si="94"/>
        <v>0</v>
      </c>
      <c r="Z789" s="540">
        <f t="shared" si="95"/>
        <v>0</v>
      </c>
      <c r="AA789" s="471">
        <v>0</v>
      </c>
    </row>
    <row r="790" spans="1:27">
      <c r="A790" s="451" t="str">
        <f>CONCATENATE(VLOOKUP(B790,★営業所!$A$1:$B$5,2,FALSE),VLOOKUP(D790,★サイズ表記!$D$4:$E$55,2,FALSE),VLOOKUP(F790,★折込地区!$A$1:$B$11,2,FALSE))</f>
        <v>S1001Tot</v>
      </c>
      <c r="B790" s="457" t="s">
        <v>276</v>
      </c>
      <c r="C790" s="452" t="str">
        <f>VLOOKUP(B790,★営業所!$A$1:$B$5,2,FALSE)</f>
        <v>S</v>
      </c>
      <c r="D790" s="465" t="s">
        <v>948</v>
      </c>
      <c r="E790" s="452" t="str">
        <f>VLOOKUP(D790,★サイズ表記!$D$4:$E$55,2,FALSE)</f>
        <v>1001</v>
      </c>
      <c r="F790" s="457" t="s">
        <v>282</v>
      </c>
      <c r="G790" s="452" t="str">
        <f>VLOOKUP(F790,★折込地区!$A$1:$B$11,2,FALSE)</f>
        <v>Tot</v>
      </c>
      <c r="H790" s="453">
        <f>INDEX(★サイズ表記!$I$4:$Q$55, MATCH(E790,★サイズ表記!$E$4:$E$55,0), MATCH(G790,★サイズ表記!$I$3:$R$3,0))</f>
        <v>2.8</v>
      </c>
      <c r="K790" s="471" t="str">
        <f t="shared" si="88"/>
        <v>S1001Tot</v>
      </c>
      <c r="L790" s="471" t="str">
        <f t="shared" si="89"/>
        <v>B4（折り無し）</v>
      </c>
      <c r="P790" s="533" t="s">
        <v>1324</v>
      </c>
      <c r="Q790" s="533" t="s">
        <v>1325</v>
      </c>
      <c r="R790" s="534" t="str">
        <f t="shared" si="90"/>
        <v>1001</v>
      </c>
      <c r="S790" s="534" t="str">
        <f t="shared" si="91"/>
        <v>B4（折り無し）</v>
      </c>
      <c r="T790" s="538" t="str">
        <f t="shared" si="92"/>
        <v>10</v>
      </c>
      <c r="U790" s="538" t="str">
        <f t="shared" si="93"/>
        <v>01</v>
      </c>
      <c r="V790" s="471" t="s">
        <v>1136</v>
      </c>
      <c r="Y790" s="472">
        <f t="shared" si="94"/>
        <v>2.8</v>
      </c>
      <c r="Z790" s="540">
        <f t="shared" si="95"/>
        <v>0.22</v>
      </c>
      <c r="AA790" s="471">
        <v>0</v>
      </c>
    </row>
    <row r="791" spans="1:27">
      <c r="A791" s="451" t="str">
        <f>CONCATENATE(VLOOKUP(B791,★営業所!$A$1:$B$5,2,FALSE),VLOOKUP(D791,★サイズ表記!$D$4:$E$55,2,FALSE),VLOOKUP(F791,★折込地区!$A$1:$B$11,2,FALSE))</f>
        <v>S1002Tot</v>
      </c>
      <c r="B791" s="457" t="s">
        <v>276</v>
      </c>
      <c r="C791" s="452" t="str">
        <f>VLOOKUP(B791,★営業所!$A$1:$B$5,2,FALSE)</f>
        <v>S</v>
      </c>
      <c r="D791" s="465" t="s">
        <v>950</v>
      </c>
      <c r="E791" s="452" t="str">
        <f>VLOOKUP(D791,★サイズ表記!$D$4:$E$55,2,FALSE)</f>
        <v>1002</v>
      </c>
      <c r="F791" s="457" t="s">
        <v>282</v>
      </c>
      <c r="G791" s="452" t="str">
        <f>VLOOKUP(F791,★折込地区!$A$1:$B$11,2,FALSE)</f>
        <v>Tot</v>
      </c>
      <c r="H791" s="453">
        <f>INDEX(★サイズ表記!$I$4:$Q$55, MATCH(E791,★サイズ表記!$E$4:$E$55,0), MATCH(G791,★サイズ表記!$I$3:$R$3,0))</f>
        <v>3.9</v>
      </c>
      <c r="K791" s="471" t="str">
        <f t="shared" si="88"/>
        <v>S1002Tot</v>
      </c>
      <c r="L791" s="471" t="str">
        <f t="shared" si="89"/>
        <v>B3（2つ折り）</v>
      </c>
      <c r="P791" s="533" t="s">
        <v>1324</v>
      </c>
      <c r="Q791" s="533" t="s">
        <v>1325</v>
      </c>
      <c r="R791" s="534" t="str">
        <f t="shared" si="90"/>
        <v>1002</v>
      </c>
      <c r="S791" s="534" t="str">
        <f t="shared" si="91"/>
        <v>B3（2つ折り）</v>
      </c>
      <c r="T791" s="538" t="str">
        <f t="shared" si="92"/>
        <v>10</v>
      </c>
      <c r="U791" s="538" t="str">
        <f t="shared" si="93"/>
        <v>02</v>
      </c>
      <c r="V791" s="471" t="s">
        <v>1136</v>
      </c>
      <c r="Y791" s="472">
        <f t="shared" si="94"/>
        <v>3.9</v>
      </c>
      <c r="Z791" s="540">
        <f t="shared" si="95"/>
        <v>0.31</v>
      </c>
      <c r="AA791" s="471">
        <v>0</v>
      </c>
    </row>
    <row r="792" spans="1:27">
      <c r="A792" s="451" t="str">
        <f>CONCATENATE(VLOOKUP(B792,★営業所!$A$1:$B$5,2,FALSE),VLOOKUP(D792,★サイズ表記!$D$4:$E$55,2,FALSE),VLOOKUP(F792,★折込地区!$A$1:$B$11,2,FALSE))</f>
        <v>S1003Tot</v>
      </c>
      <c r="B792" s="457" t="s">
        <v>276</v>
      </c>
      <c r="C792" s="452" t="str">
        <f>VLOOKUP(B792,★営業所!$A$1:$B$5,2,FALSE)</f>
        <v>S</v>
      </c>
      <c r="D792" s="465" t="s">
        <v>951</v>
      </c>
      <c r="E792" s="452" t="str">
        <f>VLOOKUP(D792,★サイズ表記!$D$4:$E$55,2,FALSE)</f>
        <v>1003</v>
      </c>
      <c r="F792" s="457" t="s">
        <v>282</v>
      </c>
      <c r="G792" s="452" t="str">
        <f>VLOOKUP(F792,★折込地区!$A$1:$B$11,2,FALSE)</f>
        <v>Tot</v>
      </c>
      <c r="H792" s="453">
        <f>INDEX(★サイズ表記!$I$4:$Q$55, MATCH(E792,★サイズ表記!$E$4:$E$55,0), MATCH(G792,★サイズ表記!$I$3:$R$3,0))</f>
        <v>7</v>
      </c>
      <c r="K792" s="471" t="str">
        <f t="shared" si="88"/>
        <v>S1003Tot</v>
      </c>
      <c r="L792" s="471" t="str">
        <f t="shared" si="89"/>
        <v>3つ折り</v>
      </c>
      <c r="P792" s="533" t="s">
        <v>1324</v>
      </c>
      <c r="Q792" s="533" t="s">
        <v>1325</v>
      </c>
      <c r="R792" s="534" t="str">
        <f t="shared" si="90"/>
        <v>1003</v>
      </c>
      <c r="S792" s="534" t="str">
        <f t="shared" si="91"/>
        <v>3つ折り</v>
      </c>
      <c r="T792" s="538" t="str">
        <f t="shared" si="92"/>
        <v>10</v>
      </c>
      <c r="U792" s="538" t="str">
        <f t="shared" si="93"/>
        <v>03</v>
      </c>
      <c r="V792" s="471" t="s">
        <v>1136</v>
      </c>
      <c r="Y792" s="472">
        <f t="shared" si="94"/>
        <v>7</v>
      </c>
      <c r="Z792" s="540">
        <f t="shared" si="95"/>
        <v>0.56000000000000005</v>
      </c>
      <c r="AA792" s="471">
        <v>0</v>
      </c>
    </row>
    <row r="793" spans="1:27">
      <c r="A793" s="451" t="str">
        <f>CONCATENATE(VLOOKUP(B793,★営業所!$A$1:$B$5,2,FALSE),VLOOKUP(D793,★サイズ表記!$D$4:$E$55,2,FALSE),VLOOKUP(F793,★折込地区!$A$1:$B$11,2,FALSE))</f>
        <v>S1004Tot</v>
      </c>
      <c r="B793" s="457" t="s">
        <v>276</v>
      </c>
      <c r="C793" s="452" t="str">
        <f>VLOOKUP(B793,★営業所!$A$1:$B$5,2,FALSE)</f>
        <v>S</v>
      </c>
      <c r="D793" s="465" t="s">
        <v>947</v>
      </c>
      <c r="E793" s="452" t="str">
        <f>VLOOKUP(D793,★サイズ表記!$D$4:$E$55,2,FALSE)</f>
        <v>1004</v>
      </c>
      <c r="F793" s="457" t="s">
        <v>282</v>
      </c>
      <c r="G793" s="452" t="str">
        <f>VLOOKUP(F793,★折込地区!$A$1:$B$11,2,FALSE)</f>
        <v>Tot</v>
      </c>
      <c r="H793" s="453">
        <f>INDEX(★サイズ表記!$I$4:$Q$55, MATCH(E793,★サイズ表記!$E$4:$E$55,0), MATCH(G793,★サイズ表記!$I$3:$R$3,0))</f>
        <v>7</v>
      </c>
      <c r="K793" s="471" t="str">
        <f t="shared" si="88"/>
        <v>S1004Tot</v>
      </c>
      <c r="L793" s="471" t="str">
        <f t="shared" si="89"/>
        <v>観音折</v>
      </c>
      <c r="P793" s="533" t="s">
        <v>1324</v>
      </c>
      <c r="Q793" s="533" t="s">
        <v>1325</v>
      </c>
      <c r="R793" s="534" t="str">
        <f t="shared" si="90"/>
        <v>1004</v>
      </c>
      <c r="S793" s="534" t="str">
        <f t="shared" si="91"/>
        <v>観音折</v>
      </c>
      <c r="T793" s="538" t="str">
        <f t="shared" si="92"/>
        <v>10</v>
      </c>
      <c r="U793" s="538" t="str">
        <f t="shared" si="93"/>
        <v>04</v>
      </c>
      <c r="V793" s="471" t="s">
        <v>1136</v>
      </c>
      <c r="Y793" s="472">
        <f t="shared" si="94"/>
        <v>7</v>
      </c>
      <c r="Z793" s="540">
        <f t="shared" si="95"/>
        <v>0.56000000000000005</v>
      </c>
      <c r="AA793" s="471">
        <v>0</v>
      </c>
    </row>
    <row r="794" spans="1:27">
      <c r="A794" s="451" t="str">
        <f>CONCATENATE(VLOOKUP(B794,★営業所!$A$1:$B$5,2,FALSE),VLOOKUP(D794,★サイズ表記!$D$4:$E$55,2,FALSE),VLOOKUP(F794,★折込地区!$A$1:$B$11,2,FALSE))</f>
        <v>S1005Tot</v>
      </c>
      <c r="B794" s="457" t="s">
        <v>276</v>
      </c>
      <c r="C794" s="452" t="str">
        <f>VLOOKUP(B794,★営業所!$A$1:$B$5,2,FALSE)</f>
        <v>S</v>
      </c>
      <c r="D794" s="465" t="s">
        <v>952</v>
      </c>
      <c r="E794" s="452" t="str">
        <f>VLOOKUP(D794,★サイズ表記!$D$4:$E$55,2,FALSE)</f>
        <v>1005</v>
      </c>
      <c r="F794" s="457" t="s">
        <v>282</v>
      </c>
      <c r="G794" s="452" t="str">
        <f>VLOOKUP(F794,★折込地区!$A$1:$B$11,2,FALSE)</f>
        <v>Tot</v>
      </c>
      <c r="H794" s="453">
        <f>INDEX(★サイズ表記!$I$4:$Q$55, MATCH(E794,★サイズ表記!$E$4:$E$55,0), MATCH(G794,★サイズ表記!$I$3:$R$3,0))</f>
        <v>7</v>
      </c>
      <c r="K794" s="471" t="str">
        <f t="shared" si="88"/>
        <v>S1005Tot</v>
      </c>
      <c r="L794" s="471" t="str">
        <f t="shared" si="89"/>
        <v>B2（4つ折り）</v>
      </c>
      <c r="P794" s="533" t="s">
        <v>1324</v>
      </c>
      <c r="Q794" s="533" t="s">
        <v>1325</v>
      </c>
      <c r="R794" s="534" t="str">
        <f t="shared" si="90"/>
        <v>1005</v>
      </c>
      <c r="S794" s="534" t="str">
        <f t="shared" si="91"/>
        <v>B2（4つ折り）</v>
      </c>
      <c r="T794" s="538" t="str">
        <f t="shared" si="92"/>
        <v>10</v>
      </c>
      <c r="U794" s="538" t="str">
        <f t="shared" si="93"/>
        <v>05</v>
      </c>
      <c r="V794" s="471" t="s">
        <v>1136</v>
      </c>
      <c r="Y794" s="472">
        <f t="shared" si="94"/>
        <v>7</v>
      </c>
      <c r="Z794" s="540">
        <f t="shared" si="95"/>
        <v>0.56000000000000005</v>
      </c>
      <c r="AA794" s="471">
        <v>0</v>
      </c>
    </row>
    <row r="795" spans="1:27">
      <c r="A795" s="451" t="str">
        <f>CONCATENATE(VLOOKUP(B795,★営業所!$A$1:$B$5,2,FALSE),VLOOKUP(D795,★サイズ表記!$D$4:$E$55,2,FALSE),VLOOKUP(F795,★折込地区!$A$1:$B$11,2,FALSE))</f>
        <v>S1006Tot</v>
      </c>
      <c r="B795" s="457" t="s">
        <v>276</v>
      </c>
      <c r="C795" s="452" t="str">
        <f>VLOOKUP(B795,★営業所!$A$1:$B$5,2,FALSE)</f>
        <v>S</v>
      </c>
      <c r="D795" s="465" t="s">
        <v>955</v>
      </c>
      <c r="E795" s="452" t="str">
        <f>VLOOKUP(D795,★サイズ表記!$D$4:$E$55,2,FALSE)</f>
        <v>1006</v>
      </c>
      <c r="F795" s="457" t="s">
        <v>282</v>
      </c>
      <c r="G795" s="452" t="str">
        <f>VLOOKUP(F795,★折込地区!$A$1:$B$11,2,FALSE)</f>
        <v>Tot</v>
      </c>
      <c r="H795" s="453">
        <f>INDEX(★サイズ表記!$I$4:$Q$55, MATCH(E795,★サイズ表記!$E$4:$E$55,0), MATCH(G795,★サイズ表記!$I$3:$R$3,0))</f>
        <v>15</v>
      </c>
      <c r="K795" s="471" t="str">
        <f t="shared" si="88"/>
        <v>S1006Tot</v>
      </c>
      <c r="L795" s="471" t="str">
        <f t="shared" si="89"/>
        <v>B1（8折り）</v>
      </c>
      <c r="P795" s="533" t="s">
        <v>1324</v>
      </c>
      <c r="Q795" s="533" t="s">
        <v>1325</v>
      </c>
      <c r="R795" s="534" t="str">
        <f t="shared" si="90"/>
        <v>1006</v>
      </c>
      <c r="S795" s="534" t="str">
        <f t="shared" si="91"/>
        <v>B1（8折り）</v>
      </c>
      <c r="T795" s="538" t="str">
        <f t="shared" si="92"/>
        <v>10</v>
      </c>
      <c r="U795" s="538" t="str">
        <f t="shared" si="93"/>
        <v>06</v>
      </c>
      <c r="V795" s="471" t="s">
        <v>1136</v>
      </c>
      <c r="Y795" s="472">
        <f t="shared" si="94"/>
        <v>15</v>
      </c>
      <c r="Z795" s="540">
        <f t="shared" si="95"/>
        <v>1.2</v>
      </c>
      <c r="AA795" s="471">
        <v>0</v>
      </c>
    </row>
    <row r="796" spans="1:27">
      <c r="A796" s="451" t="str">
        <f>CONCATENATE(VLOOKUP(B796,★営業所!$A$1:$B$5,2,FALSE),VLOOKUP(D796,★サイズ表記!$D$4:$E$55,2,FALSE),VLOOKUP(F796,★折込地区!$A$1:$B$11,2,FALSE))</f>
        <v>S1007Tot</v>
      </c>
      <c r="B796" s="457" t="s">
        <v>276</v>
      </c>
      <c r="C796" s="452" t="str">
        <f>VLOOKUP(B796,★営業所!$A$1:$B$5,2,FALSE)</f>
        <v>S</v>
      </c>
      <c r="D796" s="465" t="s">
        <v>956</v>
      </c>
      <c r="E796" s="452" t="str">
        <f>VLOOKUP(D796,★サイズ表記!$D$4:$E$55,2,FALSE)</f>
        <v>1007</v>
      </c>
      <c r="F796" s="457" t="s">
        <v>282</v>
      </c>
      <c r="G796" s="452" t="str">
        <f>VLOOKUP(F796,★折込地区!$A$1:$B$11,2,FALSE)</f>
        <v>Tot</v>
      </c>
      <c r="H796" s="453">
        <f>INDEX(★サイズ表記!$I$4:$Q$55, MATCH(E796,★サイズ表記!$E$4:$E$55,0), MATCH(G796,★サイズ表記!$I$3:$R$3,0))</f>
        <v>3.3</v>
      </c>
      <c r="K796" s="471" t="str">
        <f t="shared" si="88"/>
        <v>S1007Tot</v>
      </c>
      <c r="L796" s="471" t="str">
        <f t="shared" si="89"/>
        <v>B4厚紙</v>
      </c>
      <c r="P796" s="533" t="s">
        <v>1324</v>
      </c>
      <c r="Q796" s="533" t="s">
        <v>1325</v>
      </c>
      <c r="R796" s="534" t="str">
        <f t="shared" si="90"/>
        <v>1007</v>
      </c>
      <c r="S796" s="534" t="str">
        <f t="shared" si="91"/>
        <v>B4厚紙</v>
      </c>
      <c r="T796" s="538" t="str">
        <f t="shared" si="92"/>
        <v>10</v>
      </c>
      <c r="U796" s="538" t="str">
        <f t="shared" si="93"/>
        <v>07</v>
      </c>
      <c r="V796" s="471" t="s">
        <v>1136</v>
      </c>
      <c r="Y796" s="472">
        <f t="shared" si="94"/>
        <v>3.3</v>
      </c>
      <c r="Z796" s="540">
        <f t="shared" si="95"/>
        <v>0.26</v>
      </c>
      <c r="AA796" s="471">
        <v>0</v>
      </c>
    </row>
    <row r="797" spans="1:27">
      <c r="A797" s="451" t="str">
        <f>CONCATENATE(VLOOKUP(B797,★営業所!$A$1:$B$5,2,FALSE),VLOOKUP(D797,★サイズ表記!$D$4:$E$55,2,FALSE),VLOOKUP(F797,★折込地区!$A$1:$B$11,2,FALSE))</f>
        <v>S1008Tot</v>
      </c>
      <c r="B797" s="457" t="s">
        <v>276</v>
      </c>
      <c r="C797" s="452" t="str">
        <f>VLOOKUP(B797,★営業所!$A$1:$B$5,2,FALSE)</f>
        <v>S</v>
      </c>
      <c r="D797" s="465" t="s">
        <v>957</v>
      </c>
      <c r="E797" s="452" t="str">
        <f>VLOOKUP(D797,★サイズ表記!$D$4:$E$55,2,FALSE)</f>
        <v>1008</v>
      </c>
      <c r="F797" s="457" t="s">
        <v>282</v>
      </c>
      <c r="G797" s="452" t="str">
        <f>VLOOKUP(F797,★折込地区!$A$1:$B$11,2,FALSE)</f>
        <v>Tot</v>
      </c>
      <c r="H797" s="453">
        <f>INDEX(★サイズ表記!$I$4:$Q$55, MATCH(E797,★サイズ表記!$E$4:$E$55,0), MATCH(G797,★サイズ表記!$I$3:$R$3,0))</f>
        <v>4.4000000000000004</v>
      </c>
      <c r="K797" s="471" t="str">
        <f t="shared" si="88"/>
        <v>S1008Tot</v>
      </c>
      <c r="L797" s="471" t="str">
        <f t="shared" si="89"/>
        <v>B3厚紙</v>
      </c>
      <c r="P797" s="533" t="s">
        <v>1324</v>
      </c>
      <c r="Q797" s="533" t="s">
        <v>1325</v>
      </c>
      <c r="R797" s="534" t="str">
        <f t="shared" si="90"/>
        <v>1008</v>
      </c>
      <c r="S797" s="534" t="str">
        <f t="shared" si="91"/>
        <v>B3厚紙</v>
      </c>
      <c r="T797" s="538" t="str">
        <f t="shared" si="92"/>
        <v>10</v>
      </c>
      <c r="U797" s="538" t="str">
        <f t="shared" si="93"/>
        <v>08</v>
      </c>
      <c r="V797" s="471" t="s">
        <v>1136</v>
      </c>
      <c r="Y797" s="472">
        <f t="shared" si="94"/>
        <v>4.4000000000000004</v>
      </c>
      <c r="Z797" s="540">
        <f t="shared" si="95"/>
        <v>0.35</v>
      </c>
      <c r="AA797" s="471">
        <v>0</v>
      </c>
    </row>
    <row r="798" spans="1:27">
      <c r="A798" s="451" t="str">
        <f>CONCATENATE(VLOOKUP(B798,★営業所!$A$1:$B$5,2,FALSE),VLOOKUP(D798,★サイズ表記!$D$4:$E$55,2,FALSE),VLOOKUP(F798,★折込地区!$A$1:$B$11,2,FALSE))</f>
        <v>S1009Tot</v>
      </c>
      <c r="B798" s="457" t="s">
        <v>276</v>
      </c>
      <c r="C798" s="452" t="str">
        <f>VLOOKUP(B798,★営業所!$A$1:$B$5,2,FALSE)</f>
        <v>S</v>
      </c>
      <c r="D798" s="465" t="s">
        <v>958</v>
      </c>
      <c r="E798" s="452" t="str">
        <f>VLOOKUP(D798,★サイズ表記!$D$4:$E$55,2,FALSE)</f>
        <v>1009</v>
      </c>
      <c r="F798" s="457" t="s">
        <v>282</v>
      </c>
      <c r="G798" s="452" t="str">
        <f>VLOOKUP(F798,★折込地区!$A$1:$B$11,2,FALSE)</f>
        <v>Tot</v>
      </c>
      <c r="H798" s="453">
        <f>INDEX(★サイズ表記!$I$4:$Q$55, MATCH(E798,★サイズ表記!$E$4:$E$55,0), MATCH(G798,★サイズ表記!$I$3:$R$3,0))</f>
        <v>7.5</v>
      </c>
      <c r="K798" s="471" t="str">
        <f t="shared" si="88"/>
        <v>S1009Tot</v>
      </c>
      <c r="L798" s="471" t="str">
        <f t="shared" si="89"/>
        <v>B2厚紙</v>
      </c>
      <c r="P798" s="533" t="s">
        <v>1324</v>
      </c>
      <c r="Q798" s="533" t="s">
        <v>1325</v>
      </c>
      <c r="R798" s="534" t="str">
        <f t="shared" si="90"/>
        <v>1009</v>
      </c>
      <c r="S798" s="534" t="str">
        <f t="shared" si="91"/>
        <v>B2厚紙</v>
      </c>
      <c r="T798" s="538" t="str">
        <f t="shared" si="92"/>
        <v>10</v>
      </c>
      <c r="U798" s="538" t="str">
        <f t="shared" si="93"/>
        <v>09</v>
      </c>
      <c r="V798" s="471" t="s">
        <v>1136</v>
      </c>
      <c r="Y798" s="472">
        <f t="shared" si="94"/>
        <v>7.5</v>
      </c>
      <c r="Z798" s="540">
        <f t="shared" si="95"/>
        <v>0.6</v>
      </c>
      <c r="AA798" s="471">
        <v>0</v>
      </c>
    </row>
    <row r="799" spans="1:27">
      <c r="A799" s="451" t="str">
        <f>CONCATENATE(VLOOKUP(B799,★営業所!$A$1:$B$5,2,FALSE),VLOOKUP(D799,★サイズ表記!$D$4:$E$55,2,FALSE),VLOOKUP(F799,★折込地区!$A$1:$B$11,2,FALSE))</f>
        <v>S1010Tot</v>
      </c>
      <c r="B799" s="457" t="s">
        <v>276</v>
      </c>
      <c r="C799" s="452" t="str">
        <f>VLOOKUP(B799,★営業所!$A$1:$B$5,2,FALSE)</f>
        <v>S</v>
      </c>
      <c r="D799" s="465" t="s">
        <v>959</v>
      </c>
      <c r="E799" s="452" t="str">
        <f>VLOOKUP(D799,★サイズ表記!$D$4:$E$55,2,FALSE)</f>
        <v>1010</v>
      </c>
      <c r="F799" s="457" t="s">
        <v>282</v>
      </c>
      <c r="G799" s="452" t="str">
        <f>VLOOKUP(F799,★折込地区!$A$1:$B$11,2,FALSE)</f>
        <v>Tot</v>
      </c>
      <c r="H799" s="453">
        <f>INDEX(★サイズ表記!$I$4:$Q$55, MATCH(E799,★サイズ表記!$E$4:$E$55,0), MATCH(G799,★サイズ表記!$I$3:$R$3,0))</f>
        <v>4.2</v>
      </c>
      <c r="K799" s="471" t="str">
        <f t="shared" si="88"/>
        <v>S1010Tot</v>
      </c>
      <c r="L799" s="471" t="str">
        <f t="shared" si="89"/>
        <v>B4以下変形</v>
      </c>
      <c r="P799" s="533" t="s">
        <v>1324</v>
      </c>
      <c r="Q799" s="533" t="s">
        <v>1325</v>
      </c>
      <c r="R799" s="534" t="str">
        <f t="shared" si="90"/>
        <v>1010</v>
      </c>
      <c r="S799" s="534" t="str">
        <f t="shared" si="91"/>
        <v>B4以下変形</v>
      </c>
      <c r="T799" s="538" t="str">
        <f t="shared" si="92"/>
        <v>10</v>
      </c>
      <c r="U799" s="538" t="str">
        <f t="shared" si="93"/>
        <v>10</v>
      </c>
      <c r="V799" s="471" t="s">
        <v>1136</v>
      </c>
      <c r="Y799" s="472">
        <f t="shared" si="94"/>
        <v>4.2</v>
      </c>
      <c r="Z799" s="540">
        <f t="shared" si="95"/>
        <v>0.33</v>
      </c>
      <c r="AA799" s="471">
        <v>0</v>
      </c>
    </row>
    <row r="800" spans="1:27">
      <c r="A800" s="451" t="str">
        <f>CONCATENATE(VLOOKUP(B800,★営業所!$A$1:$B$5,2,FALSE),VLOOKUP(D800,★サイズ表記!$D$4:$E$55,2,FALSE),VLOOKUP(F800,★折込地区!$A$1:$B$11,2,FALSE))</f>
        <v>S1011Tot</v>
      </c>
      <c r="B800" s="457" t="s">
        <v>276</v>
      </c>
      <c r="C800" s="452" t="str">
        <f>VLOOKUP(B800,★営業所!$A$1:$B$5,2,FALSE)</f>
        <v>S</v>
      </c>
      <c r="D800" s="465" t="s">
        <v>960</v>
      </c>
      <c r="E800" s="452" t="str">
        <f>VLOOKUP(D800,★サイズ表記!$D$4:$E$55,2,FALSE)</f>
        <v>1011</v>
      </c>
      <c r="F800" s="457" t="s">
        <v>282</v>
      </c>
      <c r="G800" s="452" t="str">
        <f>VLOOKUP(F800,★折込地区!$A$1:$B$11,2,FALSE)</f>
        <v>Tot</v>
      </c>
      <c r="H800" s="453">
        <f>INDEX(★サイズ表記!$I$4:$Q$55, MATCH(E800,★サイズ表記!$E$4:$E$55,0), MATCH(G800,★サイズ表記!$I$3:$R$3,0))</f>
        <v>3.8</v>
      </c>
      <c r="K800" s="471" t="str">
        <f t="shared" si="88"/>
        <v>S1011Tot</v>
      </c>
      <c r="L800" s="471" t="str">
        <f t="shared" si="89"/>
        <v>B4シール付き</v>
      </c>
      <c r="P800" s="533" t="s">
        <v>1324</v>
      </c>
      <c r="Q800" s="533" t="s">
        <v>1325</v>
      </c>
      <c r="R800" s="534" t="str">
        <f t="shared" si="90"/>
        <v>1011</v>
      </c>
      <c r="S800" s="534" t="str">
        <f t="shared" si="91"/>
        <v>B4シール付き</v>
      </c>
      <c r="T800" s="538" t="str">
        <f t="shared" si="92"/>
        <v>10</v>
      </c>
      <c r="U800" s="538" t="str">
        <f t="shared" si="93"/>
        <v>11</v>
      </c>
      <c r="V800" s="471" t="s">
        <v>1136</v>
      </c>
      <c r="Y800" s="472">
        <f t="shared" si="94"/>
        <v>3.8</v>
      </c>
      <c r="Z800" s="540">
        <f t="shared" si="95"/>
        <v>0.3</v>
      </c>
      <c r="AA800" s="471">
        <v>0</v>
      </c>
    </row>
    <row r="801" spans="1:27">
      <c r="A801" s="451" t="str">
        <f>CONCATENATE(VLOOKUP(B801,★営業所!$A$1:$B$5,2,FALSE),VLOOKUP(D801,★サイズ表記!$D$4:$E$55,2,FALSE),VLOOKUP(F801,★折込地区!$A$1:$B$11,2,FALSE))</f>
        <v>S1012Tot</v>
      </c>
      <c r="B801" s="457" t="s">
        <v>276</v>
      </c>
      <c r="C801" s="452" t="str">
        <f>VLOOKUP(B801,★営業所!$A$1:$B$5,2,FALSE)</f>
        <v>S</v>
      </c>
      <c r="D801" s="465" t="s">
        <v>961</v>
      </c>
      <c r="E801" s="452" t="str">
        <f>VLOOKUP(D801,★サイズ表記!$D$4:$E$55,2,FALSE)</f>
        <v>1012</v>
      </c>
      <c r="F801" s="457" t="s">
        <v>282</v>
      </c>
      <c r="G801" s="452" t="str">
        <f>VLOOKUP(F801,★折込地区!$A$1:$B$11,2,FALSE)</f>
        <v>Tot</v>
      </c>
      <c r="H801" s="453">
        <f>INDEX(★サイズ表記!$I$4:$Q$55, MATCH(E801,★サイズ表記!$E$4:$E$55,0), MATCH(G801,★サイズ表記!$I$3:$R$3,0))</f>
        <v>4.9000000000000004</v>
      </c>
      <c r="K801" s="471" t="str">
        <f t="shared" si="88"/>
        <v>S1012Tot</v>
      </c>
      <c r="L801" s="471" t="str">
        <f t="shared" si="89"/>
        <v>B3シール付き</v>
      </c>
      <c r="P801" s="533" t="s">
        <v>1324</v>
      </c>
      <c r="Q801" s="533" t="s">
        <v>1325</v>
      </c>
      <c r="R801" s="534" t="str">
        <f t="shared" si="90"/>
        <v>1012</v>
      </c>
      <c r="S801" s="534" t="str">
        <f t="shared" si="91"/>
        <v>B3シール付き</v>
      </c>
      <c r="T801" s="538" t="str">
        <f t="shared" si="92"/>
        <v>10</v>
      </c>
      <c r="U801" s="538" t="str">
        <f t="shared" si="93"/>
        <v>12</v>
      </c>
      <c r="V801" s="471" t="s">
        <v>1136</v>
      </c>
      <c r="Y801" s="472">
        <f t="shared" si="94"/>
        <v>4.9000000000000004</v>
      </c>
      <c r="Z801" s="540">
        <f t="shared" si="95"/>
        <v>0.39</v>
      </c>
      <c r="AA801" s="471">
        <v>0</v>
      </c>
    </row>
    <row r="802" spans="1:27">
      <c r="A802" s="451" t="str">
        <f>CONCATENATE(VLOOKUP(B802,★営業所!$A$1:$B$5,2,FALSE),VLOOKUP(D802,★サイズ表記!$D$4:$E$55,2,FALSE),VLOOKUP(F802,★折込地区!$A$1:$B$11,2,FALSE))</f>
        <v>S1013Tot</v>
      </c>
      <c r="B802" s="457" t="s">
        <v>276</v>
      </c>
      <c r="C802" s="452" t="str">
        <f>VLOOKUP(B802,★営業所!$A$1:$B$5,2,FALSE)</f>
        <v>S</v>
      </c>
      <c r="D802" s="465" t="s">
        <v>962</v>
      </c>
      <c r="E802" s="452" t="str">
        <f>VLOOKUP(D802,★サイズ表記!$D$4:$E$55,2,FALSE)</f>
        <v>1013</v>
      </c>
      <c r="F802" s="457" t="s">
        <v>282</v>
      </c>
      <c r="G802" s="452" t="str">
        <f>VLOOKUP(F802,★折込地区!$A$1:$B$11,2,FALSE)</f>
        <v>Tot</v>
      </c>
      <c r="H802" s="453">
        <f>INDEX(★サイズ表記!$I$4:$Q$55, MATCH(E802,★サイズ表記!$E$4:$E$55,0), MATCH(G802,★サイズ表記!$I$3:$R$3,0))</f>
        <v>3.8</v>
      </c>
      <c r="K802" s="471" t="str">
        <f t="shared" si="88"/>
        <v>S1013Tot</v>
      </c>
      <c r="L802" s="471" t="str">
        <f t="shared" si="89"/>
        <v>B4スクラッチ付き</v>
      </c>
      <c r="P802" s="533" t="s">
        <v>1324</v>
      </c>
      <c r="Q802" s="533" t="s">
        <v>1325</v>
      </c>
      <c r="R802" s="534" t="str">
        <f t="shared" si="90"/>
        <v>1013</v>
      </c>
      <c r="S802" s="534" t="str">
        <f t="shared" si="91"/>
        <v>B4スクラッチ付き</v>
      </c>
      <c r="T802" s="538" t="str">
        <f t="shared" si="92"/>
        <v>10</v>
      </c>
      <c r="U802" s="538" t="str">
        <f t="shared" si="93"/>
        <v>13</v>
      </c>
      <c r="V802" s="471" t="s">
        <v>1136</v>
      </c>
      <c r="Y802" s="472">
        <f t="shared" si="94"/>
        <v>3.8</v>
      </c>
      <c r="Z802" s="540">
        <f t="shared" si="95"/>
        <v>0.3</v>
      </c>
      <c r="AA802" s="471">
        <v>0</v>
      </c>
    </row>
    <row r="803" spans="1:27">
      <c r="A803" s="451" t="str">
        <f>CONCATENATE(VLOOKUP(B803,★営業所!$A$1:$B$5,2,FALSE),VLOOKUP(D803,★サイズ表記!$D$4:$E$55,2,FALSE),VLOOKUP(F803,★折込地区!$A$1:$B$11,2,FALSE))</f>
        <v>S2001Tot</v>
      </c>
      <c r="B803" s="457" t="s">
        <v>276</v>
      </c>
      <c r="C803" s="452" t="str">
        <f>VLOOKUP(B803,★営業所!$A$1:$B$5,2,FALSE)</f>
        <v>S</v>
      </c>
      <c r="D803" s="465" t="s">
        <v>963</v>
      </c>
      <c r="E803" s="452" t="str">
        <f>VLOOKUP(D803,★サイズ表記!$D$4:$E$55,2,FALSE)</f>
        <v>2001</v>
      </c>
      <c r="F803" s="457" t="s">
        <v>282</v>
      </c>
      <c r="G803" s="452" t="str">
        <f>VLOOKUP(F803,★折込地区!$A$1:$B$11,2,FALSE)</f>
        <v>Tot</v>
      </c>
      <c r="H803" s="453">
        <f>INDEX(★サイズ表記!$I$4:$Q$55, MATCH(E803,★サイズ表記!$E$4:$E$55,0), MATCH(G803,★サイズ表記!$I$3:$R$3,0))</f>
        <v>4.2</v>
      </c>
      <c r="K803" s="471" t="str">
        <f t="shared" si="88"/>
        <v>S2001Tot</v>
      </c>
      <c r="L803" s="471" t="str">
        <f t="shared" si="89"/>
        <v>連合B4</v>
      </c>
      <c r="P803" s="533" t="s">
        <v>1324</v>
      </c>
      <c r="Q803" s="533" t="s">
        <v>1325</v>
      </c>
      <c r="R803" s="534" t="str">
        <f t="shared" si="90"/>
        <v>2001</v>
      </c>
      <c r="S803" s="534" t="str">
        <f t="shared" si="91"/>
        <v>連合B4</v>
      </c>
      <c r="T803" s="538" t="str">
        <f t="shared" si="92"/>
        <v>20</v>
      </c>
      <c r="U803" s="538" t="str">
        <f t="shared" si="93"/>
        <v>01</v>
      </c>
      <c r="V803" s="471" t="s">
        <v>1136</v>
      </c>
      <c r="Y803" s="472">
        <f t="shared" si="94"/>
        <v>4.2</v>
      </c>
      <c r="Z803" s="540">
        <f t="shared" si="95"/>
        <v>0.33</v>
      </c>
      <c r="AA803" s="471">
        <v>0</v>
      </c>
    </row>
    <row r="804" spans="1:27">
      <c r="A804" s="451" t="str">
        <f>CONCATENATE(VLOOKUP(B804,★営業所!$A$1:$B$5,2,FALSE),VLOOKUP(D804,★サイズ表記!$D$4:$E$55,2,FALSE),VLOOKUP(F804,★折込地区!$A$1:$B$11,2,FALSE))</f>
        <v>S2002Tot</v>
      </c>
      <c r="B804" s="457" t="s">
        <v>276</v>
      </c>
      <c r="C804" s="452" t="str">
        <f>VLOOKUP(B804,★営業所!$A$1:$B$5,2,FALSE)</f>
        <v>S</v>
      </c>
      <c r="D804" s="465" t="s">
        <v>964</v>
      </c>
      <c r="E804" s="452" t="str">
        <f>VLOOKUP(D804,★サイズ表記!$D$4:$E$55,2,FALSE)</f>
        <v>2002</v>
      </c>
      <c r="F804" s="457" t="s">
        <v>282</v>
      </c>
      <c r="G804" s="452" t="str">
        <f>VLOOKUP(F804,★折込地区!$A$1:$B$11,2,FALSE)</f>
        <v>Tot</v>
      </c>
      <c r="H804" s="453">
        <f>INDEX(★サイズ表記!$I$4:$Q$55, MATCH(E804,★サイズ表記!$E$4:$E$55,0), MATCH(G804,★サイズ表記!$I$3:$R$3,0))</f>
        <v>5.85</v>
      </c>
      <c r="K804" s="471" t="str">
        <f t="shared" si="88"/>
        <v>S2002Tot</v>
      </c>
      <c r="L804" s="471" t="str">
        <f t="shared" si="89"/>
        <v>連合B3</v>
      </c>
      <c r="P804" s="533" t="s">
        <v>1324</v>
      </c>
      <c r="Q804" s="533" t="s">
        <v>1325</v>
      </c>
      <c r="R804" s="534" t="str">
        <f t="shared" si="90"/>
        <v>2002</v>
      </c>
      <c r="S804" s="534" t="str">
        <f t="shared" si="91"/>
        <v>連合B3</v>
      </c>
      <c r="T804" s="538" t="str">
        <f t="shared" si="92"/>
        <v>20</v>
      </c>
      <c r="U804" s="538" t="str">
        <f t="shared" si="93"/>
        <v>02</v>
      </c>
      <c r="V804" s="471" t="s">
        <v>1136</v>
      </c>
      <c r="Y804" s="472">
        <f t="shared" si="94"/>
        <v>5.85</v>
      </c>
      <c r="Z804" s="540">
        <f t="shared" si="95"/>
        <v>0.46</v>
      </c>
      <c r="AA804" s="471">
        <v>0</v>
      </c>
    </row>
    <row r="805" spans="1:27">
      <c r="A805" s="451" t="str">
        <f>CONCATENATE(VLOOKUP(B805,★営業所!$A$1:$B$5,2,FALSE),VLOOKUP(D805,★サイズ表記!$D$4:$E$55,2,FALSE),VLOOKUP(F805,★折込地区!$A$1:$B$11,2,FALSE))</f>
        <v>S2003Tot</v>
      </c>
      <c r="B805" s="457" t="s">
        <v>276</v>
      </c>
      <c r="C805" s="452" t="str">
        <f>VLOOKUP(B805,★営業所!$A$1:$B$5,2,FALSE)</f>
        <v>S</v>
      </c>
      <c r="D805" s="465" t="s">
        <v>965</v>
      </c>
      <c r="E805" s="452" t="str">
        <f>VLOOKUP(D805,★サイズ表記!$D$4:$E$55,2,FALSE)</f>
        <v>2003</v>
      </c>
      <c r="F805" s="457" t="s">
        <v>282</v>
      </c>
      <c r="G805" s="452" t="str">
        <f>VLOOKUP(F805,★折込地区!$A$1:$B$11,2,FALSE)</f>
        <v>Tot</v>
      </c>
      <c r="H805" s="453">
        <f>INDEX(★サイズ表記!$I$4:$Q$55, MATCH(E805,★サイズ表記!$E$4:$E$55,0), MATCH(G805,★サイズ表記!$I$3:$R$3,0))</f>
        <v>10.5</v>
      </c>
      <c r="K805" s="471" t="str">
        <f t="shared" si="88"/>
        <v>S2003Tot</v>
      </c>
      <c r="L805" s="471" t="str">
        <f t="shared" si="89"/>
        <v>連合B2</v>
      </c>
      <c r="P805" s="533" t="s">
        <v>1324</v>
      </c>
      <c r="Q805" s="533" t="s">
        <v>1325</v>
      </c>
      <c r="R805" s="534" t="str">
        <f t="shared" si="90"/>
        <v>2003</v>
      </c>
      <c r="S805" s="534" t="str">
        <f t="shared" si="91"/>
        <v>連合B2</v>
      </c>
      <c r="T805" s="538" t="str">
        <f t="shared" si="92"/>
        <v>20</v>
      </c>
      <c r="U805" s="538" t="str">
        <f t="shared" si="93"/>
        <v>03</v>
      </c>
      <c r="V805" s="471" t="s">
        <v>1136</v>
      </c>
      <c r="Y805" s="472">
        <f t="shared" si="94"/>
        <v>10.5</v>
      </c>
      <c r="Z805" s="540">
        <f t="shared" si="95"/>
        <v>0.84</v>
      </c>
      <c r="AA805" s="471">
        <v>0</v>
      </c>
    </row>
    <row r="806" spans="1:27">
      <c r="A806" s="451" t="str">
        <f>CONCATENATE(VLOOKUP(B806,★営業所!$A$1:$B$5,2,FALSE),VLOOKUP(D806,★サイズ表記!$D$4:$E$55,2,FALSE),VLOOKUP(F806,★折込地区!$A$1:$B$11,2,FALSE))</f>
        <v>S2004Tot</v>
      </c>
      <c r="B806" s="457" t="s">
        <v>276</v>
      </c>
      <c r="C806" s="452" t="str">
        <f>VLOOKUP(B806,★営業所!$A$1:$B$5,2,FALSE)</f>
        <v>S</v>
      </c>
      <c r="D806" s="465" t="s">
        <v>966</v>
      </c>
      <c r="E806" s="452" t="str">
        <f>VLOOKUP(D806,★サイズ表記!$D$4:$E$55,2,FALSE)</f>
        <v>2004</v>
      </c>
      <c r="F806" s="457" t="s">
        <v>282</v>
      </c>
      <c r="G806" s="452" t="str">
        <f>VLOOKUP(F806,★折込地区!$A$1:$B$11,2,FALSE)</f>
        <v>Tot</v>
      </c>
      <c r="H806" s="453">
        <f>INDEX(★サイズ表記!$I$4:$Q$55, MATCH(E806,★サイズ表記!$E$4:$E$55,0), MATCH(G806,★サイズ表記!$I$3:$R$3,0))</f>
        <v>10.5</v>
      </c>
      <c r="K806" s="471" t="str">
        <f t="shared" si="88"/>
        <v>S2004Tot</v>
      </c>
      <c r="L806" s="471" t="str">
        <f t="shared" si="89"/>
        <v>連合3つ折り</v>
      </c>
      <c r="P806" s="533" t="s">
        <v>1324</v>
      </c>
      <c r="Q806" s="533" t="s">
        <v>1325</v>
      </c>
      <c r="R806" s="534" t="str">
        <f t="shared" si="90"/>
        <v>2004</v>
      </c>
      <c r="S806" s="534" t="str">
        <f t="shared" si="91"/>
        <v>連合3つ折り</v>
      </c>
      <c r="T806" s="538" t="str">
        <f t="shared" si="92"/>
        <v>20</v>
      </c>
      <c r="U806" s="538" t="str">
        <f t="shared" si="93"/>
        <v>04</v>
      </c>
      <c r="V806" s="471" t="s">
        <v>1136</v>
      </c>
      <c r="Y806" s="472">
        <f t="shared" si="94"/>
        <v>10.5</v>
      </c>
      <c r="Z806" s="540">
        <f t="shared" si="95"/>
        <v>0.84</v>
      </c>
      <c r="AA806" s="471">
        <v>0</v>
      </c>
    </row>
    <row r="807" spans="1:27">
      <c r="A807" s="451" t="str">
        <f>CONCATENATE(VLOOKUP(B807,★営業所!$A$1:$B$5,2,FALSE),VLOOKUP(D807,★サイズ表記!$D$4:$E$55,2,FALSE),VLOOKUP(F807,★折込地区!$A$1:$B$11,2,FALSE))</f>
        <v>S2005Tot</v>
      </c>
      <c r="B807" s="457" t="s">
        <v>276</v>
      </c>
      <c r="C807" s="452" t="str">
        <f>VLOOKUP(B807,★営業所!$A$1:$B$5,2,FALSE)</f>
        <v>S</v>
      </c>
      <c r="D807" s="465" t="s">
        <v>967</v>
      </c>
      <c r="E807" s="452" t="str">
        <f>VLOOKUP(D807,★サイズ表記!$D$4:$E$55,2,FALSE)</f>
        <v>2005</v>
      </c>
      <c r="F807" s="457" t="s">
        <v>282</v>
      </c>
      <c r="G807" s="452" t="str">
        <f>VLOOKUP(F807,★折込地区!$A$1:$B$11,2,FALSE)</f>
        <v>Tot</v>
      </c>
      <c r="H807" s="453">
        <f>INDEX(★サイズ表記!$I$4:$Q$55, MATCH(E807,★サイズ表記!$E$4:$E$55,0), MATCH(G807,★サイズ表記!$I$3:$R$3,0))</f>
        <v>4.7</v>
      </c>
      <c r="K807" s="471" t="str">
        <f t="shared" si="88"/>
        <v>S2005Tot</v>
      </c>
      <c r="L807" s="471" t="str">
        <f t="shared" si="89"/>
        <v>連合B4厚紙</v>
      </c>
      <c r="P807" s="533" t="s">
        <v>1324</v>
      </c>
      <c r="Q807" s="533" t="s">
        <v>1325</v>
      </c>
      <c r="R807" s="534" t="str">
        <f t="shared" si="90"/>
        <v>2005</v>
      </c>
      <c r="S807" s="534" t="str">
        <f t="shared" si="91"/>
        <v>連合B4厚紙</v>
      </c>
      <c r="T807" s="538" t="str">
        <f t="shared" si="92"/>
        <v>20</v>
      </c>
      <c r="U807" s="538" t="str">
        <f t="shared" si="93"/>
        <v>05</v>
      </c>
      <c r="V807" s="471" t="s">
        <v>1136</v>
      </c>
      <c r="Y807" s="472">
        <f t="shared" si="94"/>
        <v>4.7</v>
      </c>
      <c r="Z807" s="540">
        <f t="shared" si="95"/>
        <v>0.37</v>
      </c>
      <c r="AA807" s="471">
        <v>0</v>
      </c>
    </row>
    <row r="808" spans="1:27">
      <c r="A808" s="451" t="str">
        <f>CONCATENATE(VLOOKUP(B808,★営業所!$A$1:$B$5,2,FALSE),VLOOKUP(D808,★サイズ表記!$D$4:$E$55,2,FALSE),VLOOKUP(F808,★折込地区!$A$1:$B$11,2,FALSE))</f>
        <v>S2006Tot</v>
      </c>
      <c r="B808" s="457" t="s">
        <v>276</v>
      </c>
      <c r="C808" s="452" t="str">
        <f>VLOOKUP(B808,★営業所!$A$1:$B$5,2,FALSE)</f>
        <v>S</v>
      </c>
      <c r="D808" s="465" t="s">
        <v>968</v>
      </c>
      <c r="E808" s="452" t="str">
        <f>VLOOKUP(D808,★サイズ表記!$D$4:$E$55,2,FALSE)</f>
        <v>2006</v>
      </c>
      <c r="F808" s="457" t="s">
        <v>282</v>
      </c>
      <c r="G808" s="452" t="str">
        <f>VLOOKUP(F808,★折込地区!$A$1:$B$11,2,FALSE)</f>
        <v>Tot</v>
      </c>
      <c r="H808" s="453">
        <f>INDEX(★サイズ表記!$I$4:$Q$55, MATCH(E808,★サイズ表記!$E$4:$E$55,0), MATCH(G808,★サイズ表記!$I$3:$R$3,0))</f>
        <v>7.35</v>
      </c>
      <c r="K808" s="471" t="str">
        <f t="shared" si="88"/>
        <v>S2006Tot</v>
      </c>
      <c r="L808" s="471" t="str">
        <f t="shared" si="89"/>
        <v>連合2つ折り極小</v>
      </c>
      <c r="P808" s="533" t="s">
        <v>1324</v>
      </c>
      <c r="Q808" s="533" t="s">
        <v>1325</v>
      </c>
      <c r="R808" s="534" t="str">
        <f t="shared" si="90"/>
        <v>2006</v>
      </c>
      <c r="S808" s="534" t="str">
        <f t="shared" si="91"/>
        <v>連合2つ折り極小</v>
      </c>
      <c r="T808" s="538" t="str">
        <f t="shared" si="92"/>
        <v>20</v>
      </c>
      <c r="U808" s="538" t="str">
        <f t="shared" si="93"/>
        <v>06</v>
      </c>
      <c r="V808" s="471" t="s">
        <v>1136</v>
      </c>
      <c r="Y808" s="472">
        <f t="shared" si="94"/>
        <v>7.35</v>
      </c>
      <c r="Z808" s="540">
        <f t="shared" si="95"/>
        <v>0.57999999999999996</v>
      </c>
      <c r="AA808" s="471">
        <v>0</v>
      </c>
    </row>
    <row r="809" spans="1:27">
      <c r="A809" s="451" t="str">
        <f>CONCATENATE(VLOOKUP(B809,★営業所!$A$1:$B$5,2,FALSE),VLOOKUP(D809,★サイズ表記!$D$4:$E$55,2,FALSE),VLOOKUP(F809,★折込地区!$A$1:$B$11,2,FALSE))</f>
        <v>S2007Tot</v>
      </c>
      <c r="B809" s="457" t="s">
        <v>276</v>
      </c>
      <c r="C809" s="452" t="str">
        <f>VLOOKUP(B809,★営業所!$A$1:$B$5,2,FALSE)</f>
        <v>S</v>
      </c>
      <c r="D809" s="465" t="s">
        <v>1365</v>
      </c>
      <c r="E809" s="452" t="str">
        <f>VLOOKUP(D809,★サイズ表記!$D$4:$E$55,2,FALSE)</f>
        <v>2007</v>
      </c>
      <c r="F809" s="457" t="s">
        <v>282</v>
      </c>
      <c r="G809" s="452" t="str">
        <f>VLOOKUP(F809,★折込地区!$A$1:$B$11,2,FALSE)</f>
        <v>Tot</v>
      </c>
      <c r="H809" s="453">
        <f>INDEX(★サイズ表記!$I$4:$Q$55, MATCH(E809,★サイズ表記!$E$4:$E$55,0), MATCH(G809,★サイズ表記!$I$3:$R$3,0))</f>
        <v>10.050000000000001</v>
      </c>
      <c r="K809" s="471" t="str">
        <f t="shared" si="88"/>
        <v>S2007Tot</v>
      </c>
      <c r="L809" s="471" t="str">
        <f t="shared" si="89"/>
        <v>連合タブ6P</v>
      </c>
      <c r="P809" s="533" t="s">
        <v>1324</v>
      </c>
      <c r="Q809" s="533" t="s">
        <v>1325</v>
      </c>
      <c r="R809" s="534" t="str">
        <f t="shared" si="90"/>
        <v>2007</v>
      </c>
      <c r="S809" s="534" t="str">
        <f t="shared" si="91"/>
        <v>連合タブ6P</v>
      </c>
      <c r="T809" s="538" t="str">
        <f t="shared" si="92"/>
        <v>20</v>
      </c>
      <c r="U809" s="538" t="str">
        <f t="shared" si="93"/>
        <v>07</v>
      </c>
      <c r="V809" s="471" t="s">
        <v>1136</v>
      </c>
      <c r="Y809" s="472">
        <f t="shared" si="94"/>
        <v>10.050000000000001</v>
      </c>
      <c r="Z809" s="540">
        <f t="shared" si="95"/>
        <v>0.8</v>
      </c>
      <c r="AA809" s="471">
        <v>0</v>
      </c>
    </row>
    <row r="810" spans="1:27">
      <c r="A810" s="451" t="str">
        <f>CONCATENATE(VLOOKUP(B810,★営業所!$A$1:$B$5,2,FALSE),VLOOKUP(D810,★サイズ表記!$D$4:$E$55,2,FALSE),VLOOKUP(F810,★折込地区!$A$1:$B$11,2,FALSE))</f>
        <v>S2008Tot</v>
      </c>
      <c r="B810" s="457" t="s">
        <v>276</v>
      </c>
      <c r="C810" s="452" t="str">
        <f>VLOOKUP(B810,★営業所!$A$1:$B$5,2,FALSE)</f>
        <v>S</v>
      </c>
      <c r="D810" s="465" t="s">
        <v>1366</v>
      </c>
      <c r="E810" s="452" t="str">
        <f>VLOOKUP(D810,★サイズ表記!$D$4:$E$55,2,FALSE)</f>
        <v>2008</v>
      </c>
      <c r="F810" s="457" t="s">
        <v>282</v>
      </c>
      <c r="G810" s="452" t="str">
        <f>VLOOKUP(F810,★折込地区!$A$1:$B$11,2,FALSE)</f>
        <v>Tot</v>
      </c>
      <c r="H810" s="453">
        <f>INDEX(★サイズ表記!$I$4:$Q$55, MATCH(E810,★サイズ表記!$E$4:$E$55,0), MATCH(G810,★サイズ表記!$I$3:$R$3,0))</f>
        <v>10.5</v>
      </c>
      <c r="K810" s="471" t="str">
        <f t="shared" si="88"/>
        <v>S2008Tot</v>
      </c>
      <c r="L810" s="471" t="str">
        <f t="shared" si="89"/>
        <v>連合タブ8P</v>
      </c>
      <c r="P810" s="533" t="s">
        <v>1324</v>
      </c>
      <c r="Q810" s="533" t="s">
        <v>1325</v>
      </c>
      <c r="R810" s="534" t="str">
        <f t="shared" si="90"/>
        <v>2008</v>
      </c>
      <c r="S810" s="534" t="str">
        <f t="shared" si="91"/>
        <v>連合タブ8P</v>
      </c>
      <c r="T810" s="538" t="str">
        <f t="shared" si="92"/>
        <v>20</v>
      </c>
      <c r="U810" s="538" t="str">
        <f t="shared" si="93"/>
        <v>08</v>
      </c>
      <c r="V810" s="471" t="s">
        <v>1136</v>
      </c>
      <c r="Y810" s="472">
        <f t="shared" si="94"/>
        <v>10.5</v>
      </c>
      <c r="Z810" s="540">
        <f t="shared" si="95"/>
        <v>0.84</v>
      </c>
      <c r="AA810" s="471">
        <v>0</v>
      </c>
    </row>
    <row r="811" spans="1:27">
      <c r="A811" s="451" t="str">
        <f>CONCATENATE(VLOOKUP(B811,★営業所!$A$1:$B$5,2,FALSE),VLOOKUP(D811,★サイズ表記!$D$4:$E$55,2,FALSE),VLOOKUP(F811,★折込地区!$A$1:$B$11,2,FALSE))</f>
        <v>S2009Tot</v>
      </c>
      <c r="B811" s="457" t="s">
        <v>276</v>
      </c>
      <c r="C811" s="452" t="str">
        <f>VLOOKUP(B811,★営業所!$A$1:$B$5,2,FALSE)</f>
        <v>S</v>
      </c>
      <c r="D811" s="465" t="s">
        <v>1364</v>
      </c>
      <c r="E811" s="452" t="str">
        <f>VLOOKUP(D811,★サイズ表記!$D$4:$E$55,2,FALSE)</f>
        <v>2009</v>
      </c>
      <c r="F811" s="457" t="s">
        <v>282</v>
      </c>
      <c r="G811" s="452" t="str">
        <f>VLOOKUP(F811,★折込地区!$A$1:$B$11,2,FALSE)</f>
        <v>Tot</v>
      </c>
      <c r="H811" s="453">
        <f>INDEX(★サイズ表記!$I$4:$Q$55, MATCH(E811,★サイズ表記!$E$4:$E$55,0), MATCH(G811,★サイズ表記!$I$3:$R$3,0))</f>
        <v>16.350000000000001</v>
      </c>
      <c r="K811" s="471" t="str">
        <f t="shared" si="88"/>
        <v>S2009Tot</v>
      </c>
      <c r="L811" s="471" t="str">
        <f t="shared" si="89"/>
        <v>連合タブ12P</v>
      </c>
      <c r="P811" s="533" t="s">
        <v>1324</v>
      </c>
      <c r="Q811" s="533" t="s">
        <v>1325</v>
      </c>
      <c r="R811" s="534" t="str">
        <f t="shared" si="90"/>
        <v>2009</v>
      </c>
      <c r="S811" s="534" t="str">
        <f t="shared" si="91"/>
        <v>連合タブ12P</v>
      </c>
      <c r="T811" s="538" t="str">
        <f t="shared" si="92"/>
        <v>20</v>
      </c>
      <c r="U811" s="538" t="str">
        <f t="shared" si="93"/>
        <v>09</v>
      </c>
      <c r="V811" s="471" t="s">
        <v>1136</v>
      </c>
      <c r="Y811" s="472">
        <f t="shared" si="94"/>
        <v>16.350000000000001</v>
      </c>
      <c r="Z811" s="540">
        <f t="shared" si="95"/>
        <v>1.3</v>
      </c>
      <c r="AA811" s="471">
        <v>0</v>
      </c>
    </row>
    <row r="812" spans="1:27">
      <c r="A812" s="451" t="str">
        <f>CONCATENATE(VLOOKUP(B812,★営業所!$A$1:$B$5,2,FALSE),VLOOKUP(D812,★サイズ表記!$D$4:$E$55,2,FALSE),VLOOKUP(F812,★折込地区!$A$1:$B$11,2,FALSE))</f>
        <v>S3001Tot</v>
      </c>
      <c r="B812" s="457" t="s">
        <v>276</v>
      </c>
      <c r="C812" s="452" t="str">
        <f>VLOOKUP(B812,★営業所!$A$1:$B$5,2,FALSE)</f>
        <v>S</v>
      </c>
      <c r="D812" s="465" t="s">
        <v>969</v>
      </c>
      <c r="E812" s="452" t="str">
        <f>VLOOKUP(D812,★サイズ表記!$D$4:$E$55,2,FALSE)</f>
        <v>3001</v>
      </c>
      <c r="F812" s="457" t="s">
        <v>282</v>
      </c>
      <c r="G812" s="452" t="str">
        <f>VLOOKUP(F812,★折込地区!$A$1:$B$11,2,FALSE)</f>
        <v>Tot</v>
      </c>
      <c r="H812" s="453">
        <f>INDEX(★サイズ表記!$I$4:$Q$55, MATCH(E812,★サイズ表記!$E$4:$E$55,0), MATCH(G812,★サイズ表記!$I$3:$R$3,0))</f>
        <v>4.2</v>
      </c>
      <c r="K812" s="471" t="str">
        <f t="shared" si="88"/>
        <v>S3001Tot</v>
      </c>
      <c r="L812" s="471" t="str">
        <f t="shared" si="89"/>
        <v>政治B4</v>
      </c>
      <c r="P812" s="533" t="s">
        <v>1324</v>
      </c>
      <c r="Q812" s="533" t="s">
        <v>1325</v>
      </c>
      <c r="R812" s="534" t="str">
        <f t="shared" si="90"/>
        <v>3001</v>
      </c>
      <c r="S812" s="534" t="str">
        <f t="shared" si="91"/>
        <v>政治B4</v>
      </c>
      <c r="T812" s="538" t="str">
        <f t="shared" si="92"/>
        <v>30</v>
      </c>
      <c r="U812" s="538" t="str">
        <f t="shared" si="93"/>
        <v>01</v>
      </c>
      <c r="V812" s="471" t="s">
        <v>1136</v>
      </c>
      <c r="Y812" s="472">
        <f t="shared" si="94"/>
        <v>4.2</v>
      </c>
      <c r="Z812" s="540">
        <f t="shared" si="95"/>
        <v>0.33</v>
      </c>
      <c r="AA812" s="471">
        <v>0</v>
      </c>
    </row>
    <row r="813" spans="1:27">
      <c r="A813" s="451" t="str">
        <f>CONCATENATE(VLOOKUP(B813,★営業所!$A$1:$B$5,2,FALSE),VLOOKUP(D813,★サイズ表記!$D$4:$E$55,2,FALSE),VLOOKUP(F813,★折込地区!$A$1:$B$11,2,FALSE))</f>
        <v>S3002Tot</v>
      </c>
      <c r="B813" s="457" t="s">
        <v>276</v>
      </c>
      <c r="C813" s="452" t="str">
        <f>VLOOKUP(B813,★営業所!$A$1:$B$5,2,FALSE)</f>
        <v>S</v>
      </c>
      <c r="D813" s="465" t="s">
        <v>970</v>
      </c>
      <c r="E813" s="452" t="str">
        <f>VLOOKUP(D813,★サイズ表記!$D$4:$E$55,2,FALSE)</f>
        <v>3002</v>
      </c>
      <c r="F813" s="457" t="s">
        <v>282</v>
      </c>
      <c r="G813" s="452" t="str">
        <f>VLOOKUP(F813,★折込地区!$A$1:$B$11,2,FALSE)</f>
        <v>Tot</v>
      </c>
      <c r="H813" s="453">
        <f>INDEX(★サイズ表記!$I$4:$Q$55, MATCH(E813,★サイズ表記!$E$4:$E$55,0), MATCH(G813,★サイズ表記!$I$3:$R$3,0))</f>
        <v>5.85</v>
      </c>
      <c r="K813" s="471" t="str">
        <f t="shared" si="88"/>
        <v>S3002Tot</v>
      </c>
      <c r="L813" s="471" t="str">
        <f t="shared" si="89"/>
        <v>政治B3</v>
      </c>
      <c r="P813" s="533" t="s">
        <v>1324</v>
      </c>
      <c r="Q813" s="533" t="s">
        <v>1325</v>
      </c>
      <c r="R813" s="534" t="str">
        <f t="shared" si="90"/>
        <v>3002</v>
      </c>
      <c r="S813" s="534" t="str">
        <f t="shared" si="91"/>
        <v>政治B3</v>
      </c>
      <c r="T813" s="538" t="str">
        <f t="shared" si="92"/>
        <v>30</v>
      </c>
      <c r="U813" s="538" t="str">
        <f t="shared" si="93"/>
        <v>02</v>
      </c>
      <c r="V813" s="471" t="s">
        <v>1136</v>
      </c>
      <c r="Y813" s="472">
        <f t="shared" si="94"/>
        <v>5.85</v>
      </c>
      <c r="Z813" s="540">
        <f t="shared" si="95"/>
        <v>0.46</v>
      </c>
      <c r="AA813" s="471">
        <v>0</v>
      </c>
    </row>
    <row r="814" spans="1:27">
      <c r="A814" s="451" t="str">
        <f>CONCATENATE(VLOOKUP(B814,★営業所!$A$1:$B$5,2,FALSE),VLOOKUP(D814,★サイズ表記!$D$4:$E$55,2,FALSE),VLOOKUP(F814,★折込地区!$A$1:$B$11,2,FALSE))</f>
        <v>S3003Tot</v>
      </c>
      <c r="B814" s="457" t="s">
        <v>276</v>
      </c>
      <c r="C814" s="452" t="str">
        <f>VLOOKUP(B814,★営業所!$A$1:$B$5,2,FALSE)</f>
        <v>S</v>
      </c>
      <c r="D814" s="465" t="s">
        <v>971</v>
      </c>
      <c r="E814" s="452" t="str">
        <f>VLOOKUP(D814,★サイズ表記!$D$4:$E$55,2,FALSE)</f>
        <v>3003</v>
      </c>
      <c r="F814" s="457" t="s">
        <v>282</v>
      </c>
      <c r="G814" s="452" t="str">
        <f>VLOOKUP(F814,★折込地区!$A$1:$B$11,2,FALSE)</f>
        <v>Tot</v>
      </c>
      <c r="H814" s="453">
        <f>INDEX(★サイズ表記!$I$4:$Q$55, MATCH(E814,★サイズ表記!$E$4:$E$55,0), MATCH(G814,★サイズ表記!$I$3:$R$3,0))</f>
        <v>10.5</v>
      </c>
      <c r="K814" s="471" t="str">
        <f t="shared" si="88"/>
        <v>S3003Tot</v>
      </c>
      <c r="L814" s="471" t="str">
        <f t="shared" si="89"/>
        <v>政治B2</v>
      </c>
      <c r="P814" s="533" t="s">
        <v>1324</v>
      </c>
      <c r="Q814" s="533" t="s">
        <v>1325</v>
      </c>
      <c r="R814" s="534" t="str">
        <f t="shared" si="90"/>
        <v>3003</v>
      </c>
      <c r="S814" s="534" t="str">
        <f t="shared" si="91"/>
        <v>政治B2</v>
      </c>
      <c r="T814" s="538" t="str">
        <f t="shared" si="92"/>
        <v>30</v>
      </c>
      <c r="U814" s="538" t="str">
        <f t="shared" si="93"/>
        <v>03</v>
      </c>
      <c r="V814" s="471" t="s">
        <v>1136</v>
      </c>
      <c r="Y814" s="472">
        <f t="shared" si="94"/>
        <v>10.5</v>
      </c>
      <c r="Z814" s="540">
        <f t="shared" si="95"/>
        <v>0.84</v>
      </c>
      <c r="AA814" s="471">
        <v>0</v>
      </c>
    </row>
    <row r="815" spans="1:27">
      <c r="A815" s="451" t="str">
        <f>CONCATENATE(VLOOKUP(B815,★営業所!$A$1:$B$5,2,FALSE),VLOOKUP(D815,★サイズ表記!$D$4:$E$55,2,FALSE),VLOOKUP(F815,★折込地区!$A$1:$B$11,2,FALSE))</f>
        <v>S3004Tot</v>
      </c>
      <c r="B815" s="457" t="s">
        <v>276</v>
      </c>
      <c r="C815" s="452" t="str">
        <f>VLOOKUP(B815,★営業所!$A$1:$B$5,2,FALSE)</f>
        <v>S</v>
      </c>
      <c r="D815" s="465" t="s">
        <v>972</v>
      </c>
      <c r="E815" s="452" t="str">
        <f>VLOOKUP(D815,★サイズ表記!$D$4:$E$55,2,FALSE)</f>
        <v>3004</v>
      </c>
      <c r="F815" s="457" t="s">
        <v>282</v>
      </c>
      <c r="G815" s="452" t="str">
        <f>VLOOKUP(F815,★折込地区!$A$1:$B$11,2,FALSE)</f>
        <v>Tot</v>
      </c>
      <c r="H815" s="453">
        <f>INDEX(★サイズ表記!$I$4:$Q$55, MATCH(E815,★サイズ表記!$E$4:$E$55,0), MATCH(G815,★サイズ表記!$I$3:$R$3,0))</f>
        <v>10.5</v>
      </c>
      <c r="K815" s="471" t="str">
        <f t="shared" si="88"/>
        <v>S3004Tot</v>
      </c>
      <c r="L815" s="471" t="str">
        <f t="shared" si="89"/>
        <v>政治3つ折り</v>
      </c>
      <c r="P815" s="533" t="s">
        <v>1324</v>
      </c>
      <c r="Q815" s="533" t="s">
        <v>1325</v>
      </c>
      <c r="R815" s="534" t="str">
        <f t="shared" si="90"/>
        <v>3004</v>
      </c>
      <c r="S815" s="534" t="str">
        <f t="shared" si="91"/>
        <v>政治3つ折り</v>
      </c>
      <c r="T815" s="538" t="str">
        <f t="shared" si="92"/>
        <v>30</v>
      </c>
      <c r="U815" s="538" t="str">
        <f t="shared" si="93"/>
        <v>04</v>
      </c>
      <c r="V815" s="471" t="s">
        <v>1136</v>
      </c>
      <c r="Y815" s="472">
        <f t="shared" si="94"/>
        <v>10.5</v>
      </c>
      <c r="Z815" s="540">
        <f t="shared" si="95"/>
        <v>0.84</v>
      </c>
      <c r="AA815" s="471">
        <v>0</v>
      </c>
    </row>
    <row r="816" spans="1:27">
      <c r="A816" s="451" t="str">
        <f>CONCATENATE(VLOOKUP(B816,★営業所!$A$1:$B$5,2,FALSE),VLOOKUP(D816,★サイズ表記!$D$4:$E$55,2,FALSE),VLOOKUP(F816,★折込地区!$A$1:$B$11,2,FALSE))</f>
        <v>S3005Tot</v>
      </c>
      <c r="B816" s="457" t="s">
        <v>276</v>
      </c>
      <c r="C816" s="452" t="str">
        <f>VLOOKUP(B816,★営業所!$A$1:$B$5,2,FALSE)</f>
        <v>S</v>
      </c>
      <c r="D816" s="465" t="s">
        <v>973</v>
      </c>
      <c r="E816" s="452" t="str">
        <f>VLOOKUP(D816,★サイズ表記!$D$4:$E$55,2,FALSE)</f>
        <v>3005</v>
      </c>
      <c r="F816" s="457" t="s">
        <v>282</v>
      </c>
      <c r="G816" s="452" t="str">
        <f>VLOOKUP(F816,★折込地区!$A$1:$B$11,2,FALSE)</f>
        <v>Tot</v>
      </c>
      <c r="H816" s="453">
        <f>INDEX(★サイズ表記!$I$4:$Q$55, MATCH(E816,★サイズ表記!$E$4:$E$55,0), MATCH(G816,★サイズ表記!$I$3:$R$3,0))</f>
        <v>7.35</v>
      </c>
      <c r="K816" s="471" t="str">
        <f t="shared" si="88"/>
        <v>S3005Tot</v>
      </c>
      <c r="L816" s="471" t="str">
        <f t="shared" si="89"/>
        <v>政治2つ折り極小</v>
      </c>
      <c r="P816" s="533" t="s">
        <v>1324</v>
      </c>
      <c r="Q816" s="533" t="s">
        <v>1325</v>
      </c>
      <c r="R816" s="534" t="str">
        <f t="shared" si="90"/>
        <v>3005</v>
      </c>
      <c r="S816" s="534" t="str">
        <f t="shared" si="91"/>
        <v>政治2つ折り極小</v>
      </c>
      <c r="T816" s="538" t="str">
        <f t="shared" si="92"/>
        <v>30</v>
      </c>
      <c r="U816" s="538" t="str">
        <f t="shared" si="93"/>
        <v>05</v>
      </c>
      <c r="V816" s="471" t="s">
        <v>1136</v>
      </c>
      <c r="Y816" s="472">
        <f t="shared" si="94"/>
        <v>7.35</v>
      </c>
      <c r="Z816" s="540">
        <f t="shared" si="95"/>
        <v>0.57999999999999996</v>
      </c>
      <c r="AA816" s="471">
        <v>0</v>
      </c>
    </row>
    <row r="817" spans="1:27">
      <c r="A817" s="451" t="str">
        <f>CONCATENATE(VLOOKUP(B817,★営業所!$A$1:$B$5,2,FALSE),VLOOKUP(D817,★サイズ表記!$D$4:$E$55,2,FALSE),VLOOKUP(F817,★折込地区!$A$1:$B$11,2,FALSE))</f>
        <v>S3006Tot</v>
      </c>
      <c r="B817" s="457" t="s">
        <v>276</v>
      </c>
      <c r="C817" s="452" t="str">
        <f>VLOOKUP(B817,★営業所!$A$1:$B$5,2,FALSE)</f>
        <v>S</v>
      </c>
      <c r="D817" s="465" t="s">
        <v>974</v>
      </c>
      <c r="E817" s="452" t="str">
        <f>VLOOKUP(D817,★サイズ表記!$D$4:$E$55,2,FALSE)</f>
        <v>3006</v>
      </c>
      <c r="F817" s="457" t="s">
        <v>282</v>
      </c>
      <c r="G817" s="452" t="str">
        <f>VLOOKUP(F817,★折込地区!$A$1:$B$11,2,FALSE)</f>
        <v>Tot</v>
      </c>
      <c r="H817" s="453">
        <f>INDEX(★サイズ表記!$I$4:$Q$55, MATCH(E817,★サイズ表記!$E$4:$E$55,0), MATCH(G817,★サイズ表記!$I$3:$R$3,0))</f>
        <v>4.7</v>
      </c>
      <c r="K817" s="471" t="str">
        <f t="shared" si="88"/>
        <v>S3006Tot</v>
      </c>
      <c r="L817" s="471" t="str">
        <f t="shared" si="89"/>
        <v>政治B4厚紙</v>
      </c>
      <c r="P817" s="533" t="s">
        <v>1324</v>
      </c>
      <c r="Q817" s="533" t="s">
        <v>1325</v>
      </c>
      <c r="R817" s="534" t="str">
        <f t="shared" si="90"/>
        <v>3006</v>
      </c>
      <c r="S817" s="534" t="str">
        <f t="shared" si="91"/>
        <v>政治B4厚紙</v>
      </c>
      <c r="T817" s="538" t="str">
        <f t="shared" si="92"/>
        <v>30</v>
      </c>
      <c r="U817" s="538" t="str">
        <f t="shared" si="93"/>
        <v>06</v>
      </c>
      <c r="V817" s="471" t="s">
        <v>1136</v>
      </c>
      <c r="Y817" s="472">
        <f t="shared" si="94"/>
        <v>4.7</v>
      </c>
      <c r="Z817" s="540">
        <f t="shared" si="95"/>
        <v>0.37</v>
      </c>
      <c r="AA817" s="471">
        <v>0</v>
      </c>
    </row>
    <row r="818" spans="1:27">
      <c r="A818" s="451" t="str">
        <f>CONCATENATE(VLOOKUP(B818,★営業所!$A$1:$B$5,2,FALSE),VLOOKUP(D818,★サイズ表記!$D$4:$E$55,2,FALSE),VLOOKUP(F818,★折込地区!$A$1:$B$11,2,FALSE))</f>
        <v>S3007Tot</v>
      </c>
      <c r="B818" s="457" t="s">
        <v>276</v>
      </c>
      <c r="C818" s="452" t="str">
        <f>VLOOKUP(B818,★営業所!$A$1:$B$5,2,FALSE)</f>
        <v>S</v>
      </c>
      <c r="D818" s="465" t="s">
        <v>1362</v>
      </c>
      <c r="E818" s="452" t="str">
        <f>VLOOKUP(D818,★サイズ表記!$D$4:$E$55,2,FALSE)</f>
        <v>3007</v>
      </c>
      <c r="F818" s="457" t="s">
        <v>282</v>
      </c>
      <c r="G818" s="452" t="str">
        <f>VLOOKUP(F818,★折込地区!$A$1:$B$11,2,FALSE)</f>
        <v>Tot</v>
      </c>
      <c r="H818" s="453">
        <f>INDEX(★サイズ表記!$I$4:$Q$55, MATCH(E818,★サイズ表記!$E$4:$E$55,0), MATCH(G818,★サイズ表記!$I$3:$R$3,0))</f>
        <v>10.050000000000001</v>
      </c>
      <c r="K818" s="471" t="str">
        <f t="shared" si="88"/>
        <v>S3007Tot</v>
      </c>
      <c r="L818" s="471" t="str">
        <f t="shared" si="89"/>
        <v>政治タブ6P</v>
      </c>
      <c r="P818" s="533" t="s">
        <v>1324</v>
      </c>
      <c r="Q818" s="533" t="s">
        <v>1325</v>
      </c>
      <c r="R818" s="534" t="str">
        <f t="shared" si="90"/>
        <v>3007</v>
      </c>
      <c r="S818" s="534" t="str">
        <f t="shared" si="91"/>
        <v>政治タブ6P</v>
      </c>
      <c r="T818" s="538" t="str">
        <f t="shared" si="92"/>
        <v>30</v>
      </c>
      <c r="U818" s="538" t="str">
        <f t="shared" si="93"/>
        <v>07</v>
      </c>
      <c r="V818" s="471" t="s">
        <v>1136</v>
      </c>
      <c r="Y818" s="472">
        <f t="shared" si="94"/>
        <v>10.050000000000001</v>
      </c>
      <c r="Z818" s="540">
        <f t="shared" si="95"/>
        <v>0.8</v>
      </c>
      <c r="AA818" s="471">
        <v>0</v>
      </c>
    </row>
    <row r="819" spans="1:27">
      <c r="A819" s="451" t="str">
        <f>CONCATENATE(VLOOKUP(B819,★営業所!$A$1:$B$5,2,FALSE),VLOOKUP(D819,★サイズ表記!$D$4:$E$55,2,FALSE),VLOOKUP(F819,★折込地区!$A$1:$B$11,2,FALSE))</f>
        <v>S3008Tot</v>
      </c>
      <c r="B819" s="457" t="s">
        <v>276</v>
      </c>
      <c r="C819" s="452" t="str">
        <f>VLOOKUP(B819,★営業所!$A$1:$B$5,2,FALSE)</f>
        <v>S</v>
      </c>
      <c r="D819" s="465" t="s">
        <v>1363</v>
      </c>
      <c r="E819" s="452" t="str">
        <f>VLOOKUP(D819,★サイズ表記!$D$4:$E$55,2,FALSE)</f>
        <v>3008</v>
      </c>
      <c r="F819" s="457" t="s">
        <v>282</v>
      </c>
      <c r="G819" s="452" t="str">
        <f>VLOOKUP(F819,★折込地区!$A$1:$B$11,2,FALSE)</f>
        <v>Tot</v>
      </c>
      <c r="H819" s="453">
        <f>INDEX(★サイズ表記!$I$4:$Q$55, MATCH(E819,★サイズ表記!$E$4:$E$55,0), MATCH(G819,★サイズ表記!$I$3:$R$3,0))</f>
        <v>10.5</v>
      </c>
      <c r="K819" s="471" t="str">
        <f t="shared" si="88"/>
        <v>S3008Tot</v>
      </c>
      <c r="L819" s="471" t="str">
        <f t="shared" si="89"/>
        <v>政治タブ8P</v>
      </c>
      <c r="P819" s="533" t="s">
        <v>1324</v>
      </c>
      <c r="Q819" s="533" t="s">
        <v>1325</v>
      </c>
      <c r="R819" s="534" t="str">
        <f t="shared" si="90"/>
        <v>3008</v>
      </c>
      <c r="S819" s="534" t="str">
        <f t="shared" si="91"/>
        <v>政治タブ8P</v>
      </c>
      <c r="T819" s="538" t="str">
        <f t="shared" si="92"/>
        <v>30</v>
      </c>
      <c r="U819" s="538" t="str">
        <f t="shared" si="93"/>
        <v>08</v>
      </c>
      <c r="V819" s="471" t="s">
        <v>1136</v>
      </c>
      <c r="Y819" s="472">
        <f t="shared" si="94"/>
        <v>10.5</v>
      </c>
      <c r="Z819" s="540">
        <f t="shared" si="95"/>
        <v>0.84</v>
      </c>
      <c r="AA819" s="471">
        <v>0</v>
      </c>
    </row>
    <row r="820" spans="1:27">
      <c r="A820" s="451" t="str">
        <f>CONCATENATE(VLOOKUP(B820,★営業所!$A$1:$B$5,2,FALSE),VLOOKUP(D820,★サイズ表記!$D$4:$E$55,2,FALSE),VLOOKUP(F820,★折込地区!$A$1:$B$11,2,FALSE))</f>
        <v>S3009Tot</v>
      </c>
      <c r="B820" s="457" t="s">
        <v>276</v>
      </c>
      <c r="C820" s="452" t="str">
        <f>VLOOKUP(B820,★営業所!$A$1:$B$5,2,FALSE)</f>
        <v>S</v>
      </c>
      <c r="D820" s="465" t="s">
        <v>1361</v>
      </c>
      <c r="E820" s="452" t="str">
        <f>VLOOKUP(D820,★サイズ表記!$D$4:$E$55,2,FALSE)</f>
        <v>3009</v>
      </c>
      <c r="F820" s="457" t="s">
        <v>282</v>
      </c>
      <c r="G820" s="452" t="str">
        <f>VLOOKUP(F820,★折込地区!$A$1:$B$11,2,FALSE)</f>
        <v>Tot</v>
      </c>
      <c r="H820" s="453">
        <f>INDEX(★サイズ表記!$I$4:$Q$55, MATCH(E820,★サイズ表記!$E$4:$E$55,0), MATCH(G820,★サイズ表記!$I$3:$R$3,0))</f>
        <v>16.350000000000001</v>
      </c>
      <c r="K820" s="471" t="str">
        <f t="shared" si="88"/>
        <v>S3009Tot</v>
      </c>
      <c r="L820" s="471" t="str">
        <f t="shared" si="89"/>
        <v>政治タブ12P</v>
      </c>
      <c r="P820" s="533" t="s">
        <v>1324</v>
      </c>
      <c r="Q820" s="533" t="s">
        <v>1325</v>
      </c>
      <c r="R820" s="534" t="str">
        <f t="shared" si="90"/>
        <v>3009</v>
      </c>
      <c r="S820" s="534" t="str">
        <f t="shared" si="91"/>
        <v>政治タブ12P</v>
      </c>
      <c r="T820" s="538" t="str">
        <f t="shared" si="92"/>
        <v>30</v>
      </c>
      <c r="U820" s="538" t="str">
        <f t="shared" si="93"/>
        <v>09</v>
      </c>
      <c r="V820" s="471" t="s">
        <v>1136</v>
      </c>
      <c r="Y820" s="472">
        <f t="shared" si="94"/>
        <v>16.350000000000001</v>
      </c>
      <c r="Z820" s="540">
        <f t="shared" si="95"/>
        <v>1.3</v>
      </c>
      <c r="AA820" s="471">
        <v>0</v>
      </c>
    </row>
    <row r="821" spans="1:27">
      <c r="A821" s="451" t="str">
        <f>CONCATENATE(VLOOKUP(B821,★営業所!$A$1:$B$5,2,FALSE),VLOOKUP(D821,★サイズ表記!$D$4:$E$55,2,FALSE),VLOOKUP(F821,★折込地区!$A$1:$B$11,2,FALSE))</f>
        <v>S4001Tot</v>
      </c>
      <c r="B821" s="457" t="s">
        <v>276</v>
      </c>
      <c r="C821" s="452" t="str">
        <f>VLOOKUP(B821,★営業所!$A$1:$B$5,2,FALSE)</f>
        <v>S</v>
      </c>
      <c r="D821" s="465" t="s">
        <v>1358</v>
      </c>
      <c r="E821" s="452" t="str">
        <f>VLOOKUP(D821,★サイズ表記!$D$4:$E$55,2,FALSE)</f>
        <v>4001</v>
      </c>
      <c r="F821" s="457" t="s">
        <v>282</v>
      </c>
      <c r="G821" s="452" t="str">
        <f>VLOOKUP(F821,★折込地区!$A$1:$B$11,2,FALSE)</f>
        <v>Tot</v>
      </c>
      <c r="H821" s="453">
        <f>INDEX(★サイズ表記!$I$4:$Q$55, MATCH(E821,★サイズ表記!$E$4:$E$55,0), MATCH(G821,★サイズ表記!$I$3:$R$3,0))</f>
        <v>6.7</v>
      </c>
      <c r="K821" s="471" t="str">
        <f t="shared" si="88"/>
        <v>S4001Tot</v>
      </c>
      <c r="L821" s="471" t="str">
        <f t="shared" si="89"/>
        <v>タブ6P</v>
      </c>
      <c r="P821" s="533" t="s">
        <v>1324</v>
      </c>
      <c r="Q821" s="533" t="s">
        <v>1325</v>
      </c>
      <c r="R821" s="534" t="str">
        <f t="shared" si="90"/>
        <v>4001</v>
      </c>
      <c r="S821" s="534" t="str">
        <f t="shared" si="91"/>
        <v>タブ6P</v>
      </c>
      <c r="T821" s="538" t="str">
        <f t="shared" si="92"/>
        <v>40</v>
      </c>
      <c r="U821" s="538" t="str">
        <f t="shared" si="93"/>
        <v>01</v>
      </c>
      <c r="V821" s="471" t="s">
        <v>1136</v>
      </c>
      <c r="Y821" s="472">
        <f t="shared" si="94"/>
        <v>6.7</v>
      </c>
      <c r="Z821" s="540">
        <f t="shared" si="95"/>
        <v>0.53</v>
      </c>
      <c r="AA821" s="471">
        <v>0</v>
      </c>
    </row>
    <row r="822" spans="1:27">
      <c r="A822" s="451" t="str">
        <f>CONCATENATE(VLOOKUP(B822,★営業所!$A$1:$B$5,2,FALSE),VLOOKUP(D822,★サイズ表記!$D$4:$E$55,2,FALSE),VLOOKUP(F822,★折込地区!$A$1:$B$11,2,FALSE))</f>
        <v>S4002Tot</v>
      </c>
      <c r="B822" s="457" t="s">
        <v>276</v>
      </c>
      <c r="C822" s="452" t="str">
        <f>VLOOKUP(B822,★営業所!$A$1:$B$5,2,FALSE)</f>
        <v>S</v>
      </c>
      <c r="D822" s="465" t="s">
        <v>1359</v>
      </c>
      <c r="E822" s="452" t="str">
        <f>VLOOKUP(D822,★サイズ表記!$D$4:$E$55,2,FALSE)</f>
        <v>4002</v>
      </c>
      <c r="F822" s="457" t="s">
        <v>282</v>
      </c>
      <c r="G822" s="452" t="str">
        <f>VLOOKUP(F822,★折込地区!$A$1:$B$11,2,FALSE)</f>
        <v>Tot</v>
      </c>
      <c r="H822" s="453">
        <f>INDEX(★サイズ表記!$I$4:$Q$55, MATCH(E822,★サイズ表記!$E$4:$E$55,0), MATCH(G822,★サイズ表記!$I$3:$R$3,0))</f>
        <v>7</v>
      </c>
      <c r="K822" s="471" t="str">
        <f t="shared" si="88"/>
        <v>S4002Tot</v>
      </c>
      <c r="L822" s="471" t="str">
        <f t="shared" si="89"/>
        <v>タブ8P</v>
      </c>
      <c r="P822" s="533" t="s">
        <v>1324</v>
      </c>
      <c r="Q822" s="533" t="s">
        <v>1325</v>
      </c>
      <c r="R822" s="534" t="str">
        <f t="shared" si="90"/>
        <v>4002</v>
      </c>
      <c r="S822" s="534" t="str">
        <f t="shared" si="91"/>
        <v>タブ8P</v>
      </c>
      <c r="T822" s="538" t="str">
        <f t="shared" si="92"/>
        <v>40</v>
      </c>
      <c r="U822" s="538" t="str">
        <f t="shared" si="93"/>
        <v>02</v>
      </c>
      <c r="V822" s="471" t="s">
        <v>1136</v>
      </c>
      <c r="Y822" s="472">
        <f t="shared" si="94"/>
        <v>7</v>
      </c>
      <c r="Z822" s="540">
        <f t="shared" si="95"/>
        <v>0.56000000000000005</v>
      </c>
      <c r="AA822" s="471">
        <v>0</v>
      </c>
    </row>
    <row r="823" spans="1:27">
      <c r="A823" s="451" t="str">
        <f>CONCATENATE(VLOOKUP(B823,★営業所!$A$1:$B$5,2,FALSE),VLOOKUP(D823,★サイズ表記!$D$4:$E$55,2,FALSE),VLOOKUP(F823,★折込地区!$A$1:$B$11,2,FALSE))</f>
        <v>S4003Tot</v>
      </c>
      <c r="B823" s="457" t="s">
        <v>276</v>
      </c>
      <c r="C823" s="452" t="str">
        <f>VLOOKUP(B823,★営業所!$A$1:$B$5,2,FALSE)</f>
        <v>S</v>
      </c>
      <c r="D823" s="465" t="s">
        <v>1360</v>
      </c>
      <c r="E823" s="452" t="str">
        <f>VLOOKUP(D823,★サイズ表記!$D$4:$E$55,2,FALSE)</f>
        <v>4003</v>
      </c>
      <c r="F823" s="457" t="s">
        <v>282</v>
      </c>
      <c r="G823" s="452" t="str">
        <f>VLOOKUP(F823,★折込地区!$A$1:$B$11,2,FALSE)</f>
        <v>Tot</v>
      </c>
      <c r="H823" s="453">
        <f>INDEX(★サイズ表記!$I$4:$Q$55, MATCH(E823,★サイズ表記!$E$4:$E$55,0), MATCH(G823,★サイズ表記!$I$3:$R$3,0))</f>
        <v>8</v>
      </c>
      <c r="K823" s="471" t="str">
        <f t="shared" si="88"/>
        <v>S4003Tot</v>
      </c>
      <c r="L823" s="471" t="str">
        <f t="shared" si="89"/>
        <v>タブ8Pホチキス止め</v>
      </c>
      <c r="P823" s="533" t="s">
        <v>1324</v>
      </c>
      <c r="Q823" s="533" t="s">
        <v>1325</v>
      </c>
      <c r="R823" s="534" t="str">
        <f t="shared" si="90"/>
        <v>4003</v>
      </c>
      <c r="S823" s="534" t="str">
        <f t="shared" si="91"/>
        <v>タブ8Pホチキス止め</v>
      </c>
      <c r="T823" s="538" t="str">
        <f t="shared" si="92"/>
        <v>40</v>
      </c>
      <c r="U823" s="538" t="str">
        <f t="shared" si="93"/>
        <v>03</v>
      </c>
      <c r="V823" s="471" t="s">
        <v>1136</v>
      </c>
      <c r="Y823" s="472">
        <f t="shared" si="94"/>
        <v>8</v>
      </c>
      <c r="Z823" s="540">
        <f t="shared" si="95"/>
        <v>0.64</v>
      </c>
      <c r="AA823" s="471">
        <v>0</v>
      </c>
    </row>
    <row r="824" spans="1:27">
      <c r="A824" s="451" t="str">
        <f>CONCATENATE(VLOOKUP(B824,★営業所!$A$1:$B$5,2,FALSE),VLOOKUP(D824,★サイズ表記!$D$4:$E$55,2,FALSE),VLOOKUP(F824,★折込地区!$A$1:$B$11,2,FALSE))</f>
        <v>S4004Tot</v>
      </c>
      <c r="B824" s="457" t="s">
        <v>276</v>
      </c>
      <c r="C824" s="452" t="str">
        <f>VLOOKUP(B824,★営業所!$A$1:$B$5,2,FALSE)</f>
        <v>S</v>
      </c>
      <c r="D824" s="465" t="s">
        <v>1350</v>
      </c>
      <c r="E824" s="452" t="str">
        <f>VLOOKUP(D824,★サイズ表記!$D$4:$E$55,2,FALSE)</f>
        <v>4004</v>
      </c>
      <c r="F824" s="457" t="s">
        <v>282</v>
      </c>
      <c r="G824" s="452" t="str">
        <f>VLOOKUP(F824,★折込地区!$A$1:$B$11,2,FALSE)</f>
        <v>Tot</v>
      </c>
      <c r="H824" s="453">
        <f>INDEX(★サイズ表記!$I$4:$Q$55, MATCH(E824,★サイズ表記!$E$4:$E$55,0), MATCH(G824,★サイズ表記!$I$3:$R$3,0))</f>
        <v>9.8000000000000007</v>
      </c>
      <c r="K824" s="471" t="str">
        <f t="shared" si="88"/>
        <v>S4004Tot</v>
      </c>
      <c r="L824" s="471" t="str">
        <f t="shared" si="89"/>
        <v>タブ10P</v>
      </c>
      <c r="P824" s="533" t="s">
        <v>1324</v>
      </c>
      <c r="Q824" s="533" t="s">
        <v>1325</v>
      </c>
      <c r="R824" s="534" t="str">
        <f t="shared" si="90"/>
        <v>4004</v>
      </c>
      <c r="S824" s="534" t="str">
        <f t="shared" si="91"/>
        <v>タブ10P</v>
      </c>
      <c r="T824" s="538" t="str">
        <f t="shared" si="92"/>
        <v>40</v>
      </c>
      <c r="U824" s="538" t="str">
        <f t="shared" si="93"/>
        <v>04</v>
      </c>
      <c r="V824" s="471" t="s">
        <v>1136</v>
      </c>
      <c r="Y824" s="472">
        <f t="shared" si="94"/>
        <v>9.8000000000000007</v>
      </c>
      <c r="Z824" s="540">
        <f t="shared" si="95"/>
        <v>0.78</v>
      </c>
      <c r="AA824" s="471">
        <v>0</v>
      </c>
    </row>
    <row r="825" spans="1:27">
      <c r="A825" s="451" t="str">
        <f>CONCATENATE(VLOOKUP(B825,★営業所!$A$1:$B$5,2,FALSE),VLOOKUP(D825,★サイズ表記!$D$4:$E$55,2,FALSE),VLOOKUP(F825,★折込地区!$A$1:$B$11,2,FALSE))</f>
        <v>S4005Tot</v>
      </c>
      <c r="B825" s="457" t="s">
        <v>276</v>
      </c>
      <c r="C825" s="452" t="str">
        <f>VLOOKUP(B825,★営業所!$A$1:$B$5,2,FALSE)</f>
        <v>S</v>
      </c>
      <c r="D825" s="465" t="s">
        <v>1351</v>
      </c>
      <c r="E825" s="452" t="str">
        <f>VLOOKUP(D825,★サイズ表記!$D$4:$E$55,2,FALSE)</f>
        <v>4005</v>
      </c>
      <c r="F825" s="457" t="s">
        <v>282</v>
      </c>
      <c r="G825" s="452" t="str">
        <f>VLOOKUP(F825,★折込地区!$A$1:$B$11,2,FALSE)</f>
        <v>Tot</v>
      </c>
      <c r="H825" s="453">
        <f>INDEX(★サイズ表記!$I$4:$Q$55, MATCH(E825,★サイズ表記!$E$4:$E$55,0), MATCH(G825,★サイズ表記!$I$3:$R$3,0))</f>
        <v>10.9</v>
      </c>
      <c r="K825" s="471" t="str">
        <f t="shared" si="88"/>
        <v>S4005Tot</v>
      </c>
      <c r="L825" s="471" t="str">
        <f t="shared" si="89"/>
        <v>タブ12P</v>
      </c>
      <c r="P825" s="533" t="s">
        <v>1324</v>
      </c>
      <c r="Q825" s="533" t="s">
        <v>1325</v>
      </c>
      <c r="R825" s="534" t="str">
        <f t="shared" si="90"/>
        <v>4005</v>
      </c>
      <c r="S825" s="534" t="str">
        <f t="shared" si="91"/>
        <v>タブ12P</v>
      </c>
      <c r="T825" s="538" t="str">
        <f t="shared" si="92"/>
        <v>40</v>
      </c>
      <c r="U825" s="538" t="str">
        <f t="shared" si="93"/>
        <v>05</v>
      </c>
      <c r="V825" s="471" t="s">
        <v>1136</v>
      </c>
      <c r="Y825" s="472">
        <f t="shared" si="94"/>
        <v>10.9</v>
      </c>
      <c r="Z825" s="540">
        <f t="shared" si="95"/>
        <v>0.87</v>
      </c>
      <c r="AA825" s="471">
        <v>0</v>
      </c>
    </row>
    <row r="826" spans="1:27">
      <c r="A826" s="451" t="str">
        <f>CONCATENATE(VLOOKUP(B826,★営業所!$A$1:$B$5,2,FALSE),VLOOKUP(D826,★サイズ表記!$D$4:$E$55,2,FALSE),VLOOKUP(F826,★折込地区!$A$1:$B$11,2,FALSE))</f>
        <v>S4006Tot</v>
      </c>
      <c r="B826" s="457" t="s">
        <v>276</v>
      </c>
      <c r="C826" s="452" t="str">
        <f>VLOOKUP(B826,★営業所!$A$1:$B$5,2,FALSE)</f>
        <v>S</v>
      </c>
      <c r="D826" s="465" t="s">
        <v>1352</v>
      </c>
      <c r="E826" s="452" t="str">
        <f>VLOOKUP(D826,★サイズ表記!$D$4:$E$55,2,FALSE)</f>
        <v>4006</v>
      </c>
      <c r="F826" s="457" t="s">
        <v>282</v>
      </c>
      <c r="G826" s="452" t="str">
        <f>VLOOKUP(F826,★折込地区!$A$1:$B$11,2,FALSE)</f>
        <v>Tot</v>
      </c>
      <c r="H826" s="453">
        <f>INDEX(★サイズ表記!$I$4:$Q$55, MATCH(E826,★サイズ表記!$E$4:$E$55,0), MATCH(G826,★サイズ表記!$I$3:$R$3,0))</f>
        <v>13.7</v>
      </c>
      <c r="K826" s="471" t="str">
        <f t="shared" si="88"/>
        <v>S4006Tot</v>
      </c>
      <c r="L826" s="471" t="str">
        <f t="shared" si="89"/>
        <v>タブ14P</v>
      </c>
      <c r="P826" s="533" t="s">
        <v>1324</v>
      </c>
      <c r="Q826" s="533" t="s">
        <v>1325</v>
      </c>
      <c r="R826" s="534" t="str">
        <f t="shared" si="90"/>
        <v>4006</v>
      </c>
      <c r="S826" s="534" t="str">
        <f t="shared" si="91"/>
        <v>タブ14P</v>
      </c>
      <c r="T826" s="538" t="str">
        <f t="shared" si="92"/>
        <v>40</v>
      </c>
      <c r="U826" s="538" t="str">
        <f t="shared" si="93"/>
        <v>06</v>
      </c>
      <c r="V826" s="471" t="s">
        <v>1136</v>
      </c>
      <c r="Y826" s="472">
        <f t="shared" si="94"/>
        <v>13.7</v>
      </c>
      <c r="Z826" s="540">
        <f t="shared" si="95"/>
        <v>1.0900000000000001</v>
      </c>
      <c r="AA826" s="471">
        <v>0</v>
      </c>
    </row>
    <row r="827" spans="1:27">
      <c r="A827" s="451" t="str">
        <f>CONCATENATE(VLOOKUP(B827,★営業所!$A$1:$B$5,2,FALSE),VLOOKUP(D827,★サイズ表記!$D$4:$E$55,2,FALSE),VLOOKUP(F827,★折込地区!$A$1:$B$11,2,FALSE))</f>
        <v>S4007Tot</v>
      </c>
      <c r="B827" s="457" t="s">
        <v>276</v>
      </c>
      <c r="C827" s="452" t="str">
        <f>VLOOKUP(B827,★営業所!$A$1:$B$5,2,FALSE)</f>
        <v>S</v>
      </c>
      <c r="D827" s="465" t="s">
        <v>1353</v>
      </c>
      <c r="E827" s="452" t="str">
        <f>VLOOKUP(D827,★サイズ表記!$D$4:$E$55,2,FALSE)</f>
        <v>4007</v>
      </c>
      <c r="F827" s="457" t="s">
        <v>282</v>
      </c>
      <c r="G827" s="452" t="str">
        <f>VLOOKUP(F827,★折込地区!$A$1:$B$11,2,FALSE)</f>
        <v>Tot</v>
      </c>
      <c r="H827" s="453">
        <f>INDEX(★サイズ表記!$I$4:$Q$55, MATCH(E827,★サイズ表記!$E$4:$E$55,0), MATCH(G827,★サイズ表記!$I$3:$R$3,0))</f>
        <v>15</v>
      </c>
      <c r="K827" s="471" t="str">
        <f t="shared" si="88"/>
        <v>S4007Tot</v>
      </c>
      <c r="L827" s="471" t="str">
        <f t="shared" si="89"/>
        <v>タブ16P</v>
      </c>
      <c r="P827" s="533" t="s">
        <v>1324</v>
      </c>
      <c r="Q827" s="533" t="s">
        <v>1325</v>
      </c>
      <c r="R827" s="534" t="str">
        <f t="shared" si="90"/>
        <v>4007</v>
      </c>
      <c r="S827" s="534" t="str">
        <f t="shared" si="91"/>
        <v>タブ16P</v>
      </c>
      <c r="T827" s="538" t="str">
        <f t="shared" si="92"/>
        <v>40</v>
      </c>
      <c r="U827" s="538" t="str">
        <f t="shared" si="93"/>
        <v>07</v>
      </c>
      <c r="V827" s="471" t="s">
        <v>1136</v>
      </c>
      <c r="Y827" s="472">
        <f t="shared" si="94"/>
        <v>15</v>
      </c>
      <c r="Z827" s="540">
        <f t="shared" si="95"/>
        <v>1.2</v>
      </c>
      <c r="AA827" s="471">
        <v>0</v>
      </c>
    </row>
    <row r="828" spans="1:27">
      <c r="A828" s="451" t="str">
        <f>CONCATENATE(VLOOKUP(B828,★営業所!$A$1:$B$5,2,FALSE),VLOOKUP(D828,★サイズ表記!$D$4:$E$55,2,FALSE),VLOOKUP(F828,★折込地区!$A$1:$B$11,2,FALSE))</f>
        <v>S4008Tot</v>
      </c>
      <c r="B828" s="457" t="s">
        <v>276</v>
      </c>
      <c r="C828" s="452" t="str">
        <f>VLOOKUP(B828,★営業所!$A$1:$B$5,2,FALSE)</f>
        <v>S</v>
      </c>
      <c r="D828" s="465" t="s">
        <v>1355</v>
      </c>
      <c r="E828" s="452" t="str">
        <f>VLOOKUP(D828,★サイズ表記!$D$4:$E$55,2,FALSE)</f>
        <v>4008</v>
      </c>
      <c r="F828" s="457" t="s">
        <v>282</v>
      </c>
      <c r="G828" s="452" t="str">
        <f>VLOOKUP(F828,★折込地区!$A$1:$B$11,2,FALSE)</f>
        <v>Tot</v>
      </c>
      <c r="H828" s="453">
        <f>INDEX(★サイズ表記!$I$4:$Q$55, MATCH(E828,★サイズ表記!$E$4:$E$55,0), MATCH(G828,★サイズ表記!$I$3:$R$3,0))</f>
        <v>17.8</v>
      </c>
      <c r="K828" s="471" t="str">
        <f t="shared" si="88"/>
        <v>S4008Tot</v>
      </c>
      <c r="L828" s="471" t="str">
        <f t="shared" si="89"/>
        <v>タブ18P</v>
      </c>
      <c r="P828" s="533" t="s">
        <v>1324</v>
      </c>
      <c r="Q828" s="533" t="s">
        <v>1325</v>
      </c>
      <c r="R828" s="534" t="str">
        <f t="shared" si="90"/>
        <v>4008</v>
      </c>
      <c r="S828" s="534" t="str">
        <f t="shared" si="91"/>
        <v>タブ18P</v>
      </c>
      <c r="T828" s="538" t="str">
        <f t="shared" si="92"/>
        <v>40</v>
      </c>
      <c r="U828" s="538" t="str">
        <f t="shared" si="93"/>
        <v>08</v>
      </c>
      <c r="V828" s="471" t="s">
        <v>1136</v>
      </c>
      <c r="Y828" s="472">
        <f t="shared" si="94"/>
        <v>17.8</v>
      </c>
      <c r="Z828" s="540">
        <f t="shared" si="95"/>
        <v>1.42</v>
      </c>
      <c r="AA828" s="471">
        <v>0</v>
      </c>
    </row>
    <row r="829" spans="1:27">
      <c r="A829" s="451" t="str">
        <f>CONCATENATE(VLOOKUP(B829,★営業所!$A$1:$B$5,2,FALSE),VLOOKUP(D829,★サイズ表記!$D$4:$E$55,2,FALSE),VLOOKUP(F829,★折込地区!$A$1:$B$11,2,FALSE))</f>
        <v>S4009Tot</v>
      </c>
      <c r="B829" s="457" t="s">
        <v>276</v>
      </c>
      <c r="C829" s="452" t="str">
        <f>VLOOKUP(B829,★営業所!$A$1:$B$5,2,FALSE)</f>
        <v>S</v>
      </c>
      <c r="D829" s="465" t="s">
        <v>1356</v>
      </c>
      <c r="E829" s="452" t="str">
        <f>VLOOKUP(D829,★サイズ表記!$D$4:$E$55,2,FALSE)</f>
        <v>4009</v>
      </c>
      <c r="F829" s="457" t="s">
        <v>282</v>
      </c>
      <c r="G829" s="452" t="str">
        <f>VLOOKUP(F829,★折込地区!$A$1:$B$11,2,FALSE)</f>
        <v>Tot</v>
      </c>
      <c r="H829" s="453">
        <f>INDEX(★サイズ表記!$I$4:$Q$55, MATCH(E829,★サイズ表記!$E$4:$E$55,0), MATCH(G829,★サイズ表記!$I$3:$R$3,0))</f>
        <v>18.899999999999999</v>
      </c>
      <c r="K829" s="471" t="str">
        <f t="shared" si="88"/>
        <v>S4009Tot</v>
      </c>
      <c r="L829" s="471" t="str">
        <f t="shared" si="89"/>
        <v>タブ20P</v>
      </c>
      <c r="P829" s="533" t="s">
        <v>1324</v>
      </c>
      <c r="Q829" s="533" t="s">
        <v>1325</v>
      </c>
      <c r="R829" s="534" t="str">
        <f t="shared" si="90"/>
        <v>4009</v>
      </c>
      <c r="S829" s="534" t="str">
        <f t="shared" si="91"/>
        <v>タブ20P</v>
      </c>
      <c r="T829" s="538" t="str">
        <f t="shared" si="92"/>
        <v>40</v>
      </c>
      <c r="U829" s="538" t="str">
        <f t="shared" si="93"/>
        <v>09</v>
      </c>
      <c r="V829" s="471" t="s">
        <v>1136</v>
      </c>
      <c r="Y829" s="472">
        <f t="shared" si="94"/>
        <v>18.899999999999999</v>
      </c>
      <c r="Z829" s="540">
        <f t="shared" si="95"/>
        <v>1.51</v>
      </c>
      <c r="AA829" s="471">
        <v>0</v>
      </c>
    </row>
    <row r="830" spans="1:27">
      <c r="A830" s="451" t="str">
        <f>CONCATENATE(VLOOKUP(B830,★営業所!$A$1:$B$5,2,FALSE),VLOOKUP(D830,★サイズ表記!$D$4:$E$55,2,FALSE),VLOOKUP(F830,★折込地区!$A$1:$B$11,2,FALSE))</f>
        <v>S4010Tot</v>
      </c>
      <c r="B830" s="457" t="s">
        <v>276</v>
      </c>
      <c r="C830" s="452" t="str">
        <f>VLOOKUP(B830,★営業所!$A$1:$B$5,2,FALSE)</f>
        <v>S</v>
      </c>
      <c r="D830" s="465" t="s">
        <v>1354</v>
      </c>
      <c r="E830" s="452" t="str">
        <f>VLOOKUP(D830,★サイズ表記!$D$4:$E$55,2,FALSE)</f>
        <v>4010</v>
      </c>
      <c r="F830" s="457" t="s">
        <v>282</v>
      </c>
      <c r="G830" s="452" t="str">
        <f>VLOOKUP(F830,★折込地区!$A$1:$B$11,2,FALSE)</f>
        <v>Tot</v>
      </c>
      <c r="H830" s="453">
        <f>INDEX(★サイズ表記!$I$4:$Q$55, MATCH(E830,★サイズ表記!$E$4:$E$55,0), MATCH(G830,★サイズ表記!$I$3:$R$3,0))</f>
        <v>16</v>
      </c>
      <c r="K830" s="471" t="str">
        <f t="shared" si="88"/>
        <v>S4010Tot</v>
      </c>
      <c r="L830" s="471" t="str">
        <f t="shared" si="89"/>
        <v>タブ16Pホチキス止め</v>
      </c>
      <c r="P830" s="533" t="s">
        <v>1324</v>
      </c>
      <c r="Q830" s="533" t="s">
        <v>1325</v>
      </c>
      <c r="R830" s="534" t="str">
        <f t="shared" si="90"/>
        <v>4010</v>
      </c>
      <c r="S830" s="534" t="str">
        <f t="shared" si="91"/>
        <v>タブ16Pホチキス止め</v>
      </c>
      <c r="T830" s="538" t="str">
        <f t="shared" si="92"/>
        <v>40</v>
      </c>
      <c r="U830" s="538" t="str">
        <f t="shared" si="93"/>
        <v>10</v>
      </c>
      <c r="V830" s="471" t="s">
        <v>1136</v>
      </c>
      <c r="Y830" s="472">
        <f t="shared" si="94"/>
        <v>16</v>
      </c>
      <c r="Z830" s="540">
        <f t="shared" si="95"/>
        <v>1.28</v>
      </c>
      <c r="AA830" s="471">
        <v>0</v>
      </c>
    </row>
    <row r="831" spans="1:27">
      <c r="A831" s="451" t="str">
        <f>CONCATENATE(VLOOKUP(B831,★営業所!$A$1:$B$5,2,FALSE),VLOOKUP(D831,★サイズ表記!$D$4:$E$55,2,FALSE),VLOOKUP(F831,★折込地区!$A$1:$B$11,2,FALSE))</f>
        <v>S4011Tot</v>
      </c>
      <c r="B831" s="457" t="s">
        <v>276</v>
      </c>
      <c r="C831" s="452" t="str">
        <f>VLOOKUP(B831,★営業所!$A$1:$B$5,2,FALSE)</f>
        <v>S</v>
      </c>
      <c r="D831" s="465" t="s">
        <v>1357</v>
      </c>
      <c r="E831" s="452" t="str">
        <f>VLOOKUP(D831,★サイズ表記!$D$4:$E$55,2,FALSE)</f>
        <v>4011</v>
      </c>
      <c r="F831" s="457" t="s">
        <v>282</v>
      </c>
      <c r="G831" s="452" t="str">
        <f>VLOOKUP(F831,★折込地区!$A$1:$B$11,2,FALSE)</f>
        <v>Tot</v>
      </c>
      <c r="H831" s="453">
        <f>INDEX(★サイズ表記!$I$4:$Q$55, MATCH(E831,★サイズ表記!$E$4:$E$55,0), MATCH(G831,★サイズ表記!$I$3:$R$3,0))</f>
        <v>0</v>
      </c>
      <c r="K831" s="471" t="str">
        <f t="shared" si="88"/>
        <v>S4011Tot</v>
      </c>
      <c r="L831" s="471" t="str">
        <f t="shared" si="89"/>
        <v>タブ40P</v>
      </c>
      <c r="P831" s="533" t="s">
        <v>1324</v>
      </c>
      <c r="Q831" s="533" t="s">
        <v>1325</v>
      </c>
      <c r="R831" s="534" t="str">
        <f t="shared" si="90"/>
        <v>4011</v>
      </c>
      <c r="S831" s="534" t="str">
        <f t="shared" si="91"/>
        <v>タブ40P</v>
      </c>
      <c r="T831" s="538" t="str">
        <f t="shared" si="92"/>
        <v>40</v>
      </c>
      <c r="U831" s="538" t="str">
        <f t="shared" si="93"/>
        <v>11</v>
      </c>
      <c r="V831" s="471" t="s">
        <v>1136</v>
      </c>
      <c r="Y831" s="472">
        <f t="shared" si="94"/>
        <v>0</v>
      </c>
      <c r="Z831" s="540">
        <f t="shared" si="95"/>
        <v>0</v>
      </c>
      <c r="AA831" s="471">
        <v>0</v>
      </c>
    </row>
    <row r="832" spans="1:27">
      <c r="A832" s="451" t="str">
        <f>CONCATENATE(VLOOKUP(B832,★営業所!$A$1:$B$5,2,FALSE),VLOOKUP(D832,★サイズ表記!$D$4:$E$55,2,FALSE),VLOOKUP(F832,★折込地区!$A$1:$B$11,2,FALSE))</f>
        <v>S9001Tot</v>
      </c>
      <c r="B832" s="457" t="s">
        <v>276</v>
      </c>
      <c r="C832" s="452" t="str">
        <f>VLOOKUP(B832,★営業所!$A$1:$B$5,2,FALSE)</f>
        <v>S</v>
      </c>
      <c r="D832" s="465" t="s">
        <v>975</v>
      </c>
      <c r="E832" s="452" t="str">
        <f>VLOOKUP(D832,★サイズ表記!$D$4:$E$55,2,FALSE)</f>
        <v>9001</v>
      </c>
      <c r="F832" s="457" t="s">
        <v>282</v>
      </c>
      <c r="G832" s="452" t="str">
        <f>VLOOKUP(F832,★折込地区!$A$1:$B$11,2,FALSE)</f>
        <v>Tot</v>
      </c>
      <c r="H832" s="453">
        <f>INDEX(★サイズ表記!$I$4:$Q$55, MATCH(E832,★サイズ表記!$E$4:$E$55,0), MATCH(G832,★サイズ表記!$I$3:$R$3,0))</f>
        <v>7</v>
      </c>
      <c r="K832" s="471" t="str">
        <f t="shared" si="88"/>
        <v>S9001Tot</v>
      </c>
      <c r="L832" s="471" t="str">
        <f t="shared" si="89"/>
        <v>うさぎの耳</v>
      </c>
      <c r="P832" s="533" t="s">
        <v>1324</v>
      </c>
      <c r="Q832" s="533" t="s">
        <v>1325</v>
      </c>
      <c r="R832" s="534" t="str">
        <f t="shared" si="90"/>
        <v>9001</v>
      </c>
      <c r="S832" s="534" t="str">
        <f t="shared" si="91"/>
        <v>うさぎの耳</v>
      </c>
      <c r="T832" s="538" t="str">
        <f t="shared" si="92"/>
        <v>90</v>
      </c>
      <c r="U832" s="538" t="str">
        <f t="shared" si="93"/>
        <v>01</v>
      </c>
      <c r="V832" s="471" t="s">
        <v>1136</v>
      </c>
      <c r="Y832" s="472">
        <f t="shared" si="94"/>
        <v>7</v>
      </c>
      <c r="Z832" s="540">
        <f t="shared" si="95"/>
        <v>0.56000000000000005</v>
      </c>
      <c r="AA832" s="471">
        <v>0</v>
      </c>
    </row>
    <row r="833" spans="1:27">
      <c r="A833" s="451" t="str">
        <f>CONCATENATE(VLOOKUP(B833,★営業所!$A$1:$B$5,2,FALSE),VLOOKUP(D833,★サイズ表記!$D$4:$E$55,2,FALSE),VLOOKUP(F833,★折込地区!$A$1:$B$11,2,FALSE))</f>
        <v>S9002Tot</v>
      </c>
      <c r="B833" s="457" t="s">
        <v>276</v>
      </c>
      <c r="C833" s="452" t="str">
        <f>VLOOKUP(B833,★営業所!$A$1:$B$5,2,FALSE)</f>
        <v>S</v>
      </c>
      <c r="D833" s="465" t="s">
        <v>976</v>
      </c>
      <c r="E833" s="452" t="str">
        <f>VLOOKUP(D833,★サイズ表記!$D$4:$E$55,2,FALSE)</f>
        <v>9002</v>
      </c>
      <c r="F833" s="457" t="s">
        <v>282</v>
      </c>
      <c r="G833" s="452" t="str">
        <f>VLOOKUP(F833,★折込地区!$A$1:$B$11,2,FALSE)</f>
        <v>Tot</v>
      </c>
      <c r="H833" s="453">
        <f>INDEX(★サイズ表記!$I$4:$Q$55, MATCH(E833,★サイズ表記!$E$4:$E$55,0), MATCH(G833,★サイズ表記!$I$3:$R$3,0))</f>
        <v>5</v>
      </c>
      <c r="K833" s="471" t="str">
        <f t="shared" si="88"/>
        <v>S9002Tot</v>
      </c>
      <c r="L833" s="471" t="str">
        <f t="shared" si="89"/>
        <v>ユーキャン（題字）</v>
      </c>
      <c r="P833" s="533" t="s">
        <v>1324</v>
      </c>
      <c r="Q833" s="533" t="s">
        <v>1325</v>
      </c>
      <c r="R833" s="534" t="str">
        <f t="shared" si="90"/>
        <v>9002</v>
      </c>
      <c r="S833" s="534" t="str">
        <f t="shared" si="91"/>
        <v>ユーキャン（題字）</v>
      </c>
      <c r="T833" s="538" t="str">
        <f t="shared" si="92"/>
        <v>90</v>
      </c>
      <c r="U833" s="538" t="str">
        <f t="shared" si="93"/>
        <v>02</v>
      </c>
      <c r="V833" s="471" t="s">
        <v>1136</v>
      </c>
      <c r="Y833" s="472">
        <f t="shared" si="94"/>
        <v>5</v>
      </c>
      <c r="Z833" s="540">
        <f t="shared" si="95"/>
        <v>0.4</v>
      </c>
      <c r="AA833" s="471">
        <v>0</v>
      </c>
    </row>
    <row r="834" spans="1:27">
      <c r="A834" s="451" t="str">
        <f>CONCATENATE(VLOOKUP(B834,★営業所!$A$1:$B$5,2,FALSE),VLOOKUP(D834,★サイズ表記!$D$4:$E$55,2,FALSE),VLOOKUP(F834,★折込地区!$A$1:$B$11,2,FALSE))</f>
        <v>S9003Tot</v>
      </c>
      <c r="B834" s="457" t="s">
        <v>276</v>
      </c>
      <c r="C834" s="452" t="str">
        <f>VLOOKUP(B834,★営業所!$A$1:$B$5,2,FALSE)</f>
        <v>S</v>
      </c>
      <c r="D834" s="465" t="s">
        <v>977</v>
      </c>
      <c r="E834" s="452" t="str">
        <f>VLOOKUP(D834,★サイズ表記!$D$4:$E$55,2,FALSE)</f>
        <v>9003</v>
      </c>
      <c r="F834" s="457" t="s">
        <v>282</v>
      </c>
      <c r="G834" s="452" t="str">
        <f>VLOOKUP(F834,★折込地区!$A$1:$B$11,2,FALSE)</f>
        <v>Tot</v>
      </c>
      <c r="H834" s="453">
        <f>INDEX(★サイズ表記!$I$4:$Q$55, MATCH(E834,★サイズ表記!$E$4:$E$55,0), MATCH(G834,★サイズ表記!$I$3:$R$3,0))</f>
        <v>4.9000000000000004</v>
      </c>
      <c r="K834" s="471" t="str">
        <f t="shared" si="88"/>
        <v>S9003Tot</v>
      </c>
      <c r="L834" s="471" t="str">
        <f t="shared" si="89"/>
        <v>横長B3</v>
      </c>
      <c r="P834" s="533" t="s">
        <v>1324</v>
      </c>
      <c r="Q834" s="533" t="s">
        <v>1325</v>
      </c>
      <c r="R834" s="534" t="str">
        <f t="shared" si="90"/>
        <v>9003</v>
      </c>
      <c r="S834" s="534" t="str">
        <f t="shared" si="91"/>
        <v>横長B3</v>
      </c>
      <c r="T834" s="538" t="str">
        <f t="shared" si="92"/>
        <v>90</v>
      </c>
      <c r="U834" s="538" t="str">
        <f t="shared" si="93"/>
        <v>03</v>
      </c>
      <c r="V834" s="471" t="s">
        <v>1136</v>
      </c>
      <c r="Y834" s="472">
        <f t="shared" si="94"/>
        <v>4.9000000000000004</v>
      </c>
      <c r="Z834" s="540">
        <f t="shared" si="95"/>
        <v>0.39</v>
      </c>
      <c r="AA834" s="471">
        <v>0</v>
      </c>
    </row>
    <row r="835" spans="1:27">
      <c r="A835" s="451" t="str">
        <f>CONCATENATE(VLOOKUP(B835,★営業所!$A$1:$B$5,2,FALSE),VLOOKUP(D835,★サイズ表記!$D$4:$E$55,2,FALSE),VLOOKUP(F835,★折込地区!$A$1:$B$11,2,FALSE))</f>
        <v>S9004Tot</v>
      </c>
      <c r="B835" s="457" t="s">
        <v>276</v>
      </c>
      <c r="C835" s="452" t="str">
        <f>VLOOKUP(B835,★営業所!$A$1:$B$5,2,FALSE)</f>
        <v>S</v>
      </c>
      <c r="D835" s="465" t="s">
        <v>978</v>
      </c>
      <c r="E835" s="452" t="str">
        <f>VLOOKUP(D835,★サイズ表記!$D$4:$E$55,2,FALSE)</f>
        <v>9004</v>
      </c>
      <c r="F835" s="457" t="s">
        <v>282</v>
      </c>
      <c r="G835" s="452" t="str">
        <f>VLOOKUP(F835,★折込地区!$A$1:$B$11,2,FALSE)</f>
        <v>Tot</v>
      </c>
      <c r="H835" s="453">
        <f>INDEX(★サイズ表記!$I$4:$Q$55, MATCH(E835,★サイズ表記!$E$4:$E$55,0), MATCH(G835,★サイズ表記!$I$3:$R$3,0))</f>
        <v>5</v>
      </c>
      <c r="K835" s="471" t="str">
        <f t="shared" si="88"/>
        <v>S9004Tot</v>
      </c>
      <c r="L835" s="471" t="str">
        <f t="shared" si="89"/>
        <v>AD-BAG</v>
      </c>
      <c r="P835" s="533" t="s">
        <v>1324</v>
      </c>
      <c r="Q835" s="533" t="s">
        <v>1325</v>
      </c>
      <c r="R835" s="534" t="str">
        <f t="shared" si="90"/>
        <v>9004</v>
      </c>
      <c r="S835" s="534" t="str">
        <f t="shared" si="91"/>
        <v>AD-BAG</v>
      </c>
      <c r="T835" s="538" t="str">
        <f t="shared" si="92"/>
        <v>90</v>
      </c>
      <c r="U835" s="538" t="str">
        <f t="shared" si="93"/>
        <v>04</v>
      </c>
      <c r="V835" s="471" t="s">
        <v>1136</v>
      </c>
      <c r="Y835" s="472">
        <f t="shared" si="94"/>
        <v>5</v>
      </c>
      <c r="Z835" s="540">
        <f t="shared" si="95"/>
        <v>0.4</v>
      </c>
      <c r="AA835" s="471">
        <v>0</v>
      </c>
    </row>
    <row r="836" spans="1:27">
      <c r="A836" s="451" t="str">
        <f>CONCATENATE(VLOOKUP(B836,★営業所!$A$1:$B$5,2,FALSE),VLOOKUP(D836,★サイズ表記!$D$4:$E$55,2,FALSE),VLOOKUP(F836,★折込地区!$A$1:$B$11,2,FALSE))</f>
        <v>S9005Tot</v>
      </c>
      <c r="B836" s="457" t="s">
        <v>276</v>
      </c>
      <c r="C836" s="452" t="str">
        <f>VLOOKUP(B836,★営業所!$A$1:$B$5,2,FALSE)</f>
        <v>S</v>
      </c>
      <c r="D836" s="465" t="s">
        <v>979</v>
      </c>
      <c r="E836" s="452" t="str">
        <f>VLOOKUP(D836,★サイズ表記!$D$4:$E$55,2,FALSE)</f>
        <v>9005</v>
      </c>
      <c r="F836" s="457" t="s">
        <v>282</v>
      </c>
      <c r="G836" s="452" t="str">
        <f>VLOOKUP(F836,★折込地区!$A$1:$B$11,2,FALSE)</f>
        <v>Tot</v>
      </c>
      <c r="H836" s="453">
        <f>INDEX(★サイズ表記!$I$4:$Q$55, MATCH(E836,★サイズ表記!$E$4:$E$55,0), MATCH(G836,★サイズ表記!$I$3:$R$3,0))</f>
        <v>5</v>
      </c>
      <c r="K836" s="471" t="str">
        <f t="shared" si="88"/>
        <v>S9005Tot</v>
      </c>
      <c r="L836" s="471" t="str">
        <f t="shared" si="89"/>
        <v>封筒</v>
      </c>
      <c r="P836" s="533" t="s">
        <v>1324</v>
      </c>
      <c r="Q836" s="533" t="s">
        <v>1325</v>
      </c>
      <c r="R836" s="534" t="str">
        <f t="shared" si="90"/>
        <v>9005</v>
      </c>
      <c r="S836" s="534" t="str">
        <f t="shared" si="91"/>
        <v>封筒</v>
      </c>
      <c r="T836" s="538" t="str">
        <f t="shared" si="92"/>
        <v>90</v>
      </c>
      <c r="U836" s="538" t="str">
        <f t="shared" si="93"/>
        <v>05</v>
      </c>
      <c r="V836" s="471" t="s">
        <v>1136</v>
      </c>
      <c r="Y836" s="472">
        <f t="shared" si="94"/>
        <v>5</v>
      </c>
      <c r="Z836" s="540">
        <f t="shared" si="95"/>
        <v>0.4</v>
      </c>
      <c r="AA836" s="471">
        <v>0</v>
      </c>
    </row>
    <row r="837" spans="1:27">
      <c r="A837" s="451" t="str">
        <f>CONCATENATE(VLOOKUP(B837,★営業所!$A$1:$B$5,2,FALSE),VLOOKUP(D837,★サイズ表記!$D$4:$E$55,2,FALSE),VLOOKUP(F837,★折込地区!$A$1:$B$11,2,FALSE))</f>
        <v>S9006Tot</v>
      </c>
      <c r="B837" s="457" t="s">
        <v>276</v>
      </c>
      <c r="C837" s="452" t="str">
        <f>VLOOKUP(B837,★営業所!$A$1:$B$5,2,FALSE)</f>
        <v>S</v>
      </c>
      <c r="D837" s="465" t="s">
        <v>980</v>
      </c>
      <c r="E837" s="452" t="str">
        <f>VLOOKUP(D837,★サイズ表記!$D$4:$E$55,2,FALSE)</f>
        <v>9006</v>
      </c>
      <c r="F837" s="457" t="s">
        <v>282</v>
      </c>
      <c r="G837" s="452" t="str">
        <f>VLOOKUP(F837,★折込地区!$A$1:$B$11,2,FALSE)</f>
        <v>Tot</v>
      </c>
      <c r="H837" s="453">
        <f>INDEX(★サイズ表記!$I$4:$Q$55, MATCH(E837,★サイズ表記!$E$4:$E$55,0), MATCH(G837,★サイズ表記!$I$3:$R$3,0))</f>
        <v>3.9</v>
      </c>
      <c r="K837" s="471" t="str">
        <f t="shared" si="88"/>
        <v>S9006Tot</v>
      </c>
      <c r="L837" s="471" t="str">
        <f t="shared" si="89"/>
        <v>圧着</v>
      </c>
      <c r="P837" s="533" t="s">
        <v>1324</v>
      </c>
      <c r="Q837" s="533" t="s">
        <v>1325</v>
      </c>
      <c r="R837" s="534" t="str">
        <f t="shared" si="90"/>
        <v>9006</v>
      </c>
      <c r="S837" s="534" t="str">
        <f t="shared" si="91"/>
        <v>圧着</v>
      </c>
      <c r="T837" s="538" t="str">
        <f t="shared" si="92"/>
        <v>90</v>
      </c>
      <c r="U837" s="538" t="str">
        <f t="shared" si="93"/>
        <v>06</v>
      </c>
      <c r="V837" s="471" t="s">
        <v>1136</v>
      </c>
      <c r="Y837" s="472">
        <f t="shared" si="94"/>
        <v>3.9</v>
      </c>
      <c r="Z837" s="540">
        <f t="shared" si="95"/>
        <v>0.31</v>
      </c>
      <c r="AA837" s="471">
        <v>0</v>
      </c>
    </row>
    <row r="838" spans="1:27">
      <c r="A838" s="451" t="str">
        <f>CONCATENATE(VLOOKUP(B838,★営業所!$A$1:$B$5,2,FALSE),VLOOKUP(D838,★サイズ表記!$D$4:$E$55,2,FALSE),VLOOKUP(F838,★折込地区!$A$1:$B$11,2,FALSE))</f>
        <v>S9007Tot</v>
      </c>
      <c r="B838" s="457" t="s">
        <v>276</v>
      </c>
      <c r="C838" s="452" t="str">
        <f>VLOOKUP(B838,★営業所!$A$1:$B$5,2,FALSE)</f>
        <v>S</v>
      </c>
      <c r="D838" s="465" t="s">
        <v>981</v>
      </c>
      <c r="E838" s="452" t="str">
        <f>VLOOKUP(D838,★サイズ表記!$D$4:$E$55,2,FALSE)</f>
        <v>9007</v>
      </c>
      <c r="F838" s="457" t="s">
        <v>282</v>
      </c>
      <c r="G838" s="452" t="str">
        <f>VLOOKUP(F838,★折込地区!$A$1:$B$11,2,FALSE)</f>
        <v>Tot</v>
      </c>
      <c r="H838" s="453">
        <f>INDEX(★サイズ表記!$I$4:$Q$55, MATCH(E838,★サイズ表記!$E$4:$E$55,0), MATCH(G838,★サイズ表記!$I$3:$R$3,0))</f>
        <v>4.4000000000000004</v>
      </c>
      <c r="K838" s="471" t="str">
        <f t="shared" si="88"/>
        <v>S9007Tot</v>
      </c>
      <c r="L838" s="471" t="str">
        <f t="shared" si="89"/>
        <v>圧着厚紙</v>
      </c>
      <c r="P838" s="533" t="s">
        <v>1324</v>
      </c>
      <c r="Q838" s="533" t="s">
        <v>1325</v>
      </c>
      <c r="R838" s="534" t="str">
        <f t="shared" si="90"/>
        <v>9007</v>
      </c>
      <c r="S838" s="534" t="str">
        <f t="shared" si="91"/>
        <v>圧着厚紙</v>
      </c>
      <c r="T838" s="538" t="str">
        <f t="shared" si="92"/>
        <v>90</v>
      </c>
      <c r="U838" s="538" t="str">
        <f t="shared" si="93"/>
        <v>07</v>
      </c>
      <c r="V838" s="471" t="s">
        <v>1136</v>
      </c>
      <c r="Y838" s="472">
        <f t="shared" si="94"/>
        <v>4.4000000000000004</v>
      </c>
      <c r="Z838" s="540">
        <f t="shared" si="95"/>
        <v>0.35</v>
      </c>
      <c r="AA838" s="471">
        <v>0</v>
      </c>
    </row>
    <row r="839" spans="1:27">
      <c r="A839" s="451" t="str">
        <f>CONCATENATE(VLOOKUP(B839,★営業所!$A$1:$B$5,2,FALSE),VLOOKUP(D839,★サイズ表記!$D$4:$E$55,2,FALSE),VLOOKUP(F839,★折込地区!$A$1:$B$11,2,FALSE))</f>
        <v>S1001Kry</v>
      </c>
      <c r="B839" s="457" t="s">
        <v>276</v>
      </c>
      <c r="C839" s="452" t="str">
        <f>VLOOKUP(B839,★営業所!$A$1:$B$5,2,FALSE)</f>
        <v>S</v>
      </c>
      <c r="D839" s="465" t="s">
        <v>948</v>
      </c>
      <c r="E839" s="452" t="str">
        <f>VLOOKUP(D839,★サイズ表記!$D$4:$E$55,2,FALSE)</f>
        <v>1001</v>
      </c>
      <c r="F839" s="457" t="s">
        <v>1602</v>
      </c>
      <c r="G839" s="452" t="str">
        <f>VLOOKUP(F839,★折込地区!$A$1:$B$11,2,FALSE)</f>
        <v>Kry</v>
      </c>
      <c r="H839" s="453">
        <f>INDEX(★サイズ表記!$I$4:$Q$55, MATCH(E839,★サイズ表記!$E$4:$E$55,0), MATCH(G839,★サイズ表記!$I$3:$R$3,0))</f>
        <v>2.8</v>
      </c>
      <c r="K839" s="471" t="str">
        <f t="shared" ref="K839:K887" si="96">A839</f>
        <v>S1001Kry</v>
      </c>
      <c r="L839" s="471" t="str">
        <f t="shared" ref="L839:L887" si="97">D839</f>
        <v>B4（折り無し）</v>
      </c>
      <c r="P839" s="533" t="s">
        <v>1324</v>
      </c>
      <c r="Q839" s="533" t="s">
        <v>1325</v>
      </c>
      <c r="R839" s="534" t="str">
        <f t="shared" ref="R839:R887" si="98">E839</f>
        <v>1001</v>
      </c>
      <c r="S839" s="534" t="str">
        <f t="shared" ref="S839:S887" si="99">L839</f>
        <v>B4（折り無し）</v>
      </c>
      <c r="T839" s="538" t="str">
        <f t="shared" si="92"/>
        <v>10</v>
      </c>
      <c r="U839" s="538" t="str">
        <f t="shared" si="93"/>
        <v>01</v>
      </c>
      <c r="V839" s="471" t="s">
        <v>1136</v>
      </c>
      <c r="Y839" s="472">
        <f t="shared" si="94"/>
        <v>2.8</v>
      </c>
      <c r="Z839" s="540">
        <f t="shared" si="95"/>
        <v>0.22</v>
      </c>
      <c r="AA839" s="471">
        <v>0</v>
      </c>
    </row>
    <row r="840" spans="1:27">
      <c r="A840" s="451" t="str">
        <f>CONCATENATE(VLOOKUP(B840,★営業所!$A$1:$B$5,2,FALSE),VLOOKUP(D840,★サイズ表記!$D$4:$E$55,2,FALSE),VLOOKUP(F840,★折込地区!$A$1:$B$11,2,FALSE))</f>
        <v>S1002Kry</v>
      </c>
      <c r="B840" s="457" t="s">
        <v>276</v>
      </c>
      <c r="C840" s="452" t="str">
        <f>VLOOKUP(B840,★営業所!$A$1:$B$5,2,FALSE)</f>
        <v>S</v>
      </c>
      <c r="D840" s="465" t="s">
        <v>950</v>
      </c>
      <c r="E840" s="452" t="str">
        <f>VLOOKUP(D840,★サイズ表記!$D$4:$E$55,2,FALSE)</f>
        <v>1002</v>
      </c>
      <c r="F840" s="457" t="s">
        <v>1602</v>
      </c>
      <c r="G840" s="452" t="str">
        <f>VLOOKUP(F840,★折込地区!$A$1:$B$11,2,FALSE)</f>
        <v>Kry</v>
      </c>
      <c r="H840" s="453">
        <f>INDEX(★サイズ表記!$I$4:$Q$55, MATCH(E840,★サイズ表記!$E$4:$E$55,0), MATCH(G840,★サイズ表記!$I$3:$R$3,0))</f>
        <v>3.9</v>
      </c>
      <c r="K840" s="471" t="str">
        <f t="shared" si="96"/>
        <v>S1002Kry</v>
      </c>
      <c r="L840" s="471" t="str">
        <f t="shared" si="97"/>
        <v>B3（2つ折り）</v>
      </c>
      <c r="P840" s="533" t="s">
        <v>1324</v>
      </c>
      <c r="Q840" s="533" t="s">
        <v>1325</v>
      </c>
      <c r="R840" s="534" t="str">
        <f t="shared" si="98"/>
        <v>1002</v>
      </c>
      <c r="S840" s="534" t="str">
        <f t="shared" si="99"/>
        <v>B3（2つ折り）</v>
      </c>
      <c r="T840" s="538" t="str">
        <f t="shared" si="92"/>
        <v>10</v>
      </c>
      <c r="U840" s="538" t="str">
        <f t="shared" si="93"/>
        <v>02</v>
      </c>
      <c r="V840" s="471" t="s">
        <v>1136</v>
      </c>
      <c r="Y840" s="472">
        <f t="shared" si="94"/>
        <v>3.9</v>
      </c>
      <c r="Z840" s="540">
        <f t="shared" si="95"/>
        <v>0.31</v>
      </c>
      <c r="AA840" s="471">
        <v>0</v>
      </c>
    </row>
    <row r="841" spans="1:27">
      <c r="A841" s="451" t="str">
        <f>CONCATENATE(VLOOKUP(B841,★営業所!$A$1:$B$5,2,FALSE),VLOOKUP(D841,★サイズ表記!$D$4:$E$55,2,FALSE),VLOOKUP(F841,★折込地区!$A$1:$B$11,2,FALSE))</f>
        <v>S1003Kry</v>
      </c>
      <c r="B841" s="457" t="s">
        <v>276</v>
      </c>
      <c r="C841" s="452" t="str">
        <f>VLOOKUP(B841,★営業所!$A$1:$B$5,2,FALSE)</f>
        <v>S</v>
      </c>
      <c r="D841" s="465" t="s">
        <v>951</v>
      </c>
      <c r="E841" s="452" t="str">
        <f>VLOOKUP(D841,★サイズ表記!$D$4:$E$55,2,FALSE)</f>
        <v>1003</v>
      </c>
      <c r="F841" s="457" t="s">
        <v>1602</v>
      </c>
      <c r="G841" s="452" t="str">
        <f>VLOOKUP(F841,★折込地区!$A$1:$B$11,2,FALSE)</f>
        <v>Kry</v>
      </c>
      <c r="H841" s="453">
        <f>INDEX(★サイズ表記!$I$4:$Q$55, MATCH(E841,★サイズ表記!$E$4:$E$55,0), MATCH(G841,★サイズ表記!$I$3:$R$3,0))</f>
        <v>7</v>
      </c>
      <c r="K841" s="471" t="str">
        <f t="shared" si="96"/>
        <v>S1003Kry</v>
      </c>
      <c r="L841" s="471" t="str">
        <f t="shared" si="97"/>
        <v>3つ折り</v>
      </c>
      <c r="P841" s="533" t="s">
        <v>1324</v>
      </c>
      <c r="Q841" s="533" t="s">
        <v>1325</v>
      </c>
      <c r="R841" s="534" t="str">
        <f t="shared" si="98"/>
        <v>1003</v>
      </c>
      <c r="S841" s="534" t="str">
        <f t="shared" si="99"/>
        <v>3つ折り</v>
      </c>
      <c r="T841" s="538" t="str">
        <f t="shared" si="92"/>
        <v>10</v>
      </c>
      <c r="U841" s="538" t="str">
        <f t="shared" si="93"/>
        <v>03</v>
      </c>
      <c r="V841" s="471" t="s">
        <v>1136</v>
      </c>
      <c r="Y841" s="472">
        <f t="shared" si="94"/>
        <v>7</v>
      </c>
      <c r="Z841" s="540">
        <f t="shared" si="95"/>
        <v>0.56000000000000005</v>
      </c>
      <c r="AA841" s="471">
        <v>0</v>
      </c>
    </row>
    <row r="842" spans="1:27">
      <c r="A842" s="451" t="str">
        <f>CONCATENATE(VLOOKUP(B842,★営業所!$A$1:$B$5,2,FALSE),VLOOKUP(D842,★サイズ表記!$D$4:$E$55,2,FALSE),VLOOKUP(F842,★折込地区!$A$1:$B$11,2,FALSE))</f>
        <v>S1004Kry</v>
      </c>
      <c r="B842" s="457" t="s">
        <v>276</v>
      </c>
      <c r="C842" s="452" t="str">
        <f>VLOOKUP(B842,★営業所!$A$1:$B$5,2,FALSE)</f>
        <v>S</v>
      </c>
      <c r="D842" s="465" t="s">
        <v>947</v>
      </c>
      <c r="E842" s="452" t="str">
        <f>VLOOKUP(D842,★サイズ表記!$D$4:$E$55,2,FALSE)</f>
        <v>1004</v>
      </c>
      <c r="F842" s="457" t="s">
        <v>1602</v>
      </c>
      <c r="G842" s="452" t="str">
        <f>VLOOKUP(F842,★折込地区!$A$1:$B$11,2,FALSE)</f>
        <v>Kry</v>
      </c>
      <c r="H842" s="453">
        <f>INDEX(★サイズ表記!$I$4:$Q$55, MATCH(E842,★サイズ表記!$E$4:$E$55,0), MATCH(G842,★サイズ表記!$I$3:$R$3,0))</f>
        <v>7</v>
      </c>
      <c r="K842" s="471" t="str">
        <f t="shared" si="96"/>
        <v>S1004Kry</v>
      </c>
      <c r="L842" s="471" t="str">
        <f t="shared" si="97"/>
        <v>観音折</v>
      </c>
      <c r="P842" s="533" t="s">
        <v>1324</v>
      </c>
      <c r="Q842" s="533" t="s">
        <v>1325</v>
      </c>
      <c r="R842" s="534" t="str">
        <f t="shared" si="98"/>
        <v>1004</v>
      </c>
      <c r="S842" s="534" t="str">
        <f t="shared" si="99"/>
        <v>観音折</v>
      </c>
      <c r="T842" s="538" t="str">
        <f t="shared" si="92"/>
        <v>10</v>
      </c>
      <c r="U842" s="538" t="str">
        <f t="shared" si="93"/>
        <v>04</v>
      </c>
      <c r="V842" s="471" t="s">
        <v>1136</v>
      </c>
      <c r="Y842" s="472">
        <f t="shared" si="94"/>
        <v>7</v>
      </c>
      <c r="Z842" s="540">
        <f t="shared" si="95"/>
        <v>0.56000000000000005</v>
      </c>
      <c r="AA842" s="471">
        <v>0</v>
      </c>
    </row>
    <row r="843" spans="1:27">
      <c r="A843" s="451" t="str">
        <f>CONCATENATE(VLOOKUP(B843,★営業所!$A$1:$B$5,2,FALSE),VLOOKUP(D843,★サイズ表記!$D$4:$E$55,2,FALSE),VLOOKUP(F843,★折込地区!$A$1:$B$11,2,FALSE))</f>
        <v>S1005Kry</v>
      </c>
      <c r="B843" s="457" t="s">
        <v>276</v>
      </c>
      <c r="C843" s="452" t="str">
        <f>VLOOKUP(B843,★営業所!$A$1:$B$5,2,FALSE)</f>
        <v>S</v>
      </c>
      <c r="D843" s="465" t="s">
        <v>952</v>
      </c>
      <c r="E843" s="452" t="str">
        <f>VLOOKUP(D843,★サイズ表記!$D$4:$E$55,2,FALSE)</f>
        <v>1005</v>
      </c>
      <c r="F843" s="457" t="s">
        <v>1602</v>
      </c>
      <c r="G843" s="452" t="str">
        <f>VLOOKUP(F843,★折込地区!$A$1:$B$11,2,FALSE)</f>
        <v>Kry</v>
      </c>
      <c r="H843" s="453">
        <f>INDEX(★サイズ表記!$I$4:$Q$55, MATCH(E843,★サイズ表記!$E$4:$E$55,0), MATCH(G843,★サイズ表記!$I$3:$R$3,0))</f>
        <v>7</v>
      </c>
      <c r="K843" s="471" t="str">
        <f t="shared" si="96"/>
        <v>S1005Kry</v>
      </c>
      <c r="L843" s="471" t="str">
        <f t="shared" si="97"/>
        <v>B2（4つ折り）</v>
      </c>
      <c r="P843" s="533" t="s">
        <v>1324</v>
      </c>
      <c r="Q843" s="533" t="s">
        <v>1325</v>
      </c>
      <c r="R843" s="534" t="str">
        <f t="shared" si="98"/>
        <v>1005</v>
      </c>
      <c r="S843" s="534" t="str">
        <f t="shared" si="99"/>
        <v>B2（4つ折り）</v>
      </c>
      <c r="T843" s="538" t="str">
        <f t="shared" si="92"/>
        <v>10</v>
      </c>
      <c r="U843" s="538" t="str">
        <f t="shared" si="93"/>
        <v>05</v>
      </c>
      <c r="V843" s="471" t="s">
        <v>1136</v>
      </c>
      <c r="Y843" s="472">
        <f t="shared" si="94"/>
        <v>7</v>
      </c>
      <c r="Z843" s="540">
        <f t="shared" si="95"/>
        <v>0.56000000000000005</v>
      </c>
      <c r="AA843" s="471">
        <v>0</v>
      </c>
    </row>
    <row r="844" spans="1:27">
      <c r="A844" s="451" t="str">
        <f>CONCATENATE(VLOOKUP(B844,★営業所!$A$1:$B$5,2,FALSE),VLOOKUP(D844,★サイズ表記!$D$4:$E$55,2,FALSE),VLOOKUP(F844,★折込地区!$A$1:$B$11,2,FALSE))</f>
        <v>S1006Kry</v>
      </c>
      <c r="B844" s="457" t="s">
        <v>276</v>
      </c>
      <c r="C844" s="452" t="str">
        <f>VLOOKUP(B844,★営業所!$A$1:$B$5,2,FALSE)</f>
        <v>S</v>
      </c>
      <c r="D844" s="465" t="s">
        <v>955</v>
      </c>
      <c r="E844" s="452" t="str">
        <f>VLOOKUP(D844,★サイズ表記!$D$4:$E$55,2,FALSE)</f>
        <v>1006</v>
      </c>
      <c r="F844" s="457" t="s">
        <v>1602</v>
      </c>
      <c r="G844" s="452" t="str">
        <f>VLOOKUP(F844,★折込地区!$A$1:$B$11,2,FALSE)</f>
        <v>Kry</v>
      </c>
      <c r="H844" s="453">
        <f>INDEX(★サイズ表記!$I$4:$Q$55, MATCH(E844,★サイズ表記!$E$4:$E$55,0), MATCH(G844,★サイズ表記!$I$3:$R$3,0))</f>
        <v>15</v>
      </c>
      <c r="K844" s="471" t="str">
        <f t="shared" si="96"/>
        <v>S1006Kry</v>
      </c>
      <c r="L844" s="471" t="str">
        <f t="shared" si="97"/>
        <v>B1（8折り）</v>
      </c>
      <c r="P844" s="533" t="s">
        <v>1324</v>
      </c>
      <c r="Q844" s="533" t="s">
        <v>1325</v>
      </c>
      <c r="R844" s="534" t="str">
        <f t="shared" si="98"/>
        <v>1006</v>
      </c>
      <c r="S844" s="534" t="str">
        <f t="shared" si="99"/>
        <v>B1（8折り）</v>
      </c>
      <c r="T844" s="538" t="str">
        <f t="shared" si="92"/>
        <v>10</v>
      </c>
      <c r="U844" s="538" t="str">
        <f t="shared" si="93"/>
        <v>06</v>
      </c>
      <c r="V844" s="471" t="s">
        <v>1136</v>
      </c>
      <c r="Y844" s="472">
        <f t="shared" si="94"/>
        <v>15</v>
      </c>
      <c r="Z844" s="540">
        <f t="shared" si="95"/>
        <v>1.2</v>
      </c>
      <c r="AA844" s="471">
        <v>0</v>
      </c>
    </row>
    <row r="845" spans="1:27">
      <c r="A845" s="451" t="str">
        <f>CONCATENATE(VLOOKUP(B845,★営業所!$A$1:$B$5,2,FALSE),VLOOKUP(D845,★サイズ表記!$D$4:$E$55,2,FALSE),VLOOKUP(F845,★折込地区!$A$1:$B$11,2,FALSE))</f>
        <v>S1007Kry</v>
      </c>
      <c r="B845" s="457" t="s">
        <v>276</v>
      </c>
      <c r="C845" s="452" t="str">
        <f>VLOOKUP(B845,★営業所!$A$1:$B$5,2,FALSE)</f>
        <v>S</v>
      </c>
      <c r="D845" s="465" t="s">
        <v>956</v>
      </c>
      <c r="E845" s="452" t="str">
        <f>VLOOKUP(D845,★サイズ表記!$D$4:$E$55,2,FALSE)</f>
        <v>1007</v>
      </c>
      <c r="F845" s="457" t="s">
        <v>1602</v>
      </c>
      <c r="G845" s="452" t="str">
        <f>VLOOKUP(F845,★折込地区!$A$1:$B$11,2,FALSE)</f>
        <v>Kry</v>
      </c>
      <c r="H845" s="453">
        <f>INDEX(★サイズ表記!$I$4:$Q$55, MATCH(E845,★サイズ表記!$E$4:$E$55,0), MATCH(G845,★サイズ表記!$I$3:$R$3,0))</f>
        <v>3.3</v>
      </c>
      <c r="K845" s="471" t="str">
        <f t="shared" si="96"/>
        <v>S1007Kry</v>
      </c>
      <c r="L845" s="471" t="str">
        <f t="shared" si="97"/>
        <v>B4厚紙</v>
      </c>
      <c r="P845" s="533" t="s">
        <v>1324</v>
      </c>
      <c r="Q845" s="533" t="s">
        <v>1325</v>
      </c>
      <c r="R845" s="534" t="str">
        <f t="shared" si="98"/>
        <v>1007</v>
      </c>
      <c r="S845" s="534" t="str">
        <f t="shared" si="99"/>
        <v>B4厚紙</v>
      </c>
      <c r="T845" s="538" t="str">
        <f t="shared" si="92"/>
        <v>10</v>
      </c>
      <c r="U845" s="538" t="str">
        <f t="shared" si="93"/>
        <v>07</v>
      </c>
      <c r="V845" s="471" t="s">
        <v>1136</v>
      </c>
      <c r="Y845" s="472">
        <f t="shared" si="94"/>
        <v>3.3</v>
      </c>
      <c r="Z845" s="540">
        <f t="shared" si="95"/>
        <v>0.26</v>
      </c>
      <c r="AA845" s="471">
        <v>0</v>
      </c>
    </row>
    <row r="846" spans="1:27">
      <c r="A846" s="451" t="str">
        <f>CONCATENATE(VLOOKUP(B846,★営業所!$A$1:$B$5,2,FALSE),VLOOKUP(D846,★サイズ表記!$D$4:$E$55,2,FALSE),VLOOKUP(F846,★折込地区!$A$1:$B$11,2,FALSE))</f>
        <v>S1008Kry</v>
      </c>
      <c r="B846" s="457" t="s">
        <v>276</v>
      </c>
      <c r="C846" s="452" t="str">
        <f>VLOOKUP(B846,★営業所!$A$1:$B$5,2,FALSE)</f>
        <v>S</v>
      </c>
      <c r="D846" s="465" t="s">
        <v>957</v>
      </c>
      <c r="E846" s="452" t="str">
        <f>VLOOKUP(D846,★サイズ表記!$D$4:$E$55,2,FALSE)</f>
        <v>1008</v>
      </c>
      <c r="F846" s="457" t="s">
        <v>1602</v>
      </c>
      <c r="G846" s="452" t="str">
        <f>VLOOKUP(F846,★折込地区!$A$1:$B$11,2,FALSE)</f>
        <v>Kry</v>
      </c>
      <c r="H846" s="453">
        <f>INDEX(★サイズ表記!$I$4:$Q$55, MATCH(E846,★サイズ表記!$E$4:$E$55,0), MATCH(G846,★サイズ表記!$I$3:$R$3,0))</f>
        <v>4.4000000000000004</v>
      </c>
      <c r="K846" s="471" t="str">
        <f t="shared" si="96"/>
        <v>S1008Kry</v>
      </c>
      <c r="L846" s="471" t="str">
        <f t="shared" si="97"/>
        <v>B3厚紙</v>
      </c>
      <c r="P846" s="533" t="s">
        <v>1324</v>
      </c>
      <c r="Q846" s="533" t="s">
        <v>1325</v>
      </c>
      <c r="R846" s="534" t="str">
        <f t="shared" si="98"/>
        <v>1008</v>
      </c>
      <c r="S846" s="534" t="str">
        <f t="shared" si="99"/>
        <v>B3厚紙</v>
      </c>
      <c r="T846" s="538" t="str">
        <f t="shared" si="92"/>
        <v>10</v>
      </c>
      <c r="U846" s="538" t="str">
        <f t="shared" si="93"/>
        <v>08</v>
      </c>
      <c r="V846" s="471" t="s">
        <v>1136</v>
      </c>
      <c r="Y846" s="472">
        <f t="shared" si="94"/>
        <v>4.4000000000000004</v>
      </c>
      <c r="Z846" s="540">
        <f t="shared" si="95"/>
        <v>0.35</v>
      </c>
      <c r="AA846" s="471">
        <v>0</v>
      </c>
    </row>
    <row r="847" spans="1:27">
      <c r="A847" s="451" t="str">
        <f>CONCATENATE(VLOOKUP(B847,★営業所!$A$1:$B$5,2,FALSE),VLOOKUP(D847,★サイズ表記!$D$4:$E$55,2,FALSE),VLOOKUP(F847,★折込地区!$A$1:$B$11,2,FALSE))</f>
        <v>S1009Kry</v>
      </c>
      <c r="B847" s="457" t="s">
        <v>276</v>
      </c>
      <c r="C847" s="452" t="str">
        <f>VLOOKUP(B847,★営業所!$A$1:$B$5,2,FALSE)</f>
        <v>S</v>
      </c>
      <c r="D847" s="465" t="s">
        <v>958</v>
      </c>
      <c r="E847" s="452" t="str">
        <f>VLOOKUP(D847,★サイズ表記!$D$4:$E$55,2,FALSE)</f>
        <v>1009</v>
      </c>
      <c r="F847" s="457" t="s">
        <v>1602</v>
      </c>
      <c r="G847" s="452" t="str">
        <f>VLOOKUP(F847,★折込地区!$A$1:$B$11,2,FALSE)</f>
        <v>Kry</v>
      </c>
      <c r="H847" s="453">
        <f>INDEX(★サイズ表記!$I$4:$Q$55, MATCH(E847,★サイズ表記!$E$4:$E$55,0), MATCH(G847,★サイズ表記!$I$3:$R$3,0))</f>
        <v>7.5</v>
      </c>
      <c r="K847" s="471" t="str">
        <f t="shared" si="96"/>
        <v>S1009Kry</v>
      </c>
      <c r="L847" s="471" t="str">
        <f t="shared" si="97"/>
        <v>B2厚紙</v>
      </c>
      <c r="P847" s="533" t="s">
        <v>1324</v>
      </c>
      <c r="Q847" s="533" t="s">
        <v>1325</v>
      </c>
      <c r="R847" s="534" t="str">
        <f t="shared" si="98"/>
        <v>1009</v>
      </c>
      <c r="S847" s="534" t="str">
        <f t="shared" si="99"/>
        <v>B2厚紙</v>
      </c>
      <c r="T847" s="538" t="str">
        <f t="shared" si="92"/>
        <v>10</v>
      </c>
      <c r="U847" s="538" t="str">
        <f t="shared" si="93"/>
        <v>09</v>
      </c>
      <c r="V847" s="471" t="s">
        <v>1136</v>
      </c>
      <c r="Y847" s="472">
        <f t="shared" si="94"/>
        <v>7.5</v>
      </c>
      <c r="Z847" s="540">
        <f t="shared" si="95"/>
        <v>0.6</v>
      </c>
      <c r="AA847" s="471">
        <v>0</v>
      </c>
    </row>
    <row r="848" spans="1:27">
      <c r="A848" s="451" t="str">
        <f>CONCATENATE(VLOOKUP(B848,★営業所!$A$1:$B$5,2,FALSE),VLOOKUP(D848,★サイズ表記!$D$4:$E$55,2,FALSE),VLOOKUP(F848,★折込地区!$A$1:$B$11,2,FALSE))</f>
        <v>S1010Kry</v>
      </c>
      <c r="B848" s="457" t="s">
        <v>276</v>
      </c>
      <c r="C848" s="452" t="str">
        <f>VLOOKUP(B848,★営業所!$A$1:$B$5,2,FALSE)</f>
        <v>S</v>
      </c>
      <c r="D848" s="465" t="s">
        <v>959</v>
      </c>
      <c r="E848" s="452" t="str">
        <f>VLOOKUP(D848,★サイズ表記!$D$4:$E$55,2,FALSE)</f>
        <v>1010</v>
      </c>
      <c r="F848" s="457" t="s">
        <v>1602</v>
      </c>
      <c r="G848" s="452" t="str">
        <f>VLOOKUP(F848,★折込地区!$A$1:$B$11,2,FALSE)</f>
        <v>Kry</v>
      </c>
      <c r="H848" s="453">
        <f>INDEX(★サイズ表記!$I$4:$Q$55, MATCH(E848,★サイズ表記!$E$4:$E$55,0), MATCH(G848,★サイズ表記!$I$3:$R$3,0))</f>
        <v>4.2</v>
      </c>
      <c r="K848" s="471" t="str">
        <f t="shared" si="96"/>
        <v>S1010Kry</v>
      </c>
      <c r="L848" s="471" t="str">
        <f t="shared" si="97"/>
        <v>B4以下変形</v>
      </c>
      <c r="P848" s="533" t="s">
        <v>1324</v>
      </c>
      <c r="Q848" s="533" t="s">
        <v>1325</v>
      </c>
      <c r="R848" s="534" t="str">
        <f t="shared" si="98"/>
        <v>1010</v>
      </c>
      <c r="S848" s="534" t="str">
        <f t="shared" si="99"/>
        <v>B4以下変形</v>
      </c>
      <c r="T848" s="538" t="str">
        <f t="shared" si="92"/>
        <v>10</v>
      </c>
      <c r="U848" s="538" t="str">
        <f t="shared" si="93"/>
        <v>10</v>
      </c>
      <c r="V848" s="471" t="s">
        <v>1136</v>
      </c>
      <c r="Y848" s="472">
        <f t="shared" si="94"/>
        <v>4.2</v>
      </c>
      <c r="Z848" s="540">
        <f t="shared" si="95"/>
        <v>0.33</v>
      </c>
      <c r="AA848" s="471">
        <v>0</v>
      </c>
    </row>
    <row r="849" spans="1:27">
      <c r="A849" s="451" t="str">
        <f>CONCATENATE(VLOOKUP(B849,★営業所!$A$1:$B$5,2,FALSE),VLOOKUP(D849,★サイズ表記!$D$4:$E$55,2,FALSE),VLOOKUP(F849,★折込地区!$A$1:$B$11,2,FALSE))</f>
        <v>S1011Kry</v>
      </c>
      <c r="B849" s="457" t="s">
        <v>276</v>
      </c>
      <c r="C849" s="452" t="str">
        <f>VLOOKUP(B849,★営業所!$A$1:$B$5,2,FALSE)</f>
        <v>S</v>
      </c>
      <c r="D849" s="465" t="s">
        <v>960</v>
      </c>
      <c r="E849" s="452" t="str">
        <f>VLOOKUP(D849,★サイズ表記!$D$4:$E$55,2,FALSE)</f>
        <v>1011</v>
      </c>
      <c r="F849" s="457" t="s">
        <v>1602</v>
      </c>
      <c r="G849" s="452" t="str">
        <f>VLOOKUP(F849,★折込地区!$A$1:$B$11,2,FALSE)</f>
        <v>Kry</v>
      </c>
      <c r="H849" s="453">
        <f>INDEX(★サイズ表記!$I$4:$Q$55, MATCH(E849,★サイズ表記!$E$4:$E$55,0), MATCH(G849,★サイズ表記!$I$3:$R$3,0))</f>
        <v>3.8</v>
      </c>
      <c r="K849" s="471" t="str">
        <f t="shared" si="96"/>
        <v>S1011Kry</v>
      </c>
      <c r="L849" s="471" t="str">
        <f t="shared" si="97"/>
        <v>B4シール付き</v>
      </c>
      <c r="P849" s="533" t="s">
        <v>1324</v>
      </c>
      <c r="Q849" s="533" t="s">
        <v>1325</v>
      </c>
      <c r="R849" s="534" t="str">
        <f t="shared" si="98"/>
        <v>1011</v>
      </c>
      <c r="S849" s="534" t="str">
        <f t="shared" si="99"/>
        <v>B4シール付き</v>
      </c>
      <c r="T849" s="538" t="str">
        <f t="shared" si="92"/>
        <v>10</v>
      </c>
      <c r="U849" s="538" t="str">
        <f t="shared" si="93"/>
        <v>11</v>
      </c>
      <c r="V849" s="471" t="s">
        <v>1136</v>
      </c>
      <c r="Y849" s="472">
        <f t="shared" si="94"/>
        <v>3.8</v>
      </c>
      <c r="Z849" s="540">
        <f t="shared" si="95"/>
        <v>0.3</v>
      </c>
      <c r="AA849" s="471">
        <v>0</v>
      </c>
    </row>
    <row r="850" spans="1:27">
      <c r="A850" s="451" t="str">
        <f>CONCATENATE(VLOOKUP(B850,★営業所!$A$1:$B$5,2,FALSE),VLOOKUP(D850,★サイズ表記!$D$4:$E$55,2,FALSE),VLOOKUP(F850,★折込地区!$A$1:$B$11,2,FALSE))</f>
        <v>S1012Kry</v>
      </c>
      <c r="B850" s="457" t="s">
        <v>276</v>
      </c>
      <c r="C850" s="452" t="str">
        <f>VLOOKUP(B850,★営業所!$A$1:$B$5,2,FALSE)</f>
        <v>S</v>
      </c>
      <c r="D850" s="465" t="s">
        <v>961</v>
      </c>
      <c r="E850" s="452" t="str">
        <f>VLOOKUP(D850,★サイズ表記!$D$4:$E$55,2,FALSE)</f>
        <v>1012</v>
      </c>
      <c r="F850" s="457" t="s">
        <v>1602</v>
      </c>
      <c r="G850" s="452" t="str">
        <f>VLOOKUP(F850,★折込地区!$A$1:$B$11,2,FALSE)</f>
        <v>Kry</v>
      </c>
      <c r="H850" s="453">
        <f>INDEX(★サイズ表記!$I$4:$Q$55, MATCH(E850,★サイズ表記!$E$4:$E$55,0), MATCH(G850,★サイズ表記!$I$3:$R$3,0))</f>
        <v>4.9000000000000004</v>
      </c>
      <c r="K850" s="471" t="str">
        <f t="shared" si="96"/>
        <v>S1012Kry</v>
      </c>
      <c r="L850" s="471" t="str">
        <f t="shared" si="97"/>
        <v>B3シール付き</v>
      </c>
      <c r="P850" s="533" t="s">
        <v>1324</v>
      </c>
      <c r="Q850" s="533" t="s">
        <v>1325</v>
      </c>
      <c r="R850" s="534" t="str">
        <f t="shared" si="98"/>
        <v>1012</v>
      </c>
      <c r="S850" s="534" t="str">
        <f t="shared" si="99"/>
        <v>B3シール付き</v>
      </c>
      <c r="T850" s="538" t="str">
        <f t="shared" si="92"/>
        <v>10</v>
      </c>
      <c r="U850" s="538" t="str">
        <f t="shared" si="93"/>
        <v>12</v>
      </c>
      <c r="V850" s="471" t="s">
        <v>1136</v>
      </c>
      <c r="Y850" s="472">
        <f t="shared" si="94"/>
        <v>4.9000000000000004</v>
      </c>
      <c r="Z850" s="540">
        <f t="shared" si="95"/>
        <v>0.39</v>
      </c>
      <c r="AA850" s="471">
        <v>0</v>
      </c>
    </row>
    <row r="851" spans="1:27">
      <c r="A851" s="451" t="str">
        <f>CONCATENATE(VLOOKUP(B851,★営業所!$A$1:$B$5,2,FALSE),VLOOKUP(D851,★サイズ表記!$D$4:$E$55,2,FALSE),VLOOKUP(F851,★折込地区!$A$1:$B$11,2,FALSE))</f>
        <v>S1013Kry</v>
      </c>
      <c r="B851" s="457" t="s">
        <v>276</v>
      </c>
      <c r="C851" s="452" t="str">
        <f>VLOOKUP(B851,★営業所!$A$1:$B$5,2,FALSE)</f>
        <v>S</v>
      </c>
      <c r="D851" s="465" t="s">
        <v>962</v>
      </c>
      <c r="E851" s="452" t="str">
        <f>VLOOKUP(D851,★サイズ表記!$D$4:$E$55,2,FALSE)</f>
        <v>1013</v>
      </c>
      <c r="F851" s="457" t="s">
        <v>1602</v>
      </c>
      <c r="G851" s="452" t="str">
        <f>VLOOKUP(F851,★折込地区!$A$1:$B$11,2,FALSE)</f>
        <v>Kry</v>
      </c>
      <c r="H851" s="453">
        <f>INDEX(★サイズ表記!$I$4:$Q$55, MATCH(E851,★サイズ表記!$E$4:$E$55,0), MATCH(G851,★サイズ表記!$I$3:$R$3,0))</f>
        <v>3.8</v>
      </c>
      <c r="K851" s="471" t="str">
        <f t="shared" si="96"/>
        <v>S1013Kry</v>
      </c>
      <c r="L851" s="471" t="str">
        <f t="shared" si="97"/>
        <v>B4スクラッチ付き</v>
      </c>
      <c r="P851" s="533" t="s">
        <v>1324</v>
      </c>
      <c r="Q851" s="533" t="s">
        <v>1325</v>
      </c>
      <c r="R851" s="534" t="str">
        <f t="shared" si="98"/>
        <v>1013</v>
      </c>
      <c r="S851" s="534" t="str">
        <f t="shared" si="99"/>
        <v>B4スクラッチ付き</v>
      </c>
      <c r="T851" s="538" t="str">
        <f t="shared" si="92"/>
        <v>10</v>
      </c>
      <c r="U851" s="538" t="str">
        <f t="shared" si="93"/>
        <v>13</v>
      </c>
      <c r="V851" s="471" t="s">
        <v>1136</v>
      </c>
      <c r="Y851" s="472">
        <f t="shared" si="94"/>
        <v>3.8</v>
      </c>
      <c r="Z851" s="540">
        <f t="shared" si="95"/>
        <v>0.3</v>
      </c>
      <c r="AA851" s="471">
        <v>0</v>
      </c>
    </row>
    <row r="852" spans="1:27">
      <c r="A852" s="451" t="str">
        <f>CONCATENATE(VLOOKUP(B852,★営業所!$A$1:$B$5,2,FALSE),VLOOKUP(D852,★サイズ表記!$D$4:$E$55,2,FALSE),VLOOKUP(F852,★折込地区!$A$1:$B$11,2,FALSE))</f>
        <v>S2001Kry</v>
      </c>
      <c r="B852" s="457" t="s">
        <v>276</v>
      </c>
      <c r="C852" s="452" t="str">
        <f>VLOOKUP(B852,★営業所!$A$1:$B$5,2,FALSE)</f>
        <v>S</v>
      </c>
      <c r="D852" s="465" t="s">
        <v>963</v>
      </c>
      <c r="E852" s="452" t="str">
        <f>VLOOKUP(D852,★サイズ表記!$D$4:$E$55,2,FALSE)</f>
        <v>2001</v>
      </c>
      <c r="F852" s="457" t="s">
        <v>1602</v>
      </c>
      <c r="G852" s="452" t="str">
        <f>VLOOKUP(F852,★折込地区!$A$1:$B$11,2,FALSE)</f>
        <v>Kry</v>
      </c>
      <c r="H852" s="453">
        <f>INDEX(★サイズ表記!$I$4:$Q$55, MATCH(E852,★サイズ表記!$E$4:$E$55,0), MATCH(G852,★サイズ表記!$I$3:$R$3,0))</f>
        <v>4.2</v>
      </c>
      <c r="K852" s="471" t="str">
        <f t="shared" si="96"/>
        <v>S2001Kry</v>
      </c>
      <c r="L852" s="471" t="str">
        <f t="shared" si="97"/>
        <v>連合B4</v>
      </c>
      <c r="P852" s="533" t="s">
        <v>1324</v>
      </c>
      <c r="Q852" s="533" t="s">
        <v>1325</v>
      </c>
      <c r="R852" s="534" t="str">
        <f t="shared" si="98"/>
        <v>2001</v>
      </c>
      <c r="S852" s="534" t="str">
        <f t="shared" si="99"/>
        <v>連合B4</v>
      </c>
      <c r="T852" s="538" t="str">
        <f t="shared" si="92"/>
        <v>20</v>
      </c>
      <c r="U852" s="538" t="str">
        <f t="shared" si="93"/>
        <v>01</v>
      </c>
      <c r="V852" s="471" t="s">
        <v>1136</v>
      </c>
      <c r="Y852" s="472">
        <f t="shared" si="94"/>
        <v>4.2</v>
      </c>
      <c r="Z852" s="540">
        <f t="shared" si="95"/>
        <v>0.33</v>
      </c>
      <c r="AA852" s="471">
        <v>0</v>
      </c>
    </row>
    <row r="853" spans="1:27">
      <c r="A853" s="451" t="str">
        <f>CONCATENATE(VLOOKUP(B853,★営業所!$A$1:$B$5,2,FALSE),VLOOKUP(D853,★サイズ表記!$D$4:$E$55,2,FALSE),VLOOKUP(F853,★折込地区!$A$1:$B$11,2,FALSE))</f>
        <v>S2002Kry</v>
      </c>
      <c r="B853" s="457" t="s">
        <v>276</v>
      </c>
      <c r="C853" s="452" t="str">
        <f>VLOOKUP(B853,★営業所!$A$1:$B$5,2,FALSE)</f>
        <v>S</v>
      </c>
      <c r="D853" s="465" t="s">
        <v>964</v>
      </c>
      <c r="E853" s="452" t="str">
        <f>VLOOKUP(D853,★サイズ表記!$D$4:$E$55,2,FALSE)</f>
        <v>2002</v>
      </c>
      <c r="F853" s="457" t="s">
        <v>1602</v>
      </c>
      <c r="G853" s="452" t="str">
        <f>VLOOKUP(F853,★折込地区!$A$1:$B$11,2,FALSE)</f>
        <v>Kry</v>
      </c>
      <c r="H853" s="453">
        <f>INDEX(★サイズ表記!$I$4:$Q$55, MATCH(E853,★サイズ表記!$E$4:$E$55,0), MATCH(G853,★サイズ表記!$I$3:$R$3,0))</f>
        <v>5.85</v>
      </c>
      <c r="K853" s="471" t="str">
        <f t="shared" si="96"/>
        <v>S2002Kry</v>
      </c>
      <c r="L853" s="471" t="str">
        <f t="shared" si="97"/>
        <v>連合B3</v>
      </c>
      <c r="P853" s="533" t="s">
        <v>1324</v>
      </c>
      <c r="Q853" s="533" t="s">
        <v>1325</v>
      </c>
      <c r="R853" s="534" t="str">
        <f t="shared" si="98"/>
        <v>2002</v>
      </c>
      <c r="S853" s="534" t="str">
        <f t="shared" si="99"/>
        <v>連合B3</v>
      </c>
      <c r="T853" s="538" t="str">
        <f t="shared" si="92"/>
        <v>20</v>
      </c>
      <c r="U853" s="538" t="str">
        <f t="shared" si="93"/>
        <v>02</v>
      </c>
      <c r="V853" s="471" t="s">
        <v>1136</v>
      </c>
      <c r="Y853" s="472">
        <f t="shared" si="94"/>
        <v>5.85</v>
      </c>
      <c r="Z853" s="540">
        <f t="shared" si="95"/>
        <v>0.46</v>
      </c>
      <c r="AA853" s="471">
        <v>0</v>
      </c>
    </row>
    <row r="854" spans="1:27">
      <c r="A854" s="451" t="str">
        <f>CONCATENATE(VLOOKUP(B854,★営業所!$A$1:$B$5,2,FALSE),VLOOKUP(D854,★サイズ表記!$D$4:$E$55,2,FALSE),VLOOKUP(F854,★折込地区!$A$1:$B$11,2,FALSE))</f>
        <v>S2003Kry</v>
      </c>
      <c r="B854" s="457" t="s">
        <v>276</v>
      </c>
      <c r="C854" s="452" t="str">
        <f>VLOOKUP(B854,★営業所!$A$1:$B$5,2,FALSE)</f>
        <v>S</v>
      </c>
      <c r="D854" s="465" t="s">
        <v>965</v>
      </c>
      <c r="E854" s="452" t="str">
        <f>VLOOKUP(D854,★サイズ表記!$D$4:$E$55,2,FALSE)</f>
        <v>2003</v>
      </c>
      <c r="F854" s="457" t="s">
        <v>1602</v>
      </c>
      <c r="G854" s="452" t="str">
        <f>VLOOKUP(F854,★折込地区!$A$1:$B$11,2,FALSE)</f>
        <v>Kry</v>
      </c>
      <c r="H854" s="453">
        <f>INDEX(★サイズ表記!$I$4:$Q$55, MATCH(E854,★サイズ表記!$E$4:$E$55,0), MATCH(G854,★サイズ表記!$I$3:$R$3,0))</f>
        <v>10.5</v>
      </c>
      <c r="K854" s="471" t="str">
        <f t="shared" si="96"/>
        <v>S2003Kry</v>
      </c>
      <c r="L854" s="471" t="str">
        <f t="shared" si="97"/>
        <v>連合B2</v>
      </c>
      <c r="P854" s="533" t="s">
        <v>1324</v>
      </c>
      <c r="Q854" s="533" t="s">
        <v>1325</v>
      </c>
      <c r="R854" s="534" t="str">
        <f t="shared" si="98"/>
        <v>2003</v>
      </c>
      <c r="S854" s="534" t="str">
        <f t="shared" si="99"/>
        <v>連合B2</v>
      </c>
      <c r="T854" s="538" t="str">
        <f t="shared" si="92"/>
        <v>20</v>
      </c>
      <c r="U854" s="538" t="str">
        <f t="shared" si="93"/>
        <v>03</v>
      </c>
      <c r="V854" s="471" t="s">
        <v>1136</v>
      </c>
      <c r="Y854" s="472">
        <f t="shared" si="94"/>
        <v>10.5</v>
      </c>
      <c r="Z854" s="540">
        <f t="shared" si="95"/>
        <v>0.84</v>
      </c>
      <c r="AA854" s="471">
        <v>0</v>
      </c>
    </row>
    <row r="855" spans="1:27">
      <c r="A855" s="451" t="str">
        <f>CONCATENATE(VLOOKUP(B855,★営業所!$A$1:$B$5,2,FALSE),VLOOKUP(D855,★サイズ表記!$D$4:$E$55,2,FALSE),VLOOKUP(F855,★折込地区!$A$1:$B$11,2,FALSE))</f>
        <v>S2004Kry</v>
      </c>
      <c r="B855" s="457" t="s">
        <v>276</v>
      </c>
      <c r="C855" s="452" t="str">
        <f>VLOOKUP(B855,★営業所!$A$1:$B$5,2,FALSE)</f>
        <v>S</v>
      </c>
      <c r="D855" s="465" t="s">
        <v>966</v>
      </c>
      <c r="E855" s="452" t="str">
        <f>VLOOKUP(D855,★サイズ表記!$D$4:$E$55,2,FALSE)</f>
        <v>2004</v>
      </c>
      <c r="F855" s="457" t="s">
        <v>1602</v>
      </c>
      <c r="G855" s="452" t="str">
        <f>VLOOKUP(F855,★折込地区!$A$1:$B$11,2,FALSE)</f>
        <v>Kry</v>
      </c>
      <c r="H855" s="453">
        <f>INDEX(★サイズ表記!$I$4:$Q$55, MATCH(E855,★サイズ表記!$E$4:$E$55,0), MATCH(G855,★サイズ表記!$I$3:$R$3,0))</f>
        <v>10.5</v>
      </c>
      <c r="K855" s="471" t="str">
        <f t="shared" si="96"/>
        <v>S2004Kry</v>
      </c>
      <c r="L855" s="471" t="str">
        <f t="shared" si="97"/>
        <v>連合3つ折り</v>
      </c>
      <c r="P855" s="533" t="s">
        <v>1324</v>
      </c>
      <c r="Q855" s="533" t="s">
        <v>1325</v>
      </c>
      <c r="R855" s="534" t="str">
        <f t="shared" si="98"/>
        <v>2004</v>
      </c>
      <c r="S855" s="534" t="str">
        <f t="shared" si="99"/>
        <v>連合3つ折り</v>
      </c>
      <c r="T855" s="538" t="str">
        <f t="shared" si="92"/>
        <v>20</v>
      </c>
      <c r="U855" s="538" t="str">
        <f t="shared" si="93"/>
        <v>04</v>
      </c>
      <c r="V855" s="471" t="s">
        <v>1136</v>
      </c>
      <c r="Y855" s="472">
        <f t="shared" si="94"/>
        <v>10.5</v>
      </c>
      <c r="Z855" s="540">
        <f t="shared" si="95"/>
        <v>0.84</v>
      </c>
      <c r="AA855" s="471">
        <v>0</v>
      </c>
    </row>
    <row r="856" spans="1:27">
      <c r="A856" s="451" t="str">
        <f>CONCATENATE(VLOOKUP(B856,★営業所!$A$1:$B$5,2,FALSE),VLOOKUP(D856,★サイズ表記!$D$4:$E$55,2,FALSE),VLOOKUP(F856,★折込地区!$A$1:$B$11,2,FALSE))</f>
        <v>S2005Kry</v>
      </c>
      <c r="B856" s="457" t="s">
        <v>276</v>
      </c>
      <c r="C856" s="452" t="str">
        <f>VLOOKUP(B856,★営業所!$A$1:$B$5,2,FALSE)</f>
        <v>S</v>
      </c>
      <c r="D856" s="465" t="s">
        <v>967</v>
      </c>
      <c r="E856" s="452" t="str">
        <f>VLOOKUP(D856,★サイズ表記!$D$4:$E$55,2,FALSE)</f>
        <v>2005</v>
      </c>
      <c r="F856" s="457" t="s">
        <v>1602</v>
      </c>
      <c r="G856" s="452" t="str">
        <f>VLOOKUP(F856,★折込地区!$A$1:$B$11,2,FALSE)</f>
        <v>Kry</v>
      </c>
      <c r="H856" s="453">
        <f>INDEX(★サイズ表記!$I$4:$Q$55, MATCH(E856,★サイズ表記!$E$4:$E$55,0), MATCH(G856,★サイズ表記!$I$3:$R$3,0))</f>
        <v>4.7</v>
      </c>
      <c r="K856" s="471" t="str">
        <f t="shared" si="96"/>
        <v>S2005Kry</v>
      </c>
      <c r="L856" s="471" t="str">
        <f t="shared" si="97"/>
        <v>連合B4厚紙</v>
      </c>
      <c r="P856" s="533" t="s">
        <v>1324</v>
      </c>
      <c r="Q856" s="533" t="s">
        <v>1325</v>
      </c>
      <c r="R856" s="534" t="str">
        <f t="shared" si="98"/>
        <v>2005</v>
      </c>
      <c r="S856" s="534" t="str">
        <f t="shared" si="99"/>
        <v>連合B4厚紙</v>
      </c>
      <c r="T856" s="538" t="str">
        <f t="shared" si="92"/>
        <v>20</v>
      </c>
      <c r="U856" s="538" t="str">
        <f t="shared" si="93"/>
        <v>05</v>
      </c>
      <c r="V856" s="471" t="s">
        <v>1136</v>
      </c>
      <c r="Y856" s="472">
        <f t="shared" si="94"/>
        <v>4.7</v>
      </c>
      <c r="Z856" s="540">
        <f t="shared" si="95"/>
        <v>0.37</v>
      </c>
      <c r="AA856" s="471">
        <v>0</v>
      </c>
    </row>
    <row r="857" spans="1:27">
      <c r="A857" s="451" t="str">
        <f>CONCATENATE(VLOOKUP(B857,★営業所!$A$1:$B$5,2,FALSE),VLOOKUP(D857,★サイズ表記!$D$4:$E$55,2,FALSE),VLOOKUP(F857,★折込地区!$A$1:$B$11,2,FALSE))</f>
        <v>S2006Kry</v>
      </c>
      <c r="B857" s="457" t="s">
        <v>276</v>
      </c>
      <c r="C857" s="452" t="str">
        <f>VLOOKUP(B857,★営業所!$A$1:$B$5,2,FALSE)</f>
        <v>S</v>
      </c>
      <c r="D857" s="465" t="s">
        <v>968</v>
      </c>
      <c r="E857" s="452" t="str">
        <f>VLOOKUP(D857,★サイズ表記!$D$4:$E$55,2,FALSE)</f>
        <v>2006</v>
      </c>
      <c r="F857" s="457" t="s">
        <v>1602</v>
      </c>
      <c r="G857" s="452" t="str">
        <f>VLOOKUP(F857,★折込地区!$A$1:$B$11,2,FALSE)</f>
        <v>Kry</v>
      </c>
      <c r="H857" s="453">
        <f>INDEX(★サイズ表記!$I$4:$Q$55, MATCH(E857,★サイズ表記!$E$4:$E$55,0), MATCH(G857,★サイズ表記!$I$3:$R$3,0))</f>
        <v>7.35</v>
      </c>
      <c r="K857" s="471" t="str">
        <f t="shared" si="96"/>
        <v>S2006Kry</v>
      </c>
      <c r="L857" s="471" t="str">
        <f t="shared" si="97"/>
        <v>連合2つ折り極小</v>
      </c>
      <c r="P857" s="533" t="s">
        <v>1324</v>
      </c>
      <c r="Q857" s="533" t="s">
        <v>1325</v>
      </c>
      <c r="R857" s="534" t="str">
        <f t="shared" si="98"/>
        <v>2006</v>
      </c>
      <c r="S857" s="534" t="str">
        <f t="shared" si="99"/>
        <v>連合2つ折り極小</v>
      </c>
      <c r="T857" s="538" t="str">
        <f t="shared" si="92"/>
        <v>20</v>
      </c>
      <c r="U857" s="538" t="str">
        <f t="shared" si="93"/>
        <v>06</v>
      </c>
      <c r="V857" s="471" t="s">
        <v>1136</v>
      </c>
      <c r="Y857" s="472">
        <f t="shared" si="94"/>
        <v>7.35</v>
      </c>
      <c r="Z857" s="540">
        <f t="shared" si="95"/>
        <v>0.57999999999999996</v>
      </c>
      <c r="AA857" s="471">
        <v>0</v>
      </c>
    </row>
    <row r="858" spans="1:27">
      <c r="A858" s="451" t="str">
        <f>CONCATENATE(VLOOKUP(B858,★営業所!$A$1:$B$5,2,FALSE),VLOOKUP(D858,★サイズ表記!$D$4:$E$55,2,FALSE),VLOOKUP(F858,★折込地区!$A$1:$B$11,2,FALSE))</f>
        <v>S2007Kry</v>
      </c>
      <c r="B858" s="457" t="s">
        <v>276</v>
      </c>
      <c r="C858" s="452" t="str">
        <f>VLOOKUP(B858,★営業所!$A$1:$B$5,2,FALSE)</f>
        <v>S</v>
      </c>
      <c r="D858" s="465" t="s">
        <v>1365</v>
      </c>
      <c r="E858" s="452" t="str">
        <f>VLOOKUP(D858,★サイズ表記!$D$4:$E$55,2,FALSE)</f>
        <v>2007</v>
      </c>
      <c r="F858" s="457" t="s">
        <v>1602</v>
      </c>
      <c r="G858" s="452" t="str">
        <f>VLOOKUP(F858,★折込地区!$A$1:$B$11,2,FALSE)</f>
        <v>Kry</v>
      </c>
      <c r="H858" s="453">
        <f>INDEX(★サイズ表記!$I$4:$Q$55, MATCH(E858,★サイズ表記!$E$4:$E$55,0), MATCH(G858,★サイズ表記!$I$3:$R$3,0))</f>
        <v>10.050000000000001</v>
      </c>
      <c r="K858" s="471" t="str">
        <f t="shared" si="96"/>
        <v>S2007Kry</v>
      </c>
      <c r="L858" s="471" t="str">
        <f t="shared" si="97"/>
        <v>連合タブ6P</v>
      </c>
      <c r="P858" s="533" t="s">
        <v>1324</v>
      </c>
      <c r="Q858" s="533" t="s">
        <v>1325</v>
      </c>
      <c r="R858" s="534" t="str">
        <f t="shared" si="98"/>
        <v>2007</v>
      </c>
      <c r="S858" s="534" t="str">
        <f t="shared" si="99"/>
        <v>連合タブ6P</v>
      </c>
      <c r="T858" s="538" t="str">
        <f t="shared" si="92"/>
        <v>20</v>
      </c>
      <c r="U858" s="538" t="str">
        <f t="shared" si="93"/>
        <v>07</v>
      </c>
      <c r="V858" s="471" t="s">
        <v>1136</v>
      </c>
      <c r="Y858" s="472">
        <f t="shared" si="94"/>
        <v>10.050000000000001</v>
      </c>
      <c r="Z858" s="540">
        <f t="shared" si="95"/>
        <v>0.8</v>
      </c>
      <c r="AA858" s="471">
        <v>0</v>
      </c>
    </row>
    <row r="859" spans="1:27">
      <c r="A859" s="451" t="str">
        <f>CONCATENATE(VLOOKUP(B859,★営業所!$A$1:$B$5,2,FALSE),VLOOKUP(D859,★サイズ表記!$D$4:$E$55,2,FALSE),VLOOKUP(F859,★折込地区!$A$1:$B$11,2,FALSE))</f>
        <v>S2008Kry</v>
      </c>
      <c r="B859" s="457" t="s">
        <v>276</v>
      </c>
      <c r="C859" s="452" t="str">
        <f>VLOOKUP(B859,★営業所!$A$1:$B$5,2,FALSE)</f>
        <v>S</v>
      </c>
      <c r="D859" s="465" t="s">
        <v>1366</v>
      </c>
      <c r="E859" s="452" t="str">
        <f>VLOOKUP(D859,★サイズ表記!$D$4:$E$55,2,FALSE)</f>
        <v>2008</v>
      </c>
      <c r="F859" s="457" t="s">
        <v>1602</v>
      </c>
      <c r="G859" s="452" t="str">
        <f>VLOOKUP(F859,★折込地区!$A$1:$B$11,2,FALSE)</f>
        <v>Kry</v>
      </c>
      <c r="H859" s="453">
        <f>INDEX(★サイズ表記!$I$4:$Q$55, MATCH(E859,★サイズ表記!$E$4:$E$55,0), MATCH(G859,★サイズ表記!$I$3:$R$3,0))</f>
        <v>10.5</v>
      </c>
      <c r="K859" s="471" t="str">
        <f t="shared" si="96"/>
        <v>S2008Kry</v>
      </c>
      <c r="L859" s="471" t="str">
        <f t="shared" si="97"/>
        <v>連合タブ8P</v>
      </c>
      <c r="P859" s="533" t="s">
        <v>1324</v>
      </c>
      <c r="Q859" s="533" t="s">
        <v>1325</v>
      </c>
      <c r="R859" s="534" t="str">
        <f t="shared" si="98"/>
        <v>2008</v>
      </c>
      <c r="S859" s="534" t="str">
        <f t="shared" si="99"/>
        <v>連合タブ8P</v>
      </c>
      <c r="T859" s="538" t="str">
        <f t="shared" si="92"/>
        <v>20</v>
      </c>
      <c r="U859" s="538" t="str">
        <f t="shared" si="93"/>
        <v>08</v>
      </c>
      <c r="V859" s="471" t="s">
        <v>1136</v>
      </c>
      <c r="Y859" s="472">
        <f t="shared" si="94"/>
        <v>10.5</v>
      </c>
      <c r="Z859" s="540">
        <f t="shared" si="95"/>
        <v>0.84</v>
      </c>
      <c r="AA859" s="471">
        <v>0</v>
      </c>
    </row>
    <row r="860" spans="1:27">
      <c r="A860" s="451" t="str">
        <f>CONCATENATE(VLOOKUP(B860,★営業所!$A$1:$B$5,2,FALSE),VLOOKUP(D860,★サイズ表記!$D$4:$E$55,2,FALSE),VLOOKUP(F860,★折込地区!$A$1:$B$11,2,FALSE))</f>
        <v>S2009Kry</v>
      </c>
      <c r="B860" s="457" t="s">
        <v>276</v>
      </c>
      <c r="C860" s="452" t="str">
        <f>VLOOKUP(B860,★営業所!$A$1:$B$5,2,FALSE)</f>
        <v>S</v>
      </c>
      <c r="D860" s="465" t="s">
        <v>1364</v>
      </c>
      <c r="E860" s="452" t="str">
        <f>VLOOKUP(D860,★サイズ表記!$D$4:$E$55,2,FALSE)</f>
        <v>2009</v>
      </c>
      <c r="F860" s="457" t="s">
        <v>1602</v>
      </c>
      <c r="G860" s="452" t="str">
        <f>VLOOKUP(F860,★折込地区!$A$1:$B$11,2,FALSE)</f>
        <v>Kry</v>
      </c>
      <c r="H860" s="453">
        <f>INDEX(★サイズ表記!$I$4:$Q$55, MATCH(E860,★サイズ表記!$E$4:$E$55,0), MATCH(G860,★サイズ表記!$I$3:$R$3,0))</f>
        <v>16.350000000000001</v>
      </c>
      <c r="K860" s="471" t="str">
        <f t="shared" si="96"/>
        <v>S2009Kry</v>
      </c>
      <c r="L860" s="471" t="str">
        <f t="shared" si="97"/>
        <v>連合タブ12P</v>
      </c>
      <c r="P860" s="533" t="s">
        <v>1324</v>
      </c>
      <c r="Q860" s="533" t="s">
        <v>1325</v>
      </c>
      <c r="R860" s="534" t="str">
        <f t="shared" si="98"/>
        <v>2009</v>
      </c>
      <c r="S860" s="534" t="str">
        <f t="shared" si="99"/>
        <v>連合タブ12P</v>
      </c>
      <c r="T860" s="538" t="str">
        <f t="shared" si="92"/>
        <v>20</v>
      </c>
      <c r="U860" s="538" t="str">
        <f t="shared" si="93"/>
        <v>09</v>
      </c>
      <c r="V860" s="471" t="s">
        <v>1136</v>
      </c>
      <c r="Y860" s="472">
        <f t="shared" si="94"/>
        <v>16.350000000000001</v>
      </c>
      <c r="Z860" s="540">
        <f t="shared" si="95"/>
        <v>1.3</v>
      </c>
      <c r="AA860" s="471">
        <v>0</v>
      </c>
    </row>
    <row r="861" spans="1:27">
      <c r="A861" s="451" t="str">
        <f>CONCATENATE(VLOOKUP(B861,★営業所!$A$1:$B$5,2,FALSE),VLOOKUP(D861,★サイズ表記!$D$4:$E$55,2,FALSE),VLOOKUP(F861,★折込地区!$A$1:$B$11,2,FALSE))</f>
        <v>S3001Kry</v>
      </c>
      <c r="B861" s="457" t="s">
        <v>276</v>
      </c>
      <c r="C861" s="452" t="str">
        <f>VLOOKUP(B861,★営業所!$A$1:$B$5,2,FALSE)</f>
        <v>S</v>
      </c>
      <c r="D861" s="465" t="s">
        <v>969</v>
      </c>
      <c r="E861" s="452" t="str">
        <f>VLOOKUP(D861,★サイズ表記!$D$4:$E$55,2,FALSE)</f>
        <v>3001</v>
      </c>
      <c r="F861" s="457" t="s">
        <v>1602</v>
      </c>
      <c r="G861" s="452" t="str">
        <f>VLOOKUP(F861,★折込地区!$A$1:$B$11,2,FALSE)</f>
        <v>Kry</v>
      </c>
      <c r="H861" s="453">
        <f>INDEX(★サイズ表記!$I$4:$Q$55, MATCH(E861,★サイズ表記!$E$4:$E$55,0), MATCH(G861,★サイズ表記!$I$3:$R$3,0))</f>
        <v>4.2</v>
      </c>
      <c r="K861" s="471" t="str">
        <f t="shared" si="96"/>
        <v>S3001Kry</v>
      </c>
      <c r="L861" s="471" t="str">
        <f t="shared" si="97"/>
        <v>政治B4</v>
      </c>
      <c r="P861" s="533" t="s">
        <v>1324</v>
      </c>
      <c r="Q861" s="533" t="s">
        <v>1325</v>
      </c>
      <c r="R861" s="534" t="str">
        <f t="shared" si="98"/>
        <v>3001</v>
      </c>
      <c r="S861" s="534" t="str">
        <f t="shared" si="99"/>
        <v>政治B4</v>
      </c>
      <c r="T861" s="538" t="str">
        <f t="shared" si="92"/>
        <v>30</v>
      </c>
      <c r="U861" s="538" t="str">
        <f t="shared" si="93"/>
        <v>01</v>
      </c>
      <c r="V861" s="471" t="s">
        <v>1136</v>
      </c>
      <c r="Y861" s="472">
        <f t="shared" si="94"/>
        <v>4.2</v>
      </c>
      <c r="Z861" s="540">
        <f t="shared" si="95"/>
        <v>0.33</v>
      </c>
      <c r="AA861" s="471">
        <v>0</v>
      </c>
    </row>
    <row r="862" spans="1:27">
      <c r="A862" s="451" t="str">
        <f>CONCATENATE(VLOOKUP(B862,★営業所!$A$1:$B$5,2,FALSE),VLOOKUP(D862,★サイズ表記!$D$4:$E$55,2,FALSE),VLOOKUP(F862,★折込地区!$A$1:$B$11,2,FALSE))</f>
        <v>S3002Kry</v>
      </c>
      <c r="B862" s="457" t="s">
        <v>276</v>
      </c>
      <c r="C862" s="452" t="str">
        <f>VLOOKUP(B862,★営業所!$A$1:$B$5,2,FALSE)</f>
        <v>S</v>
      </c>
      <c r="D862" s="465" t="s">
        <v>970</v>
      </c>
      <c r="E862" s="452" t="str">
        <f>VLOOKUP(D862,★サイズ表記!$D$4:$E$55,2,FALSE)</f>
        <v>3002</v>
      </c>
      <c r="F862" s="457" t="s">
        <v>1602</v>
      </c>
      <c r="G862" s="452" t="str">
        <f>VLOOKUP(F862,★折込地区!$A$1:$B$11,2,FALSE)</f>
        <v>Kry</v>
      </c>
      <c r="H862" s="453">
        <f>INDEX(★サイズ表記!$I$4:$Q$55, MATCH(E862,★サイズ表記!$E$4:$E$55,0), MATCH(G862,★サイズ表記!$I$3:$R$3,0))</f>
        <v>5.85</v>
      </c>
      <c r="K862" s="471" t="str">
        <f t="shared" si="96"/>
        <v>S3002Kry</v>
      </c>
      <c r="L862" s="471" t="str">
        <f t="shared" si="97"/>
        <v>政治B3</v>
      </c>
      <c r="P862" s="533" t="s">
        <v>1324</v>
      </c>
      <c r="Q862" s="533" t="s">
        <v>1325</v>
      </c>
      <c r="R862" s="534" t="str">
        <f t="shared" si="98"/>
        <v>3002</v>
      </c>
      <c r="S862" s="534" t="str">
        <f t="shared" si="99"/>
        <v>政治B3</v>
      </c>
      <c r="T862" s="538" t="str">
        <f t="shared" si="92"/>
        <v>30</v>
      </c>
      <c r="U862" s="538" t="str">
        <f t="shared" si="93"/>
        <v>02</v>
      </c>
      <c r="V862" s="471" t="s">
        <v>1136</v>
      </c>
      <c r="Y862" s="472">
        <f t="shared" si="94"/>
        <v>5.85</v>
      </c>
      <c r="Z862" s="540">
        <f t="shared" si="95"/>
        <v>0.46</v>
      </c>
      <c r="AA862" s="471">
        <v>0</v>
      </c>
    </row>
    <row r="863" spans="1:27">
      <c r="A863" s="451" t="str">
        <f>CONCATENATE(VLOOKUP(B863,★営業所!$A$1:$B$5,2,FALSE),VLOOKUP(D863,★サイズ表記!$D$4:$E$55,2,FALSE),VLOOKUP(F863,★折込地区!$A$1:$B$11,2,FALSE))</f>
        <v>S3003Kry</v>
      </c>
      <c r="B863" s="457" t="s">
        <v>276</v>
      </c>
      <c r="C863" s="452" t="str">
        <f>VLOOKUP(B863,★営業所!$A$1:$B$5,2,FALSE)</f>
        <v>S</v>
      </c>
      <c r="D863" s="465" t="s">
        <v>971</v>
      </c>
      <c r="E863" s="452" t="str">
        <f>VLOOKUP(D863,★サイズ表記!$D$4:$E$55,2,FALSE)</f>
        <v>3003</v>
      </c>
      <c r="F863" s="457" t="s">
        <v>1602</v>
      </c>
      <c r="G863" s="452" t="str">
        <f>VLOOKUP(F863,★折込地区!$A$1:$B$11,2,FALSE)</f>
        <v>Kry</v>
      </c>
      <c r="H863" s="453">
        <f>INDEX(★サイズ表記!$I$4:$Q$55, MATCH(E863,★サイズ表記!$E$4:$E$55,0), MATCH(G863,★サイズ表記!$I$3:$R$3,0))</f>
        <v>10.5</v>
      </c>
      <c r="K863" s="471" t="str">
        <f t="shared" si="96"/>
        <v>S3003Kry</v>
      </c>
      <c r="L863" s="471" t="str">
        <f t="shared" si="97"/>
        <v>政治B2</v>
      </c>
      <c r="P863" s="533" t="s">
        <v>1324</v>
      </c>
      <c r="Q863" s="533" t="s">
        <v>1325</v>
      </c>
      <c r="R863" s="534" t="str">
        <f t="shared" si="98"/>
        <v>3003</v>
      </c>
      <c r="S863" s="534" t="str">
        <f t="shared" si="99"/>
        <v>政治B2</v>
      </c>
      <c r="T863" s="538" t="str">
        <f t="shared" si="92"/>
        <v>30</v>
      </c>
      <c r="U863" s="538" t="str">
        <f t="shared" si="93"/>
        <v>03</v>
      </c>
      <c r="V863" s="471" t="s">
        <v>1136</v>
      </c>
      <c r="Y863" s="472">
        <f t="shared" si="94"/>
        <v>10.5</v>
      </c>
      <c r="Z863" s="540">
        <f t="shared" si="95"/>
        <v>0.84</v>
      </c>
      <c r="AA863" s="471">
        <v>0</v>
      </c>
    </row>
    <row r="864" spans="1:27">
      <c r="A864" s="451" t="str">
        <f>CONCATENATE(VLOOKUP(B864,★営業所!$A$1:$B$5,2,FALSE),VLOOKUP(D864,★サイズ表記!$D$4:$E$55,2,FALSE),VLOOKUP(F864,★折込地区!$A$1:$B$11,2,FALSE))</f>
        <v>S3004Kry</v>
      </c>
      <c r="B864" s="457" t="s">
        <v>276</v>
      </c>
      <c r="C864" s="452" t="str">
        <f>VLOOKUP(B864,★営業所!$A$1:$B$5,2,FALSE)</f>
        <v>S</v>
      </c>
      <c r="D864" s="465" t="s">
        <v>972</v>
      </c>
      <c r="E864" s="452" t="str">
        <f>VLOOKUP(D864,★サイズ表記!$D$4:$E$55,2,FALSE)</f>
        <v>3004</v>
      </c>
      <c r="F864" s="457" t="s">
        <v>1602</v>
      </c>
      <c r="G864" s="452" t="str">
        <f>VLOOKUP(F864,★折込地区!$A$1:$B$11,2,FALSE)</f>
        <v>Kry</v>
      </c>
      <c r="H864" s="453">
        <f>INDEX(★サイズ表記!$I$4:$Q$55, MATCH(E864,★サイズ表記!$E$4:$E$55,0), MATCH(G864,★サイズ表記!$I$3:$R$3,0))</f>
        <v>10.5</v>
      </c>
      <c r="K864" s="471" t="str">
        <f t="shared" si="96"/>
        <v>S3004Kry</v>
      </c>
      <c r="L864" s="471" t="str">
        <f t="shared" si="97"/>
        <v>政治3つ折り</v>
      </c>
      <c r="P864" s="533" t="s">
        <v>1324</v>
      </c>
      <c r="Q864" s="533" t="s">
        <v>1325</v>
      </c>
      <c r="R864" s="534" t="str">
        <f t="shared" si="98"/>
        <v>3004</v>
      </c>
      <c r="S864" s="534" t="str">
        <f t="shared" si="99"/>
        <v>政治3つ折り</v>
      </c>
      <c r="T864" s="538" t="str">
        <f t="shared" si="92"/>
        <v>30</v>
      </c>
      <c r="U864" s="538" t="str">
        <f t="shared" si="93"/>
        <v>04</v>
      </c>
      <c r="V864" s="471" t="s">
        <v>1136</v>
      </c>
      <c r="Y864" s="472">
        <f t="shared" si="94"/>
        <v>10.5</v>
      </c>
      <c r="Z864" s="540">
        <f t="shared" si="95"/>
        <v>0.84</v>
      </c>
      <c r="AA864" s="471">
        <v>0</v>
      </c>
    </row>
    <row r="865" spans="1:27">
      <c r="A865" s="451" t="str">
        <f>CONCATENATE(VLOOKUP(B865,★営業所!$A$1:$B$5,2,FALSE),VLOOKUP(D865,★サイズ表記!$D$4:$E$55,2,FALSE),VLOOKUP(F865,★折込地区!$A$1:$B$11,2,FALSE))</f>
        <v>S3005Kry</v>
      </c>
      <c r="B865" s="457" t="s">
        <v>276</v>
      </c>
      <c r="C865" s="452" t="str">
        <f>VLOOKUP(B865,★営業所!$A$1:$B$5,2,FALSE)</f>
        <v>S</v>
      </c>
      <c r="D865" s="465" t="s">
        <v>973</v>
      </c>
      <c r="E865" s="452" t="str">
        <f>VLOOKUP(D865,★サイズ表記!$D$4:$E$55,2,FALSE)</f>
        <v>3005</v>
      </c>
      <c r="F865" s="457" t="s">
        <v>1602</v>
      </c>
      <c r="G865" s="452" t="str">
        <f>VLOOKUP(F865,★折込地区!$A$1:$B$11,2,FALSE)</f>
        <v>Kry</v>
      </c>
      <c r="H865" s="453">
        <f>INDEX(★サイズ表記!$I$4:$Q$55, MATCH(E865,★サイズ表記!$E$4:$E$55,0), MATCH(G865,★サイズ表記!$I$3:$R$3,0))</f>
        <v>7.35</v>
      </c>
      <c r="K865" s="471" t="str">
        <f t="shared" si="96"/>
        <v>S3005Kry</v>
      </c>
      <c r="L865" s="471" t="str">
        <f t="shared" si="97"/>
        <v>政治2つ折り極小</v>
      </c>
      <c r="P865" s="533" t="s">
        <v>1324</v>
      </c>
      <c r="Q865" s="533" t="s">
        <v>1325</v>
      </c>
      <c r="R865" s="534" t="str">
        <f t="shared" si="98"/>
        <v>3005</v>
      </c>
      <c r="S865" s="534" t="str">
        <f t="shared" si="99"/>
        <v>政治2つ折り極小</v>
      </c>
      <c r="T865" s="538" t="str">
        <f t="shared" si="92"/>
        <v>30</v>
      </c>
      <c r="U865" s="538" t="str">
        <f t="shared" si="93"/>
        <v>05</v>
      </c>
      <c r="V865" s="471" t="s">
        <v>1136</v>
      </c>
      <c r="Y865" s="472">
        <f t="shared" si="94"/>
        <v>7.35</v>
      </c>
      <c r="Z865" s="540">
        <f t="shared" si="95"/>
        <v>0.57999999999999996</v>
      </c>
      <c r="AA865" s="471">
        <v>0</v>
      </c>
    </row>
    <row r="866" spans="1:27">
      <c r="A866" s="451" t="str">
        <f>CONCATENATE(VLOOKUP(B866,★営業所!$A$1:$B$5,2,FALSE),VLOOKUP(D866,★サイズ表記!$D$4:$E$55,2,FALSE),VLOOKUP(F866,★折込地区!$A$1:$B$11,2,FALSE))</f>
        <v>S3006Kry</v>
      </c>
      <c r="B866" s="457" t="s">
        <v>276</v>
      </c>
      <c r="C866" s="452" t="str">
        <f>VLOOKUP(B866,★営業所!$A$1:$B$5,2,FALSE)</f>
        <v>S</v>
      </c>
      <c r="D866" s="465" t="s">
        <v>974</v>
      </c>
      <c r="E866" s="452" t="str">
        <f>VLOOKUP(D866,★サイズ表記!$D$4:$E$55,2,FALSE)</f>
        <v>3006</v>
      </c>
      <c r="F866" s="457" t="s">
        <v>1602</v>
      </c>
      <c r="G866" s="452" t="str">
        <f>VLOOKUP(F866,★折込地区!$A$1:$B$11,2,FALSE)</f>
        <v>Kry</v>
      </c>
      <c r="H866" s="453">
        <f>INDEX(★サイズ表記!$I$4:$Q$55, MATCH(E866,★サイズ表記!$E$4:$E$55,0), MATCH(G866,★サイズ表記!$I$3:$R$3,0))</f>
        <v>4.7</v>
      </c>
      <c r="K866" s="471" t="str">
        <f t="shared" si="96"/>
        <v>S3006Kry</v>
      </c>
      <c r="L866" s="471" t="str">
        <f t="shared" si="97"/>
        <v>政治B4厚紙</v>
      </c>
      <c r="P866" s="533" t="s">
        <v>1324</v>
      </c>
      <c r="Q866" s="533" t="s">
        <v>1325</v>
      </c>
      <c r="R866" s="534" t="str">
        <f t="shared" si="98"/>
        <v>3006</v>
      </c>
      <c r="S866" s="534" t="str">
        <f t="shared" si="99"/>
        <v>政治B4厚紙</v>
      </c>
      <c r="T866" s="538" t="str">
        <f t="shared" si="92"/>
        <v>30</v>
      </c>
      <c r="U866" s="538" t="str">
        <f t="shared" si="93"/>
        <v>06</v>
      </c>
      <c r="V866" s="471" t="s">
        <v>1136</v>
      </c>
      <c r="Y866" s="472">
        <f t="shared" si="94"/>
        <v>4.7</v>
      </c>
      <c r="Z866" s="540">
        <f t="shared" si="95"/>
        <v>0.37</v>
      </c>
      <c r="AA866" s="471">
        <v>0</v>
      </c>
    </row>
    <row r="867" spans="1:27">
      <c r="A867" s="451" t="str">
        <f>CONCATENATE(VLOOKUP(B867,★営業所!$A$1:$B$5,2,FALSE),VLOOKUP(D867,★サイズ表記!$D$4:$E$55,2,FALSE),VLOOKUP(F867,★折込地区!$A$1:$B$11,2,FALSE))</f>
        <v>S3007Kry</v>
      </c>
      <c r="B867" s="457" t="s">
        <v>276</v>
      </c>
      <c r="C867" s="452" t="str">
        <f>VLOOKUP(B867,★営業所!$A$1:$B$5,2,FALSE)</f>
        <v>S</v>
      </c>
      <c r="D867" s="465" t="s">
        <v>1362</v>
      </c>
      <c r="E867" s="452" t="str">
        <f>VLOOKUP(D867,★サイズ表記!$D$4:$E$55,2,FALSE)</f>
        <v>3007</v>
      </c>
      <c r="F867" s="457" t="s">
        <v>1602</v>
      </c>
      <c r="G867" s="452" t="str">
        <f>VLOOKUP(F867,★折込地区!$A$1:$B$11,2,FALSE)</f>
        <v>Kry</v>
      </c>
      <c r="H867" s="453">
        <f>INDEX(★サイズ表記!$I$4:$Q$55, MATCH(E867,★サイズ表記!$E$4:$E$55,0), MATCH(G867,★サイズ表記!$I$3:$R$3,0))</f>
        <v>10.050000000000001</v>
      </c>
      <c r="K867" s="471" t="str">
        <f t="shared" si="96"/>
        <v>S3007Kry</v>
      </c>
      <c r="L867" s="471" t="str">
        <f t="shared" si="97"/>
        <v>政治タブ6P</v>
      </c>
      <c r="P867" s="533" t="s">
        <v>1324</v>
      </c>
      <c r="Q867" s="533" t="s">
        <v>1325</v>
      </c>
      <c r="R867" s="534" t="str">
        <f t="shared" si="98"/>
        <v>3007</v>
      </c>
      <c r="S867" s="534" t="str">
        <f t="shared" si="99"/>
        <v>政治タブ6P</v>
      </c>
      <c r="T867" s="538" t="str">
        <f t="shared" si="92"/>
        <v>30</v>
      </c>
      <c r="U867" s="538" t="str">
        <f t="shared" si="93"/>
        <v>07</v>
      </c>
      <c r="V867" s="471" t="s">
        <v>1136</v>
      </c>
      <c r="Y867" s="472">
        <f t="shared" si="94"/>
        <v>10.050000000000001</v>
      </c>
      <c r="Z867" s="540">
        <f t="shared" si="95"/>
        <v>0.8</v>
      </c>
      <c r="AA867" s="471">
        <v>0</v>
      </c>
    </row>
    <row r="868" spans="1:27">
      <c r="A868" s="451" t="str">
        <f>CONCATENATE(VLOOKUP(B868,★営業所!$A$1:$B$5,2,FALSE),VLOOKUP(D868,★サイズ表記!$D$4:$E$55,2,FALSE),VLOOKUP(F868,★折込地区!$A$1:$B$11,2,FALSE))</f>
        <v>S3008Kry</v>
      </c>
      <c r="B868" s="457" t="s">
        <v>276</v>
      </c>
      <c r="C868" s="452" t="str">
        <f>VLOOKUP(B868,★営業所!$A$1:$B$5,2,FALSE)</f>
        <v>S</v>
      </c>
      <c r="D868" s="465" t="s">
        <v>1363</v>
      </c>
      <c r="E868" s="452" t="str">
        <f>VLOOKUP(D868,★サイズ表記!$D$4:$E$55,2,FALSE)</f>
        <v>3008</v>
      </c>
      <c r="F868" s="457" t="s">
        <v>1602</v>
      </c>
      <c r="G868" s="452" t="str">
        <f>VLOOKUP(F868,★折込地区!$A$1:$B$11,2,FALSE)</f>
        <v>Kry</v>
      </c>
      <c r="H868" s="453">
        <f>INDEX(★サイズ表記!$I$4:$Q$55, MATCH(E868,★サイズ表記!$E$4:$E$55,0), MATCH(G868,★サイズ表記!$I$3:$R$3,0))</f>
        <v>10.5</v>
      </c>
      <c r="K868" s="471" t="str">
        <f t="shared" si="96"/>
        <v>S3008Kry</v>
      </c>
      <c r="L868" s="471" t="str">
        <f t="shared" si="97"/>
        <v>政治タブ8P</v>
      </c>
      <c r="P868" s="533" t="s">
        <v>1324</v>
      </c>
      <c r="Q868" s="533" t="s">
        <v>1325</v>
      </c>
      <c r="R868" s="534" t="str">
        <f t="shared" si="98"/>
        <v>3008</v>
      </c>
      <c r="S868" s="534" t="str">
        <f t="shared" si="99"/>
        <v>政治タブ8P</v>
      </c>
      <c r="T868" s="538" t="str">
        <f t="shared" si="92"/>
        <v>30</v>
      </c>
      <c r="U868" s="538" t="str">
        <f t="shared" si="93"/>
        <v>08</v>
      </c>
      <c r="V868" s="471" t="s">
        <v>1136</v>
      </c>
      <c r="Y868" s="472">
        <f t="shared" si="94"/>
        <v>10.5</v>
      </c>
      <c r="Z868" s="540">
        <f t="shared" si="95"/>
        <v>0.84</v>
      </c>
      <c r="AA868" s="471">
        <v>0</v>
      </c>
    </row>
    <row r="869" spans="1:27">
      <c r="A869" s="451" t="str">
        <f>CONCATENATE(VLOOKUP(B869,★営業所!$A$1:$B$5,2,FALSE),VLOOKUP(D869,★サイズ表記!$D$4:$E$55,2,FALSE),VLOOKUP(F869,★折込地区!$A$1:$B$11,2,FALSE))</f>
        <v>S3009Kry</v>
      </c>
      <c r="B869" s="457" t="s">
        <v>276</v>
      </c>
      <c r="C869" s="452" t="str">
        <f>VLOOKUP(B869,★営業所!$A$1:$B$5,2,FALSE)</f>
        <v>S</v>
      </c>
      <c r="D869" s="465" t="s">
        <v>1361</v>
      </c>
      <c r="E869" s="452" t="str">
        <f>VLOOKUP(D869,★サイズ表記!$D$4:$E$55,2,FALSE)</f>
        <v>3009</v>
      </c>
      <c r="F869" s="457" t="s">
        <v>1602</v>
      </c>
      <c r="G869" s="452" t="str">
        <f>VLOOKUP(F869,★折込地区!$A$1:$B$11,2,FALSE)</f>
        <v>Kry</v>
      </c>
      <c r="H869" s="453">
        <f>INDEX(★サイズ表記!$I$4:$Q$55, MATCH(E869,★サイズ表記!$E$4:$E$55,0), MATCH(G869,★サイズ表記!$I$3:$R$3,0))</f>
        <v>16.350000000000001</v>
      </c>
      <c r="K869" s="471" t="str">
        <f t="shared" si="96"/>
        <v>S3009Kry</v>
      </c>
      <c r="L869" s="471" t="str">
        <f t="shared" si="97"/>
        <v>政治タブ12P</v>
      </c>
      <c r="P869" s="533" t="s">
        <v>1324</v>
      </c>
      <c r="Q869" s="533" t="s">
        <v>1325</v>
      </c>
      <c r="R869" s="534" t="str">
        <f t="shared" si="98"/>
        <v>3009</v>
      </c>
      <c r="S869" s="534" t="str">
        <f t="shared" si="99"/>
        <v>政治タブ12P</v>
      </c>
      <c r="T869" s="538" t="str">
        <f t="shared" si="92"/>
        <v>30</v>
      </c>
      <c r="U869" s="538" t="str">
        <f t="shared" si="93"/>
        <v>09</v>
      </c>
      <c r="V869" s="471" t="s">
        <v>1136</v>
      </c>
      <c r="Y869" s="472">
        <f t="shared" si="94"/>
        <v>16.350000000000001</v>
      </c>
      <c r="Z869" s="540">
        <f t="shared" si="95"/>
        <v>1.3</v>
      </c>
      <c r="AA869" s="471">
        <v>0</v>
      </c>
    </row>
    <row r="870" spans="1:27">
      <c r="A870" s="451" t="str">
        <f>CONCATENATE(VLOOKUP(B870,★営業所!$A$1:$B$5,2,FALSE),VLOOKUP(D870,★サイズ表記!$D$4:$E$55,2,FALSE),VLOOKUP(F870,★折込地区!$A$1:$B$11,2,FALSE))</f>
        <v>S4001Kry</v>
      </c>
      <c r="B870" s="457" t="s">
        <v>276</v>
      </c>
      <c r="C870" s="452" t="str">
        <f>VLOOKUP(B870,★営業所!$A$1:$B$5,2,FALSE)</f>
        <v>S</v>
      </c>
      <c r="D870" s="465" t="s">
        <v>1358</v>
      </c>
      <c r="E870" s="452" t="str">
        <f>VLOOKUP(D870,★サイズ表記!$D$4:$E$55,2,FALSE)</f>
        <v>4001</v>
      </c>
      <c r="F870" s="457" t="s">
        <v>1602</v>
      </c>
      <c r="G870" s="452" t="str">
        <f>VLOOKUP(F870,★折込地区!$A$1:$B$11,2,FALSE)</f>
        <v>Kry</v>
      </c>
      <c r="H870" s="453">
        <f>INDEX(★サイズ表記!$I$4:$Q$55, MATCH(E870,★サイズ表記!$E$4:$E$55,0), MATCH(G870,★サイズ表記!$I$3:$R$3,0))</f>
        <v>6.7</v>
      </c>
      <c r="K870" s="471" t="str">
        <f t="shared" si="96"/>
        <v>S4001Kry</v>
      </c>
      <c r="L870" s="471" t="str">
        <f t="shared" si="97"/>
        <v>タブ6P</v>
      </c>
      <c r="P870" s="533" t="s">
        <v>1324</v>
      </c>
      <c r="Q870" s="533" t="s">
        <v>1325</v>
      </c>
      <c r="R870" s="534" t="str">
        <f t="shared" si="98"/>
        <v>4001</v>
      </c>
      <c r="S870" s="534" t="str">
        <f t="shared" si="99"/>
        <v>タブ6P</v>
      </c>
      <c r="T870" s="538" t="str">
        <f t="shared" si="92"/>
        <v>40</v>
      </c>
      <c r="U870" s="538" t="str">
        <f t="shared" si="93"/>
        <v>01</v>
      </c>
      <c r="V870" s="471" t="s">
        <v>1136</v>
      </c>
      <c r="Y870" s="472">
        <f t="shared" si="94"/>
        <v>6.7</v>
      </c>
      <c r="Z870" s="540">
        <f t="shared" si="95"/>
        <v>0.53</v>
      </c>
      <c r="AA870" s="471">
        <v>0</v>
      </c>
    </row>
    <row r="871" spans="1:27">
      <c r="A871" s="451" t="str">
        <f>CONCATENATE(VLOOKUP(B871,★営業所!$A$1:$B$5,2,FALSE),VLOOKUP(D871,★サイズ表記!$D$4:$E$55,2,FALSE),VLOOKUP(F871,★折込地区!$A$1:$B$11,2,FALSE))</f>
        <v>S4002Kry</v>
      </c>
      <c r="B871" s="457" t="s">
        <v>276</v>
      </c>
      <c r="C871" s="452" t="str">
        <f>VLOOKUP(B871,★営業所!$A$1:$B$5,2,FALSE)</f>
        <v>S</v>
      </c>
      <c r="D871" s="465" t="s">
        <v>1359</v>
      </c>
      <c r="E871" s="452" t="str">
        <f>VLOOKUP(D871,★サイズ表記!$D$4:$E$55,2,FALSE)</f>
        <v>4002</v>
      </c>
      <c r="F871" s="457" t="s">
        <v>1602</v>
      </c>
      <c r="G871" s="452" t="str">
        <f>VLOOKUP(F871,★折込地区!$A$1:$B$11,2,FALSE)</f>
        <v>Kry</v>
      </c>
      <c r="H871" s="453">
        <f>INDEX(★サイズ表記!$I$4:$Q$55, MATCH(E871,★サイズ表記!$E$4:$E$55,0), MATCH(G871,★サイズ表記!$I$3:$R$3,0))</f>
        <v>7</v>
      </c>
      <c r="K871" s="471" t="str">
        <f t="shared" si="96"/>
        <v>S4002Kry</v>
      </c>
      <c r="L871" s="471" t="str">
        <f t="shared" si="97"/>
        <v>タブ8P</v>
      </c>
      <c r="P871" s="533" t="s">
        <v>1324</v>
      </c>
      <c r="Q871" s="533" t="s">
        <v>1325</v>
      </c>
      <c r="R871" s="534" t="str">
        <f t="shared" si="98"/>
        <v>4002</v>
      </c>
      <c r="S871" s="534" t="str">
        <f t="shared" si="99"/>
        <v>タブ8P</v>
      </c>
      <c r="T871" s="538" t="str">
        <f t="shared" si="92"/>
        <v>40</v>
      </c>
      <c r="U871" s="538" t="str">
        <f t="shared" si="93"/>
        <v>02</v>
      </c>
      <c r="V871" s="471" t="s">
        <v>1136</v>
      </c>
      <c r="Y871" s="472">
        <f t="shared" si="94"/>
        <v>7</v>
      </c>
      <c r="Z871" s="540">
        <f t="shared" si="95"/>
        <v>0.56000000000000005</v>
      </c>
      <c r="AA871" s="471">
        <v>0</v>
      </c>
    </row>
    <row r="872" spans="1:27">
      <c r="A872" s="451" t="str">
        <f>CONCATENATE(VLOOKUP(B872,★営業所!$A$1:$B$5,2,FALSE),VLOOKUP(D872,★サイズ表記!$D$4:$E$55,2,FALSE),VLOOKUP(F872,★折込地区!$A$1:$B$11,2,FALSE))</f>
        <v>S4003Kry</v>
      </c>
      <c r="B872" s="457" t="s">
        <v>276</v>
      </c>
      <c r="C872" s="452" t="str">
        <f>VLOOKUP(B872,★営業所!$A$1:$B$5,2,FALSE)</f>
        <v>S</v>
      </c>
      <c r="D872" s="465" t="s">
        <v>1360</v>
      </c>
      <c r="E872" s="452" t="str">
        <f>VLOOKUP(D872,★サイズ表記!$D$4:$E$55,2,FALSE)</f>
        <v>4003</v>
      </c>
      <c r="F872" s="457" t="s">
        <v>1602</v>
      </c>
      <c r="G872" s="452" t="str">
        <f>VLOOKUP(F872,★折込地区!$A$1:$B$11,2,FALSE)</f>
        <v>Kry</v>
      </c>
      <c r="H872" s="453">
        <f>INDEX(★サイズ表記!$I$4:$Q$55, MATCH(E872,★サイズ表記!$E$4:$E$55,0), MATCH(G872,★サイズ表記!$I$3:$R$3,0))</f>
        <v>8</v>
      </c>
      <c r="K872" s="471" t="str">
        <f t="shared" si="96"/>
        <v>S4003Kry</v>
      </c>
      <c r="L872" s="471" t="str">
        <f t="shared" si="97"/>
        <v>タブ8Pホチキス止め</v>
      </c>
      <c r="P872" s="533" t="s">
        <v>1324</v>
      </c>
      <c r="Q872" s="533" t="s">
        <v>1325</v>
      </c>
      <c r="R872" s="534" t="str">
        <f t="shared" si="98"/>
        <v>4003</v>
      </c>
      <c r="S872" s="534" t="str">
        <f t="shared" si="99"/>
        <v>タブ8Pホチキス止め</v>
      </c>
      <c r="T872" s="538" t="str">
        <f t="shared" si="92"/>
        <v>40</v>
      </c>
      <c r="U872" s="538" t="str">
        <f t="shared" si="93"/>
        <v>03</v>
      </c>
      <c r="V872" s="471" t="s">
        <v>1136</v>
      </c>
      <c r="Y872" s="472">
        <f t="shared" si="94"/>
        <v>8</v>
      </c>
      <c r="Z872" s="540">
        <f t="shared" si="95"/>
        <v>0.64</v>
      </c>
      <c r="AA872" s="471">
        <v>0</v>
      </c>
    </row>
    <row r="873" spans="1:27">
      <c r="A873" s="451" t="str">
        <f>CONCATENATE(VLOOKUP(B873,★営業所!$A$1:$B$5,2,FALSE),VLOOKUP(D873,★サイズ表記!$D$4:$E$55,2,FALSE),VLOOKUP(F873,★折込地区!$A$1:$B$11,2,FALSE))</f>
        <v>S4004Kry</v>
      </c>
      <c r="B873" s="457" t="s">
        <v>276</v>
      </c>
      <c r="C873" s="452" t="str">
        <f>VLOOKUP(B873,★営業所!$A$1:$B$5,2,FALSE)</f>
        <v>S</v>
      </c>
      <c r="D873" s="465" t="s">
        <v>1350</v>
      </c>
      <c r="E873" s="452" t="str">
        <f>VLOOKUP(D873,★サイズ表記!$D$4:$E$55,2,FALSE)</f>
        <v>4004</v>
      </c>
      <c r="F873" s="457" t="s">
        <v>1602</v>
      </c>
      <c r="G873" s="452" t="str">
        <f>VLOOKUP(F873,★折込地区!$A$1:$B$11,2,FALSE)</f>
        <v>Kry</v>
      </c>
      <c r="H873" s="453">
        <f>INDEX(★サイズ表記!$I$4:$Q$55, MATCH(E873,★サイズ表記!$E$4:$E$55,0), MATCH(G873,★サイズ表記!$I$3:$R$3,0))</f>
        <v>9.8000000000000007</v>
      </c>
      <c r="K873" s="471" t="str">
        <f t="shared" si="96"/>
        <v>S4004Kry</v>
      </c>
      <c r="L873" s="471" t="str">
        <f t="shared" si="97"/>
        <v>タブ10P</v>
      </c>
      <c r="P873" s="533" t="s">
        <v>1324</v>
      </c>
      <c r="Q873" s="533" t="s">
        <v>1325</v>
      </c>
      <c r="R873" s="534" t="str">
        <f t="shared" si="98"/>
        <v>4004</v>
      </c>
      <c r="S873" s="534" t="str">
        <f t="shared" si="99"/>
        <v>タブ10P</v>
      </c>
      <c r="T873" s="538" t="str">
        <f t="shared" si="92"/>
        <v>40</v>
      </c>
      <c r="U873" s="538" t="str">
        <f t="shared" si="93"/>
        <v>04</v>
      </c>
      <c r="V873" s="471" t="s">
        <v>1136</v>
      </c>
      <c r="Y873" s="472">
        <f t="shared" si="94"/>
        <v>9.8000000000000007</v>
      </c>
      <c r="Z873" s="540">
        <f t="shared" si="95"/>
        <v>0.78</v>
      </c>
      <c r="AA873" s="471">
        <v>0</v>
      </c>
    </row>
    <row r="874" spans="1:27">
      <c r="A874" s="451" t="str">
        <f>CONCATENATE(VLOOKUP(B874,★営業所!$A$1:$B$5,2,FALSE),VLOOKUP(D874,★サイズ表記!$D$4:$E$55,2,FALSE),VLOOKUP(F874,★折込地区!$A$1:$B$11,2,FALSE))</f>
        <v>S4005Kry</v>
      </c>
      <c r="B874" s="457" t="s">
        <v>276</v>
      </c>
      <c r="C874" s="452" t="str">
        <f>VLOOKUP(B874,★営業所!$A$1:$B$5,2,FALSE)</f>
        <v>S</v>
      </c>
      <c r="D874" s="465" t="s">
        <v>1351</v>
      </c>
      <c r="E874" s="452" t="str">
        <f>VLOOKUP(D874,★サイズ表記!$D$4:$E$55,2,FALSE)</f>
        <v>4005</v>
      </c>
      <c r="F874" s="457" t="s">
        <v>1602</v>
      </c>
      <c r="G874" s="452" t="str">
        <f>VLOOKUP(F874,★折込地区!$A$1:$B$11,2,FALSE)</f>
        <v>Kry</v>
      </c>
      <c r="H874" s="453">
        <f>INDEX(★サイズ表記!$I$4:$Q$55, MATCH(E874,★サイズ表記!$E$4:$E$55,0), MATCH(G874,★サイズ表記!$I$3:$R$3,0))</f>
        <v>10.9</v>
      </c>
      <c r="K874" s="471" t="str">
        <f t="shared" si="96"/>
        <v>S4005Kry</v>
      </c>
      <c r="L874" s="471" t="str">
        <f t="shared" si="97"/>
        <v>タブ12P</v>
      </c>
      <c r="P874" s="533" t="s">
        <v>1324</v>
      </c>
      <c r="Q874" s="533" t="s">
        <v>1325</v>
      </c>
      <c r="R874" s="534" t="str">
        <f t="shared" si="98"/>
        <v>4005</v>
      </c>
      <c r="S874" s="534" t="str">
        <f t="shared" si="99"/>
        <v>タブ12P</v>
      </c>
      <c r="T874" s="538" t="str">
        <f t="shared" si="92"/>
        <v>40</v>
      </c>
      <c r="U874" s="538" t="str">
        <f t="shared" si="93"/>
        <v>05</v>
      </c>
      <c r="V874" s="471" t="s">
        <v>1136</v>
      </c>
      <c r="Y874" s="472">
        <f t="shared" si="94"/>
        <v>10.9</v>
      </c>
      <c r="Z874" s="540">
        <f t="shared" si="95"/>
        <v>0.87</v>
      </c>
      <c r="AA874" s="471">
        <v>0</v>
      </c>
    </row>
    <row r="875" spans="1:27">
      <c r="A875" s="451" t="str">
        <f>CONCATENATE(VLOOKUP(B875,★営業所!$A$1:$B$5,2,FALSE),VLOOKUP(D875,★サイズ表記!$D$4:$E$55,2,FALSE),VLOOKUP(F875,★折込地区!$A$1:$B$11,2,FALSE))</f>
        <v>S4006Kry</v>
      </c>
      <c r="B875" s="457" t="s">
        <v>276</v>
      </c>
      <c r="C875" s="452" t="str">
        <f>VLOOKUP(B875,★営業所!$A$1:$B$5,2,FALSE)</f>
        <v>S</v>
      </c>
      <c r="D875" s="465" t="s">
        <v>1352</v>
      </c>
      <c r="E875" s="452" t="str">
        <f>VLOOKUP(D875,★サイズ表記!$D$4:$E$55,2,FALSE)</f>
        <v>4006</v>
      </c>
      <c r="F875" s="457" t="s">
        <v>1602</v>
      </c>
      <c r="G875" s="452" t="str">
        <f>VLOOKUP(F875,★折込地区!$A$1:$B$11,2,FALSE)</f>
        <v>Kry</v>
      </c>
      <c r="H875" s="453">
        <f>INDEX(★サイズ表記!$I$4:$Q$55, MATCH(E875,★サイズ表記!$E$4:$E$55,0), MATCH(G875,★サイズ表記!$I$3:$R$3,0))</f>
        <v>13.7</v>
      </c>
      <c r="K875" s="471" t="str">
        <f t="shared" si="96"/>
        <v>S4006Kry</v>
      </c>
      <c r="L875" s="471" t="str">
        <f t="shared" si="97"/>
        <v>タブ14P</v>
      </c>
      <c r="P875" s="533" t="s">
        <v>1324</v>
      </c>
      <c r="Q875" s="533" t="s">
        <v>1325</v>
      </c>
      <c r="R875" s="534" t="str">
        <f t="shared" si="98"/>
        <v>4006</v>
      </c>
      <c r="S875" s="534" t="str">
        <f t="shared" si="99"/>
        <v>タブ14P</v>
      </c>
      <c r="T875" s="538" t="str">
        <f t="shared" si="92"/>
        <v>40</v>
      </c>
      <c r="U875" s="538" t="str">
        <f t="shared" si="93"/>
        <v>06</v>
      </c>
      <c r="V875" s="471" t="s">
        <v>1136</v>
      </c>
      <c r="Y875" s="472">
        <f t="shared" si="94"/>
        <v>13.7</v>
      </c>
      <c r="Z875" s="540">
        <f t="shared" si="95"/>
        <v>1.0900000000000001</v>
      </c>
      <c r="AA875" s="471">
        <v>0</v>
      </c>
    </row>
    <row r="876" spans="1:27">
      <c r="A876" s="451" t="str">
        <f>CONCATENATE(VLOOKUP(B876,★営業所!$A$1:$B$5,2,FALSE),VLOOKUP(D876,★サイズ表記!$D$4:$E$55,2,FALSE),VLOOKUP(F876,★折込地区!$A$1:$B$11,2,FALSE))</f>
        <v>S4007Kry</v>
      </c>
      <c r="B876" s="457" t="s">
        <v>276</v>
      </c>
      <c r="C876" s="452" t="str">
        <f>VLOOKUP(B876,★営業所!$A$1:$B$5,2,FALSE)</f>
        <v>S</v>
      </c>
      <c r="D876" s="465" t="s">
        <v>1353</v>
      </c>
      <c r="E876" s="452" t="str">
        <f>VLOOKUP(D876,★サイズ表記!$D$4:$E$55,2,FALSE)</f>
        <v>4007</v>
      </c>
      <c r="F876" s="457" t="s">
        <v>1602</v>
      </c>
      <c r="G876" s="452" t="str">
        <f>VLOOKUP(F876,★折込地区!$A$1:$B$11,2,FALSE)</f>
        <v>Kry</v>
      </c>
      <c r="H876" s="453">
        <f>INDEX(★サイズ表記!$I$4:$Q$55, MATCH(E876,★サイズ表記!$E$4:$E$55,0), MATCH(G876,★サイズ表記!$I$3:$R$3,0))</f>
        <v>15</v>
      </c>
      <c r="K876" s="471" t="str">
        <f t="shared" si="96"/>
        <v>S4007Kry</v>
      </c>
      <c r="L876" s="471" t="str">
        <f t="shared" si="97"/>
        <v>タブ16P</v>
      </c>
      <c r="P876" s="533" t="s">
        <v>1324</v>
      </c>
      <c r="Q876" s="533" t="s">
        <v>1325</v>
      </c>
      <c r="R876" s="534" t="str">
        <f t="shared" si="98"/>
        <v>4007</v>
      </c>
      <c r="S876" s="534" t="str">
        <f t="shared" si="99"/>
        <v>タブ16P</v>
      </c>
      <c r="T876" s="538" t="str">
        <f t="shared" si="92"/>
        <v>40</v>
      </c>
      <c r="U876" s="538" t="str">
        <f t="shared" si="93"/>
        <v>07</v>
      </c>
      <c r="V876" s="471" t="s">
        <v>1136</v>
      </c>
      <c r="Y876" s="472">
        <f t="shared" si="94"/>
        <v>15</v>
      </c>
      <c r="Z876" s="540">
        <f t="shared" si="95"/>
        <v>1.2</v>
      </c>
      <c r="AA876" s="471">
        <v>0</v>
      </c>
    </row>
    <row r="877" spans="1:27">
      <c r="A877" s="451" t="str">
        <f>CONCATENATE(VLOOKUP(B877,★営業所!$A$1:$B$5,2,FALSE),VLOOKUP(D877,★サイズ表記!$D$4:$E$55,2,FALSE),VLOOKUP(F877,★折込地区!$A$1:$B$11,2,FALSE))</f>
        <v>S4008Kry</v>
      </c>
      <c r="B877" s="457" t="s">
        <v>276</v>
      </c>
      <c r="C877" s="452" t="str">
        <f>VLOOKUP(B877,★営業所!$A$1:$B$5,2,FALSE)</f>
        <v>S</v>
      </c>
      <c r="D877" s="465" t="s">
        <v>1355</v>
      </c>
      <c r="E877" s="452" t="str">
        <f>VLOOKUP(D877,★サイズ表記!$D$4:$E$55,2,FALSE)</f>
        <v>4008</v>
      </c>
      <c r="F877" s="457" t="s">
        <v>1602</v>
      </c>
      <c r="G877" s="452" t="str">
        <f>VLOOKUP(F877,★折込地区!$A$1:$B$11,2,FALSE)</f>
        <v>Kry</v>
      </c>
      <c r="H877" s="453">
        <f>INDEX(★サイズ表記!$I$4:$Q$55, MATCH(E877,★サイズ表記!$E$4:$E$55,0), MATCH(G877,★サイズ表記!$I$3:$R$3,0))</f>
        <v>17.8</v>
      </c>
      <c r="K877" s="471" t="str">
        <f t="shared" si="96"/>
        <v>S4008Kry</v>
      </c>
      <c r="L877" s="471" t="str">
        <f t="shared" si="97"/>
        <v>タブ18P</v>
      </c>
      <c r="P877" s="533" t="s">
        <v>1324</v>
      </c>
      <c r="Q877" s="533" t="s">
        <v>1325</v>
      </c>
      <c r="R877" s="534" t="str">
        <f t="shared" si="98"/>
        <v>4008</v>
      </c>
      <c r="S877" s="534" t="str">
        <f t="shared" si="99"/>
        <v>タブ18P</v>
      </c>
      <c r="T877" s="538" t="str">
        <f t="shared" si="92"/>
        <v>40</v>
      </c>
      <c r="U877" s="538" t="str">
        <f t="shared" si="93"/>
        <v>08</v>
      </c>
      <c r="V877" s="471" t="s">
        <v>1136</v>
      </c>
      <c r="Y877" s="472">
        <f t="shared" si="94"/>
        <v>17.8</v>
      </c>
      <c r="Z877" s="540">
        <f t="shared" si="95"/>
        <v>1.42</v>
      </c>
      <c r="AA877" s="471">
        <v>0</v>
      </c>
    </row>
    <row r="878" spans="1:27">
      <c r="A878" s="451" t="str">
        <f>CONCATENATE(VLOOKUP(B878,★営業所!$A$1:$B$5,2,FALSE),VLOOKUP(D878,★サイズ表記!$D$4:$E$55,2,FALSE),VLOOKUP(F878,★折込地区!$A$1:$B$11,2,FALSE))</f>
        <v>S4009Kry</v>
      </c>
      <c r="B878" s="457" t="s">
        <v>276</v>
      </c>
      <c r="C878" s="452" t="str">
        <f>VLOOKUP(B878,★営業所!$A$1:$B$5,2,FALSE)</f>
        <v>S</v>
      </c>
      <c r="D878" s="465" t="s">
        <v>1356</v>
      </c>
      <c r="E878" s="452" t="str">
        <f>VLOOKUP(D878,★サイズ表記!$D$4:$E$55,2,FALSE)</f>
        <v>4009</v>
      </c>
      <c r="F878" s="457" t="s">
        <v>1602</v>
      </c>
      <c r="G878" s="452" t="str">
        <f>VLOOKUP(F878,★折込地区!$A$1:$B$11,2,FALSE)</f>
        <v>Kry</v>
      </c>
      <c r="H878" s="453">
        <f>INDEX(★サイズ表記!$I$4:$Q$55, MATCH(E878,★サイズ表記!$E$4:$E$55,0), MATCH(G878,★サイズ表記!$I$3:$R$3,0))</f>
        <v>18.899999999999999</v>
      </c>
      <c r="K878" s="471" t="str">
        <f t="shared" si="96"/>
        <v>S4009Kry</v>
      </c>
      <c r="L878" s="471" t="str">
        <f t="shared" si="97"/>
        <v>タブ20P</v>
      </c>
      <c r="P878" s="533" t="s">
        <v>1324</v>
      </c>
      <c r="Q878" s="533" t="s">
        <v>1325</v>
      </c>
      <c r="R878" s="534" t="str">
        <f t="shared" si="98"/>
        <v>4009</v>
      </c>
      <c r="S878" s="534" t="str">
        <f t="shared" si="99"/>
        <v>タブ20P</v>
      </c>
      <c r="T878" s="538" t="str">
        <f t="shared" si="92"/>
        <v>40</v>
      </c>
      <c r="U878" s="538" t="str">
        <f t="shared" si="93"/>
        <v>09</v>
      </c>
      <c r="V878" s="471" t="s">
        <v>1136</v>
      </c>
      <c r="Y878" s="472">
        <f t="shared" si="94"/>
        <v>18.899999999999999</v>
      </c>
      <c r="Z878" s="540">
        <f t="shared" si="95"/>
        <v>1.51</v>
      </c>
      <c r="AA878" s="471">
        <v>0</v>
      </c>
    </row>
    <row r="879" spans="1:27">
      <c r="A879" s="451" t="str">
        <f>CONCATENATE(VLOOKUP(B879,★営業所!$A$1:$B$5,2,FALSE),VLOOKUP(D879,★サイズ表記!$D$4:$E$55,2,FALSE),VLOOKUP(F879,★折込地区!$A$1:$B$11,2,FALSE))</f>
        <v>S4010Kry</v>
      </c>
      <c r="B879" s="457" t="s">
        <v>276</v>
      </c>
      <c r="C879" s="452" t="str">
        <f>VLOOKUP(B879,★営業所!$A$1:$B$5,2,FALSE)</f>
        <v>S</v>
      </c>
      <c r="D879" s="465" t="s">
        <v>1354</v>
      </c>
      <c r="E879" s="452" t="str">
        <f>VLOOKUP(D879,★サイズ表記!$D$4:$E$55,2,FALSE)</f>
        <v>4010</v>
      </c>
      <c r="F879" s="457" t="s">
        <v>1602</v>
      </c>
      <c r="G879" s="452" t="str">
        <f>VLOOKUP(F879,★折込地区!$A$1:$B$11,2,FALSE)</f>
        <v>Kry</v>
      </c>
      <c r="H879" s="453">
        <f>INDEX(★サイズ表記!$I$4:$Q$55, MATCH(E879,★サイズ表記!$E$4:$E$55,0), MATCH(G879,★サイズ表記!$I$3:$R$3,0))</f>
        <v>16</v>
      </c>
      <c r="K879" s="471" t="str">
        <f t="shared" si="96"/>
        <v>S4010Kry</v>
      </c>
      <c r="L879" s="471" t="str">
        <f t="shared" si="97"/>
        <v>タブ16Pホチキス止め</v>
      </c>
      <c r="P879" s="533" t="s">
        <v>1324</v>
      </c>
      <c r="Q879" s="533" t="s">
        <v>1325</v>
      </c>
      <c r="R879" s="534" t="str">
        <f t="shared" si="98"/>
        <v>4010</v>
      </c>
      <c r="S879" s="534" t="str">
        <f t="shared" si="99"/>
        <v>タブ16Pホチキス止め</v>
      </c>
      <c r="T879" s="538" t="str">
        <f t="shared" si="92"/>
        <v>40</v>
      </c>
      <c r="U879" s="538" t="str">
        <f t="shared" si="93"/>
        <v>10</v>
      </c>
      <c r="V879" s="471" t="s">
        <v>1136</v>
      </c>
      <c r="Y879" s="472">
        <f t="shared" si="94"/>
        <v>16</v>
      </c>
      <c r="Z879" s="540">
        <f t="shared" si="95"/>
        <v>1.28</v>
      </c>
      <c r="AA879" s="471">
        <v>0</v>
      </c>
    </row>
    <row r="880" spans="1:27">
      <c r="A880" s="451" t="str">
        <f>CONCATENATE(VLOOKUP(B880,★営業所!$A$1:$B$5,2,FALSE),VLOOKUP(D880,★サイズ表記!$D$4:$E$55,2,FALSE),VLOOKUP(F880,★折込地区!$A$1:$B$11,2,FALSE))</f>
        <v>S4011Kry</v>
      </c>
      <c r="B880" s="457" t="s">
        <v>276</v>
      </c>
      <c r="C880" s="452" t="str">
        <f>VLOOKUP(B880,★営業所!$A$1:$B$5,2,FALSE)</f>
        <v>S</v>
      </c>
      <c r="D880" s="465" t="s">
        <v>1357</v>
      </c>
      <c r="E880" s="452" t="str">
        <f>VLOOKUP(D880,★サイズ表記!$D$4:$E$55,2,FALSE)</f>
        <v>4011</v>
      </c>
      <c r="F880" s="457" t="s">
        <v>1602</v>
      </c>
      <c r="G880" s="452" t="str">
        <f>VLOOKUP(F880,★折込地区!$A$1:$B$11,2,FALSE)</f>
        <v>Kry</v>
      </c>
      <c r="H880" s="453">
        <f>INDEX(★サイズ表記!$I$4:$Q$55, MATCH(E880,★サイズ表記!$E$4:$E$55,0), MATCH(G880,★サイズ表記!$I$3:$R$3,0))</f>
        <v>0</v>
      </c>
      <c r="K880" s="471" t="str">
        <f t="shared" si="96"/>
        <v>S4011Kry</v>
      </c>
      <c r="L880" s="471" t="str">
        <f t="shared" si="97"/>
        <v>タブ40P</v>
      </c>
      <c r="P880" s="533" t="s">
        <v>1324</v>
      </c>
      <c r="Q880" s="533" t="s">
        <v>1325</v>
      </c>
      <c r="R880" s="534" t="str">
        <f t="shared" si="98"/>
        <v>4011</v>
      </c>
      <c r="S880" s="534" t="str">
        <f t="shared" si="99"/>
        <v>タブ40P</v>
      </c>
      <c r="T880" s="538" t="str">
        <f t="shared" si="92"/>
        <v>40</v>
      </c>
      <c r="U880" s="538" t="str">
        <f t="shared" si="93"/>
        <v>11</v>
      </c>
      <c r="V880" s="471" t="s">
        <v>1136</v>
      </c>
      <c r="Y880" s="472">
        <f t="shared" si="94"/>
        <v>0</v>
      </c>
      <c r="Z880" s="540">
        <f t="shared" si="95"/>
        <v>0</v>
      </c>
      <c r="AA880" s="471">
        <v>0</v>
      </c>
    </row>
    <row r="881" spans="1:27">
      <c r="A881" s="451" t="str">
        <f>CONCATENATE(VLOOKUP(B881,★営業所!$A$1:$B$5,2,FALSE),VLOOKUP(D881,★サイズ表記!$D$4:$E$55,2,FALSE),VLOOKUP(F881,★折込地区!$A$1:$B$11,2,FALSE))</f>
        <v>S9001Kry</v>
      </c>
      <c r="B881" s="457" t="s">
        <v>276</v>
      </c>
      <c r="C881" s="452" t="str">
        <f>VLOOKUP(B881,★営業所!$A$1:$B$5,2,FALSE)</f>
        <v>S</v>
      </c>
      <c r="D881" s="465" t="s">
        <v>975</v>
      </c>
      <c r="E881" s="452" t="str">
        <f>VLOOKUP(D881,★サイズ表記!$D$4:$E$55,2,FALSE)</f>
        <v>9001</v>
      </c>
      <c r="F881" s="457" t="s">
        <v>1602</v>
      </c>
      <c r="G881" s="452" t="str">
        <f>VLOOKUP(F881,★折込地区!$A$1:$B$11,2,FALSE)</f>
        <v>Kry</v>
      </c>
      <c r="H881" s="453">
        <f>INDEX(★サイズ表記!$I$4:$Q$55, MATCH(E881,★サイズ表記!$E$4:$E$55,0), MATCH(G881,★サイズ表記!$I$3:$R$3,0))</f>
        <v>7</v>
      </c>
      <c r="K881" s="471" t="str">
        <f t="shared" si="96"/>
        <v>S9001Kry</v>
      </c>
      <c r="L881" s="471" t="str">
        <f t="shared" si="97"/>
        <v>うさぎの耳</v>
      </c>
      <c r="P881" s="533" t="s">
        <v>1324</v>
      </c>
      <c r="Q881" s="533" t="s">
        <v>1325</v>
      </c>
      <c r="R881" s="534" t="str">
        <f t="shared" si="98"/>
        <v>9001</v>
      </c>
      <c r="S881" s="534" t="str">
        <f t="shared" si="99"/>
        <v>うさぎの耳</v>
      </c>
      <c r="T881" s="538" t="str">
        <f t="shared" si="92"/>
        <v>90</v>
      </c>
      <c r="U881" s="538" t="str">
        <f t="shared" si="93"/>
        <v>01</v>
      </c>
      <c r="V881" s="471" t="s">
        <v>1136</v>
      </c>
      <c r="Y881" s="472">
        <f t="shared" si="94"/>
        <v>7</v>
      </c>
      <c r="Z881" s="540">
        <f t="shared" si="95"/>
        <v>0.56000000000000005</v>
      </c>
      <c r="AA881" s="471">
        <v>0</v>
      </c>
    </row>
    <row r="882" spans="1:27">
      <c r="A882" s="451" t="str">
        <f>CONCATENATE(VLOOKUP(B882,★営業所!$A$1:$B$5,2,FALSE),VLOOKUP(D882,★サイズ表記!$D$4:$E$55,2,FALSE),VLOOKUP(F882,★折込地区!$A$1:$B$11,2,FALSE))</f>
        <v>S9002Kry</v>
      </c>
      <c r="B882" s="457" t="s">
        <v>276</v>
      </c>
      <c r="C882" s="452" t="str">
        <f>VLOOKUP(B882,★営業所!$A$1:$B$5,2,FALSE)</f>
        <v>S</v>
      </c>
      <c r="D882" s="465" t="s">
        <v>976</v>
      </c>
      <c r="E882" s="452" t="str">
        <f>VLOOKUP(D882,★サイズ表記!$D$4:$E$55,2,FALSE)</f>
        <v>9002</v>
      </c>
      <c r="F882" s="457" t="s">
        <v>1602</v>
      </c>
      <c r="G882" s="452" t="str">
        <f>VLOOKUP(F882,★折込地区!$A$1:$B$11,2,FALSE)</f>
        <v>Kry</v>
      </c>
      <c r="H882" s="453">
        <f>INDEX(★サイズ表記!$I$4:$Q$55, MATCH(E882,★サイズ表記!$E$4:$E$55,0), MATCH(G882,★サイズ表記!$I$3:$R$3,0))</f>
        <v>5</v>
      </c>
      <c r="K882" s="471" t="str">
        <f t="shared" si="96"/>
        <v>S9002Kry</v>
      </c>
      <c r="L882" s="471" t="str">
        <f t="shared" si="97"/>
        <v>ユーキャン（題字）</v>
      </c>
      <c r="P882" s="533" t="s">
        <v>1324</v>
      </c>
      <c r="Q882" s="533" t="s">
        <v>1325</v>
      </c>
      <c r="R882" s="534" t="str">
        <f t="shared" si="98"/>
        <v>9002</v>
      </c>
      <c r="S882" s="534" t="str">
        <f t="shared" si="99"/>
        <v>ユーキャン（題字）</v>
      </c>
      <c r="T882" s="538" t="str">
        <f t="shared" si="92"/>
        <v>90</v>
      </c>
      <c r="U882" s="538" t="str">
        <f t="shared" si="93"/>
        <v>02</v>
      </c>
      <c r="V882" s="471" t="s">
        <v>1136</v>
      </c>
      <c r="Y882" s="472">
        <f t="shared" si="94"/>
        <v>5</v>
      </c>
      <c r="Z882" s="540">
        <f t="shared" si="95"/>
        <v>0.4</v>
      </c>
      <c r="AA882" s="471">
        <v>0</v>
      </c>
    </row>
    <row r="883" spans="1:27">
      <c r="A883" s="451" t="str">
        <f>CONCATENATE(VLOOKUP(B883,★営業所!$A$1:$B$5,2,FALSE),VLOOKUP(D883,★サイズ表記!$D$4:$E$55,2,FALSE),VLOOKUP(F883,★折込地区!$A$1:$B$11,2,FALSE))</f>
        <v>S9003Kry</v>
      </c>
      <c r="B883" s="457" t="s">
        <v>276</v>
      </c>
      <c r="C883" s="452" t="str">
        <f>VLOOKUP(B883,★営業所!$A$1:$B$5,2,FALSE)</f>
        <v>S</v>
      </c>
      <c r="D883" s="465" t="s">
        <v>977</v>
      </c>
      <c r="E883" s="452" t="str">
        <f>VLOOKUP(D883,★サイズ表記!$D$4:$E$55,2,FALSE)</f>
        <v>9003</v>
      </c>
      <c r="F883" s="457" t="s">
        <v>1602</v>
      </c>
      <c r="G883" s="452" t="str">
        <f>VLOOKUP(F883,★折込地区!$A$1:$B$11,2,FALSE)</f>
        <v>Kry</v>
      </c>
      <c r="H883" s="453">
        <f>INDEX(★サイズ表記!$I$4:$Q$55, MATCH(E883,★サイズ表記!$E$4:$E$55,0), MATCH(G883,★サイズ表記!$I$3:$R$3,0))</f>
        <v>4.9000000000000004</v>
      </c>
      <c r="K883" s="471" t="str">
        <f t="shared" si="96"/>
        <v>S9003Kry</v>
      </c>
      <c r="L883" s="471" t="str">
        <f t="shared" si="97"/>
        <v>横長B3</v>
      </c>
      <c r="P883" s="533" t="s">
        <v>1324</v>
      </c>
      <c r="Q883" s="533" t="s">
        <v>1325</v>
      </c>
      <c r="R883" s="534" t="str">
        <f t="shared" si="98"/>
        <v>9003</v>
      </c>
      <c r="S883" s="534" t="str">
        <f t="shared" si="99"/>
        <v>横長B3</v>
      </c>
      <c r="T883" s="538" t="str">
        <f t="shared" si="92"/>
        <v>90</v>
      </c>
      <c r="U883" s="538" t="str">
        <f t="shared" si="93"/>
        <v>03</v>
      </c>
      <c r="V883" s="471" t="s">
        <v>1136</v>
      </c>
      <c r="Y883" s="472">
        <f t="shared" si="94"/>
        <v>4.9000000000000004</v>
      </c>
      <c r="Z883" s="540">
        <f t="shared" si="95"/>
        <v>0.39</v>
      </c>
      <c r="AA883" s="471">
        <v>0</v>
      </c>
    </row>
    <row r="884" spans="1:27">
      <c r="A884" s="451" t="str">
        <f>CONCATENATE(VLOOKUP(B884,★営業所!$A$1:$B$5,2,FALSE),VLOOKUP(D884,★サイズ表記!$D$4:$E$55,2,FALSE),VLOOKUP(F884,★折込地区!$A$1:$B$11,2,FALSE))</f>
        <v>S9004Kry</v>
      </c>
      <c r="B884" s="457" t="s">
        <v>276</v>
      </c>
      <c r="C884" s="452" t="str">
        <f>VLOOKUP(B884,★営業所!$A$1:$B$5,2,FALSE)</f>
        <v>S</v>
      </c>
      <c r="D884" s="465" t="s">
        <v>978</v>
      </c>
      <c r="E884" s="452" t="str">
        <f>VLOOKUP(D884,★サイズ表記!$D$4:$E$55,2,FALSE)</f>
        <v>9004</v>
      </c>
      <c r="F884" s="457" t="s">
        <v>1602</v>
      </c>
      <c r="G884" s="452" t="str">
        <f>VLOOKUP(F884,★折込地区!$A$1:$B$11,2,FALSE)</f>
        <v>Kry</v>
      </c>
      <c r="H884" s="453">
        <f>INDEX(★サイズ表記!$I$4:$Q$55, MATCH(E884,★サイズ表記!$E$4:$E$55,0), MATCH(G884,★サイズ表記!$I$3:$R$3,0))</f>
        <v>5</v>
      </c>
      <c r="K884" s="471" t="str">
        <f t="shared" si="96"/>
        <v>S9004Kry</v>
      </c>
      <c r="L884" s="471" t="str">
        <f t="shared" si="97"/>
        <v>AD-BAG</v>
      </c>
      <c r="P884" s="533" t="s">
        <v>1324</v>
      </c>
      <c r="Q884" s="533" t="s">
        <v>1325</v>
      </c>
      <c r="R884" s="534" t="str">
        <f t="shared" si="98"/>
        <v>9004</v>
      </c>
      <c r="S884" s="534" t="str">
        <f t="shared" si="99"/>
        <v>AD-BAG</v>
      </c>
      <c r="T884" s="538" t="str">
        <f t="shared" si="92"/>
        <v>90</v>
      </c>
      <c r="U884" s="538" t="str">
        <f t="shared" si="93"/>
        <v>04</v>
      </c>
      <c r="V884" s="471" t="s">
        <v>1136</v>
      </c>
      <c r="Y884" s="472">
        <f t="shared" si="94"/>
        <v>5</v>
      </c>
      <c r="Z884" s="540">
        <f t="shared" si="95"/>
        <v>0.4</v>
      </c>
      <c r="AA884" s="471">
        <v>0</v>
      </c>
    </row>
    <row r="885" spans="1:27">
      <c r="A885" s="451" t="str">
        <f>CONCATENATE(VLOOKUP(B885,★営業所!$A$1:$B$5,2,FALSE),VLOOKUP(D885,★サイズ表記!$D$4:$E$55,2,FALSE),VLOOKUP(F885,★折込地区!$A$1:$B$11,2,FALSE))</f>
        <v>S9005Kry</v>
      </c>
      <c r="B885" s="457" t="s">
        <v>276</v>
      </c>
      <c r="C885" s="452" t="str">
        <f>VLOOKUP(B885,★営業所!$A$1:$B$5,2,FALSE)</f>
        <v>S</v>
      </c>
      <c r="D885" s="465" t="s">
        <v>979</v>
      </c>
      <c r="E885" s="452" t="str">
        <f>VLOOKUP(D885,★サイズ表記!$D$4:$E$55,2,FALSE)</f>
        <v>9005</v>
      </c>
      <c r="F885" s="457" t="s">
        <v>1602</v>
      </c>
      <c r="G885" s="452" t="str">
        <f>VLOOKUP(F885,★折込地区!$A$1:$B$11,2,FALSE)</f>
        <v>Kry</v>
      </c>
      <c r="H885" s="453">
        <f>INDEX(★サイズ表記!$I$4:$Q$55, MATCH(E885,★サイズ表記!$E$4:$E$55,0), MATCH(G885,★サイズ表記!$I$3:$R$3,0))</f>
        <v>5</v>
      </c>
      <c r="K885" s="471" t="str">
        <f t="shared" si="96"/>
        <v>S9005Kry</v>
      </c>
      <c r="L885" s="471" t="str">
        <f t="shared" si="97"/>
        <v>封筒</v>
      </c>
      <c r="P885" s="533" t="s">
        <v>1324</v>
      </c>
      <c r="Q885" s="533" t="s">
        <v>1325</v>
      </c>
      <c r="R885" s="534" t="str">
        <f t="shared" si="98"/>
        <v>9005</v>
      </c>
      <c r="S885" s="534" t="str">
        <f t="shared" si="99"/>
        <v>封筒</v>
      </c>
      <c r="T885" s="538" t="str">
        <f t="shared" si="92"/>
        <v>90</v>
      </c>
      <c r="U885" s="538" t="str">
        <f t="shared" si="93"/>
        <v>05</v>
      </c>
      <c r="V885" s="471" t="s">
        <v>1136</v>
      </c>
      <c r="Y885" s="472">
        <f t="shared" si="94"/>
        <v>5</v>
      </c>
      <c r="Z885" s="540">
        <f t="shared" si="95"/>
        <v>0.4</v>
      </c>
      <c r="AA885" s="471">
        <v>0</v>
      </c>
    </row>
    <row r="886" spans="1:27">
      <c r="A886" s="451" t="str">
        <f>CONCATENATE(VLOOKUP(B886,★営業所!$A$1:$B$5,2,FALSE),VLOOKUP(D886,★サイズ表記!$D$4:$E$55,2,FALSE),VLOOKUP(F886,★折込地区!$A$1:$B$11,2,FALSE))</f>
        <v>S9006Kry</v>
      </c>
      <c r="B886" s="457" t="s">
        <v>276</v>
      </c>
      <c r="C886" s="452" t="str">
        <f>VLOOKUP(B886,★営業所!$A$1:$B$5,2,FALSE)</f>
        <v>S</v>
      </c>
      <c r="D886" s="465" t="s">
        <v>980</v>
      </c>
      <c r="E886" s="452" t="str">
        <f>VLOOKUP(D886,★サイズ表記!$D$4:$E$55,2,FALSE)</f>
        <v>9006</v>
      </c>
      <c r="F886" s="457" t="s">
        <v>1602</v>
      </c>
      <c r="G886" s="452" t="str">
        <f>VLOOKUP(F886,★折込地区!$A$1:$B$11,2,FALSE)</f>
        <v>Kry</v>
      </c>
      <c r="H886" s="453">
        <f>INDEX(★サイズ表記!$I$4:$Q$55, MATCH(E886,★サイズ表記!$E$4:$E$55,0), MATCH(G886,★サイズ表記!$I$3:$R$3,0))</f>
        <v>3.9</v>
      </c>
      <c r="K886" s="471" t="str">
        <f t="shared" si="96"/>
        <v>S9006Kry</v>
      </c>
      <c r="L886" s="471" t="str">
        <f t="shared" si="97"/>
        <v>圧着</v>
      </c>
      <c r="P886" s="533" t="s">
        <v>1324</v>
      </c>
      <c r="Q886" s="533" t="s">
        <v>1325</v>
      </c>
      <c r="R886" s="534" t="str">
        <f t="shared" si="98"/>
        <v>9006</v>
      </c>
      <c r="S886" s="534" t="str">
        <f t="shared" si="99"/>
        <v>圧着</v>
      </c>
      <c r="T886" s="538" t="str">
        <f t="shared" si="92"/>
        <v>90</v>
      </c>
      <c r="U886" s="538" t="str">
        <f t="shared" si="93"/>
        <v>06</v>
      </c>
      <c r="V886" s="471" t="s">
        <v>1136</v>
      </c>
      <c r="Y886" s="472">
        <f t="shared" si="94"/>
        <v>3.9</v>
      </c>
      <c r="Z886" s="540">
        <f t="shared" si="95"/>
        <v>0.31</v>
      </c>
      <c r="AA886" s="471">
        <v>0</v>
      </c>
    </row>
    <row r="887" spans="1:27">
      <c r="A887" s="451" t="str">
        <f>CONCATENATE(VLOOKUP(B887,★営業所!$A$1:$B$5,2,FALSE),VLOOKUP(D887,★サイズ表記!$D$4:$E$55,2,FALSE),VLOOKUP(F887,★折込地区!$A$1:$B$11,2,FALSE))</f>
        <v>S9007Kry</v>
      </c>
      <c r="B887" s="457" t="s">
        <v>276</v>
      </c>
      <c r="C887" s="452" t="str">
        <f>VLOOKUP(B887,★営業所!$A$1:$B$5,2,FALSE)</f>
        <v>S</v>
      </c>
      <c r="D887" s="465" t="s">
        <v>981</v>
      </c>
      <c r="E887" s="452" t="str">
        <f>VLOOKUP(D887,★サイズ表記!$D$4:$E$55,2,FALSE)</f>
        <v>9007</v>
      </c>
      <c r="F887" s="457" t="s">
        <v>1602</v>
      </c>
      <c r="G887" s="452" t="str">
        <f>VLOOKUP(F887,★折込地区!$A$1:$B$11,2,FALSE)</f>
        <v>Kry</v>
      </c>
      <c r="H887" s="453">
        <f>INDEX(★サイズ表記!$I$4:$Q$55, MATCH(E887,★サイズ表記!$E$4:$E$55,0), MATCH(G887,★サイズ表記!$I$3:$R$3,0))</f>
        <v>4.4000000000000004</v>
      </c>
      <c r="K887" s="471" t="str">
        <f t="shared" si="96"/>
        <v>S9007Kry</v>
      </c>
      <c r="L887" s="471" t="str">
        <f t="shared" si="97"/>
        <v>圧着厚紙</v>
      </c>
      <c r="P887" s="533" t="s">
        <v>1324</v>
      </c>
      <c r="Q887" s="533" t="s">
        <v>1325</v>
      </c>
      <c r="R887" s="534" t="str">
        <f t="shared" si="98"/>
        <v>9007</v>
      </c>
      <c r="S887" s="534" t="str">
        <f t="shared" si="99"/>
        <v>圧着厚紙</v>
      </c>
      <c r="T887" s="538" t="str">
        <f t="shared" si="92"/>
        <v>90</v>
      </c>
      <c r="U887" s="538" t="str">
        <f t="shared" si="93"/>
        <v>07</v>
      </c>
      <c r="V887" s="471" t="s">
        <v>1136</v>
      </c>
      <c r="Y887" s="472">
        <f t="shared" si="94"/>
        <v>4.4000000000000004</v>
      </c>
      <c r="Z887" s="540">
        <f t="shared" si="95"/>
        <v>0.35</v>
      </c>
      <c r="AA887" s="471">
        <v>0</v>
      </c>
    </row>
    <row r="888" spans="1:27">
      <c r="A888" s="451" t="str">
        <f>CONCATENATE(VLOOKUP(B888,★営業所!$A$1:$B$5,2,FALSE),VLOOKUP(D888,★サイズ表記!$D$4:$E$55,2,FALSE),VLOOKUP(F888,★折込地区!$A$1:$B$11,2,FALSE))</f>
        <v>S1001Yng</v>
      </c>
      <c r="B888" s="457" t="s">
        <v>276</v>
      </c>
      <c r="C888" s="452" t="str">
        <f>VLOOKUP(B888,★営業所!$A$1:$B$5,2,FALSE)</f>
        <v>S</v>
      </c>
      <c r="D888" s="465" t="s">
        <v>948</v>
      </c>
      <c r="E888" s="452" t="str">
        <f>VLOOKUP(D888,★サイズ表記!$D$4:$E$55,2,FALSE)</f>
        <v>1001</v>
      </c>
      <c r="F888" s="457" t="s">
        <v>1603</v>
      </c>
      <c r="G888" s="452" t="str">
        <f>VLOOKUP(F888,★折込地区!$A$1:$B$11,2,FALSE)</f>
        <v>Yng</v>
      </c>
      <c r="H888" s="453">
        <f>INDEX(★サイズ表記!$I$4:$Q$55, MATCH(E888,★サイズ表記!$E$4:$E$55,0), MATCH(G888,★サイズ表記!$I$3:$R$3,0))</f>
        <v>2.8</v>
      </c>
      <c r="K888" s="471" t="str">
        <f t="shared" ref="K888:K936" si="100">A888</f>
        <v>S1001Yng</v>
      </c>
      <c r="L888" s="471" t="str">
        <f t="shared" ref="L888:L936" si="101">D888</f>
        <v>B4（折り無し）</v>
      </c>
      <c r="P888" s="533" t="s">
        <v>1324</v>
      </c>
      <c r="Q888" s="533" t="s">
        <v>1325</v>
      </c>
      <c r="R888" s="534" t="str">
        <f t="shared" ref="R888:R936" si="102">E888</f>
        <v>1001</v>
      </c>
      <c r="S888" s="534" t="str">
        <f t="shared" ref="S888:S936" si="103">L888</f>
        <v>B4（折り無し）</v>
      </c>
      <c r="T888" s="538" t="str">
        <f t="shared" si="92"/>
        <v>10</v>
      </c>
      <c r="U888" s="538" t="str">
        <f t="shared" si="93"/>
        <v>01</v>
      </c>
      <c r="V888" s="471" t="s">
        <v>1136</v>
      </c>
      <c r="Y888" s="472">
        <f t="shared" si="94"/>
        <v>2.8</v>
      </c>
      <c r="Z888" s="540">
        <f t="shared" si="95"/>
        <v>0.22</v>
      </c>
      <c r="AA888" s="471">
        <v>0</v>
      </c>
    </row>
    <row r="889" spans="1:27">
      <c r="A889" s="451" t="str">
        <f>CONCATENATE(VLOOKUP(B889,★営業所!$A$1:$B$5,2,FALSE),VLOOKUP(D889,★サイズ表記!$D$4:$E$55,2,FALSE),VLOOKUP(F889,★折込地区!$A$1:$B$11,2,FALSE))</f>
        <v>S1002Yng</v>
      </c>
      <c r="B889" s="457" t="s">
        <v>276</v>
      </c>
      <c r="C889" s="452" t="str">
        <f>VLOOKUP(B889,★営業所!$A$1:$B$5,2,FALSE)</f>
        <v>S</v>
      </c>
      <c r="D889" s="465" t="s">
        <v>950</v>
      </c>
      <c r="E889" s="452" t="str">
        <f>VLOOKUP(D889,★サイズ表記!$D$4:$E$55,2,FALSE)</f>
        <v>1002</v>
      </c>
      <c r="F889" s="457" t="s">
        <v>1603</v>
      </c>
      <c r="G889" s="452" t="str">
        <f>VLOOKUP(F889,★折込地区!$A$1:$B$11,2,FALSE)</f>
        <v>Yng</v>
      </c>
      <c r="H889" s="453">
        <f>INDEX(★サイズ表記!$I$4:$Q$55, MATCH(E889,★サイズ表記!$E$4:$E$55,0), MATCH(G889,★サイズ表記!$I$3:$R$3,0))</f>
        <v>3.9</v>
      </c>
      <c r="K889" s="471" t="str">
        <f t="shared" si="100"/>
        <v>S1002Yng</v>
      </c>
      <c r="L889" s="471" t="str">
        <f t="shared" si="101"/>
        <v>B3（2つ折り）</v>
      </c>
      <c r="P889" s="533" t="s">
        <v>1324</v>
      </c>
      <c r="Q889" s="533" t="s">
        <v>1325</v>
      </c>
      <c r="R889" s="534" t="str">
        <f t="shared" si="102"/>
        <v>1002</v>
      </c>
      <c r="S889" s="534" t="str">
        <f t="shared" si="103"/>
        <v>B3（2つ折り）</v>
      </c>
      <c r="T889" s="538" t="str">
        <f t="shared" si="92"/>
        <v>10</v>
      </c>
      <c r="U889" s="538" t="str">
        <f t="shared" si="93"/>
        <v>02</v>
      </c>
      <c r="V889" s="471" t="s">
        <v>1136</v>
      </c>
      <c r="Y889" s="472">
        <f t="shared" si="94"/>
        <v>3.9</v>
      </c>
      <c r="Z889" s="540">
        <f t="shared" si="95"/>
        <v>0.31</v>
      </c>
      <c r="AA889" s="471">
        <v>0</v>
      </c>
    </row>
    <row r="890" spans="1:27">
      <c r="A890" s="451" t="str">
        <f>CONCATENATE(VLOOKUP(B890,★営業所!$A$1:$B$5,2,FALSE),VLOOKUP(D890,★サイズ表記!$D$4:$E$55,2,FALSE),VLOOKUP(F890,★折込地区!$A$1:$B$11,2,FALSE))</f>
        <v>S1003Yng</v>
      </c>
      <c r="B890" s="457" t="s">
        <v>276</v>
      </c>
      <c r="C890" s="452" t="str">
        <f>VLOOKUP(B890,★営業所!$A$1:$B$5,2,FALSE)</f>
        <v>S</v>
      </c>
      <c r="D890" s="465" t="s">
        <v>951</v>
      </c>
      <c r="E890" s="452" t="str">
        <f>VLOOKUP(D890,★サイズ表記!$D$4:$E$55,2,FALSE)</f>
        <v>1003</v>
      </c>
      <c r="F890" s="457" t="s">
        <v>1603</v>
      </c>
      <c r="G890" s="452" t="str">
        <f>VLOOKUP(F890,★折込地区!$A$1:$B$11,2,FALSE)</f>
        <v>Yng</v>
      </c>
      <c r="H890" s="453">
        <f>INDEX(★サイズ表記!$I$4:$Q$55, MATCH(E890,★サイズ表記!$E$4:$E$55,0), MATCH(G890,★サイズ表記!$I$3:$R$3,0))</f>
        <v>7</v>
      </c>
      <c r="K890" s="471" t="str">
        <f t="shared" si="100"/>
        <v>S1003Yng</v>
      </c>
      <c r="L890" s="471" t="str">
        <f t="shared" si="101"/>
        <v>3つ折り</v>
      </c>
      <c r="P890" s="533" t="s">
        <v>1324</v>
      </c>
      <c r="Q890" s="533" t="s">
        <v>1325</v>
      </c>
      <c r="R890" s="534" t="str">
        <f t="shared" si="102"/>
        <v>1003</v>
      </c>
      <c r="S890" s="534" t="str">
        <f t="shared" si="103"/>
        <v>3つ折り</v>
      </c>
      <c r="T890" s="538" t="str">
        <f t="shared" si="92"/>
        <v>10</v>
      </c>
      <c r="U890" s="538" t="str">
        <f t="shared" si="93"/>
        <v>03</v>
      </c>
      <c r="V890" s="471" t="s">
        <v>1136</v>
      </c>
      <c r="Y890" s="472">
        <f t="shared" si="94"/>
        <v>7</v>
      </c>
      <c r="Z890" s="540">
        <f t="shared" si="95"/>
        <v>0.56000000000000005</v>
      </c>
      <c r="AA890" s="471">
        <v>0</v>
      </c>
    </row>
    <row r="891" spans="1:27">
      <c r="A891" s="451" t="str">
        <f>CONCATENATE(VLOOKUP(B891,★営業所!$A$1:$B$5,2,FALSE),VLOOKUP(D891,★サイズ表記!$D$4:$E$55,2,FALSE),VLOOKUP(F891,★折込地区!$A$1:$B$11,2,FALSE))</f>
        <v>S1004Yng</v>
      </c>
      <c r="B891" s="457" t="s">
        <v>276</v>
      </c>
      <c r="C891" s="452" t="str">
        <f>VLOOKUP(B891,★営業所!$A$1:$B$5,2,FALSE)</f>
        <v>S</v>
      </c>
      <c r="D891" s="465" t="s">
        <v>947</v>
      </c>
      <c r="E891" s="452" t="str">
        <f>VLOOKUP(D891,★サイズ表記!$D$4:$E$55,2,FALSE)</f>
        <v>1004</v>
      </c>
      <c r="F891" s="457" t="s">
        <v>1603</v>
      </c>
      <c r="G891" s="452" t="str">
        <f>VLOOKUP(F891,★折込地区!$A$1:$B$11,2,FALSE)</f>
        <v>Yng</v>
      </c>
      <c r="H891" s="453">
        <f>INDEX(★サイズ表記!$I$4:$Q$55, MATCH(E891,★サイズ表記!$E$4:$E$55,0), MATCH(G891,★サイズ表記!$I$3:$R$3,0))</f>
        <v>7</v>
      </c>
      <c r="K891" s="471" t="str">
        <f t="shared" si="100"/>
        <v>S1004Yng</v>
      </c>
      <c r="L891" s="471" t="str">
        <f t="shared" si="101"/>
        <v>観音折</v>
      </c>
      <c r="P891" s="533" t="s">
        <v>1324</v>
      </c>
      <c r="Q891" s="533" t="s">
        <v>1325</v>
      </c>
      <c r="R891" s="534" t="str">
        <f t="shared" si="102"/>
        <v>1004</v>
      </c>
      <c r="S891" s="534" t="str">
        <f t="shared" si="103"/>
        <v>観音折</v>
      </c>
      <c r="T891" s="538" t="str">
        <f t="shared" si="92"/>
        <v>10</v>
      </c>
      <c r="U891" s="538" t="str">
        <f t="shared" si="93"/>
        <v>04</v>
      </c>
      <c r="V891" s="471" t="s">
        <v>1136</v>
      </c>
      <c r="Y891" s="472">
        <f t="shared" si="94"/>
        <v>7</v>
      </c>
      <c r="Z891" s="540">
        <f t="shared" si="95"/>
        <v>0.56000000000000005</v>
      </c>
      <c r="AA891" s="471">
        <v>0</v>
      </c>
    </row>
    <row r="892" spans="1:27">
      <c r="A892" s="451" t="str">
        <f>CONCATENATE(VLOOKUP(B892,★営業所!$A$1:$B$5,2,FALSE),VLOOKUP(D892,★サイズ表記!$D$4:$E$55,2,FALSE),VLOOKUP(F892,★折込地区!$A$1:$B$11,2,FALSE))</f>
        <v>S1005Yng</v>
      </c>
      <c r="B892" s="457" t="s">
        <v>276</v>
      </c>
      <c r="C892" s="452" t="str">
        <f>VLOOKUP(B892,★営業所!$A$1:$B$5,2,FALSE)</f>
        <v>S</v>
      </c>
      <c r="D892" s="465" t="s">
        <v>952</v>
      </c>
      <c r="E892" s="452" t="str">
        <f>VLOOKUP(D892,★サイズ表記!$D$4:$E$55,2,FALSE)</f>
        <v>1005</v>
      </c>
      <c r="F892" s="457" t="s">
        <v>1603</v>
      </c>
      <c r="G892" s="452" t="str">
        <f>VLOOKUP(F892,★折込地区!$A$1:$B$11,2,FALSE)</f>
        <v>Yng</v>
      </c>
      <c r="H892" s="453">
        <f>INDEX(★サイズ表記!$I$4:$Q$55, MATCH(E892,★サイズ表記!$E$4:$E$55,0), MATCH(G892,★サイズ表記!$I$3:$R$3,0))</f>
        <v>7</v>
      </c>
      <c r="K892" s="471" t="str">
        <f t="shared" si="100"/>
        <v>S1005Yng</v>
      </c>
      <c r="L892" s="471" t="str">
        <f t="shared" si="101"/>
        <v>B2（4つ折り）</v>
      </c>
      <c r="P892" s="533" t="s">
        <v>1324</v>
      </c>
      <c r="Q892" s="533" t="s">
        <v>1325</v>
      </c>
      <c r="R892" s="534" t="str">
        <f t="shared" si="102"/>
        <v>1005</v>
      </c>
      <c r="S892" s="534" t="str">
        <f t="shared" si="103"/>
        <v>B2（4つ折り）</v>
      </c>
      <c r="T892" s="538" t="str">
        <f t="shared" si="92"/>
        <v>10</v>
      </c>
      <c r="U892" s="538" t="str">
        <f t="shared" si="93"/>
        <v>05</v>
      </c>
      <c r="V892" s="471" t="s">
        <v>1136</v>
      </c>
      <c r="Y892" s="472">
        <f t="shared" si="94"/>
        <v>7</v>
      </c>
      <c r="Z892" s="540">
        <f t="shared" si="95"/>
        <v>0.56000000000000005</v>
      </c>
      <c r="AA892" s="471">
        <v>0</v>
      </c>
    </row>
    <row r="893" spans="1:27">
      <c r="A893" s="451" t="str">
        <f>CONCATENATE(VLOOKUP(B893,★営業所!$A$1:$B$5,2,FALSE),VLOOKUP(D893,★サイズ表記!$D$4:$E$55,2,FALSE),VLOOKUP(F893,★折込地区!$A$1:$B$11,2,FALSE))</f>
        <v>S1006Yng</v>
      </c>
      <c r="B893" s="457" t="s">
        <v>276</v>
      </c>
      <c r="C893" s="452" t="str">
        <f>VLOOKUP(B893,★営業所!$A$1:$B$5,2,FALSE)</f>
        <v>S</v>
      </c>
      <c r="D893" s="465" t="s">
        <v>955</v>
      </c>
      <c r="E893" s="452" t="str">
        <f>VLOOKUP(D893,★サイズ表記!$D$4:$E$55,2,FALSE)</f>
        <v>1006</v>
      </c>
      <c r="F893" s="457" t="s">
        <v>1603</v>
      </c>
      <c r="G893" s="452" t="str">
        <f>VLOOKUP(F893,★折込地区!$A$1:$B$11,2,FALSE)</f>
        <v>Yng</v>
      </c>
      <c r="H893" s="453">
        <f>INDEX(★サイズ表記!$I$4:$Q$55, MATCH(E893,★サイズ表記!$E$4:$E$55,0), MATCH(G893,★サイズ表記!$I$3:$R$3,0))</f>
        <v>15</v>
      </c>
      <c r="K893" s="471" t="str">
        <f t="shared" si="100"/>
        <v>S1006Yng</v>
      </c>
      <c r="L893" s="471" t="str">
        <f t="shared" si="101"/>
        <v>B1（8折り）</v>
      </c>
      <c r="P893" s="533" t="s">
        <v>1324</v>
      </c>
      <c r="Q893" s="533" t="s">
        <v>1325</v>
      </c>
      <c r="R893" s="534" t="str">
        <f t="shared" si="102"/>
        <v>1006</v>
      </c>
      <c r="S893" s="534" t="str">
        <f t="shared" si="103"/>
        <v>B1（8折り）</v>
      </c>
      <c r="T893" s="538" t="str">
        <f t="shared" si="92"/>
        <v>10</v>
      </c>
      <c r="U893" s="538" t="str">
        <f t="shared" si="93"/>
        <v>06</v>
      </c>
      <c r="V893" s="471" t="s">
        <v>1136</v>
      </c>
      <c r="Y893" s="472">
        <f t="shared" si="94"/>
        <v>15</v>
      </c>
      <c r="Z893" s="540">
        <f t="shared" si="95"/>
        <v>1.2</v>
      </c>
      <c r="AA893" s="471">
        <v>0</v>
      </c>
    </row>
    <row r="894" spans="1:27">
      <c r="A894" s="451" t="str">
        <f>CONCATENATE(VLOOKUP(B894,★営業所!$A$1:$B$5,2,FALSE),VLOOKUP(D894,★サイズ表記!$D$4:$E$55,2,FALSE),VLOOKUP(F894,★折込地区!$A$1:$B$11,2,FALSE))</f>
        <v>S1007Yng</v>
      </c>
      <c r="B894" s="457" t="s">
        <v>276</v>
      </c>
      <c r="C894" s="452" t="str">
        <f>VLOOKUP(B894,★営業所!$A$1:$B$5,2,FALSE)</f>
        <v>S</v>
      </c>
      <c r="D894" s="465" t="s">
        <v>956</v>
      </c>
      <c r="E894" s="452" t="str">
        <f>VLOOKUP(D894,★サイズ表記!$D$4:$E$55,2,FALSE)</f>
        <v>1007</v>
      </c>
      <c r="F894" s="457" t="s">
        <v>1603</v>
      </c>
      <c r="G894" s="452" t="str">
        <f>VLOOKUP(F894,★折込地区!$A$1:$B$11,2,FALSE)</f>
        <v>Yng</v>
      </c>
      <c r="H894" s="453">
        <f>INDEX(★サイズ表記!$I$4:$Q$55, MATCH(E894,★サイズ表記!$E$4:$E$55,0), MATCH(G894,★サイズ表記!$I$3:$R$3,0))</f>
        <v>3.3</v>
      </c>
      <c r="K894" s="471" t="str">
        <f t="shared" si="100"/>
        <v>S1007Yng</v>
      </c>
      <c r="L894" s="471" t="str">
        <f t="shared" si="101"/>
        <v>B4厚紙</v>
      </c>
      <c r="P894" s="533" t="s">
        <v>1324</v>
      </c>
      <c r="Q894" s="533" t="s">
        <v>1325</v>
      </c>
      <c r="R894" s="534" t="str">
        <f t="shared" si="102"/>
        <v>1007</v>
      </c>
      <c r="S894" s="534" t="str">
        <f t="shared" si="103"/>
        <v>B4厚紙</v>
      </c>
      <c r="T894" s="538" t="str">
        <f t="shared" si="92"/>
        <v>10</v>
      </c>
      <c r="U894" s="538" t="str">
        <f t="shared" si="93"/>
        <v>07</v>
      </c>
      <c r="V894" s="471" t="s">
        <v>1136</v>
      </c>
      <c r="Y894" s="472">
        <f t="shared" si="94"/>
        <v>3.3</v>
      </c>
      <c r="Z894" s="540">
        <f t="shared" si="95"/>
        <v>0.26</v>
      </c>
      <c r="AA894" s="471">
        <v>0</v>
      </c>
    </row>
    <row r="895" spans="1:27">
      <c r="A895" s="451" t="str">
        <f>CONCATENATE(VLOOKUP(B895,★営業所!$A$1:$B$5,2,FALSE),VLOOKUP(D895,★サイズ表記!$D$4:$E$55,2,FALSE),VLOOKUP(F895,★折込地区!$A$1:$B$11,2,FALSE))</f>
        <v>S1008Yng</v>
      </c>
      <c r="B895" s="457" t="s">
        <v>276</v>
      </c>
      <c r="C895" s="452" t="str">
        <f>VLOOKUP(B895,★営業所!$A$1:$B$5,2,FALSE)</f>
        <v>S</v>
      </c>
      <c r="D895" s="465" t="s">
        <v>957</v>
      </c>
      <c r="E895" s="452" t="str">
        <f>VLOOKUP(D895,★サイズ表記!$D$4:$E$55,2,FALSE)</f>
        <v>1008</v>
      </c>
      <c r="F895" s="457" t="s">
        <v>1603</v>
      </c>
      <c r="G895" s="452" t="str">
        <f>VLOOKUP(F895,★折込地区!$A$1:$B$11,2,FALSE)</f>
        <v>Yng</v>
      </c>
      <c r="H895" s="453">
        <f>INDEX(★サイズ表記!$I$4:$Q$55, MATCH(E895,★サイズ表記!$E$4:$E$55,0), MATCH(G895,★サイズ表記!$I$3:$R$3,0))</f>
        <v>4.4000000000000004</v>
      </c>
      <c r="K895" s="471" t="str">
        <f t="shared" si="100"/>
        <v>S1008Yng</v>
      </c>
      <c r="L895" s="471" t="str">
        <f t="shared" si="101"/>
        <v>B3厚紙</v>
      </c>
      <c r="P895" s="533" t="s">
        <v>1324</v>
      </c>
      <c r="Q895" s="533" t="s">
        <v>1325</v>
      </c>
      <c r="R895" s="534" t="str">
        <f t="shared" si="102"/>
        <v>1008</v>
      </c>
      <c r="S895" s="534" t="str">
        <f t="shared" si="103"/>
        <v>B3厚紙</v>
      </c>
      <c r="T895" s="538" t="str">
        <f t="shared" si="92"/>
        <v>10</v>
      </c>
      <c r="U895" s="538" t="str">
        <f t="shared" si="93"/>
        <v>08</v>
      </c>
      <c r="V895" s="471" t="s">
        <v>1136</v>
      </c>
      <c r="Y895" s="472">
        <f t="shared" si="94"/>
        <v>4.4000000000000004</v>
      </c>
      <c r="Z895" s="540">
        <f t="shared" si="95"/>
        <v>0.35</v>
      </c>
      <c r="AA895" s="471">
        <v>0</v>
      </c>
    </row>
    <row r="896" spans="1:27">
      <c r="A896" s="451" t="str">
        <f>CONCATENATE(VLOOKUP(B896,★営業所!$A$1:$B$5,2,FALSE),VLOOKUP(D896,★サイズ表記!$D$4:$E$55,2,FALSE),VLOOKUP(F896,★折込地区!$A$1:$B$11,2,FALSE))</f>
        <v>S1009Yng</v>
      </c>
      <c r="B896" s="457" t="s">
        <v>276</v>
      </c>
      <c r="C896" s="452" t="str">
        <f>VLOOKUP(B896,★営業所!$A$1:$B$5,2,FALSE)</f>
        <v>S</v>
      </c>
      <c r="D896" s="465" t="s">
        <v>958</v>
      </c>
      <c r="E896" s="452" t="str">
        <f>VLOOKUP(D896,★サイズ表記!$D$4:$E$55,2,FALSE)</f>
        <v>1009</v>
      </c>
      <c r="F896" s="457" t="s">
        <v>1603</v>
      </c>
      <c r="G896" s="452" t="str">
        <f>VLOOKUP(F896,★折込地区!$A$1:$B$11,2,FALSE)</f>
        <v>Yng</v>
      </c>
      <c r="H896" s="453">
        <f>INDEX(★サイズ表記!$I$4:$Q$55, MATCH(E896,★サイズ表記!$E$4:$E$55,0), MATCH(G896,★サイズ表記!$I$3:$R$3,0))</f>
        <v>7.5</v>
      </c>
      <c r="K896" s="471" t="str">
        <f t="shared" si="100"/>
        <v>S1009Yng</v>
      </c>
      <c r="L896" s="471" t="str">
        <f t="shared" si="101"/>
        <v>B2厚紙</v>
      </c>
      <c r="P896" s="533" t="s">
        <v>1324</v>
      </c>
      <c r="Q896" s="533" t="s">
        <v>1325</v>
      </c>
      <c r="R896" s="534" t="str">
        <f t="shared" si="102"/>
        <v>1009</v>
      </c>
      <c r="S896" s="534" t="str">
        <f t="shared" si="103"/>
        <v>B2厚紙</v>
      </c>
      <c r="T896" s="538" t="str">
        <f t="shared" si="92"/>
        <v>10</v>
      </c>
      <c r="U896" s="538" t="str">
        <f t="shared" si="93"/>
        <v>09</v>
      </c>
      <c r="V896" s="471" t="s">
        <v>1136</v>
      </c>
      <c r="Y896" s="472">
        <f t="shared" si="94"/>
        <v>7.5</v>
      </c>
      <c r="Z896" s="540">
        <f t="shared" si="95"/>
        <v>0.6</v>
      </c>
      <c r="AA896" s="471">
        <v>0</v>
      </c>
    </row>
    <row r="897" spans="1:27">
      <c r="A897" s="451" t="str">
        <f>CONCATENATE(VLOOKUP(B897,★営業所!$A$1:$B$5,2,FALSE),VLOOKUP(D897,★サイズ表記!$D$4:$E$55,2,FALSE),VLOOKUP(F897,★折込地区!$A$1:$B$11,2,FALSE))</f>
        <v>S1010Yng</v>
      </c>
      <c r="B897" s="457" t="s">
        <v>276</v>
      </c>
      <c r="C897" s="452" t="str">
        <f>VLOOKUP(B897,★営業所!$A$1:$B$5,2,FALSE)</f>
        <v>S</v>
      </c>
      <c r="D897" s="465" t="s">
        <v>959</v>
      </c>
      <c r="E897" s="452" t="str">
        <f>VLOOKUP(D897,★サイズ表記!$D$4:$E$55,2,FALSE)</f>
        <v>1010</v>
      </c>
      <c r="F897" s="457" t="s">
        <v>1603</v>
      </c>
      <c r="G897" s="452" t="str">
        <f>VLOOKUP(F897,★折込地区!$A$1:$B$11,2,FALSE)</f>
        <v>Yng</v>
      </c>
      <c r="H897" s="453">
        <f>INDEX(★サイズ表記!$I$4:$Q$55, MATCH(E897,★サイズ表記!$E$4:$E$55,0), MATCH(G897,★サイズ表記!$I$3:$R$3,0))</f>
        <v>4.2</v>
      </c>
      <c r="K897" s="471" t="str">
        <f t="shared" si="100"/>
        <v>S1010Yng</v>
      </c>
      <c r="L897" s="471" t="str">
        <f t="shared" si="101"/>
        <v>B4以下変形</v>
      </c>
      <c r="P897" s="533" t="s">
        <v>1324</v>
      </c>
      <c r="Q897" s="533" t="s">
        <v>1325</v>
      </c>
      <c r="R897" s="534" t="str">
        <f t="shared" si="102"/>
        <v>1010</v>
      </c>
      <c r="S897" s="534" t="str">
        <f t="shared" si="103"/>
        <v>B4以下変形</v>
      </c>
      <c r="T897" s="538" t="str">
        <f t="shared" si="92"/>
        <v>10</v>
      </c>
      <c r="U897" s="538" t="str">
        <f t="shared" si="93"/>
        <v>10</v>
      </c>
      <c r="V897" s="471" t="s">
        <v>1136</v>
      </c>
      <c r="Y897" s="472">
        <f t="shared" si="94"/>
        <v>4.2</v>
      </c>
      <c r="Z897" s="540">
        <f t="shared" si="95"/>
        <v>0.33</v>
      </c>
      <c r="AA897" s="471">
        <v>0</v>
      </c>
    </row>
    <row r="898" spans="1:27">
      <c r="A898" s="451" t="str">
        <f>CONCATENATE(VLOOKUP(B898,★営業所!$A$1:$B$5,2,FALSE),VLOOKUP(D898,★サイズ表記!$D$4:$E$55,2,FALSE),VLOOKUP(F898,★折込地区!$A$1:$B$11,2,FALSE))</f>
        <v>S1011Yng</v>
      </c>
      <c r="B898" s="457" t="s">
        <v>276</v>
      </c>
      <c r="C898" s="452" t="str">
        <f>VLOOKUP(B898,★営業所!$A$1:$B$5,2,FALSE)</f>
        <v>S</v>
      </c>
      <c r="D898" s="465" t="s">
        <v>960</v>
      </c>
      <c r="E898" s="452" t="str">
        <f>VLOOKUP(D898,★サイズ表記!$D$4:$E$55,2,FALSE)</f>
        <v>1011</v>
      </c>
      <c r="F898" s="457" t="s">
        <v>1603</v>
      </c>
      <c r="G898" s="452" t="str">
        <f>VLOOKUP(F898,★折込地区!$A$1:$B$11,2,FALSE)</f>
        <v>Yng</v>
      </c>
      <c r="H898" s="453">
        <f>INDEX(★サイズ表記!$I$4:$Q$55, MATCH(E898,★サイズ表記!$E$4:$E$55,0), MATCH(G898,★サイズ表記!$I$3:$R$3,0))</f>
        <v>3.8</v>
      </c>
      <c r="K898" s="471" t="str">
        <f t="shared" si="100"/>
        <v>S1011Yng</v>
      </c>
      <c r="L898" s="471" t="str">
        <f t="shared" si="101"/>
        <v>B4シール付き</v>
      </c>
      <c r="P898" s="533" t="s">
        <v>1324</v>
      </c>
      <c r="Q898" s="533" t="s">
        <v>1325</v>
      </c>
      <c r="R898" s="534" t="str">
        <f t="shared" si="102"/>
        <v>1011</v>
      </c>
      <c r="S898" s="534" t="str">
        <f t="shared" si="103"/>
        <v>B4シール付き</v>
      </c>
      <c r="T898" s="538" t="str">
        <f t="shared" si="92"/>
        <v>10</v>
      </c>
      <c r="U898" s="538" t="str">
        <f t="shared" si="93"/>
        <v>11</v>
      </c>
      <c r="V898" s="471" t="s">
        <v>1136</v>
      </c>
      <c r="Y898" s="472">
        <f t="shared" si="94"/>
        <v>3.8</v>
      </c>
      <c r="Z898" s="540">
        <f t="shared" si="95"/>
        <v>0.3</v>
      </c>
      <c r="AA898" s="471">
        <v>0</v>
      </c>
    </row>
    <row r="899" spans="1:27">
      <c r="A899" s="451" t="str">
        <f>CONCATENATE(VLOOKUP(B899,★営業所!$A$1:$B$5,2,FALSE),VLOOKUP(D899,★サイズ表記!$D$4:$E$55,2,FALSE),VLOOKUP(F899,★折込地区!$A$1:$B$11,2,FALSE))</f>
        <v>S1012Yng</v>
      </c>
      <c r="B899" s="457" t="s">
        <v>276</v>
      </c>
      <c r="C899" s="452" t="str">
        <f>VLOOKUP(B899,★営業所!$A$1:$B$5,2,FALSE)</f>
        <v>S</v>
      </c>
      <c r="D899" s="465" t="s">
        <v>961</v>
      </c>
      <c r="E899" s="452" t="str">
        <f>VLOOKUP(D899,★サイズ表記!$D$4:$E$55,2,FALSE)</f>
        <v>1012</v>
      </c>
      <c r="F899" s="457" t="s">
        <v>1603</v>
      </c>
      <c r="G899" s="452" t="str">
        <f>VLOOKUP(F899,★折込地区!$A$1:$B$11,2,FALSE)</f>
        <v>Yng</v>
      </c>
      <c r="H899" s="453">
        <f>INDEX(★サイズ表記!$I$4:$Q$55, MATCH(E899,★サイズ表記!$E$4:$E$55,0), MATCH(G899,★サイズ表記!$I$3:$R$3,0))</f>
        <v>4.9000000000000004</v>
      </c>
      <c r="K899" s="471" t="str">
        <f t="shared" si="100"/>
        <v>S1012Yng</v>
      </c>
      <c r="L899" s="471" t="str">
        <f t="shared" si="101"/>
        <v>B3シール付き</v>
      </c>
      <c r="P899" s="533" t="s">
        <v>1324</v>
      </c>
      <c r="Q899" s="533" t="s">
        <v>1325</v>
      </c>
      <c r="R899" s="534" t="str">
        <f t="shared" si="102"/>
        <v>1012</v>
      </c>
      <c r="S899" s="534" t="str">
        <f t="shared" si="103"/>
        <v>B3シール付き</v>
      </c>
      <c r="T899" s="538" t="str">
        <f t="shared" si="92"/>
        <v>10</v>
      </c>
      <c r="U899" s="538" t="str">
        <f t="shared" si="93"/>
        <v>12</v>
      </c>
      <c r="V899" s="471" t="s">
        <v>1136</v>
      </c>
      <c r="Y899" s="472">
        <f t="shared" si="94"/>
        <v>4.9000000000000004</v>
      </c>
      <c r="Z899" s="540">
        <f t="shared" si="95"/>
        <v>0.39</v>
      </c>
      <c r="AA899" s="471">
        <v>0</v>
      </c>
    </row>
    <row r="900" spans="1:27">
      <c r="A900" s="451" t="str">
        <f>CONCATENATE(VLOOKUP(B900,★営業所!$A$1:$B$5,2,FALSE),VLOOKUP(D900,★サイズ表記!$D$4:$E$55,2,FALSE),VLOOKUP(F900,★折込地区!$A$1:$B$11,2,FALSE))</f>
        <v>S1013Yng</v>
      </c>
      <c r="B900" s="457" t="s">
        <v>276</v>
      </c>
      <c r="C900" s="452" t="str">
        <f>VLOOKUP(B900,★営業所!$A$1:$B$5,2,FALSE)</f>
        <v>S</v>
      </c>
      <c r="D900" s="465" t="s">
        <v>962</v>
      </c>
      <c r="E900" s="452" t="str">
        <f>VLOOKUP(D900,★サイズ表記!$D$4:$E$55,2,FALSE)</f>
        <v>1013</v>
      </c>
      <c r="F900" s="457" t="s">
        <v>1603</v>
      </c>
      <c r="G900" s="452" t="str">
        <f>VLOOKUP(F900,★折込地区!$A$1:$B$11,2,FALSE)</f>
        <v>Yng</v>
      </c>
      <c r="H900" s="453">
        <f>INDEX(★サイズ表記!$I$4:$Q$55, MATCH(E900,★サイズ表記!$E$4:$E$55,0), MATCH(G900,★サイズ表記!$I$3:$R$3,0))</f>
        <v>3.8</v>
      </c>
      <c r="K900" s="471" t="str">
        <f t="shared" si="100"/>
        <v>S1013Yng</v>
      </c>
      <c r="L900" s="471" t="str">
        <f t="shared" si="101"/>
        <v>B4スクラッチ付き</v>
      </c>
      <c r="P900" s="533" t="s">
        <v>1324</v>
      </c>
      <c r="Q900" s="533" t="s">
        <v>1325</v>
      </c>
      <c r="R900" s="534" t="str">
        <f t="shared" si="102"/>
        <v>1013</v>
      </c>
      <c r="S900" s="534" t="str">
        <f t="shared" si="103"/>
        <v>B4スクラッチ付き</v>
      </c>
      <c r="T900" s="538" t="str">
        <f t="shared" si="92"/>
        <v>10</v>
      </c>
      <c r="U900" s="538" t="str">
        <f t="shared" si="93"/>
        <v>13</v>
      </c>
      <c r="V900" s="471" t="s">
        <v>1136</v>
      </c>
      <c r="Y900" s="472">
        <f t="shared" si="94"/>
        <v>3.8</v>
      </c>
      <c r="Z900" s="540">
        <f t="shared" si="95"/>
        <v>0.3</v>
      </c>
      <c r="AA900" s="471">
        <v>0</v>
      </c>
    </row>
    <row r="901" spans="1:27">
      <c r="A901" s="451" t="str">
        <f>CONCATENATE(VLOOKUP(B901,★営業所!$A$1:$B$5,2,FALSE),VLOOKUP(D901,★サイズ表記!$D$4:$E$55,2,FALSE),VLOOKUP(F901,★折込地区!$A$1:$B$11,2,FALSE))</f>
        <v>S2001Yng</v>
      </c>
      <c r="B901" s="457" t="s">
        <v>276</v>
      </c>
      <c r="C901" s="452" t="str">
        <f>VLOOKUP(B901,★営業所!$A$1:$B$5,2,FALSE)</f>
        <v>S</v>
      </c>
      <c r="D901" s="465" t="s">
        <v>963</v>
      </c>
      <c r="E901" s="452" t="str">
        <f>VLOOKUP(D901,★サイズ表記!$D$4:$E$55,2,FALSE)</f>
        <v>2001</v>
      </c>
      <c r="F901" s="457" t="s">
        <v>1603</v>
      </c>
      <c r="G901" s="452" t="str">
        <f>VLOOKUP(F901,★折込地区!$A$1:$B$11,2,FALSE)</f>
        <v>Yng</v>
      </c>
      <c r="H901" s="453">
        <f>INDEX(★サイズ表記!$I$4:$Q$55, MATCH(E901,★サイズ表記!$E$4:$E$55,0), MATCH(G901,★サイズ表記!$I$3:$R$3,0))</f>
        <v>4.2</v>
      </c>
      <c r="K901" s="471" t="str">
        <f t="shared" si="100"/>
        <v>S2001Yng</v>
      </c>
      <c r="L901" s="471" t="str">
        <f t="shared" si="101"/>
        <v>連合B4</v>
      </c>
      <c r="P901" s="533" t="s">
        <v>1324</v>
      </c>
      <c r="Q901" s="533" t="s">
        <v>1325</v>
      </c>
      <c r="R901" s="534" t="str">
        <f t="shared" si="102"/>
        <v>2001</v>
      </c>
      <c r="S901" s="534" t="str">
        <f t="shared" si="103"/>
        <v>連合B4</v>
      </c>
      <c r="T901" s="538" t="str">
        <f t="shared" si="92"/>
        <v>20</v>
      </c>
      <c r="U901" s="538" t="str">
        <f t="shared" si="93"/>
        <v>01</v>
      </c>
      <c r="V901" s="471" t="s">
        <v>1136</v>
      </c>
      <c r="Y901" s="472">
        <f t="shared" si="94"/>
        <v>4.2</v>
      </c>
      <c r="Z901" s="540">
        <f t="shared" si="95"/>
        <v>0.33</v>
      </c>
      <c r="AA901" s="471">
        <v>0</v>
      </c>
    </row>
    <row r="902" spans="1:27">
      <c r="A902" s="451" t="str">
        <f>CONCATENATE(VLOOKUP(B902,★営業所!$A$1:$B$5,2,FALSE),VLOOKUP(D902,★サイズ表記!$D$4:$E$55,2,FALSE),VLOOKUP(F902,★折込地区!$A$1:$B$11,2,FALSE))</f>
        <v>S2002Yng</v>
      </c>
      <c r="B902" s="457" t="s">
        <v>276</v>
      </c>
      <c r="C902" s="452" t="str">
        <f>VLOOKUP(B902,★営業所!$A$1:$B$5,2,FALSE)</f>
        <v>S</v>
      </c>
      <c r="D902" s="465" t="s">
        <v>964</v>
      </c>
      <c r="E902" s="452" t="str">
        <f>VLOOKUP(D902,★サイズ表記!$D$4:$E$55,2,FALSE)</f>
        <v>2002</v>
      </c>
      <c r="F902" s="457" t="s">
        <v>1603</v>
      </c>
      <c r="G902" s="452" t="str">
        <f>VLOOKUP(F902,★折込地区!$A$1:$B$11,2,FALSE)</f>
        <v>Yng</v>
      </c>
      <c r="H902" s="453">
        <f>INDEX(★サイズ表記!$I$4:$Q$55, MATCH(E902,★サイズ表記!$E$4:$E$55,0), MATCH(G902,★サイズ表記!$I$3:$R$3,0))</f>
        <v>5.85</v>
      </c>
      <c r="K902" s="471" t="str">
        <f t="shared" si="100"/>
        <v>S2002Yng</v>
      </c>
      <c r="L902" s="471" t="str">
        <f t="shared" si="101"/>
        <v>連合B3</v>
      </c>
      <c r="P902" s="533" t="s">
        <v>1324</v>
      </c>
      <c r="Q902" s="533" t="s">
        <v>1325</v>
      </c>
      <c r="R902" s="534" t="str">
        <f t="shared" si="102"/>
        <v>2002</v>
      </c>
      <c r="S902" s="534" t="str">
        <f t="shared" si="103"/>
        <v>連合B3</v>
      </c>
      <c r="T902" s="538" t="str">
        <f t="shared" si="92"/>
        <v>20</v>
      </c>
      <c r="U902" s="538" t="str">
        <f t="shared" si="93"/>
        <v>02</v>
      </c>
      <c r="V902" s="471" t="s">
        <v>1136</v>
      </c>
      <c r="Y902" s="472">
        <f t="shared" si="94"/>
        <v>5.85</v>
      </c>
      <c r="Z902" s="540">
        <f t="shared" si="95"/>
        <v>0.46</v>
      </c>
      <c r="AA902" s="471">
        <v>0</v>
      </c>
    </row>
    <row r="903" spans="1:27">
      <c r="A903" s="451" t="str">
        <f>CONCATENATE(VLOOKUP(B903,★営業所!$A$1:$B$5,2,FALSE),VLOOKUP(D903,★サイズ表記!$D$4:$E$55,2,FALSE),VLOOKUP(F903,★折込地区!$A$1:$B$11,2,FALSE))</f>
        <v>S2003Yng</v>
      </c>
      <c r="B903" s="457" t="s">
        <v>276</v>
      </c>
      <c r="C903" s="452" t="str">
        <f>VLOOKUP(B903,★営業所!$A$1:$B$5,2,FALSE)</f>
        <v>S</v>
      </c>
      <c r="D903" s="465" t="s">
        <v>965</v>
      </c>
      <c r="E903" s="452" t="str">
        <f>VLOOKUP(D903,★サイズ表記!$D$4:$E$55,2,FALSE)</f>
        <v>2003</v>
      </c>
      <c r="F903" s="457" t="s">
        <v>1603</v>
      </c>
      <c r="G903" s="452" t="str">
        <f>VLOOKUP(F903,★折込地区!$A$1:$B$11,2,FALSE)</f>
        <v>Yng</v>
      </c>
      <c r="H903" s="453">
        <f>INDEX(★サイズ表記!$I$4:$Q$55, MATCH(E903,★サイズ表記!$E$4:$E$55,0), MATCH(G903,★サイズ表記!$I$3:$R$3,0))</f>
        <v>10.5</v>
      </c>
      <c r="K903" s="471" t="str">
        <f t="shared" si="100"/>
        <v>S2003Yng</v>
      </c>
      <c r="L903" s="471" t="str">
        <f t="shared" si="101"/>
        <v>連合B2</v>
      </c>
      <c r="P903" s="533" t="s">
        <v>1324</v>
      </c>
      <c r="Q903" s="533" t="s">
        <v>1325</v>
      </c>
      <c r="R903" s="534" t="str">
        <f t="shared" si="102"/>
        <v>2003</v>
      </c>
      <c r="S903" s="534" t="str">
        <f t="shared" si="103"/>
        <v>連合B2</v>
      </c>
      <c r="T903" s="538" t="str">
        <f t="shared" si="92"/>
        <v>20</v>
      </c>
      <c r="U903" s="538" t="str">
        <f t="shared" si="93"/>
        <v>03</v>
      </c>
      <c r="V903" s="471" t="s">
        <v>1136</v>
      </c>
      <c r="Y903" s="472">
        <f t="shared" si="94"/>
        <v>10.5</v>
      </c>
      <c r="Z903" s="540">
        <f t="shared" si="95"/>
        <v>0.84</v>
      </c>
      <c r="AA903" s="471">
        <v>0</v>
      </c>
    </row>
    <row r="904" spans="1:27">
      <c r="A904" s="451" t="str">
        <f>CONCATENATE(VLOOKUP(B904,★営業所!$A$1:$B$5,2,FALSE),VLOOKUP(D904,★サイズ表記!$D$4:$E$55,2,FALSE),VLOOKUP(F904,★折込地区!$A$1:$B$11,2,FALSE))</f>
        <v>S2004Yng</v>
      </c>
      <c r="B904" s="457" t="s">
        <v>276</v>
      </c>
      <c r="C904" s="452" t="str">
        <f>VLOOKUP(B904,★営業所!$A$1:$B$5,2,FALSE)</f>
        <v>S</v>
      </c>
      <c r="D904" s="465" t="s">
        <v>966</v>
      </c>
      <c r="E904" s="452" t="str">
        <f>VLOOKUP(D904,★サイズ表記!$D$4:$E$55,2,FALSE)</f>
        <v>2004</v>
      </c>
      <c r="F904" s="457" t="s">
        <v>1603</v>
      </c>
      <c r="G904" s="452" t="str">
        <f>VLOOKUP(F904,★折込地区!$A$1:$B$11,2,FALSE)</f>
        <v>Yng</v>
      </c>
      <c r="H904" s="453">
        <f>INDEX(★サイズ表記!$I$4:$Q$55, MATCH(E904,★サイズ表記!$E$4:$E$55,0), MATCH(G904,★サイズ表記!$I$3:$R$3,0))</f>
        <v>10.5</v>
      </c>
      <c r="K904" s="471" t="str">
        <f t="shared" si="100"/>
        <v>S2004Yng</v>
      </c>
      <c r="L904" s="471" t="str">
        <f t="shared" si="101"/>
        <v>連合3つ折り</v>
      </c>
      <c r="P904" s="533" t="s">
        <v>1324</v>
      </c>
      <c r="Q904" s="533" t="s">
        <v>1325</v>
      </c>
      <c r="R904" s="534" t="str">
        <f t="shared" si="102"/>
        <v>2004</v>
      </c>
      <c r="S904" s="534" t="str">
        <f t="shared" si="103"/>
        <v>連合3つ折り</v>
      </c>
      <c r="T904" s="538" t="str">
        <f t="shared" si="92"/>
        <v>20</v>
      </c>
      <c r="U904" s="538" t="str">
        <f t="shared" si="93"/>
        <v>04</v>
      </c>
      <c r="V904" s="471" t="s">
        <v>1136</v>
      </c>
      <c r="Y904" s="472">
        <f t="shared" si="94"/>
        <v>10.5</v>
      </c>
      <c r="Z904" s="540">
        <f t="shared" si="95"/>
        <v>0.84</v>
      </c>
      <c r="AA904" s="471">
        <v>0</v>
      </c>
    </row>
    <row r="905" spans="1:27">
      <c r="A905" s="451" t="str">
        <f>CONCATENATE(VLOOKUP(B905,★営業所!$A$1:$B$5,2,FALSE),VLOOKUP(D905,★サイズ表記!$D$4:$E$55,2,FALSE),VLOOKUP(F905,★折込地区!$A$1:$B$11,2,FALSE))</f>
        <v>S2005Yng</v>
      </c>
      <c r="B905" s="457" t="s">
        <v>276</v>
      </c>
      <c r="C905" s="452" t="str">
        <f>VLOOKUP(B905,★営業所!$A$1:$B$5,2,FALSE)</f>
        <v>S</v>
      </c>
      <c r="D905" s="465" t="s">
        <v>967</v>
      </c>
      <c r="E905" s="452" t="str">
        <f>VLOOKUP(D905,★サイズ表記!$D$4:$E$55,2,FALSE)</f>
        <v>2005</v>
      </c>
      <c r="F905" s="457" t="s">
        <v>1603</v>
      </c>
      <c r="G905" s="452" t="str">
        <f>VLOOKUP(F905,★折込地区!$A$1:$B$11,2,FALSE)</f>
        <v>Yng</v>
      </c>
      <c r="H905" s="453">
        <f>INDEX(★サイズ表記!$I$4:$Q$55, MATCH(E905,★サイズ表記!$E$4:$E$55,0), MATCH(G905,★サイズ表記!$I$3:$R$3,0))</f>
        <v>4.7</v>
      </c>
      <c r="K905" s="471" t="str">
        <f t="shared" si="100"/>
        <v>S2005Yng</v>
      </c>
      <c r="L905" s="471" t="str">
        <f t="shared" si="101"/>
        <v>連合B4厚紙</v>
      </c>
      <c r="P905" s="533" t="s">
        <v>1324</v>
      </c>
      <c r="Q905" s="533" t="s">
        <v>1325</v>
      </c>
      <c r="R905" s="534" t="str">
        <f t="shared" si="102"/>
        <v>2005</v>
      </c>
      <c r="S905" s="534" t="str">
        <f t="shared" si="103"/>
        <v>連合B4厚紙</v>
      </c>
      <c r="T905" s="538" t="str">
        <f t="shared" si="92"/>
        <v>20</v>
      </c>
      <c r="U905" s="538" t="str">
        <f t="shared" si="93"/>
        <v>05</v>
      </c>
      <c r="V905" s="471" t="s">
        <v>1136</v>
      </c>
      <c r="Y905" s="472">
        <f t="shared" si="94"/>
        <v>4.7</v>
      </c>
      <c r="Z905" s="540">
        <f t="shared" si="95"/>
        <v>0.37</v>
      </c>
      <c r="AA905" s="471">
        <v>0</v>
      </c>
    </row>
    <row r="906" spans="1:27">
      <c r="A906" s="451" t="str">
        <f>CONCATENATE(VLOOKUP(B906,★営業所!$A$1:$B$5,2,FALSE),VLOOKUP(D906,★サイズ表記!$D$4:$E$55,2,FALSE),VLOOKUP(F906,★折込地区!$A$1:$B$11,2,FALSE))</f>
        <v>S2006Yng</v>
      </c>
      <c r="B906" s="457" t="s">
        <v>276</v>
      </c>
      <c r="C906" s="452" t="str">
        <f>VLOOKUP(B906,★営業所!$A$1:$B$5,2,FALSE)</f>
        <v>S</v>
      </c>
      <c r="D906" s="465" t="s">
        <v>968</v>
      </c>
      <c r="E906" s="452" t="str">
        <f>VLOOKUP(D906,★サイズ表記!$D$4:$E$55,2,FALSE)</f>
        <v>2006</v>
      </c>
      <c r="F906" s="457" t="s">
        <v>1603</v>
      </c>
      <c r="G906" s="452" t="str">
        <f>VLOOKUP(F906,★折込地区!$A$1:$B$11,2,FALSE)</f>
        <v>Yng</v>
      </c>
      <c r="H906" s="453">
        <f>INDEX(★サイズ表記!$I$4:$Q$55, MATCH(E906,★サイズ表記!$E$4:$E$55,0), MATCH(G906,★サイズ表記!$I$3:$R$3,0))</f>
        <v>7.35</v>
      </c>
      <c r="K906" s="471" t="str">
        <f t="shared" si="100"/>
        <v>S2006Yng</v>
      </c>
      <c r="L906" s="471" t="str">
        <f t="shared" si="101"/>
        <v>連合2つ折り極小</v>
      </c>
      <c r="P906" s="533" t="s">
        <v>1324</v>
      </c>
      <c r="Q906" s="533" t="s">
        <v>1325</v>
      </c>
      <c r="R906" s="534" t="str">
        <f t="shared" si="102"/>
        <v>2006</v>
      </c>
      <c r="S906" s="534" t="str">
        <f t="shared" si="103"/>
        <v>連合2つ折り極小</v>
      </c>
      <c r="T906" s="538" t="str">
        <f t="shared" si="92"/>
        <v>20</v>
      </c>
      <c r="U906" s="538" t="str">
        <f t="shared" si="93"/>
        <v>06</v>
      </c>
      <c r="V906" s="471" t="s">
        <v>1136</v>
      </c>
      <c r="Y906" s="472">
        <f t="shared" si="94"/>
        <v>7.35</v>
      </c>
      <c r="Z906" s="540">
        <f t="shared" si="95"/>
        <v>0.57999999999999996</v>
      </c>
      <c r="AA906" s="471">
        <v>0</v>
      </c>
    </row>
    <row r="907" spans="1:27">
      <c r="A907" s="451" t="str">
        <f>CONCATENATE(VLOOKUP(B907,★営業所!$A$1:$B$5,2,FALSE),VLOOKUP(D907,★サイズ表記!$D$4:$E$55,2,FALSE),VLOOKUP(F907,★折込地区!$A$1:$B$11,2,FALSE))</f>
        <v>S2007Yng</v>
      </c>
      <c r="B907" s="457" t="s">
        <v>276</v>
      </c>
      <c r="C907" s="452" t="str">
        <f>VLOOKUP(B907,★営業所!$A$1:$B$5,2,FALSE)</f>
        <v>S</v>
      </c>
      <c r="D907" s="465" t="s">
        <v>1365</v>
      </c>
      <c r="E907" s="452" t="str">
        <f>VLOOKUP(D907,★サイズ表記!$D$4:$E$55,2,FALSE)</f>
        <v>2007</v>
      </c>
      <c r="F907" s="457" t="s">
        <v>1603</v>
      </c>
      <c r="G907" s="452" t="str">
        <f>VLOOKUP(F907,★折込地区!$A$1:$B$11,2,FALSE)</f>
        <v>Yng</v>
      </c>
      <c r="H907" s="453">
        <f>INDEX(★サイズ表記!$I$4:$Q$55, MATCH(E907,★サイズ表記!$E$4:$E$55,0), MATCH(G907,★サイズ表記!$I$3:$R$3,0))</f>
        <v>10.050000000000001</v>
      </c>
      <c r="K907" s="471" t="str">
        <f t="shared" si="100"/>
        <v>S2007Yng</v>
      </c>
      <c r="L907" s="471" t="str">
        <f t="shared" si="101"/>
        <v>連合タブ6P</v>
      </c>
      <c r="P907" s="533" t="s">
        <v>1324</v>
      </c>
      <c r="Q907" s="533" t="s">
        <v>1325</v>
      </c>
      <c r="R907" s="534" t="str">
        <f t="shared" si="102"/>
        <v>2007</v>
      </c>
      <c r="S907" s="534" t="str">
        <f t="shared" si="103"/>
        <v>連合タブ6P</v>
      </c>
      <c r="T907" s="538" t="str">
        <f t="shared" si="92"/>
        <v>20</v>
      </c>
      <c r="U907" s="538" t="str">
        <f t="shared" si="93"/>
        <v>07</v>
      </c>
      <c r="V907" s="471" t="s">
        <v>1136</v>
      </c>
      <c r="Y907" s="472">
        <f t="shared" si="94"/>
        <v>10.050000000000001</v>
      </c>
      <c r="Z907" s="540">
        <f t="shared" si="95"/>
        <v>0.8</v>
      </c>
      <c r="AA907" s="471">
        <v>0</v>
      </c>
    </row>
    <row r="908" spans="1:27">
      <c r="A908" s="451" t="str">
        <f>CONCATENATE(VLOOKUP(B908,★営業所!$A$1:$B$5,2,FALSE),VLOOKUP(D908,★サイズ表記!$D$4:$E$55,2,FALSE),VLOOKUP(F908,★折込地区!$A$1:$B$11,2,FALSE))</f>
        <v>S2008Yng</v>
      </c>
      <c r="B908" s="457" t="s">
        <v>276</v>
      </c>
      <c r="C908" s="452" t="str">
        <f>VLOOKUP(B908,★営業所!$A$1:$B$5,2,FALSE)</f>
        <v>S</v>
      </c>
      <c r="D908" s="465" t="s">
        <v>1366</v>
      </c>
      <c r="E908" s="452" t="str">
        <f>VLOOKUP(D908,★サイズ表記!$D$4:$E$55,2,FALSE)</f>
        <v>2008</v>
      </c>
      <c r="F908" s="457" t="s">
        <v>1603</v>
      </c>
      <c r="G908" s="452" t="str">
        <f>VLOOKUP(F908,★折込地区!$A$1:$B$11,2,FALSE)</f>
        <v>Yng</v>
      </c>
      <c r="H908" s="453">
        <f>INDEX(★サイズ表記!$I$4:$Q$55, MATCH(E908,★サイズ表記!$E$4:$E$55,0), MATCH(G908,★サイズ表記!$I$3:$R$3,0))</f>
        <v>10.5</v>
      </c>
      <c r="K908" s="471" t="str">
        <f t="shared" si="100"/>
        <v>S2008Yng</v>
      </c>
      <c r="L908" s="471" t="str">
        <f t="shared" si="101"/>
        <v>連合タブ8P</v>
      </c>
      <c r="P908" s="533" t="s">
        <v>1324</v>
      </c>
      <c r="Q908" s="533" t="s">
        <v>1325</v>
      </c>
      <c r="R908" s="534" t="str">
        <f t="shared" si="102"/>
        <v>2008</v>
      </c>
      <c r="S908" s="534" t="str">
        <f t="shared" si="103"/>
        <v>連合タブ8P</v>
      </c>
      <c r="T908" s="538" t="str">
        <f t="shared" si="92"/>
        <v>20</v>
      </c>
      <c r="U908" s="538" t="str">
        <f t="shared" si="93"/>
        <v>08</v>
      </c>
      <c r="V908" s="471" t="s">
        <v>1136</v>
      </c>
      <c r="Y908" s="472">
        <f t="shared" si="94"/>
        <v>10.5</v>
      </c>
      <c r="Z908" s="540">
        <f t="shared" si="95"/>
        <v>0.84</v>
      </c>
      <c r="AA908" s="471">
        <v>0</v>
      </c>
    </row>
    <row r="909" spans="1:27">
      <c r="A909" s="451" t="str">
        <f>CONCATENATE(VLOOKUP(B909,★営業所!$A$1:$B$5,2,FALSE),VLOOKUP(D909,★サイズ表記!$D$4:$E$55,2,FALSE),VLOOKUP(F909,★折込地区!$A$1:$B$11,2,FALSE))</f>
        <v>S2009Yng</v>
      </c>
      <c r="B909" s="457" t="s">
        <v>276</v>
      </c>
      <c r="C909" s="452" t="str">
        <f>VLOOKUP(B909,★営業所!$A$1:$B$5,2,FALSE)</f>
        <v>S</v>
      </c>
      <c r="D909" s="465" t="s">
        <v>1364</v>
      </c>
      <c r="E909" s="452" t="str">
        <f>VLOOKUP(D909,★サイズ表記!$D$4:$E$55,2,FALSE)</f>
        <v>2009</v>
      </c>
      <c r="F909" s="457" t="s">
        <v>1603</v>
      </c>
      <c r="G909" s="452" t="str">
        <f>VLOOKUP(F909,★折込地区!$A$1:$B$11,2,FALSE)</f>
        <v>Yng</v>
      </c>
      <c r="H909" s="453">
        <f>INDEX(★サイズ表記!$I$4:$Q$55, MATCH(E909,★サイズ表記!$E$4:$E$55,0), MATCH(G909,★サイズ表記!$I$3:$R$3,0))</f>
        <v>16.350000000000001</v>
      </c>
      <c r="K909" s="471" t="str">
        <f t="shared" si="100"/>
        <v>S2009Yng</v>
      </c>
      <c r="L909" s="471" t="str">
        <f t="shared" si="101"/>
        <v>連合タブ12P</v>
      </c>
      <c r="P909" s="533" t="s">
        <v>1324</v>
      </c>
      <c r="Q909" s="533" t="s">
        <v>1325</v>
      </c>
      <c r="R909" s="534" t="str">
        <f t="shared" si="102"/>
        <v>2009</v>
      </c>
      <c r="S909" s="534" t="str">
        <f t="shared" si="103"/>
        <v>連合タブ12P</v>
      </c>
      <c r="T909" s="538" t="str">
        <f t="shared" si="92"/>
        <v>20</v>
      </c>
      <c r="U909" s="538" t="str">
        <f t="shared" si="93"/>
        <v>09</v>
      </c>
      <c r="V909" s="471" t="s">
        <v>1136</v>
      </c>
      <c r="Y909" s="472">
        <f t="shared" si="94"/>
        <v>16.350000000000001</v>
      </c>
      <c r="Z909" s="540">
        <f t="shared" si="95"/>
        <v>1.3</v>
      </c>
      <c r="AA909" s="471">
        <v>0</v>
      </c>
    </row>
    <row r="910" spans="1:27">
      <c r="A910" s="451" t="str">
        <f>CONCATENATE(VLOOKUP(B910,★営業所!$A$1:$B$5,2,FALSE),VLOOKUP(D910,★サイズ表記!$D$4:$E$55,2,FALSE),VLOOKUP(F910,★折込地区!$A$1:$B$11,2,FALSE))</f>
        <v>S3001Yng</v>
      </c>
      <c r="B910" s="457" t="s">
        <v>276</v>
      </c>
      <c r="C910" s="452" t="str">
        <f>VLOOKUP(B910,★営業所!$A$1:$B$5,2,FALSE)</f>
        <v>S</v>
      </c>
      <c r="D910" s="465" t="s">
        <v>969</v>
      </c>
      <c r="E910" s="452" t="str">
        <f>VLOOKUP(D910,★サイズ表記!$D$4:$E$55,2,FALSE)</f>
        <v>3001</v>
      </c>
      <c r="F910" s="457" t="s">
        <v>1603</v>
      </c>
      <c r="G910" s="452" t="str">
        <f>VLOOKUP(F910,★折込地区!$A$1:$B$11,2,FALSE)</f>
        <v>Yng</v>
      </c>
      <c r="H910" s="453">
        <f>INDEX(★サイズ表記!$I$4:$Q$55, MATCH(E910,★サイズ表記!$E$4:$E$55,0), MATCH(G910,★サイズ表記!$I$3:$R$3,0))</f>
        <v>4.2</v>
      </c>
      <c r="K910" s="471" t="str">
        <f t="shared" si="100"/>
        <v>S3001Yng</v>
      </c>
      <c r="L910" s="471" t="str">
        <f t="shared" si="101"/>
        <v>政治B4</v>
      </c>
      <c r="P910" s="533" t="s">
        <v>1324</v>
      </c>
      <c r="Q910" s="533" t="s">
        <v>1325</v>
      </c>
      <c r="R910" s="534" t="str">
        <f t="shared" si="102"/>
        <v>3001</v>
      </c>
      <c r="S910" s="534" t="str">
        <f t="shared" si="103"/>
        <v>政治B4</v>
      </c>
      <c r="T910" s="538" t="str">
        <f t="shared" si="92"/>
        <v>30</v>
      </c>
      <c r="U910" s="538" t="str">
        <f t="shared" si="93"/>
        <v>01</v>
      </c>
      <c r="V910" s="471" t="s">
        <v>1136</v>
      </c>
      <c r="Y910" s="472">
        <f t="shared" si="94"/>
        <v>4.2</v>
      </c>
      <c r="Z910" s="540">
        <f t="shared" si="95"/>
        <v>0.33</v>
      </c>
      <c r="AA910" s="471">
        <v>0</v>
      </c>
    </row>
    <row r="911" spans="1:27">
      <c r="A911" s="451" t="str">
        <f>CONCATENATE(VLOOKUP(B911,★営業所!$A$1:$B$5,2,FALSE),VLOOKUP(D911,★サイズ表記!$D$4:$E$55,2,FALSE),VLOOKUP(F911,★折込地区!$A$1:$B$11,2,FALSE))</f>
        <v>S3002Yng</v>
      </c>
      <c r="B911" s="457" t="s">
        <v>276</v>
      </c>
      <c r="C911" s="452" t="str">
        <f>VLOOKUP(B911,★営業所!$A$1:$B$5,2,FALSE)</f>
        <v>S</v>
      </c>
      <c r="D911" s="465" t="s">
        <v>970</v>
      </c>
      <c r="E911" s="452" t="str">
        <f>VLOOKUP(D911,★サイズ表記!$D$4:$E$55,2,FALSE)</f>
        <v>3002</v>
      </c>
      <c r="F911" s="457" t="s">
        <v>1603</v>
      </c>
      <c r="G911" s="452" t="str">
        <f>VLOOKUP(F911,★折込地区!$A$1:$B$11,2,FALSE)</f>
        <v>Yng</v>
      </c>
      <c r="H911" s="453">
        <f>INDEX(★サイズ表記!$I$4:$Q$55, MATCH(E911,★サイズ表記!$E$4:$E$55,0), MATCH(G911,★サイズ表記!$I$3:$R$3,0))</f>
        <v>5.85</v>
      </c>
      <c r="K911" s="471" t="str">
        <f t="shared" si="100"/>
        <v>S3002Yng</v>
      </c>
      <c r="L911" s="471" t="str">
        <f t="shared" si="101"/>
        <v>政治B3</v>
      </c>
      <c r="P911" s="533" t="s">
        <v>1324</v>
      </c>
      <c r="Q911" s="533" t="s">
        <v>1325</v>
      </c>
      <c r="R911" s="534" t="str">
        <f t="shared" si="102"/>
        <v>3002</v>
      </c>
      <c r="S911" s="534" t="str">
        <f t="shared" si="103"/>
        <v>政治B3</v>
      </c>
      <c r="T911" s="538" t="str">
        <f t="shared" si="92"/>
        <v>30</v>
      </c>
      <c r="U911" s="538" t="str">
        <f t="shared" si="93"/>
        <v>02</v>
      </c>
      <c r="V911" s="471" t="s">
        <v>1136</v>
      </c>
      <c r="Y911" s="472">
        <f t="shared" si="94"/>
        <v>5.85</v>
      </c>
      <c r="Z911" s="540">
        <f t="shared" si="95"/>
        <v>0.46</v>
      </c>
      <c r="AA911" s="471">
        <v>0</v>
      </c>
    </row>
    <row r="912" spans="1:27">
      <c r="A912" s="451" t="str">
        <f>CONCATENATE(VLOOKUP(B912,★営業所!$A$1:$B$5,2,FALSE),VLOOKUP(D912,★サイズ表記!$D$4:$E$55,2,FALSE),VLOOKUP(F912,★折込地区!$A$1:$B$11,2,FALSE))</f>
        <v>S3003Yng</v>
      </c>
      <c r="B912" s="457" t="s">
        <v>276</v>
      </c>
      <c r="C912" s="452" t="str">
        <f>VLOOKUP(B912,★営業所!$A$1:$B$5,2,FALSE)</f>
        <v>S</v>
      </c>
      <c r="D912" s="465" t="s">
        <v>971</v>
      </c>
      <c r="E912" s="452" t="str">
        <f>VLOOKUP(D912,★サイズ表記!$D$4:$E$55,2,FALSE)</f>
        <v>3003</v>
      </c>
      <c r="F912" s="457" t="s">
        <v>1603</v>
      </c>
      <c r="G912" s="452" t="str">
        <f>VLOOKUP(F912,★折込地区!$A$1:$B$11,2,FALSE)</f>
        <v>Yng</v>
      </c>
      <c r="H912" s="453">
        <f>INDEX(★サイズ表記!$I$4:$Q$55, MATCH(E912,★サイズ表記!$E$4:$E$55,0), MATCH(G912,★サイズ表記!$I$3:$R$3,0))</f>
        <v>10.5</v>
      </c>
      <c r="K912" s="471" t="str">
        <f t="shared" si="100"/>
        <v>S3003Yng</v>
      </c>
      <c r="L912" s="471" t="str">
        <f t="shared" si="101"/>
        <v>政治B2</v>
      </c>
      <c r="P912" s="533" t="s">
        <v>1324</v>
      </c>
      <c r="Q912" s="533" t="s">
        <v>1325</v>
      </c>
      <c r="R912" s="534" t="str">
        <f t="shared" si="102"/>
        <v>3003</v>
      </c>
      <c r="S912" s="534" t="str">
        <f t="shared" si="103"/>
        <v>政治B2</v>
      </c>
      <c r="T912" s="538" t="str">
        <f t="shared" si="92"/>
        <v>30</v>
      </c>
      <c r="U912" s="538" t="str">
        <f t="shared" si="93"/>
        <v>03</v>
      </c>
      <c r="V912" s="471" t="s">
        <v>1136</v>
      </c>
      <c r="Y912" s="472">
        <f t="shared" si="94"/>
        <v>10.5</v>
      </c>
      <c r="Z912" s="540">
        <f t="shared" si="95"/>
        <v>0.84</v>
      </c>
      <c r="AA912" s="471">
        <v>0</v>
      </c>
    </row>
    <row r="913" spans="1:27">
      <c r="A913" s="451" t="str">
        <f>CONCATENATE(VLOOKUP(B913,★営業所!$A$1:$B$5,2,FALSE),VLOOKUP(D913,★サイズ表記!$D$4:$E$55,2,FALSE),VLOOKUP(F913,★折込地区!$A$1:$B$11,2,FALSE))</f>
        <v>S3004Yng</v>
      </c>
      <c r="B913" s="457" t="s">
        <v>276</v>
      </c>
      <c r="C913" s="452" t="str">
        <f>VLOOKUP(B913,★営業所!$A$1:$B$5,2,FALSE)</f>
        <v>S</v>
      </c>
      <c r="D913" s="465" t="s">
        <v>972</v>
      </c>
      <c r="E913" s="452" t="str">
        <f>VLOOKUP(D913,★サイズ表記!$D$4:$E$55,2,FALSE)</f>
        <v>3004</v>
      </c>
      <c r="F913" s="457" t="s">
        <v>1603</v>
      </c>
      <c r="G913" s="452" t="str">
        <f>VLOOKUP(F913,★折込地区!$A$1:$B$11,2,FALSE)</f>
        <v>Yng</v>
      </c>
      <c r="H913" s="453">
        <f>INDEX(★サイズ表記!$I$4:$Q$55, MATCH(E913,★サイズ表記!$E$4:$E$55,0), MATCH(G913,★サイズ表記!$I$3:$R$3,0))</f>
        <v>10.5</v>
      </c>
      <c r="K913" s="471" t="str">
        <f t="shared" si="100"/>
        <v>S3004Yng</v>
      </c>
      <c r="L913" s="471" t="str">
        <f t="shared" si="101"/>
        <v>政治3つ折り</v>
      </c>
      <c r="P913" s="533" t="s">
        <v>1324</v>
      </c>
      <c r="Q913" s="533" t="s">
        <v>1325</v>
      </c>
      <c r="R913" s="534" t="str">
        <f t="shared" si="102"/>
        <v>3004</v>
      </c>
      <c r="S913" s="534" t="str">
        <f t="shared" si="103"/>
        <v>政治3つ折り</v>
      </c>
      <c r="T913" s="538" t="str">
        <f t="shared" si="92"/>
        <v>30</v>
      </c>
      <c r="U913" s="538" t="str">
        <f t="shared" si="93"/>
        <v>04</v>
      </c>
      <c r="V913" s="471" t="s">
        <v>1136</v>
      </c>
      <c r="Y913" s="472">
        <f t="shared" si="94"/>
        <v>10.5</v>
      </c>
      <c r="Z913" s="540">
        <f t="shared" si="95"/>
        <v>0.84</v>
      </c>
      <c r="AA913" s="471">
        <v>0</v>
      </c>
    </row>
    <row r="914" spans="1:27">
      <c r="A914" s="451" t="str">
        <f>CONCATENATE(VLOOKUP(B914,★営業所!$A$1:$B$5,2,FALSE),VLOOKUP(D914,★サイズ表記!$D$4:$E$55,2,FALSE),VLOOKUP(F914,★折込地区!$A$1:$B$11,2,FALSE))</f>
        <v>S3005Yng</v>
      </c>
      <c r="B914" s="457" t="s">
        <v>276</v>
      </c>
      <c r="C914" s="452" t="str">
        <f>VLOOKUP(B914,★営業所!$A$1:$B$5,2,FALSE)</f>
        <v>S</v>
      </c>
      <c r="D914" s="465" t="s">
        <v>973</v>
      </c>
      <c r="E914" s="452" t="str">
        <f>VLOOKUP(D914,★サイズ表記!$D$4:$E$55,2,FALSE)</f>
        <v>3005</v>
      </c>
      <c r="F914" s="457" t="s">
        <v>1603</v>
      </c>
      <c r="G914" s="452" t="str">
        <f>VLOOKUP(F914,★折込地区!$A$1:$B$11,2,FALSE)</f>
        <v>Yng</v>
      </c>
      <c r="H914" s="453">
        <f>INDEX(★サイズ表記!$I$4:$Q$55, MATCH(E914,★サイズ表記!$E$4:$E$55,0), MATCH(G914,★サイズ表記!$I$3:$R$3,0))</f>
        <v>7.35</v>
      </c>
      <c r="K914" s="471" t="str">
        <f t="shared" si="100"/>
        <v>S3005Yng</v>
      </c>
      <c r="L914" s="471" t="str">
        <f t="shared" si="101"/>
        <v>政治2つ折り極小</v>
      </c>
      <c r="P914" s="533" t="s">
        <v>1324</v>
      </c>
      <c r="Q914" s="533" t="s">
        <v>1325</v>
      </c>
      <c r="R914" s="534" t="str">
        <f t="shared" si="102"/>
        <v>3005</v>
      </c>
      <c r="S914" s="534" t="str">
        <f t="shared" si="103"/>
        <v>政治2つ折り極小</v>
      </c>
      <c r="T914" s="538" t="str">
        <f t="shared" si="92"/>
        <v>30</v>
      </c>
      <c r="U914" s="538" t="str">
        <f t="shared" si="93"/>
        <v>05</v>
      </c>
      <c r="V914" s="471" t="s">
        <v>1136</v>
      </c>
      <c r="Y914" s="472">
        <f t="shared" si="94"/>
        <v>7.35</v>
      </c>
      <c r="Z914" s="540">
        <f t="shared" si="95"/>
        <v>0.57999999999999996</v>
      </c>
      <c r="AA914" s="471">
        <v>0</v>
      </c>
    </row>
    <row r="915" spans="1:27">
      <c r="A915" s="451" t="str">
        <f>CONCATENATE(VLOOKUP(B915,★営業所!$A$1:$B$5,2,FALSE),VLOOKUP(D915,★サイズ表記!$D$4:$E$55,2,FALSE),VLOOKUP(F915,★折込地区!$A$1:$B$11,2,FALSE))</f>
        <v>S3006Yng</v>
      </c>
      <c r="B915" s="457" t="s">
        <v>276</v>
      </c>
      <c r="C915" s="452" t="str">
        <f>VLOOKUP(B915,★営業所!$A$1:$B$5,2,FALSE)</f>
        <v>S</v>
      </c>
      <c r="D915" s="465" t="s">
        <v>974</v>
      </c>
      <c r="E915" s="452" t="str">
        <f>VLOOKUP(D915,★サイズ表記!$D$4:$E$55,2,FALSE)</f>
        <v>3006</v>
      </c>
      <c r="F915" s="457" t="s">
        <v>1603</v>
      </c>
      <c r="G915" s="452" t="str">
        <f>VLOOKUP(F915,★折込地区!$A$1:$B$11,2,FALSE)</f>
        <v>Yng</v>
      </c>
      <c r="H915" s="453">
        <f>INDEX(★サイズ表記!$I$4:$Q$55, MATCH(E915,★サイズ表記!$E$4:$E$55,0), MATCH(G915,★サイズ表記!$I$3:$R$3,0))</f>
        <v>4.7</v>
      </c>
      <c r="K915" s="471" t="str">
        <f t="shared" si="100"/>
        <v>S3006Yng</v>
      </c>
      <c r="L915" s="471" t="str">
        <f t="shared" si="101"/>
        <v>政治B4厚紙</v>
      </c>
      <c r="P915" s="533" t="s">
        <v>1324</v>
      </c>
      <c r="Q915" s="533" t="s">
        <v>1325</v>
      </c>
      <c r="R915" s="534" t="str">
        <f t="shared" si="102"/>
        <v>3006</v>
      </c>
      <c r="S915" s="534" t="str">
        <f t="shared" si="103"/>
        <v>政治B4厚紙</v>
      </c>
      <c r="T915" s="538" t="str">
        <f t="shared" si="92"/>
        <v>30</v>
      </c>
      <c r="U915" s="538" t="str">
        <f t="shared" si="93"/>
        <v>06</v>
      </c>
      <c r="V915" s="471" t="s">
        <v>1136</v>
      </c>
      <c r="Y915" s="472">
        <f t="shared" si="94"/>
        <v>4.7</v>
      </c>
      <c r="Z915" s="540">
        <f t="shared" si="95"/>
        <v>0.37</v>
      </c>
      <c r="AA915" s="471">
        <v>0</v>
      </c>
    </row>
    <row r="916" spans="1:27">
      <c r="A916" s="451" t="str">
        <f>CONCATENATE(VLOOKUP(B916,★営業所!$A$1:$B$5,2,FALSE),VLOOKUP(D916,★サイズ表記!$D$4:$E$55,2,FALSE),VLOOKUP(F916,★折込地区!$A$1:$B$11,2,FALSE))</f>
        <v>S3007Yng</v>
      </c>
      <c r="B916" s="457" t="s">
        <v>276</v>
      </c>
      <c r="C916" s="452" t="str">
        <f>VLOOKUP(B916,★営業所!$A$1:$B$5,2,FALSE)</f>
        <v>S</v>
      </c>
      <c r="D916" s="465" t="s">
        <v>1362</v>
      </c>
      <c r="E916" s="452" t="str">
        <f>VLOOKUP(D916,★サイズ表記!$D$4:$E$55,2,FALSE)</f>
        <v>3007</v>
      </c>
      <c r="F916" s="457" t="s">
        <v>1603</v>
      </c>
      <c r="G916" s="452" t="str">
        <f>VLOOKUP(F916,★折込地区!$A$1:$B$11,2,FALSE)</f>
        <v>Yng</v>
      </c>
      <c r="H916" s="453">
        <f>INDEX(★サイズ表記!$I$4:$Q$55, MATCH(E916,★サイズ表記!$E$4:$E$55,0), MATCH(G916,★サイズ表記!$I$3:$R$3,0))</f>
        <v>10.050000000000001</v>
      </c>
      <c r="K916" s="471" t="str">
        <f t="shared" si="100"/>
        <v>S3007Yng</v>
      </c>
      <c r="L916" s="471" t="str">
        <f t="shared" si="101"/>
        <v>政治タブ6P</v>
      </c>
      <c r="P916" s="533" t="s">
        <v>1324</v>
      </c>
      <c r="Q916" s="533" t="s">
        <v>1325</v>
      </c>
      <c r="R916" s="534" t="str">
        <f t="shared" si="102"/>
        <v>3007</v>
      </c>
      <c r="S916" s="534" t="str">
        <f t="shared" si="103"/>
        <v>政治タブ6P</v>
      </c>
      <c r="T916" s="538" t="str">
        <f t="shared" si="92"/>
        <v>30</v>
      </c>
      <c r="U916" s="538" t="str">
        <f t="shared" si="93"/>
        <v>07</v>
      </c>
      <c r="V916" s="471" t="s">
        <v>1136</v>
      </c>
      <c r="Y916" s="472">
        <f t="shared" si="94"/>
        <v>10.050000000000001</v>
      </c>
      <c r="Z916" s="540">
        <f t="shared" si="95"/>
        <v>0.8</v>
      </c>
      <c r="AA916" s="471">
        <v>0</v>
      </c>
    </row>
    <row r="917" spans="1:27">
      <c r="A917" s="451" t="str">
        <f>CONCATENATE(VLOOKUP(B917,★営業所!$A$1:$B$5,2,FALSE),VLOOKUP(D917,★サイズ表記!$D$4:$E$55,2,FALSE),VLOOKUP(F917,★折込地区!$A$1:$B$11,2,FALSE))</f>
        <v>S3008Yng</v>
      </c>
      <c r="B917" s="457" t="s">
        <v>276</v>
      </c>
      <c r="C917" s="452" t="str">
        <f>VLOOKUP(B917,★営業所!$A$1:$B$5,2,FALSE)</f>
        <v>S</v>
      </c>
      <c r="D917" s="465" t="s">
        <v>1363</v>
      </c>
      <c r="E917" s="452" t="str">
        <f>VLOOKUP(D917,★サイズ表記!$D$4:$E$55,2,FALSE)</f>
        <v>3008</v>
      </c>
      <c r="F917" s="457" t="s">
        <v>1603</v>
      </c>
      <c r="G917" s="452" t="str">
        <f>VLOOKUP(F917,★折込地区!$A$1:$B$11,2,FALSE)</f>
        <v>Yng</v>
      </c>
      <c r="H917" s="453">
        <f>INDEX(★サイズ表記!$I$4:$Q$55, MATCH(E917,★サイズ表記!$E$4:$E$55,0), MATCH(G917,★サイズ表記!$I$3:$R$3,0))</f>
        <v>10.5</v>
      </c>
      <c r="K917" s="471" t="str">
        <f t="shared" si="100"/>
        <v>S3008Yng</v>
      </c>
      <c r="L917" s="471" t="str">
        <f t="shared" si="101"/>
        <v>政治タブ8P</v>
      </c>
      <c r="P917" s="533" t="s">
        <v>1324</v>
      </c>
      <c r="Q917" s="533" t="s">
        <v>1325</v>
      </c>
      <c r="R917" s="534" t="str">
        <f t="shared" si="102"/>
        <v>3008</v>
      </c>
      <c r="S917" s="534" t="str">
        <f t="shared" si="103"/>
        <v>政治タブ8P</v>
      </c>
      <c r="T917" s="538" t="str">
        <f t="shared" si="92"/>
        <v>30</v>
      </c>
      <c r="U917" s="538" t="str">
        <f t="shared" si="93"/>
        <v>08</v>
      </c>
      <c r="V917" s="471" t="s">
        <v>1136</v>
      </c>
      <c r="Y917" s="472">
        <f t="shared" si="94"/>
        <v>10.5</v>
      </c>
      <c r="Z917" s="540">
        <f t="shared" si="95"/>
        <v>0.84</v>
      </c>
      <c r="AA917" s="471">
        <v>0</v>
      </c>
    </row>
    <row r="918" spans="1:27">
      <c r="A918" s="451" t="str">
        <f>CONCATENATE(VLOOKUP(B918,★営業所!$A$1:$B$5,2,FALSE),VLOOKUP(D918,★サイズ表記!$D$4:$E$55,2,FALSE),VLOOKUP(F918,★折込地区!$A$1:$B$11,2,FALSE))</f>
        <v>S3009Yng</v>
      </c>
      <c r="B918" s="457" t="s">
        <v>276</v>
      </c>
      <c r="C918" s="452" t="str">
        <f>VLOOKUP(B918,★営業所!$A$1:$B$5,2,FALSE)</f>
        <v>S</v>
      </c>
      <c r="D918" s="465" t="s">
        <v>1361</v>
      </c>
      <c r="E918" s="452" t="str">
        <f>VLOOKUP(D918,★サイズ表記!$D$4:$E$55,2,FALSE)</f>
        <v>3009</v>
      </c>
      <c r="F918" s="457" t="s">
        <v>1603</v>
      </c>
      <c r="G918" s="452" t="str">
        <f>VLOOKUP(F918,★折込地区!$A$1:$B$11,2,FALSE)</f>
        <v>Yng</v>
      </c>
      <c r="H918" s="453">
        <f>INDEX(★サイズ表記!$I$4:$Q$55, MATCH(E918,★サイズ表記!$E$4:$E$55,0), MATCH(G918,★サイズ表記!$I$3:$R$3,0))</f>
        <v>16.350000000000001</v>
      </c>
      <c r="K918" s="471" t="str">
        <f t="shared" si="100"/>
        <v>S3009Yng</v>
      </c>
      <c r="L918" s="471" t="str">
        <f t="shared" si="101"/>
        <v>政治タブ12P</v>
      </c>
      <c r="P918" s="533" t="s">
        <v>1324</v>
      </c>
      <c r="Q918" s="533" t="s">
        <v>1325</v>
      </c>
      <c r="R918" s="534" t="str">
        <f t="shared" si="102"/>
        <v>3009</v>
      </c>
      <c r="S918" s="534" t="str">
        <f t="shared" si="103"/>
        <v>政治タブ12P</v>
      </c>
      <c r="T918" s="538" t="str">
        <f t="shared" si="92"/>
        <v>30</v>
      </c>
      <c r="U918" s="538" t="str">
        <f t="shared" si="93"/>
        <v>09</v>
      </c>
      <c r="V918" s="471" t="s">
        <v>1136</v>
      </c>
      <c r="Y918" s="472">
        <f t="shared" si="94"/>
        <v>16.350000000000001</v>
      </c>
      <c r="Z918" s="540">
        <f t="shared" si="95"/>
        <v>1.3</v>
      </c>
      <c r="AA918" s="471">
        <v>0</v>
      </c>
    </row>
    <row r="919" spans="1:27">
      <c r="A919" s="451" t="str">
        <f>CONCATENATE(VLOOKUP(B919,★営業所!$A$1:$B$5,2,FALSE),VLOOKUP(D919,★サイズ表記!$D$4:$E$55,2,FALSE),VLOOKUP(F919,★折込地区!$A$1:$B$11,2,FALSE))</f>
        <v>S4001Yng</v>
      </c>
      <c r="B919" s="457" t="s">
        <v>276</v>
      </c>
      <c r="C919" s="452" t="str">
        <f>VLOOKUP(B919,★営業所!$A$1:$B$5,2,FALSE)</f>
        <v>S</v>
      </c>
      <c r="D919" s="465" t="s">
        <v>1358</v>
      </c>
      <c r="E919" s="452" t="str">
        <f>VLOOKUP(D919,★サイズ表記!$D$4:$E$55,2,FALSE)</f>
        <v>4001</v>
      </c>
      <c r="F919" s="457" t="s">
        <v>1603</v>
      </c>
      <c r="G919" s="452" t="str">
        <f>VLOOKUP(F919,★折込地区!$A$1:$B$11,2,FALSE)</f>
        <v>Yng</v>
      </c>
      <c r="H919" s="453">
        <f>INDEX(★サイズ表記!$I$4:$Q$55, MATCH(E919,★サイズ表記!$E$4:$E$55,0), MATCH(G919,★サイズ表記!$I$3:$R$3,0))</f>
        <v>6.7</v>
      </c>
      <c r="K919" s="471" t="str">
        <f t="shared" si="100"/>
        <v>S4001Yng</v>
      </c>
      <c r="L919" s="471" t="str">
        <f t="shared" si="101"/>
        <v>タブ6P</v>
      </c>
      <c r="P919" s="533" t="s">
        <v>1324</v>
      </c>
      <c r="Q919" s="533" t="s">
        <v>1325</v>
      </c>
      <c r="R919" s="534" t="str">
        <f t="shared" si="102"/>
        <v>4001</v>
      </c>
      <c r="S919" s="534" t="str">
        <f t="shared" si="103"/>
        <v>タブ6P</v>
      </c>
      <c r="T919" s="538" t="str">
        <f t="shared" si="92"/>
        <v>40</v>
      </c>
      <c r="U919" s="538" t="str">
        <f t="shared" si="93"/>
        <v>01</v>
      </c>
      <c r="V919" s="471" t="s">
        <v>1136</v>
      </c>
      <c r="Y919" s="472">
        <f t="shared" si="94"/>
        <v>6.7</v>
      </c>
      <c r="Z919" s="540">
        <f t="shared" si="95"/>
        <v>0.53</v>
      </c>
      <c r="AA919" s="471">
        <v>0</v>
      </c>
    </row>
    <row r="920" spans="1:27">
      <c r="A920" s="451" t="str">
        <f>CONCATENATE(VLOOKUP(B920,★営業所!$A$1:$B$5,2,FALSE),VLOOKUP(D920,★サイズ表記!$D$4:$E$55,2,FALSE),VLOOKUP(F920,★折込地区!$A$1:$B$11,2,FALSE))</f>
        <v>S4002Yng</v>
      </c>
      <c r="B920" s="457" t="s">
        <v>276</v>
      </c>
      <c r="C920" s="452" t="str">
        <f>VLOOKUP(B920,★営業所!$A$1:$B$5,2,FALSE)</f>
        <v>S</v>
      </c>
      <c r="D920" s="465" t="s">
        <v>1359</v>
      </c>
      <c r="E920" s="452" t="str">
        <f>VLOOKUP(D920,★サイズ表記!$D$4:$E$55,2,FALSE)</f>
        <v>4002</v>
      </c>
      <c r="F920" s="457" t="s">
        <v>1603</v>
      </c>
      <c r="G920" s="452" t="str">
        <f>VLOOKUP(F920,★折込地区!$A$1:$B$11,2,FALSE)</f>
        <v>Yng</v>
      </c>
      <c r="H920" s="453">
        <f>INDEX(★サイズ表記!$I$4:$Q$55, MATCH(E920,★サイズ表記!$E$4:$E$55,0), MATCH(G920,★サイズ表記!$I$3:$R$3,0))</f>
        <v>7</v>
      </c>
      <c r="K920" s="471" t="str">
        <f t="shared" si="100"/>
        <v>S4002Yng</v>
      </c>
      <c r="L920" s="471" t="str">
        <f t="shared" si="101"/>
        <v>タブ8P</v>
      </c>
      <c r="P920" s="533" t="s">
        <v>1324</v>
      </c>
      <c r="Q920" s="533" t="s">
        <v>1325</v>
      </c>
      <c r="R920" s="534" t="str">
        <f t="shared" si="102"/>
        <v>4002</v>
      </c>
      <c r="S920" s="534" t="str">
        <f t="shared" si="103"/>
        <v>タブ8P</v>
      </c>
      <c r="T920" s="538" t="str">
        <f t="shared" si="92"/>
        <v>40</v>
      </c>
      <c r="U920" s="538" t="str">
        <f t="shared" si="93"/>
        <v>02</v>
      </c>
      <c r="V920" s="471" t="s">
        <v>1136</v>
      </c>
      <c r="Y920" s="472">
        <f t="shared" si="94"/>
        <v>7</v>
      </c>
      <c r="Z920" s="540">
        <f t="shared" si="95"/>
        <v>0.56000000000000005</v>
      </c>
      <c r="AA920" s="471">
        <v>0</v>
      </c>
    </row>
    <row r="921" spans="1:27">
      <c r="A921" s="451" t="str">
        <f>CONCATENATE(VLOOKUP(B921,★営業所!$A$1:$B$5,2,FALSE),VLOOKUP(D921,★サイズ表記!$D$4:$E$55,2,FALSE),VLOOKUP(F921,★折込地区!$A$1:$B$11,2,FALSE))</f>
        <v>S4003Yng</v>
      </c>
      <c r="B921" s="457" t="s">
        <v>276</v>
      </c>
      <c r="C921" s="452" t="str">
        <f>VLOOKUP(B921,★営業所!$A$1:$B$5,2,FALSE)</f>
        <v>S</v>
      </c>
      <c r="D921" s="465" t="s">
        <v>1360</v>
      </c>
      <c r="E921" s="452" t="str">
        <f>VLOOKUP(D921,★サイズ表記!$D$4:$E$55,2,FALSE)</f>
        <v>4003</v>
      </c>
      <c r="F921" s="457" t="s">
        <v>1603</v>
      </c>
      <c r="G921" s="452" t="str">
        <f>VLOOKUP(F921,★折込地区!$A$1:$B$11,2,FALSE)</f>
        <v>Yng</v>
      </c>
      <c r="H921" s="453">
        <f>INDEX(★サイズ表記!$I$4:$Q$55, MATCH(E921,★サイズ表記!$E$4:$E$55,0), MATCH(G921,★サイズ表記!$I$3:$R$3,0))</f>
        <v>8</v>
      </c>
      <c r="K921" s="471" t="str">
        <f t="shared" si="100"/>
        <v>S4003Yng</v>
      </c>
      <c r="L921" s="471" t="str">
        <f t="shared" si="101"/>
        <v>タブ8Pホチキス止め</v>
      </c>
      <c r="P921" s="533" t="s">
        <v>1324</v>
      </c>
      <c r="Q921" s="533" t="s">
        <v>1325</v>
      </c>
      <c r="R921" s="534" t="str">
        <f t="shared" si="102"/>
        <v>4003</v>
      </c>
      <c r="S921" s="534" t="str">
        <f t="shared" si="103"/>
        <v>タブ8Pホチキス止め</v>
      </c>
      <c r="T921" s="538" t="str">
        <f t="shared" si="92"/>
        <v>40</v>
      </c>
      <c r="U921" s="538" t="str">
        <f t="shared" si="93"/>
        <v>03</v>
      </c>
      <c r="V921" s="471" t="s">
        <v>1136</v>
      </c>
      <c r="Y921" s="472">
        <f t="shared" si="94"/>
        <v>8</v>
      </c>
      <c r="Z921" s="540">
        <f t="shared" si="95"/>
        <v>0.64</v>
      </c>
      <c r="AA921" s="471">
        <v>0</v>
      </c>
    </row>
    <row r="922" spans="1:27">
      <c r="A922" s="451" t="str">
        <f>CONCATENATE(VLOOKUP(B922,★営業所!$A$1:$B$5,2,FALSE),VLOOKUP(D922,★サイズ表記!$D$4:$E$55,2,FALSE),VLOOKUP(F922,★折込地区!$A$1:$B$11,2,FALSE))</f>
        <v>S4004Yng</v>
      </c>
      <c r="B922" s="457" t="s">
        <v>276</v>
      </c>
      <c r="C922" s="452" t="str">
        <f>VLOOKUP(B922,★営業所!$A$1:$B$5,2,FALSE)</f>
        <v>S</v>
      </c>
      <c r="D922" s="465" t="s">
        <v>1350</v>
      </c>
      <c r="E922" s="452" t="str">
        <f>VLOOKUP(D922,★サイズ表記!$D$4:$E$55,2,FALSE)</f>
        <v>4004</v>
      </c>
      <c r="F922" s="457" t="s">
        <v>1603</v>
      </c>
      <c r="G922" s="452" t="str">
        <f>VLOOKUP(F922,★折込地区!$A$1:$B$11,2,FALSE)</f>
        <v>Yng</v>
      </c>
      <c r="H922" s="453">
        <f>INDEX(★サイズ表記!$I$4:$Q$55, MATCH(E922,★サイズ表記!$E$4:$E$55,0), MATCH(G922,★サイズ表記!$I$3:$R$3,0))</f>
        <v>9.8000000000000007</v>
      </c>
      <c r="K922" s="471" t="str">
        <f t="shared" si="100"/>
        <v>S4004Yng</v>
      </c>
      <c r="L922" s="471" t="str">
        <f t="shared" si="101"/>
        <v>タブ10P</v>
      </c>
      <c r="P922" s="533" t="s">
        <v>1324</v>
      </c>
      <c r="Q922" s="533" t="s">
        <v>1325</v>
      </c>
      <c r="R922" s="534" t="str">
        <f t="shared" si="102"/>
        <v>4004</v>
      </c>
      <c r="S922" s="534" t="str">
        <f t="shared" si="103"/>
        <v>タブ10P</v>
      </c>
      <c r="T922" s="538" t="str">
        <f t="shared" si="92"/>
        <v>40</v>
      </c>
      <c r="U922" s="538" t="str">
        <f t="shared" si="93"/>
        <v>04</v>
      </c>
      <c r="V922" s="471" t="s">
        <v>1136</v>
      </c>
      <c r="Y922" s="472">
        <f t="shared" si="94"/>
        <v>9.8000000000000007</v>
      </c>
      <c r="Z922" s="540">
        <f t="shared" si="95"/>
        <v>0.78</v>
      </c>
      <c r="AA922" s="471">
        <v>0</v>
      </c>
    </row>
    <row r="923" spans="1:27">
      <c r="A923" s="451" t="str">
        <f>CONCATENATE(VLOOKUP(B923,★営業所!$A$1:$B$5,2,FALSE),VLOOKUP(D923,★サイズ表記!$D$4:$E$55,2,FALSE),VLOOKUP(F923,★折込地区!$A$1:$B$11,2,FALSE))</f>
        <v>S4005Yng</v>
      </c>
      <c r="B923" s="457" t="s">
        <v>276</v>
      </c>
      <c r="C923" s="452" t="str">
        <f>VLOOKUP(B923,★営業所!$A$1:$B$5,2,FALSE)</f>
        <v>S</v>
      </c>
      <c r="D923" s="465" t="s">
        <v>1351</v>
      </c>
      <c r="E923" s="452" t="str">
        <f>VLOOKUP(D923,★サイズ表記!$D$4:$E$55,2,FALSE)</f>
        <v>4005</v>
      </c>
      <c r="F923" s="457" t="s">
        <v>1603</v>
      </c>
      <c r="G923" s="452" t="str">
        <f>VLOOKUP(F923,★折込地区!$A$1:$B$11,2,FALSE)</f>
        <v>Yng</v>
      </c>
      <c r="H923" s="453">
        <f>INDEX(★サイズ表記!$I$4:$Q$55, MATCH(E923,★サイズ表記!$E$4:$E$55,0), MATCH(G923,★サイズ表記!$I$3:$R$3,0))</f>
        <v>10.9</v>
      </c>
      <c r="K923" s="471" t="str">
        <f t="shared" si="100"/>
        <v>S4005Yng</v>
      </c>
      <c r="L923" s="471" t="str">
        <f t="shared" si="101"/>
        <v>タブ12P</v>
      </c>
      <c r="P923" s="533" t="s">
        <v>1324</v>
      </c>
      <c r="Q923" s="533" t="s">
        <v>1325</v>
      </c>
      <c r="R923" s="534" t="str">
        <f t="shared" si="102"/>
        <v>4005</v>
      </c>
      <c r="S923" s="534" t="str">
        <f t="shared" si="103"/>
        <v>タブ12P</v>
      </c>
      <c r="T923" s="538" t="str">
        <f t="shared" si="92"/>
        <v>40</v>
      </c>
      <c r="U923" s="538" t="str">
        <f t="shared" si="93"/>
        <v>05</v>
      </c>
      <c r="V923" s="471" t="s">
        <v>1136</v>
      </c>
      <c r="Y923" s="472">
        <f t="shared" si="94"/>
        <v>10.9</v>
      </c>
      <c r="Z923" s="540">
        <f t="shared" si="95"/>
        <v>0.87</v>
      </c>
      <c r="AA923" s="471">
        <v>0</v>
      </c>
    </row>
    <row r="924" spans="1:27">
      <c r="A924" s="451" t="str">
        <f>CONCATENATE(VLOOKUP(B924,★営業所!$A$1:$B$5,2,FALSE),VLOOKUP(D924,★サイズ表記!$D$4:$E$55,2,FALSE),VLOOKUP(F924,★折込地区!$A$1:$B$11,2,FALSE))</f>
        <v>S4006Yng</v>
      </c>
      <c r="B924" s="457" t="s">
        <v>276</v>
      </c>
      <c r="C924" s="452" t="str">
        <f>VLOOKUP(B924,★営業所!$A$1:$B$5,2,FALSE)</f>
        <v>S</v>
      </c>
      <c r="D924" s="465" t="s">
        <v>1352</v>
      </c>
      <c r="E924" s="452" t="str">
        <f>VLOOKUP(D924,★サイズ表記!$D$4:$E$55,2,FALSE)</f>
        <v>4006</v>
      </c>
      <c r="F924" s="457" t="s">
        <v>1603</v>
      </c>
      <c r="G924" s="452" t="str">
        <f>VLOOKUP(F924,★折込地区!$A$1:$B$11,2,FALSE)</f>
        <v>Yng</v>
      </c>
      <c r="H924" s="453">
        <f>INDEX(★サイズ表記!$I$4:$Q$55, MATCH(E924,★サイズ表記!$E$4:$E$55,0), MATCH(G924,★サイズ表記!$I$3:$R$3,0))</f>
        <v>13.7</v>
      </c>
      <c r="K924" s="471" t="str">
        <f t="shared" si="100"/>
        <v>S4006Yng</v>
      </c>
      <c r="L924" s="471" t="str">
        <f t="shared" si="101"/>
        <v>タブ14P</v>
      </c>
      <c r="P924" s="533" t="s">
        <v>1324</v>
      </c>
      <c r="Q924" s="533" t="s">
        <v>1325</v>
      </c>
      <c r="R924" s="534" t="str">
        <f t="shared" si="102"/>
        <v>4006</v>
      </c>
      <c r="S924" s="534" t="str">
        <f t="shared" si="103"/>
        <v>タブ14P</v>
      </c>
      <c r="T924" s="538" t="str">
        <f t="shared" si="92"/>
        <v>40</v>
      </c>
      <c r="U924" s="538" t="str">
        <f t="shared" si="93"/>
        <v>06</v>
      </c>
      <c r="V924" s="471" t="s">
        <v>1136</v>
      </c>
      <c r="Y924" s="472">
        <f t="shared" si="94"/>
        <v>13.7</v>
      </c>
      <c r="Z924" s="540">
        <f t="shared" si="95"/>
        <v>1.0900000000000001</v>
      </c>
      <c r="AA924" s="471">
        <v>0</v>
      </c>
    </row>
    <row r="925" spans="1:27">
      <c r="A925" s="451" t="str">
        <f>CONCATENATE(VLOOKUP(B925,★営業所!$A$1:$B$5,2,FALSE),VLOOKUP(D925,★サイズ表記!$D$4:$E$55,2,FALSE),VLOOKUP(F925,★折込地区!$A$1:$B$11,2,FALSE))</f>
        <v>S4007Yng</v>
      </c>
      <c r="B925" s="457" t="s">
        <v>276</v>
      </c>
      <c r="C925" s="452" t="str">
        <f>VLOOKUP(B925,★営業所!$A$1:$B$5,2,FALSE)</f>
        <v>S</v>
      </c>
      <c r="D925" s="465" t="s">
        <v>1353</v>
      </c>
      <c r="E925" s="452" t="str">
        <f>VLOOKUP(D925,★サイズ表記!$D$4:$E$55,2,FALSE)</f>
        <v>4007</v>
      </c>
      <c r="F925" s="457" t="s">
        <v>1603</v>
      </c>
      <c r="G925" s="452" t="str">
        <f>VLOOKUP(F925,★折込地区!$A$1:$B$11,2,FALSE)</f>
        <v>Yng</v>
      </c>
      <c r="H925" s="453">
        <f>INDEX(★サイズ表記!$I$4:$Q$55, MATCH(E925,★サイズ表記!$E$4:$E$55,0), MATCH(G925,★サイズ表記!$I$3:$R$3,0))</f>
        <v>15</v>
      </c>
      <c r="K925" s="471" t="str">
        <f t="shared" si="100"/>
        <v>S4007Yng</v>
      </c>
      <c r="L925" s="471" t="str">
        <f t="shared" si="101"/>
        <v>タブ16P</v>
      </c>
      <c r="P925" s="533" t="s">
        <v>1324</v>
      </c>
      <c r="Q925" s="533" t="s">
        <v>1325</v>
      </c>
      <c r="R925" s="534" t="str">
        <f t="shared" si="102"/>
        <v>4007</v>
      </c>
      <c r="S925" s="534" t="str">
        <f t="shared" si="103"/>
        <v>タブ16P</v>
      </c>
      <c r="T925" s="538" t="str">
        <f t="shared" si="92"/>
        <v>40</v>
      </c>
      <c r="U925" s="538" t="str">
        <f t="shared" si="93"/>
        <v>07</v>
      </c>
      <c r="V925" s="471" t="s">
        <v>1136</v>
      </c>
      <c r="Y925" s="472">
        <f t="shared" si="94"/>
        <v>15</v>
      </c>
      <c r="Z925" s="540">
        <f t="shared" si="95"/>
        <v>1.2</v>
      </c>
      <c r="AA925" s="471">
        <v>0</v>
      </c>
    </row>
    <row r="926" spans="1:27">
      <c r="A926" s="451" t="str">
        <f>CONCATENATE(VLOOKUP(B926,★営業所!$A$1:$B$5,2,FALSE),VLOOKUP(D926,★サイズ表記!$D$4:$E$55,2,FALSE),VLOOKUP(F926,★折込地区!$A$1:$B$11,2,FALSE))</f>
        <v>S4008Yng</v>
      </c>
      <c r="B926" s="457" t="s">
        <v>276</v>
      </c>
      <c r="C926" s="452" t="str">
        <f>VLOOKUP(B926,★営業所!$A$1:$B$5,2,FALSE)</f>
        <v>S</v>
      </c>
      <c r="D926" s="465" t="s">
        <v>1355</v>
      </c>
      <c r="E926" s="452" t="str">
        <f>VLOOKUP(D926,★サイズ表記!$D$4:$E$55,2,FALSE)</f>
        <v>4008</v>
      </c>
      <c r="F926" s="457" t="s">
        <v>1603</v>
      </c>
      <c r="G926" s="452" t="str">
        <f>VLOOKUP(F926,★折込地区!$A$1:$B$11,2,FALSE)</f>
        <v>Yng</v>
      </c>
      <c r="H926" s="453">
        <f>INDEX(★サイズ表記!$I$4:$Q$55, MATCH(E926,★サイズ表記!$E$4:$E$55,0), MATCH(G926,★サイズ表記!$I$3:$R$3,0))</f>
        <v>17.8</v>
      </c>
      <c r="K926" s="471" t="str">
        <f t="shared" si="100"/>
        <v>S4008Yng</v>
      </c>
      <c r="L926" s="471" t="str">
        <f t="shared" si="101"/>
        <v>タブ18P</v>
      </c>
      <c r="P926" s="533" t="s">
        <v>1324</v>
      </c>
      <c r="Q926" s="533" t="s">
        <v>1325</v>
      </c>
      <c r="R926" s="534" t="str">
        <f t="shared" si="102"/>
        <v>4008</v>
      </c>
      <c r="S926" s="534" t="str">
        <f t="shared" si="103"/>
        <v>タブ18P</v>
      </c>
      <c r="T926" s="538" t="str">
        <f t="shared" si="92"/>
        <v>40</v>
      </c>
      <c r="U926" s="538" t="str">
        <f t="shared" si="93"/>
        <v>08</v>
      </c>
      <c r="V926" s="471" t="s">
        <v>1136</v>
      </c>
      <c r="Y926" s="472">
        <f t="shared" si="94"/>
        <v>17.8</v>
      </c>
      <c r="Z926" s="540">
        <f t="shared" si="95"/>
        <v>1.42</v>
      </c>
      <c r="AA926" s="471">
        <v>0</v>
      </c>
    </row>
    <row r="927" spans="1:27">
      <c r="A927" s="451" t="str">
        <f>CONCATENATE(VLOOKUP(B927,★営業所!$A$1:$B$5,2,FALSE),VLOOKUP(D927,★サイズ表記!$D$4:$E$55,2,FALSE),VLOOKUP(F927,★折込地区!$A$1:$B$11,2,FALSE))</f>
        <v>S4009Yng</v>
      </c>
      <c r="B927" s="457" t="s">
        <v>276</v>
      </c>
      <c r="C927" s="452" t="str">
        <f>VLOOKUP(B927,★営業所!$A$1:$B$5,2,FALSE)</f>
        <v>S</v>
      </c>
      <c r="D927" s="465" t="s">
        <v>1356</v>
      </c>
      <c r="E927" s="452" t="str">
        <f>VLOOKUP(D927,★サイズ表記!$D$4:$E$55,2,FALSE)</f>
        <v>4009</v>
      </c>
      <c r="F927" s="457" t="s">
        <v>1603</v>
      </c>
      <c r="G927" s="452" t="str">
        <f>VLOOKUP(F927,★折込地区!$A$1:$B$11,2,FALSE)</f>
        <v>Yng</v>
      </c>
      <c r="H927" s="453">
        <f>INDEX(★サイズ表記!$I$4:$Q$55, MATCH(E927,★サイズ表記!$E$4:$E$55,0), MATCH(G927,★サイズ表記!$I$3:$R$3,0))</f>
        <v>18.899999999999999</v>
      </c>
      <c r="K927" s="471" t="str">
        <f t="shared" si="100"/>
        <v>S4009Yng</v>
      </c>
      <c r="L927" s="471" t="str">
        <f t="shared" si="101"/>
        <v>タブ20P</v>
      </c>
      <c r="P927" s="533" t="s">
        <v>1324</v>
      </c>
      <c r="Q927" s="533" t="s">
        <v>1325</v>
      </c>
      <c r="R927" s="534" t="str">
        <f t="shared" si="102"/>
        <v>4009</v>
      </c>
      <c r="S927" s="534" t="str">
        <f t="shared" si="103"/>
        <v>タブ20P</v>
      </c>
      <c r="T927" s="538" t="str">
        <f t="shared" si="92"/>
        <v>40</v>
      </c>
      <c r="U927" s="538" t="str">
        <f t="shared" si="93"/>
        <v>09</v>
      </c>
      <c r="V927" s="471" t="s">
        <v>1136</v>
      </c>
      <c r="Y927" s="472">
        <f t="shared" si="94"/>
        <v>18.899999999999999</v>
      </c>
      <c r="Z927" s="540">
        <f t="shared" si="95"/>
        <v>1.51</v>
      </c>
      <c r="AA927" s="471">
        <v>0</v>
      </c>
    </row>
    <row r="928" spans="1:27">
      <c r="A928" s="451" t="str">
        <f>CONCATENATE(VLOOKUP(B928,★営業所!$A$1:$B$5,2,FALSE),VLOOKUP(D928,★サイズ表記!$D$4:$E$55,2,FALSE),VLOOKUP(F928,★折込地区!$A$1:$B$11,2,FALSE))</f>
        <v>S4010Yng</v>
      </c>
      <c r="B928" s="457" t="s">
        <v>276</v>
      </c>
      <c r="C928" s="452" t="str">
        <f>VLOOKUP(B928,★営業所!$A$1:$B$5,2,FALSE)</f>
        <v>S</v>
      </c>
      <c r="D928" s="465" t="s">
        <v>1354</v>
      </c>
      <c r="E928" s="452" t="str">
        <f>VLOOKUP(D928,★サイズ表記!$D$4:$E$55,2,FALSE)</f>
        <v>4010</v>
      </c>
      <c r="F928" s="457" t="s">
        <v>1603</v>
      </c>
      <c r="G928" s="452" t="str">
        <f>VLOOKUP(F928,★折込地区!$A$1:$B$11,2,FALSE)</f>
        <v>Yng</v>
      </c>
      <c r="H928" s="453">
        <f>INDEX(★サイズ表記!$I$4:$Q$55, MATCH(E928,★サイズ表記!$E$4:$E$55,0), MATCH(G928,★サイズ表記!$I$3:$R$3,0))</f>
        <v>16</v>
      </c>
      <c r="K928" s="471" t="str">
        <f t="shared" si="100"/>
        <v>S4010Yng</v>
      </c>
      <c r="L928" s="471" t="str">
        <f t="shared" si="101"/>
        <v>タブ16Pホチキス止め</v>
      </c>
      <c r="P928" s="533" t="s">
        <v>1324</v>
      </c>
      <c r="Q928" s="533" t="s">
        <v>1325</v>
      </c>
      <c r="R928" s="534" t="str">
        <f t="shared" si="102"/>
        <v>4010</v>
      </c>
      <c r="S928" s="534" t="str">
        <f t="shared" si="103"/>
        <v>タブ16Pホチキス止め</v>
      </c>
      <c r="T928" s="538" t="str">
        <f t="shared" si="92"/>
        <v>40</v>
      </c>
      <c r="U928" s="538" t="str">
        <f t="shared" si="93"/>
        <v>10</v>
      </c>
      <c r="V928" s="471" t="s">
        <v>1136</v>
      </c>
      <c r="Y928" s="472">
        <f t="shared" si="94"/>
        <v>16</v>
      </c>
      <c r="Z928" s="540">
        <f t="shared" si="95"/>
        <v>1.28</v>
      </c>
      <c r="AA928" s="471">
        <v>0</v>
      </c>
    </row>
    <row r="929" spans="1:27">
      <c r="A929" s="451" t="str">
        <f>CONCATENATE(VLOOKUP(B929,★営業所!$A$1:$B$5,2,FALSE),VLOOKUP(D929,★サイズ表記!$D$4:$E$55,2,FALSE),VLOOKUP(F929,★折込地区!$A$1:$B$11,2,FALSE))</f>
        <v>S4011Yng</v>
      </c>
      <c r="B929" s="457" t="s">
        <v>276</v>
      </c>
      <c r="C929" s="452" t="str">
        <f>VLOOKUP(B929,★営業所!$A$1:$B$5,2,FALSE)</f>
        <v>S</v>
      </c>
      <c r="D929" s="465" t="s">
        <v>1357</v>
      </c>
      <c r="E929" s="452" t="str">
        <f>VLOOKUP(D929,★サイズ表記!$D$4:$E$55,2,FALSE)</f>
        <v>4011</v>
      </c>
      <c r="F929" s="457" t="s">
        <v>1603</v>
      </c>
      <c r="G929" s="452" t="str">
        <f>VLOOKUP(F929,★折込地区!$A$1:$B$11,2,FALSE)</f>
        <v>Yng</v>
      </c>
      <c r="H929" s="453">
        <f>INDEX(★サイズ表記!$I$4:$Q$55, MATCH(E929,★サイズ表記!$E$4:$E$55,0), MATCH(G929,★サイズ表記!$I$3:$R$3,0))</f>
        <v>0</v>
      </c>
      <c r="K929" s="471" t="str">
        <f t="shared" si="100"/>
        <v>S4011Yng</v>
      </c>
      <c r="L929" s="471" t="str">
        <f t="shared" si="101"/>
        <v>タブ40P</v>
      </c>
      <c r="P929" s="533" t="s">
        <v>1324</v>
      </c>
      <c r="Q929" s="533" t="s">
        <v>1325</v>
      </c>
      <c r="R929" s="534" t="str">
        <f t="shared" si="102"/>
        <v>4011</v>
      </c>
      <c r="S929" s="534" t="str">
        <f t="shared" si="103"/>
        <v>タブ40P</v>
      </c>
      <c r="T929" s="538" t="str">
        <f t="shared" si="92"/>
        <v>40</v>
      </c>
      <c r="U929" s="538" t="str">
        <f t="shared" si="93"/>
        <v>11</v>
      </c>
      <c r="V929" s="471" t="s">
        <v>1136</v>
      </c>
      <c r="Y929" s="472">
        <f t="shared" si="94"/>
        <v>0</v>
      </c>
      <c r="Z929" s="540">
        <f t="shared" si="95"/>
        <v>0</v>
      </c>
      <c r="AA929" s="471">
        <v>0</v>
      </c>
    </row>
    <row r="930" spans="1:27">
      <c r="A930" s="451" t="str">
        <f>CONCATENATE(VLOOKUP(B930,★営業所!$A$1:$B$5,2,FALSE),VLOOKUP(D930,★サイズ表記!$D$4:$E$55,2,FALSE),VLOOKUP(F930,★折込地区!$A$1:$B$11,2,FALSE))</f>
        <v>S9001Yng</v>
      </c>
      <c r="B930" s="457" t="s">
        <v>276</v>
      </c>
      <c r="C930" s="452" t="str">
        <f>VLOOKUP(B930,★営業所!$A$1:$B$5,2,FALSE)</f>
        <v>S</v>
      </c>
      <c r="D930" s="465" t="s">
        <v>975</v>
      </c>
      <c r="E930" s="452" t="str">
        <f>VLOOKUP(D930,★サイズ表記!$D$4:$E$55,2,FALSE)</f>
        <v>9001</v>
      </c>
      <c r="F930" s="457" t="s">
        <v>1603</v>
      </c>
      <c r="G930" s="452" t="str">
        <f>VLOOKUP(F930,★折込地区!$A$1:$B$11,2,FALSE)</f>
        <v>Yng</v>
      </c>
      <c r="H930" s="453">
        <f>INDEX(★サイズ表記!$I$4:$Q$55, MATCH(E930,★サイズ表記!$E$4:$E$55,0), MATCH(G930,★サイズ表記!$I$3:$R$3,0))</f>
        <v>7</v>
      </c>
      <c r="K930" s="471" t="str">
        <f t="shared" si="100"/>
        <v>S9001Yng</v>
      </c>
      <c r="L930" s="471" t="str">
        <f t="shared" si="101"/>
        <v>うさぎの耳</v>
      </c>
      <c r="P930" s="533" t="s">
        <v>1324</v>
      </c>
      <c r="Q930" s="533" t="s">
        <v>1325</v>
      </c>
      <c r="R930" s="534" t="str">
        <f t="shared" si="102"/>
        <v>9001</v>
      </c>
      <c r="S930" s="534" t="str">
        <f t="shared" si="103"/>
        <v>うさぎの耳</v>
      </c>
      <c r="T930" s="538" t="str">
        <f t="shared" si="92"/>
        <v>90</v>
      </c>
      <c r="U930" s="538" t="str">
        <f t="shared" si="93"/>
        <v>01</v>
      </c>
      <c r="V930" s="471" t="s">
        <v>1136</v>
      </c>
      <c r="Y930" s="472">
        <f t="shared" si="94"/>
        <v>7</v>
      </c>
      <c r="Z930" s="540">
        <f t="shared" si="95"/>
        <v>0.56000000000000005</v>
      </c>
      <c r="AA930" s="471">
        <v>0</v>
      </c>
    </row>
    <row r="931" spans="1:27">
      <c r="A931" s="451" t="str">
        <f>CONCATENATE(VLOOKUP(B931,★営業所!$A$1:$B$5,2,FALSE),VLOOKUP(D931,★サイズ表記!$D$4:$E$55,2,FALSE),VLOOKUP(F931,★折込地区!$A$1:$B$11,2,FALSE))</f>
        <v>S9002Yng</v>
      </c>
      <c r="B931" s="457" t="s">
        <v>276</v>
      </c>
      <c r="C931" s="452" t="str">
        <f>VLOOKUP(B931,★営業所!$A$1:$B$5,2,FALSE)</f>
        <v>S</v>
      </c>
      <c r="D931" s="465" t="s">
        <v>976</v>
      </c>
      <c r="E931" s="452" t="str">
        <f>VLOOKUP(D931,★サイズ表記!$D$4:$E$55,2,FALSE)</f>
        <v>9002</v>
      </c>
      <c r="F931" s="457" t="s">
        <v>1603</v>
      </c>
      <c r="G931" s="452" t="str">
        <f>VLOOKUP(F931,★折込地区!$A$1:$B$11,2,FALSE)</f>
        <v>Yng</v>
      </c>
      <c r="H931" s="453">
        <f>INDEX(★サイズ表記!$I$4:$Q$55, MATCH(E931,★サイズ表記!$E$4:$E$55,0), MATCH(G931,★サイズ表記!$I$3:$R$3,0))</f>
        <v>5</v>
      </c>
      <c r="K931" s="471" t="str">
        <f t="shared" si="100"/>
        <v>S9002Yng</v>
      </c>
      <c r="L931" s="471" t="str">
        <f t="shared" si="101"/>
        <v>ユーキャン（題字）</v>
      </c>
      <c r="P931" s="533" t="s">
        <v>1324</v>
      </c>
      <c r="Q931" s="533" t="s">
        <v>1325</v>
      </c>
      <c r="R931" s="534" t="str">
        <f t="shared" si="102"/>
        <v>9002</v>
      </c>
      <c r="S931" s="534" t="str">
        <f t="shared" si="103"/>
        <v>ユーキャン（題字）</v>
      </c>
      <c r="T931" s="538" t="str">
        <f t="shared" si="92"/>
        <v>90</v>
      </c>
      <c r="U931" s="538" t="str">
        <f t="shared" si="93"/>
        <v>02</v>
      </c>
      <c r="V931" s="471" t="s">
        <v>1136</v>
      </c>
      <c r="Y931" s="472">
        <f t="shared" si="94"/>
        <v>5</v>
      </c>
      <c r="Z931" s="540">
        <f t="shared" si="95"/>
        <v>0.4</v>
      </c>
      <c r="AA931" s="471">
        <v>0</v>
      </c>
    </row>
    <row r="932" spans="1:27">
      <c r="A932" s="451" t="str">
        <f>CONCATENATE(VLOOKUP(B932,★営業所!$A$1:$B$5,2,FALSE),VLOOKUP(D932,★サイズ表記!$D$4:$E$55,2,FALSE),VLOOKUP(F932,★折込地区!$A$1:$B$11,2,FALSE))</f>
        <v>S9003Yng</v>
      </c>
      <c r="B932" s="457" t="s">
        <v>276</v>
      </c>
      <c r="C932" s="452" t="str">
        <f>VLOOKUP(B932,★営業所!$A$1:$B$5,2,FALSE)</f>
        <v>S</v>
      </c>
      <c r="D932" s="465" t="s">
        <v>977</v>
      </c>
      <c r="E932" s="452" t="str">
        <f>VLOOKUP(D932,★サイズ表記!$D$4:$E$55,2,FALSE)</f>
        <v>9003</v>
      </c>
      <c r="F932" s="457" t="s">
        <v>1603</v>
      </c>
      <c r="G932" s="452" t="str">
        <f>VLOOKUP(F932,★折込地区!$A$1:$B$11,2,FALSE)</f>
        <v>Yng</v>
      </c>
      <c r="H932" s="453">
        <f>INDEX(★サイズ表記!$I$4:$Q$55, MATCH(E932,★サイズ表記!$E$4:$E$55,0), MATCH(G932,★サイズ表記!$I$3:$R$3,0))</f>
        <v>4.9000000000000004</v>
      </c>
      <c r="K932" s="471" t="str">
        <f t="shared" si="100"/>
        <v>S9003Yng</v>
      </c>
      <c r="L932" s="471" t="str">
        <f t="shared" si="101"/>
        <v>横長B3</v>
      </c>
      <c r="P932" s="533" t="s">
        <v>1324</v>
      </c>
      <c r="Q932" s="533" t="s">
        <v>1325</v>
      </c>
      <c r="R932" s="534" t="str">
        <f t="shared" si="102"/>
        <v>9003</v>
      </c>
      <c r="S932" s="534" t="str">
        <f t="shared" si="103"/>
        <v>横長B3</v>
      </c>
      <c r="T932" s="538" t="str">
        <f t="shared" si="92"/>
        <v>90</v>
      </c>
      <c r="U932" s="538" t="str">
        <f t="shared" si="93"/>
        <v>03</v>
      </c>
      <c r="V932" s="471" t="s">
        <v>1136</v>
      </c>
      <c r="Y932" s="472">
        <f t="shared" si="94"/>
        <v>4.9000000000000004</v>
      </c>
      <c r="Z932" s="540">
        <f t="shared" si="95"/>
        <v>0.39</v>
      </c>
      <c r="AA932" s="471">
        <v>0</v>
      </c>
    </row>
    <row r="933" spans="1:27">
      <c r="A933" s="451" t="str">
        <f>CONCATENATE(VLOOKUP(B933,★営業所!$A$1:$B$5,2,FALSE),VLOOKUP(D933,★サイズ表記!$D$4:$E$55,2,FALSE),VLOOKUP(F933,★折込地区!$A$1:$B$11,2,FALSE))</f>
        <v>S9004Yng</v>
      </c>
      <c r="B933" s="457" t="s">
        <v>276</v>
      </c>
      <c r="C933" s="452" t="str">
        <f>VLOOKUP(B933,★営業所!$A$1:$B$5,2,FALSE)</f>
        <v>S</v>
      </c>
      <c r="D933" s="465" t="s">
        <v>978</v>
      </c>
      <c r="E933" s="452" t="str">
        <f>VLOOKUP(D933,★サイズ表記!$D$4:$E$55,2,FALSE)</f>
        <v>9004</v>
      </c>
      <c r="F933" s="457" t="s">
        <v>1603</v>
      </c>
      <c r="G933" s="452" t="str">
        <f>VLOOKUP(F933,★折込地区!$A$1:$B$11,2,FALSE)</f>
        <v>Yng</v>
      </c>
      <c r="H933" s="453">
        <f>INDEX(★サイズ表記!$I$4:$Q$55, MATCH(E933,★サイズ表記!$E$4:$E$55,0), MATCH(G933,★サイズ表記!$I$3:$R$3,0))</f>
        <v>5</v>
      </c>
      <c r="K933" s="471" t="str">
        <f t="shared" si="100"/>
        <v>S9004Yng</v>
      </c>
      <c r="L933" s="471" t="str">
        <f t="shared" si="101"/>
        <v>AD-BAG</v>
      </c>
      <c r="P933" s="533" t="s">
        <v>1324</v>
      </c>
      <c r="Q933" s="533" t="s">
        <v>1325</v>
      </c>
      <c r="R933" s="534" t="str">
        <f t="shared" si="102"/>
        <v>9004</v>
      </c>
      <c r="S933" s="534" t="str">
        <f t="shared" si="103"/>
        <v>AD-BAG</v>
      </c>
      <c r="T933" s="538" t="str">
        <f t="shared" si="92"/>
        <v>90</v>
      </c>
      <c r="U933" s="538" t="str">
        <f t="shared" si="93"/>
        <v>04</v>
      </c>
      <c r="V933" s="471" t="s">
        <v>1136</v>
      </c>
      <c r="Y933" s="472">
        <f t="shared" si="94"/>
        <v>5</v>
      </c>
      <c r="Z933" s="540">
        <f t="shared" si="95"/>
        <v>0.4</v>
      </c>
      <c r="AA933" s="471">
        <v>0</v>
      </c>
    </row>
    <row r="934" spans="1:27">
      <c r="A934" s="451" t="str">
        <f>CONCATENATE(VLOOKUP(B934,★営業所!$A$1:$B$5,2,FALSE),VLOOKUP(D934,★サイズ表記!$D$4:$E$55,2,FALSE),VLOOKUP(F934,★折込地区!$A$1:$B$11,2,FALSE))</f>
        <v>S9005Yng</v>
      </c>
      <c r="B934" s="457" t="s">
        <v>276</v>
      </c>
      <c r="C934" s="452" t="str">
        <f>VLOOKUP(B934,★営業所!$A$1:$B$5,2,FALSE)</f>
        <v>S</v>
      </c>
      <c r="D934" s="465" t="s">
        <v>979</v>
      </c>
      <c r="E934" s="452" t="str">
        <f>VLOOKUP(D934,★サイズ表記!$D$4:$E$55,2,FALSE)</f>
        <v>9005</v>
      </c>
      <c r="F934" s="457" t="s">
        <v>1603</v>
      </c>
      <c r="G934" s="452" t="str">
        <f>VLOOKUP(F934,★折込地区!$A$1:$B$11,2,FALSE)</f>
        <v>Yng</v>
      </c>
      <c r="H934" s="453">
        <f>INDEX(★サイズ表記!$I$4:$Q$55, MATCH(E934,★サイズ表記!$E$4:$E$55,0), MATCH(G934,★サイズ表記!$I$3:$R$3,0))</f>
        <v>5</v>
      </c>
      <c r="K934" s="471" t="str">
        <f t="shared" si="100"/>
        <v>S9005Yng</v>
      </c>
      <c r="L934" s="471" t="str">
        <f t="shared" si="101"/>
        <v>封筒</v>
      </c>
      <c r="P934" s="533" t="s">
        <v>1324</v>
      </c>
      <c r="Q934" s="533" t="s">
        <v>1325</v>
      </c>
      <c r="R934" s="534" t="str">
        <f t="shared" si="102"/>
        <v>9005</v>
      </c>
      <c r="S934" s="534" t="str">
        <f t="shared" si="103"/>
        <v>封筒</v>
      </c>
      <c r="T934" s="538" t="str">
        <f t="shared" si="92"/>
        <v>90</v>
      </c>
      <c r="U934" s="538" t="str">
        <f t="shared" si="93"/>
        <v>05</v>
      </c>
      <c r="V934" s="471" t="s">
        <v>1136</v>
      </c>
      <c r="Y934" s="472">
        <f t="shared" si="94"/>
        <v>5</v>
      </c>
      <c r="Z934" s="540">
        <f t="shared" si="95"/>
        <v>0.4</v>
      </c>
      <c r="AA934" s="471">
        <v>0</v>
      </c>
    </row>
    <row r="935" spans="1:27">
      <c r="A935" s="451" t="str">
        <f>CONCATENATE(VLOOKUP(B935,★営業所!$A$1:$B$5,2,FALSE),VLOOKUP(D935,★サイズ表記!$D$4:$E$55,2,FALSE),VLOOKUP(F935,★折込地区!$A$1:$B$11,2,FALSE))</f>
        <v>S9006Yng</v>
      </c>
      <c r="B935" s="457" t="s">
        <v>276</v>
      </c>
      <c r="C935" s="452" t="str">
        <f>VLOOKUP(B935,★営業所!$A$1:$B$5,2,FALSE)</f>
        <v>S</v>
      </c>
      <c r="D935" s="465" t="s">
        <v>980</v>
      </c>
      <c r="E935" s="452" t="str">
        <f>VLOOKUP(D935,★サイズ表記!$D$4:$E$55,2,FALSE)</f>
        <v>9006</v>
      </c>
      <c r="F935" s="457" t="s">
        <v>1603</v>
      </c>
      <c r="G935" s="452" t="str">
        <f>VLOOKUP(F935,★折込地区!$A$1:$B$11,2,FALSE)</f>
        <v>Yng</v>
      </c>
      <c r="H935" s="453">
        <f>INDEX(★サイズ表記!$I$4:$Q$55, MATCH(E935,★サイズ表記!$E$4:$E$55,0), MATCH(G935,★サイズ表記!$I$3:$R$3,0))</f>
        <v>3.9</v>
      </c>
      <c r="K935" s="471" t="str">
        <f t="shared" si="100"/>
        <v>S9006Yng</v>
      </c>
      <c r="L935" s="471" t="str">
        <f t="shared" si="101"/>
        <v>圧着</v>
      </c>
      <c r="P935" s="533" t="s">
        <v>1324</v>
      </c>
      <c r="Q935" s="533" t="s">
        <v>1325</v>
      </c>
      <c r="R935" s="534" t="str">
        <f t="shared" si="102"/>
        <v>9006</v>
      </c>
      <c r="S935" s="534" t="str">
        <f t="shared" si="103"/>
        <v>圧着</v>
      </c>
      <c r="T935" s="538" t="str">
        <f t="shared" si="92"/>
        <v>90</v>
      </c>
      <c r="U935" s="538" t="str">
        <f t="shared" si="93"/>
        <v>06</v>
      </c>
      <c r="V935" s="471" t="s">
        <v>1136</v>
      </c>
      <c r="Y935" s="472">
        <f t="shared" si="94"/>
        <v>3.9</v>
      </c>
      <c r="Z935" s="540">
        <f t="shared" si="95"/>
        <v>0.31</v>
      </c>
      <c r="AA935" s="471">
        <v>0</v>
      </c>
    </row>
    <row r="936" spans="1:27">
      <c r="A936" s="451" t="str">
        <f>CONCATENATE(VLOOKUP(B936,★営業所!$A$1:$B$5,2,FALSE),VLOOKUP(D936,★サイズ表記!$D$4:$E$55,2,FALSE),VLOOKUP(F936,★折込地区!$A$1:$B$11,2,FALSE))</f>
        <v>S9007Yng</v>
      </c>
      <c r="B936" s="457" t="s">
        <v>276</v>
      </c>
      <c r="C936" s="452" t="str">
        <f>VLOOKUP(B936,★営業所!$A$1:$B$5,2,FALSE)</f>
        <v>S</v>
      </c>
      <c r="D936" s="465" t="s">
        <v>981</v>
      </c>
      <c r="E936" s="452" t="str">
        <f>VLOOKUP(D936,★サイズ表記!$D$4:$E$55,2,FALSE)</f>
        <v>9007</v>
      </c>
      <c r="F936" s="457" t="s">
        <v>1603</v>
      </c>
      <c r="G936" s="452" t="str">
        <f>VLOOKUP(F936,★折込地区!$A$1:$B$11,2,FALSE)</f>
        <v>Yng</v>
      </c>
      <c r="H936" s="453">
        <f>INDEX(★サイズ表記!$I$4:$Q$55, MATCH(E936,★サイズ表記!$E$4:$E$55,0), MATCH(G936,★サイズ表記!$I$3:$R$3,0))</f>
        <v>4.4000000000000004</v>
      </c>
      <c r="K936" s="471" t="str">
        <f t="shared" si="100"/>
        <v>S9007Yng</v>
      </c>
      <c r="L936" s="471" t="str">
        <f t="shared" si="101"/>
        <v>圧着厚紙</v>
      </c>
      <c r="P936" s="533" t="s">
        <v>1324</v>
      </c>
      <c r="Q936" s="533" t="s">
        <v>1325</v>
      </c>
      <c r="R936" s="534" t="str">
        <f t="shared" si="102"/>
        <v>9007</v>
      </c>
      <c r="S936" s="534" t="str">
        <f t="shared" si="103"/>
        <v>圧着厚紙</v>
      </c>
      <c r="T936" s="538" t="str">
        <f t="shared" si="92"/>
        <v>90</v>
      </c>
      <c r="U936" s="538" t="str">
        <f t="shared" si="93"/>
        <v>07</v>
      </c>
      <c r="V936" s="471" t="s">
        <v>1136</v>
      </c>
      <c r="Y936" s="472">
        <f t="shared" si="94"/>
        <v>4.4000000000000004</v>
      </c>
      <c r="Z936" s="540">
        <f t="shared" si="95"/>
        <v>0.35</v>
      </c>
      <c r="AA936" s="471">
        <v>0</v>
      </c>
    </row>
    <row r="937" spans="1:27">
      <c r="A937" s="451" t="str">
        <f>CONCATENATE(VLOOKUP(B937,★営業所!$A$1:$B$5,2,FALSE),VLOOKUP(D937,★サイズ表記!$D$4:$E$55,2,FALSE),VLOOKUP(F937,★折込地区!$A$1:$B$11,2,FALSE))</f>
        <v>S1001Hha</v>
      </c>
      <c r="B937" s="457" t="s">
        <v>276</v>
      </c>
      <c r="C937" s="452" t="str">
        <f>VLOOKUP(B937,★営業所!$A$1:$B$5,2,FALSE)</f>
        <v>S</v>
      </c>
      <c r="D937" s="465" t="s">
        <v>948</v>
      </c>
      <c r="E937" s="452" t="str">
        <f>VLOOKUP(D937,★サイズ表記!$D$4:$E$55,2,FALSE)</f>
        <v>1001</v>
      </c>
      <c r="F937" s="457" t="s">
        <v>158</v>
      </c>
      <c r="G937" s="452" t="str">
        <f>VLOOKUP(F937,★折込地区!$A$1:$B$11,2,FALSE)</f>
        <v>Hha</v>
      </c>
      <c r="H937" s="453">
        <f>INDEX(★サイズ表記!$I$4:$Q$55, MATCH(E937,★サイズ表記!$E$4:$E$55,0), MATCH(G937,★サイズ表記!$I$3:$R$3,0))</f>
        <v>3</v>
      </c>
      <c r="K937" s="471" t="str">
        <f t="shared" si="88"/>
        <v>S1001Hha</v>
      </c>
      <c r="L937" s="471" t="str">
        <f t="shared" si="89"/>
        <v>B4（折り無し）</v>
      </c>
      <c r="P937" s="533" t="s">
        <v>1324</v>
      </c>
      <c r="Q937" s="533" t="s">
        <v>1325</v>
      </c>
      <c r="R937" s="534" t="str">
        <f t="shared" si="90"/>
        <v>1001</v>
      </c>
      <c r="S937" s="534" t="str">
        <f t="shared" si="91"/>
        <v>B4（折り無し）</v>
      </c>
      <c r="T937" s="538" t="str">
        <f t="shared" si="92"/>
        <v>10</v>
      </c>
      <c r="U937" s="538" t="str">
        <f t="shared" si="93"/>
        <v>01</v>
      </c>
      <c r="V937" s="471" t="s">
        <v>1136</v>
      </c>
      <c r="Y937" s="472">
        <f t="shared" si="94"/>
        <v>3</v>
      </c>
      <c r="Z937" s="540">
        <f t="shared" si="95"/>
        <v>0.24</v>
      </c>
      <c r="AA937" s="471">
        <v>0</v>
      </c>
    </row>
    <row r="938" spans="1:27">
      <c r="A938" s="451" t="str">
        <f>CONCATENATE(VLOOKUP(B938,★営業所!$A$1:$B$5,2,FALSE),VLOOKUP(D938,★サイズ表記!$D$4:$E$55,2,FALSE),VLOOKUP(F938,★折込地区!$A$1:$B$11,2,FALSE))</f>
        <v>S1002Hha</v>
      </c>
      <c r="B938" s="457" t="s">
        <v>276</v>
      </c>
      <c r="C938" s="452" t="str">
        <f>VLOOKUP(B938,★営業所!$A$1:$B$5,2,FALSE)</f>
        <v>S</v>
      </c>
      <c r="D938" s="465" t="s">
        <v>950</v>
      </c>
      <c r="E938" s="452" t="str">
        <f>VLOOKUP(D938,★サイズ表記!$D$4:$E$55,2,FALSE)</f>
        <v>1002</v>
      </c>
      <c r="F938" s="457" t="s">
        <v>158</v>
      </c>
      <c r="G938" s="452" t="str">
        <f>VLOOKUP(F938,★折込地区!$A$1:$B$11,2,FALSE)</f>
        <v>Hha</v>
      </c>
      <c r="H938" s="453">
        <f>INDEX(★サイズ表記!$I$4:$Q$55, MATCH(E938,★サイズ表記!$E$4:$E$55,0), MATCH(G938,★サイズ表記!$I$3:$R$3,0))</f>
        <v>4</v>
      </c>
      <c r="K938" s="471" t="str">
        <f t="shared" si="88"/>
        <v>S1002Hha</v>
      </c>
      <c r="L938" s="471" t="str">
        <f t="shared" si="89"/>
        <v>B3（2つ折り）</v>
      </c>
      <c r="P938" s="533" t="s">
        <v>1324</v>
      </c>
      <c r="Q938" s="533" t="s">
        <v>1325</v>
      </c>
      <c r="R938" s="534" t="str">
        <f t="shared" si="90"/>
        <v>1002</v>
      </c>
      <c r="S938" s="534" t="str">
        <f t="shared" si="91"/>
        <v>B3（2つ折り）</v>
      </c>
      <c r="T938" s="538" t="str">
        <f t="shared" si="92"/>
        <v>10</v>
      </c>
      <c r="U938" s="538" t="str">
        <f t="shared" si="93"/>
        <v>02</v>
      </c>
      <c r="V938" s="471" t="s">
        <v>1136</v>
      </c>
      <c r="Y938" s="472">
        <f t="shared" si="94"/>
        <v>4</v>
      </c>
      <c r="Z938" s="540">
        <f t="shared" si="95"/>
        <v>0.32</v>
      </c>
      <c r="AA938" s="471">
        <v>0</v>
      </c>
    </row>
    <row r="939" spans="1:27">
      <c r="A939" s="451" t="str">
        <f>CONCATENATE(VLOOKUP(B939,★営業所!$A$1:$B$5,2,FALSE),VLOOKUP(D939,★サイズ表記!$D$4:$E$55,2,FALSE),VLOOKUP(F939,★折込地区!$A$1:$B$11,2,FALSE))</f>
        <v>S1003Hha</v>
      </c>
      <c r="B939" s="457" t="s">
        <v>276</v>
      </c>
      <c r="C939" s="452" t="str">
        <f>VLOOKUP(B939,★営業所!$A$1:$B$5,2,FALSE)</f>
        <v>S</v>
      </c>
      <c r="D939" s="465" t="s">
        <v>951</v>
      </c>
      <c r="E939" s="452" t="str">
        <f>VLOOKUP(D939,★サイズ表記!$D$4:$E$55,2,FALSE)</f>
        <v>1003</v>
      </c>
      <c r="F939" s="457" t="s">
        <v>158</v>
      </c>
      <c r="G939" s="452" t="str">
        <f>VLOOKUP(F939,★折込地区!$A$1:$B$11,2,FALSE)</f>
        <v>Hha</v>
      </c>
      <c r="H939" s="453">
        <f>INDEX(★サイズ表記!$I$4:$Q$55, MATCH(E939,★サイズ表記!$E$4:$E$55,0), MATCH(G939,★サイズ表記!$I$3:$R$3,0))</f>
        <v>0</v>
      </c>
      <c r="K939" s="471" t="str">
        <f t="shared" si="88"/>
        <v>S1003Hha</v>
      </c>
      <c r="L939" s="471" t="str">
        <f t="shared" si="89"/>
        <v>3つ折り</v>
      </c>
      <c r="P939" s="533" t="s">
        <v>1324</v>
      </c>
      <c r="Q939" s="533" t="s">
        <v>1325</v>
      </c>
      <c r="R939" s="534" t="str">
        <f t="shared" si="90"/>
        <v>1003</v>
      </c>
      <c r="S939" s="534" t="str">
        <f t="shared" si="91"/>
        <v>3つ折り</v>
      </c>
      <c r="T939" s="538" t="str">
        <f t="shared" si="92"/>
        <v>10</v>
      </c>
      <c r="U939" s="538" t="str">
        <f t="shared" si="93"/>
        <v>03</v>
      </c>
      <c r="V939" s="471" t="s">
        <v>1136</v>
      </c>
      <c r="Y939" s="472">
        <f t="shared" si="94"/>
        <v>0</v>
      </c>
      <c r="Z939" s="540">
        <f t="shared" si="95"/>
        <v>0</v>
      </c>
      <c r="AA939" s="471">
        <v>0</v>
      </c>
    </row>
    <row r="940" spans="1:27">
      <c r="A940" s="451" t="str">
        <f>CONCATENATE(VLOOKUP(B940,★営業所!$A$1:$B$5,2,FALSE),VLOOKUP(D940,★サイズ表記!$D$4:$E$55,2,FALSE),VLOOKUP(F940,★折込地区!$A$1:$B$11,2,FALSE))</f>
        <v>S1004Hha</v>
      </c>
      <c r="B940" s="457" t="s">
        <v>276</v>
      </c>
      <c r="C940" s="452" t="str">
        <f>VLOOKUP(B940,★営業所!$A$1:$B$5,2,FALSE)</f>
        <v>S</v>
      </c>
      <c r="D940" s="465" t="s">
        <v>947</v>
      </c>
      <c r="E940" s="452" t="str">
        <f>VLOOKUP(D940,★サイズ表記!$D$4:$E$55,2,FALSE)</f>
        <v>1004</v>
      </c>
      <c r="F940" s="457" t="s">
        <v>158</v>
      </c>
      <c r="G940" s="452" t="str">
        <f>VLOOKUP(F940,★折込地区!$A$1:$B$11,2,FALSE)</f>
        <v>Hha</v>
      </c>
      <c r="H940" s="453">
        <f>INDEX(★サイズ表記!$I$4:$Q$55, MATCH(E940,★サイズ表記!$E$4:$E$55,0), MATCH(G940,★サイズ表記!$I$3:$R$3,0))</f>
        <v>0</v>
      </c>
      <c r="K940" s="471" t="str">
        <f t="shared" ref="K940:K1003" si="104">A940</f>
        <v>S1004Hha</v>
      </c>
      <c r="L940" s="471" t="str">
        <f t="shared" ref="L940:L1003" si="105">D940</f>
        <v>観音折</v>
      </c>
      <c r="P940" s="533" t="s">
        <v>1324</v>
      </c>
      <c r="Q940" s="533" t="s">
        <v>1325</v>
      </c>
      <c r="R940" s="534" t="str">
        <f t="shared" si="90"/>
        <v>1004</v>
      </c>
      <c r="S940" s="534" t="str">
        <f t="shared" si="91"/>
        <v>観音折</v>
      </c>
      <c r="T940" s="538" t="str">
        <f t="shared" si="92"/>
        <v>10</v>
      </c>
      <c r="U940" s="538" t="str">
        <f t="shared" si="93"/>
        <v>04</v>
      </c>
      <c r="V940" s="471" t="s">
        <v>1136</v>
      </c>
      <c r="Y940" s="472">
        <f t="shared" si="94"/>
        <v>0</v>
      </c>
      <c r="Z940" s="540">
        <f t="shared" si="95"/>
        <v>0</v>
      </c>
      <c r="AA940" s="471">
        <v>0</v>
      </c>
    </row>
    <row r="941" spans="1:27">
      <c r="A941" s="451" t="str">
        <f>CONCATENATE(VLOOKUP(B941,★営業所!$A$1:$B$5,2,FALSE),VLOOKUP(D941,★サイズ表記!$D$4:$E$55,2,FALSE),VLOOKUP(F941,★折込地区!$A$1:$B$11,2,FALSE))</f>
        <v>S1005Hha</v>
      </c>
      <c r="B941" s="457" t="s">
        <v>276</v>
      </c>
      <c r="C941" s="452" t="str">
        <f>VLOOKUP(B941,★営業所!$A$1:$B$5,2,FALSE)</f>
        <v>S</v>
      </c>
      <c r="D941" s="465" t="s">
        <v>952</v>
      </c>
      <c r="E941" s="452" t="str">
        <f>VLOOKUP(D941,★サイズ表記!$D$4:$E$55,2,FALSE)</f>
        <v>1005</v>
      </c>
      <c r="F941" s="457" t="s">
        <v>158</v>
      </c>
      <c r="G941" s="452" t="str">
        <f>VLOOKUP(F941,★折込地区!$A$1:$B$11,2,FALSE)</f>
        <v>Hha</v>
      </c>
      <c r="H941" s="453">
        <f>INDEX(★サイズ表記!$I$4:$Q$55, MATCH(E941,★サイズ表記!$E$4:$E$55,0), MATCH(G941,★サイズ表記!$I$3:$R$3,0))</f>
        <v>6</v>
      </c>
      <c r="K941" s="471" t="str">
        <f t="shared" si="104"/>
        <v>S1005Hha</v>
      </c>
      <c r="L941" s="471" t="str">
        <f t="shared" si="105"/>
        <v>B2（4つ折り）</v>
      </c>
      <c r="P941" s="533" t="s">
        <v>1324</v>
      </c>
      <c r="Q941" s="533" t="s">
        <v>1325</v>
      </c>
      <c r="R941" s="534" t="str">
        <f t="shared" ref="R941:R1004" si="106">E941</f>
        <v>1005</v>
      </c>
      <c r="S941" s="534" t="str">
        <f t="shared" ref="S941:S1004" si="107">L941</f>
        <v>B2（4つ折り）</v>
      </c>
      <c r="T941" s="538" t="str">
        <f t="shared" ref="T941:T1004" si="108">LEFT($E941,2)</f>
        <v>10</v>
      </c>
      <c r="U941" s="538" t="str">
        <f t="shared" ref="U941:U1004" si="109">RIGHT($E941,2)</f>
        <v>05</v>
      </c>
      <c r="V941" s="471" t="s">
        <v>1136</v>
      </c>
      <c r="Y941" s="472">
        <f t="shared" ref="Y941:Y1004" si="110">$H941</f>
        <v>6</v>
      </c>
      <c r="Z941" s="540">
        <f t="shared" ref="Z941:Z1004" si="111">ROUNDDOWN($H941*8/100,2)</f>
        <v>0.48</v>
      </c>
      <c r="AA941" s="471">
        <v>0</v>
      </c>
    </row>
    <row r="942" spans="1:27">
      <c r="A942" s="451" t="str">
        <f>CONCATENATE(VLOOKUP(B942,★営業所!$A$1:$B$5,2,FALSE),VLOOKUP(D942,★サイズ表記!$D$4:$E$55,2,FALSE),VLOOKUP(F942,★折込地区!$A$1:$B$11,2,FALSE))</f>
        <v>S1006Hha</v>
      </c>
      <c r="B942" s="457" t="s">
        <v>276</v>
      </c>
      <c r="C942" s="452" t="str">
        <f>VLOOKUP(B942,★営業所!$A$1:$B$5,2,FALSE)</f>
        <v>S</v>
      </c>
      <c r="D942" s="465" t="s">
        <v>955</v>
      </c>
      <c r="E942" s="452" t="str">
        <f>VLOOKUP(D942,★サイズ表記!$D$4:$E$55,2,FALSE)</f>
        <v>1006</v>
      </c>
      <c r="F942" s="457" t="s">
        <v>158</v>
      </c>
      <c r="G942" s="452" t="str">
        <f>VLOOKUP(F942,★折込地区!$A$1:$B$11,2,FALSE)</f>
        <v>Hha</v>
      </c>
      <c r="H942" s="453">
        <f>INDEX(★サイズ表記!$I$4:$Q$55, MATCH(E942,★サイズ表記!$E$4:$E$55,0), MATCH(G942,★サイズ表記!$I$3:$R$3,0))</f>
        <v>12</v>
      </c>
      <c r="K942" s="471" t="str">
        <f t="shared" si="104"/>
        <v>S1006Hha</v>
      </c>
      <c r="L942" s="471" t="str">
        <f t="shared" si="105"/>
        <v>B1（8折り）</v>
      </c>
      <c r="P942" s="533" t="s">
        <v>1324</v>
      </c>
      <c r="Q942" s="533" t="s">
        <v>1325</v>
      </c>
      <c r="R942" s="534" t="str">
        <f t="shared" si="106"/>
        <v>1006</v>
      </c>
      <c r="S942" s="534" t="str">
        <f t="shared" si="107"/>
        <v>B1（8折り）</v>
      </c>
      <c r="T942" s="538" t="str">
        <f t="shared" si="108"/>
        <v>10</v>
      </c>
      <c r="U942" s="538" t="str">
        <f t="shared" si="109"/>
        <v>06</v>
      </c>
      <c r="V942" s="471" t="s">
        <v>1136</v>
      </c>
      <c r="Y942" s="472">
        <f t="shared" si="110"/>
        <v>12</v>
      </c>
      <c r="Z942" s="540">
        <f t="shared" si="111"/>
        <v>0.96</v>
      </c>
      <c r="AA942" s="471">
        <v>0</v>
      </c>
    </row>
    <row r="943" spans="1:27">
      <c r="A943" s="451" t="str">
        <f>CONCATENATE(VLOOKUP(B943,★営業所!$A$1:$B$5,2,FALSE),VLOOKUP(D943,★サイズ表記!$D$4:$E$55,2,FALSE),VLOOKUP(F943,★折込地区!$A$1:$B$11,2,FALSE))</f>
        <v>S1007Hha</v>
      </c>
      <c r="B943" s="457" t="s">
        <v>276</v>
      </c>
      <c r="C943" s="452" t="str">
        <f>VLOOKUP(B943,★営業所!$A$1:$B$5,2,FALSE)</f>
        <v>S</v>
      </c>
      <c r="D943" s="465" t="s">
        <v>956</v>
      </c>
      <c r="E943" s="452" t="str">
        <f>VLOOKUP(D943,★サイズ表記!$D$4:$E$55,2,FALSE)</f>
        <v>1007</v>
      </c>
      <c r="F943" s="457" t="s">
        <v>158</v>
      </c>
      <c r="G943" s="452" t="str">
        <f>VLOOKUP(F943,★折込地区!$A$1:$B$11,2,FALSE)</f>
        <v>Hha</v>
      </c>
      <c r="H943" s="453">
        <f>INDEX(★サイズ表記!$I$4:$Q$55, MATCH(E943,★サイズ表記!$E$4:$E$55,0), MATCH(G943,★サイズ表記!$I$3:$R$3,0))</f>
        <v>0</v>
      </c>
      <c r="K943" s="471" t="str">
        <f t="shared" si="104"/>
        <v>S1007Hha</v>
      </c>
      <c r="L943" s="471" t="str">
        <f t="shared" si="105"/>
        <v>B4厚紙</v>
      </c>
      <c r="P943" s="533" t="s">
        <v>1324</v>
      </c>
      <c r="Q943" s="533" t="s">
        <v>1325</v>
      </c>
      <c r="R943" s="534" t="str">
        <f t="shared" si="106"/>
        <v>1007</v>
      </c>
      <c r="S943" s="534" t="str">
        <f t="shared" si="107"/>
        <v>B4厚紙</v>
      </c>
      <c r="T943" s="538" t="str">
        <f t="shared" si="108"/>
        <v>10</v>
      </c>
      <c r="U943" s="538" t="str">
        <f t="shared" si="109"/>
        <v>07</v>
      </c>
      <c r="V943" s="471" t="s">
        <v>1136</v>
      </c>
      <c r="Y943" s="472">
        <f t="shared" si="110"/>
        <v>0</v>
      </c>
      <c r="Z943" s="540">
        <f t="shared" si="111"/>
        <v>0</v>
      </c>
      <c r="AA943" s="471">
        <v>0</v>
      </c>
    </row>
    <row r="944" spans="1:27">
      <c r="A944" s="451" t="str">
        <f>CONCATENATE(VLOOKUP(B944,★営業所!$A$1:$B$5,2,FALSE),VLOOKUP(D944,★サイズ表記!$D$4:$E$55,2,FALSE),VLOOKUP(F944,★折込地区!$A$1:$B$11,2,FALSE))</f>
        <v>S1008Hha</v>
      </c>
      <c r="B944" s="457" t="s">
        <v>276</v>
      </c>
      <c r="C944" s="452" t="str">
        <f>VLOOKUP(B944,★営業所!$A$1:$B$5,2,FALSE)</f>
        <v>S</v>
      </c>
      <c r="D944" s="465" t="s">
        <v>957</v>
      </c>
      <c r="E944" s="452" t="str">
        <f>VLOOKUP(D944,★サイズ表記!$D$4:$E$55,2,FALSE)</f>
        <v>1008</v>
      </c>
      <c r="F944" s="457" t="s">
        <v>158</v>
      </c>
      <c r="G944" s="452" t="str">
        <f>VLOOKUP(F944,★折込地区!$A$1:$B$11,2,FALSE)</f>
        <v>Hha</v>
      </c>
      <c r="H944" s="453">
        <f>INDEX(★サイズ表記!$I$4:$Q$55, MATCH(E944,★サイズ表記!$E$4:$E$55,0), MATCH(G944,★サイズ表記!$I$3:$R$3,0))</f>
        <v>0</v>
      </c>
      <c r="K944" s="471" t="str">
        <f t="shared" si="104"/>
        <v>S1008Hha</v>
      </c>
      <c r="L944" s="471" t="str">
        <f t="shared" si="105"/>
        <v>B3厚紙</v>
      </c>
      <c r="P944" s="533" t="s">
        <v>1324</v>
      </c>
      <c r="Q944" s="533" t="s">
        <v>1325</v>
      </c>
      <c r="R944" s="534" t="str">
        <f t="shared" si="106"/>
        <v>1008</v>
      </c>
      <c r="S944" s="534" t="str">
        <f t="shared" si="107"/>
        <v>B3厚紙</v>
      </c>
      <c r="T944" s="538" t="str">
        <f t="shared" si="108"/>
        <v>10</v>
      </c>
      <c r="U944" s="538" t="str">
        <f t="shared" si="109"/>
        <v>08</v>
      </c>
      <c r="V944" s="471" t="s">
        <v>1136</v>
      </c>
      <c r="Y944" s="472">
        <f t="shared" si="110"/>
        <v>0</v>
      </c>
      <c r="Z944" s="540">
        <f t="shared" si="111"/>
        <v>0</v>
      </c>
      <c r="AA944" s="471">
        <v>0</v>
      </c>
    </row>
    <row r="945" spans="1:27">
      <c r="A945" s="451" t="str">
        <f>CONCATENATE(VLOOKUP(B945,★営業所!$A$1:$B$5,2,FALSE),VLOOKUP(D945,★サイズ表記!$D$4:$E$55,2,FALSE),VLOOKUP(F945,★折込地区!$A$1:$B$11,2,FALSE))</f>
        <v>S1009Hha</v>
      </c>
      <c r="B945" s="457" t="s">
        <v>276</v>
      </c>
      <c r="C945" s="452" t="str">
        <f>VLOOKUP(B945,★営業所!$A$1:$B$5,2,FALSE)</f>
        <v>S</v>
      </c>
      <c r="D945" s="465" t="s">
        <v>958</v>
      </c>
      <c r="E945" s="452" t="str">
        <f>VLOOKUP(D945,★サイズ表記!$D$4:$E$55,2,FALSE)</f>
        <v>1009</v>
      </c>
      <c r="F945" s="457" t="s">
        <v>158</v>
      </c>
      <c r="G945" s="452" t="str">
        <f>VLOOKUP(F945,★折込地区!$A$1:$B$11,2,FALSE)</f>
        <v>Hha</v>
      </c>
      <c r="H945" s="453">
        <f>INDEX(★サイズ表記!$I$4:$Q$55, MATCH(E945,★サイズ表記!$E$4:$E$55,0), MATCH(G945,★サイズ表記!$I$3:$R$3,0))</f>
        <v>0</v>
      </c>
      <c r="K945" s="471" t="str">
        <f t="shared" si="104"/>
        <v>S1009Hha</v>
      </c>
      <c r="L945" s="471" t="str">
        <f t="shared" si="105"/>
        <v>B2厚紙</v>
      </c>
      <c r="P945" s="533" t="s">
        <v>1324</v>
      </c>
      <c r="Q945" s="533" t="s">
        <v>1325</v>
      </c>
      <c r="R945" s="534" t="str">
        <f t="shared" si="106"/>
        <v>1009</v>
      </c>
      <c r="S945" s="534" t="str">
        <f t="shared" si="107"/>
        <v>B2厚紙</v>
      </c>
      <c r="T945" s="538" t="str">
        <f t="shared" si="108"/>
        <v>10</v>
      </c>
      <c r="U945" s="538" t="str">
        <f t="shared" si="109"/>
        <v>09</v>
      </c>
      <c r="V945" s="471" t="s">
        <v>1136</v>
      </c>
      <c r="Y945" s="472">
        <f t="shared" si="110"/>
        <v>0</v>
      </c>
      <c r="Z945" s="540">
        <f t="shared" si="111"/>
        <v>0</v>
      </c>
      <c r="AA945" s="471">
        <v>0</v>
      </c>
    </row>
    <row r="946" spans="1:27">
      <c r="A946" s="451" t="str">
        <f>CONCATENATE(VLOOKUP(B946,★営業所!$A$1:$B$5,2,FALSE),VLOOKUP(D946,★サイズ表記!$D$4:$E$55,2,FALSE),VLOOKUP(F946,★折込地区!$A$1:$B$11,2,FALSE))</f>
        <v>S1010Hha</v>
      </c>
      <c r="B946" s="457" t="s">
        <v>276</v>
      </c>
      <c r="C946" s="452" t="str">
        <f>VLOOKUP(B946,★営業所!$A$1:$B$5,2,FALSE)</f>
        <v>S</v>
      </c>
      <c r="D946" s="465" t="s">
        <v>959</v>
      </c>
      <c r="E946" s="452" t="str">
        <f>VLOOKUP(D946,★サイズ表記!$D$4:$E$55,2,FALSE)</f>
        <v>1010</v>
      </c>
      <c r="F946" s="457" t="s">
        <v>158</v>
      </c>
      <c r="G946" s="452" t="str">
        <f>VLOOKUP(F946,★折込地区!$A$1:$B$11,2,FALSE)</f>
        <v>Hha</v>
      </c>
      <c r="H946" s="453">
        <f>INDEX(★サイズ表記!$I$4:$Q$55, MATCH(E946,★サイズ表記!$E$4:$E$55,0), MATCH(G946,★サイズ表記!$I$3:$R$3,0))</f>
        <v>0</v>
      </c>
      <c r="K946" s="471" t="str">
        <f t="shared" si="104"/>
        <v>S1010Hha</v>
      </c>
      <c r="L946" s="471" t="str">
        <f t="shared" si="105"/>
        <v>B4以下変形</v>
      </c>
      <c r="P946" s="533" t="s">
        <v>1324</v>
      </c>
      <c r="Q946" s="533" t="s">
        <v>1325</v>
      </c>
      <c r="R946" s="534" t="str">
        <f t="shared" si="106"/>
        <v>1010</v>
      </c>
      <c r="S946" s="534" t="str">
        <f t="shared" si="107"/>
        <v>B4以下変形</v>
      </c>
      <c r="T946" s="538" t="str">
        <f t="shared" si="108"/>
        <v>10</v>
      </c>
      <c r="U946" s="538" t="str">
        <f t="shared" si="109"/>
        <v>10</v>
      </c>
      <c r="V946" s="471" t="s">
        <v>1136</v>
      </c>
      <c r="Y946" s="472">
        <f t="shared" si="110"/>
        <v>0</v>
      </c>
      <c r="Z946" s="540">
        <f t="shared" si="111"/>
        <v>0</v>
      </c>
      <c r="AA946" s="471">
        <v>0</v>
      </c>
    </row>
    <row r="947" spans="1:27">
      <c r="A947" s="451" t="str">
        <f>CONCATENATE(VLOOKUP(B947,★営業所!$A$1:$B$5,2,FALSE),VLOOKUP(D947,★サイズ表記!$D$4:$E$55,2,FALSE),VLOOKUP(F947,★折込地区!$A$1:$B$11,2,FALSE))</f>
        <v>S1011Hha</v>
      </c>
      <c r="B947" s="457" t="s">
        <v>276</v>
      </c>
      <c r="C947" s="452" t="str">
        <f>VLOOKUP(B947,★営業所!$A$1:$B$5,2,FALSE)</f>
        <v>S</v>
      </c>
      <c r="D947" s="465" t="s">
        <v>960</v>
      </c>
      <c r="E947" s="452" t="str">
        <f>VLOOKUP(D947,★サイズ表記!$D$4:$E$55,2,FALSE)</f>
        <v>1011</v>
      </c>
      <c r="F947" s="457" t="s">
        <v>158</v>
      </c>
      <c r="G947" s="452" t="str">
        <f>VLOOKUP(F947,★折込地区!$A$1:$B$11,2,FALSE)</f>
        <v>Hha</v>
      </c>
      <c r="H947" s="453">
        <f>INDEX(★サイズ表記!$I$4:$Q$55, MATCH(E947,★サイズ表記!$E$4:$E$55,0), MATCH(G947,★サイズ表記!$I$3:$R$3,0))</f>
        <v>0</v>
      </c>
      <c r="K947" s="471" t="str">
        <f t="shared" si="104"/>
        <v>S1011Hha</v>
      </c>
      <c r="L947" s="471" t="str">
        <f t="shared" si="105"/>
        <v>B4シール付き</v>
      </c>
      <c r="P947" s="533" t="s">
        <v>1324</v>
      </c>
      <c r="Q947" s="533" t="s">
        <v>1325</v>
      </c>
      <c r="R947" s="534" t="str">
        <f t="shared" si="106"/>
        <v>1011</v>
      </c>
      <c r="S947" s="534" t="str">
        <f t="shared" si="107"/>
        <v>B4シール付き</v>
      </c>
      <c r="T947" s="538" t="str">
        <f t="shared" si="108"/>
        <v>10</v>
      </c>
      <c r="U947" s="538" t="str">
        <f t="shared" si="109"/>
        <v>11</v>
      </c>
      <c r="V947" s="471" t="s">
        <v>1136</v>
      </c>
      <c r="Y947" s="472">
        <f t="shared" si="110"/>
        <v>0</v>
      </c>
      <c r="Z947" s="540">
        <f t="shared" si="111"/>
        <v>0</v>
      </c>
      <c r="AA947" s="471">
        <v>0</v>
      </c>
    </row>
    <row r="948" spans="1:27">
      <c r="A948" s="451" t="str">
        <f>CONCATENATE(VLOOKUP(B948,★営業所!$A$1:$B$5,2,FALSE),VLOOKUP(D948,★サイズ表記!$D$4:$E$55,2,FALSE),VLOOKUP(F948,★折込地区!$A$1:$B$11,2,FALSE))</f>
        <v>S1012Hha</v>
      </c>
      <c r="B948" s="457" t="s">
        <v>276</v>
      </c>
      <c r="C948" s="452" t="str">
        <f>VLOOKUP(B948,★営業所!$A$1:$B$5,2,FALSE)</f>
        <v>S</v>
      </c>
      <c r="D948" s="465" t="s">
        <v>961</v>
      </c>
      <c r="E948" s="452" t="str">
        <f>VLOOKUP(D948,★サイズ表記!$D$4:$E$55,2,FALSE)</f>
        <v>1012</v>
      </c>
      <c r="F948" s="457" t="s">
        <v>158</v>
      </c>
      <c r="G948" s="452" t="str">
        <f>VLOOKUP(F948,★折込地区!$A$1:$B$11,2,FALSE)</f>
        <v>Hha</v>
      </c>
      <c r="H948" s="453">
        <f>INDEX(★サイズ表記!$I$4:$Q$55, MATCH(E948,★サイズ表記!$E$4:$E$55,0), MATCH(G948,★サイズ表記!$I$3:$R$3,0))</f>
        <v>0</v>
      </c>
      <c r="K948" s="471" t="str">
        <f t="shared" si="104"/>
        <v>S1012Hha</v>
      </c>
      <c r="L948" s="471" t="str">
        <f t="shared" si="105"/>
        <v>B3シール付き</v>
      </c>
      <c r="P948" s="533" t="s">
        <v>1324</v>
      </c>
      <c r="Q948" s="533" t="s">
        <v>1325</v>
      </c>
      <c r="R948" s="534" t="str">
        <f t="shared" si="106"/>
        <v>1012</v>
      </c>
      <c r="S948" s="534" t="str">
        <f t="shared" si="107"/>
        <v>B3シール付き</v>
      </c>
      <c r="T948" s="538" t="str">
        <f t="shared" si="108"/>
        <v>10</v>
      </c>
      <c r="U948" s="538" t="str">
        <f t="shared" si="109"/>
        <v>12</v>
      </c>
      <c r="V948" s="471" t="s">
        <v>1136</v>
      </c>
      <c r="Y948" s="472">
        <f t="shared" si="110"/>
        <v>0</v>
      </c>
      <c r="Z948" s="540">
        <f t="shared" si="111"/>
        <v>0</v>
      </c>
      <c r="AA948" s="471">
        <v>0</v>
      </c>
    </row>
    <row r="949" spans="1:27">
      <c r="A949" s="451" t="str">
        <f>CONCATENATE(VLOOKUP(B949,★営業所!$A$1:$B$5,2,FALSE),VLOOKUP(D949,★サイズ表記!$D$4:$E$55,2,FALSE),VLOOKUP(F949,★折込地区!$A$1:$B$11,2,FALSE))</f>
        <v>S1013Hha</v>
      </c>
      <c r="B949" s="457" t="s">
        <v>276</v>
      </c>
      <c r="C949" s="452" t="str">
        <f>VLOOKUP(B949,★営業所!$A$1:$B$5,2,FALSE)</f>
        <v>S</v>
      </c>
      <c r="D949" s="465" t="s">
        <v>962</v>
      </c>
      <c r="E949" s="452" t="str">
        <f>VLOOKUP(D949,★サイズ表記!$D$4:$E$55,2,FALSE)</f>
        <v>1013</v>
      </c>
      <c r="F949" s="457" t="s">
        <v>158</v>
      </c>
      <c r="G949" s="452" t="str">
        <f>VLOOKUP(F949,★折込地区!$A$1:$B$11,2,FALSE)</f>
        <v>Hha</v>
      </c>
      <c r="H949" s="453">
        <f>INDEX(★サイズ表記!$I$4:$Q$55, MATCH(E949,★サイズ表記!$E$4:$E$55,0), MATCH(G949,★サイズ表記!$I$3:$R$3,0))</f>
        <v>0</v>
      </c>
      <c r="K949" s="471" t="str">
        <f t="shared" si="104"/>
        <v>S1013Hha</v>
      </c>
      <c r="L949" s="471" t="str">
        <f t="shared" si="105"/>
        <v>B4スクラッチ付き</v>
      </c>
      <c r="P949" s="533" t="s">
        <v>1324</v>
      </c>
      <c r="Q949" s="533" t="s">
        <v>1325</v>
      </c>
      <c r="R949" s="534" t="str">
        <f t="shared" si="106"/>
        <v>1013</v>
      </c>
      <c r="S949" s="534" t="str">
        <f t="shared" si="107"/>
        <v>B4スクラッチ付き</v>
      </c>
      <c r="T949" s="538" t="str">
        <f t="shared" si="108"/>
        <v>10</v>
      </c>
      <c r="U949" s="538" t="str">
        <f t="shared" si="109"/>
        <v>13</v>
      </c>
      <c r="V949" s="471" t="s">
        <v>1136</v>
      </c>
      <c r="Y949" s="472">
        <f t="shared" si="110"/>
        <v>0</v>
      </c>
      <c r="Z949" s="540">
        <f t="shared" si="111"/>
        <v>0</v>
      </c>
      <c r="AA949" s="471">
        <v>0</v>
      </c>
    </row>
    <row r="950" spans="1:27">
      <c r="A950" s="451" t="str">
        <f>CONCATENATE(VLOOKUP(B950,★営業所!$A$1:$B$5,2,FALSE),VLOOKUP(D950,★サイズ表記!$D$4:$E$55,2,FALSE),VLOOKUP(F950,★折込地区!$A$1:$B$11,2,FALSE))</f>
        <v>S2001Hha</v>
      </c>
      <c r="B950" s="457" t="s">
        <v>276</v>
      </c>
      <c r="C950" s="452" t="str">
        <f>VLOOKUP(B950,★営業所!$A$1:$B$5,2,FALSE)</f>
        <v>S</v>
      </c>
      <c r="D950" s="465" t="s">
        <v>963</v>
      </c>
      <c r="E950" s="452" t="str">
        <f>VLOOKUP(D950,★サイズ表記!$D$4:$E$55,2,FALSE)</f>
        <v>2001</v>
      </c>
      <c r="F950" s="457" t="s">
        <v>158</v>
      </c>
      <c r="G950" s="452" t="str">
        <f>VLOOKUP(F950,★折込地区!$A$1:$B$11,2,FALSE)</f>
        <v>Hha</v>
      </c>
      <c r="H950" s="453">
        <f>INDEX(★サイズ表記!$I$4:$Q$55, MATCH(E950,★サイズ表記!$E$4:$E$55,0), MATCH(G950,★サイズ表記!$I$3:$R$3,0))</f>
        <v>4.5</v>
      </c>
      <c r="K950" s="471" t="str">
        <f t="shared" si="104"/>
        <v>S2001Hha</v>
      </c>
      <c r="L950" s="471" t="str">
        <f t="shared" si="105"/>
        <v>連合B4</v>
      </c>
      <c r="P950" s="533" t="s">
        <v>1324</v>
      </c>
      <c r="Q950" s="533" t="s">
        <v>1325</v>
      </c>
      <c r="R950" s="534" t="str">
        <f t="shared" si="106"/>
        <v>2001</v>
      </c>
      <c r="S950" s="534" t="str">
        <f t="shared" si="107"/>
        <v>連合B4</v>
      </c>
      <c r="T950" s="538" t="str">
        <f t="shared" si="108"/>
        <v>20</v>
      </c>
      <c r="U950" s="538" t="str">
        <f t="shared" si="109"/>
        <v>01</v>
      </c>
      <c r="V950" s="471" t="s">
        <v>1136</v>
      </c>
      <c r="Y950" s="472">
        <f t="shared" si="110"/>
        <v>4.5</v>
      </c>
      <c r="Z950" s="540">
        <f t="shared" si="111"/>
        <v>0.36</v>
      </c>
      <c r="AA950" s="471">
        <v>0</v>
      </c>
    </row>
    <row r="951" spans="1:27">
      <c r="A951" s="451" t="str">
        <f>CONCATENATE(VLOOKUP(B951,★営業所!$A$1:$B$5,2,FALSE),VLOOKUP(D951,★サイズ表記!$D$4:$E$55,2,FALSE),VLOOKUP(F951,★折込地区!$A$1:$B$11,2,FALSE))</f>
        <v>S2002Hha</v>
      </c>
      <c r="B951" s="457" t="s">
        <v>276</v>
      </c>
      <c r="C951" s="452" t="str">
        <f>VLOOKUP(B951,★営業所!$A$1:$B$5,2,FALSE)</f>
        <v>S</v>
      </c>
      <c r="D951" s="465" t="s">
        <v>964</v>
      </c>
      <c r="E951" s="452" t="str">
        <f>VLOOKUP(D951,★サイズ表記!$D$4:$E$55,2,FALSE)</f>
        <v>2002</v>
      </c>
      <c r="F951" s="457" t="s">
        <v>158</v>
      </c>
      <c r="G951" s="452" t="str">
        <f>VLOOKUP(F951,★折込地区!$A$1:$B$11,2,FALSE)</f>
        <v>Hha</v>
      </c>
      <c r="H951" s="453">
        <f>INDEX(★サイズ表記!$I$4:$Q$55, MATCH(E951,★サイズ表記!$E$4:$E$55,0), MATCH(G951,★サイズ表記!$I$3:$R$3,0))</f>
        <v>6</v>
      </c>
      <c r="K951" s="471" t="str">
        <f t="shared" si="104"/>
        <v>S2002Hha</v>
      </c>
      <c r="L951" s="471" t="str">
        <f t="shared" si="105"/>
        <v>連合B3</v>
      </c>
      <c r="P951" s="533" t="s">
        <v>1324</v>
      </c>
      <c r="Q951" s="533" t="s">
        <v>1325</v>
      </c>
      <c r="R951" s="534" t="str">
        <f t="shared" si="106"/>
        <v>2002</v>
      </c>
      <c r="S951" s="534" t="str">
        <f t="shared" si="107"/>
        <v>連合B3</v>
      </c>
      <c r="T951" s="538" t="str">
        <f t="shared" si="108"/>
        <v>20</v>
      </c>
      <c r="U951" s="538" t="str">
        <f t="shared" si="109"/>
        <v>02</v>
      </c>
      <c r="V951" s="471" t="s">
        <v>1136</v>
      </c>
      <c r="Y951" s="472">
        <f t="shared" si="110"/>
        <v>6</v>
      </c>
      <c r="Z951" s="540">
        <f t="shared" si="111"/>
        <v>0.48</v>
      </c>
      <c r="AA951" s="471">
        <v>0</v>
      </c>
    </row>
    <row r="952" spans="1:27">
      <c r="A952" s="451" t="str">
        <f>CONCATENATE(VLOOKUP(B952,★営業所!$A$1:$B$5,2,FALSE),VLOOKUP(D952,★サイズ表記!$D$4:$E$55,2,FALSE),VLOOKUP(F952,★折込地区!$A$1:$B$11,2,FALSE))</f>
        <v>S2003Hha</v>
      </c>
      <c r="B952" s="457" t="s">
        <v>276</v>
      </c>
      <c r="C952" s="452" t="str">
        <f>VLOOKUP(B952,★営業所!$A$1:$B$5,2,FALSE)</f>
        <v>S</v>
      </c>
      <c r="D952" s="465" t="s">
        <v>965</v>
      </c>
      <c r="E952" s="452" t="str">
        <f>VLOOKUP(D952,★サイズ表記!$D$4:$E$55,2,FALSE)</f>
        <v>2003</v>
      </c>
      <c r="F952" s="457" t="s">
        <v>158</v>
      </c>
      <c r="G952" s="452" t="str">
        <f>VLOOKUP(F952,★折込地区!$A$1:$B$11,2,FALSE)</f>
        <v>Hha</v>
      </c>
      <c r="H952" s="453">
        <f>INDEX(★サイズ表記!$I$4:$Q$55, MATCH(E952,★サイズ表記!$E$4:$E$55,0), MATCH(G952,★サイズ表記!$I$3:$R$3,0))</f>
        <v>9</v>
      </c>
      <c r="K952" s="471" t="str">
        <f t="shared" si="104"/>
        <v>S2003Hha</v>
      </c>
      <c r="L952" s="471" t="str">
        <f t="shared" si="105"/>
        <v>連合B2</v>
      </c>
      <c r="P952" s="533" t="s">
        <v>1324</v>
      </c>
      <c r="Q952" s="533" t="s">
        <v>1325</v>
      </c>
      <c r="R952" s="534" t="str">
        <f t="shared" si="106"/>
        <v>2003</v>
      </c>
      <c r="S952" s="534" t="str">
        <f t="shared" si="107"/>
        <v>連合B2</v>
      </c>
      <c r="T952" s="538" t="str">
        <f t="shared" si="108"/>
        <v>20</v>
      </c>
      <c r="U952" s="538" t="str">
        <f t="shared" si="109"/>
        <v>03</v>
      </c>
      <c r="V952" s="471" t="s">
        <v>1136</v>
      </c>
      <c r="Y952" s="472">
        <f t="shared" si="110"/>
        <v>9</v>
      </c>
      <c r="Z952" s="540">
        <f t="shared" si="111"/>
        <v>0.72</v>
      </c>
      <c r="AA952" s="471">
        <v>0</v>
      </c>
    </row>
    <row r="953" spans="1:27">
      <c r="A953" s="451" t="str">
        <f>CONCATENATE(VLOOKUP(B953,★営業所!$A$1:$B$5,2,FALSE),VLOOKUP(D953,★サイズ表記!$D$4:$E$55,2,FALSE),VLOOKUP(F953,★折込地区!$A$1:$B$11,2,FALSE))</f>
        <v>S2004Hha</v>
      </c>
      <c r="B953" s="457" t="s">
        <v>276</v>
      </c>
      <c r="C953" s="452" t="str">
        <f>VLOOKUP(B953,★営業所!$A$1:$B$5,2,FALSE)</f>
        <v>S</v>
      </c>
      <c r="D953" s="465" t="s">
        <v>966</v>
      </c>
      <c r="E953" s="452" t="str">
        <f>VLOOKUP(D953,★サイズ表記!$D$4:$E$55,2,FALSE)</f>
        <v>2004</v>
      </c>
      <c r="F953" s="457" t="s">
        <v>158</v>
      </c>
      <c r="G953" s="452" t="str">
        <f>VLOOKUP(F953,★折込地区!$A$1:$B$11,2,FALSE)</f>
        <v>Hha</v>
      </c>
      <c r="H953" s="453">
        <f>INDEX(★サイズ表記!$I$4:$Q$55, MATCH(E953,★サイズ表記!$E$4:$E$55,0), MATCH(G953,★サイズ表記!$I$3:$R$3,0))</f>
        <v>0</v>
      </c>
      <c r="K953" s="471" t="str">
        <f t="shared" si="104"/>
        <v>S2004Hha</v>
      </c>
      <c r="L953" s="471" t="str">
        <f t="shared" si="105"/>
        <v>連合3つ折り</v>
      </c>
      <c r="P953" s="533" t="s">
        <v>1324</v>
      </c>
      <c r="Q953" s="533" t="s">
        <v>1325</v>
      </c>
      <c r="R953" s="534" t="str">
        <f t="shared" si="106"/>
        <v>2004</v>
      </c>
      <c r="S953" s="534" t="str">
        <f t="shared" si="107"/>
        <v>連合3つ折り</v>
      </c>
      <c r="T953" s="538" t="str">
        <f t="shared" si="108"/>
        <v>20</v>
      </c>
      <c r="U953" s="538" t="str">
        <f t="shared" si="109"/>
        <v>04</v>
      </c>
      <c r="V953" s="471" t="s">
        <v>1136</v>
      </c>
      <c r="Y953" s="472">
        <f t="shared" si="110"/>
        <v>0</v>
      </c>
      <c r="Z953" s="540">
        <f t="shared" si="111"/>
        <v>0</v>
      </c>
      <c r="AA953" s="471">
        <v>0</v>
      </c>
    </row>
    <row r="954" spans="1:27">
      <c r="A954" s="451" t="str">
        <f>CONCATENATE(VLOOKUP(B954,★営業所!$A$1:$B$5,2,FALSE),VLOOKUP(D954,★サイズ表記!$D$4:$E$55,2,FALSE),VLOOKUP(F954,★折込地区!$A$1:$B$11,2,FALSE))</f>
        <v>S2005Hha</v>
      </c>
      <c r="B954" s="457" t="s">
        <v>276</v>
      </c>
      <c r="C954" s="452" t="str">
        <f>VLOOKUP(B954,★営業所!$A$1:$B$5,2,FALSE)</f>
        <v>S</v>
      </c>
      <c r="D954" s="465" t="s">
        <v>967</v>
      </c>
      <c r="E954" s="452" t="str">
        <f>VLOOKUP(D954,★サイズ表記!$D$4:$E$55,2,FALSE)</f>
        <v>2005</v>
      </c>
      <c r="F954" s="457" t="s">
        <v>158</v>
      </c>
      <c r="G954" s="452" t="str">
        <f>VLOOKUP(F954,★折込地区!$A$1:$B$11,2,FALSE)</f>
        <v>Hha</v>
      </c>
      <c r="H954" s="453">
        <f>INDEX(★サイズ表記!$I$4:$Q$55, MATCH(E954,★サイズ表記!$E$4:$E$55,0), MATCH(G954,★サイズ表記!$I$3:$R$3,0))</f>
        <v>0</v>
      </c>
      <c r="K954" s="471" t="str">
        <f t="shared" si="104"/>
        <v>S2005Hha</v>
      </c>
      <c r="L954" s="471" t="str">
        <f t="shared" si="105"/>
        <v>連合B4厚紙</v>
      </c>
      <c r="P954" s="533" t="s">
        <v>1324</v>
      </c>
      <c r="Q954" s="533" t="s">
        <v>1325</v>
      </c>
      <c r="R954" s="534" t="str">
        <f t="shared" si="106"/>
        <v>2005</v>
      </c>
      <c r="S954" s="534" t="str">
        <f t="shared" si="107"/>
        <v>連合B4厚紙</v>
      </c>
      <c r="T954" s="538" t="str">
        <f t="shared" si="108"/>
        <v>20</v>
      </c>
      <c r="U954" s="538" t="str">
        <f t="shared" si="109"/>
        <v>05</v>
      </c>
      <c r="V954" s="471" t="s">
        <v>1136</v>
      </c>
      <c r="Y954" s="472">
        <f t="shared" si="110"/>
        <v>0</v>
      </c>
      <c r="Z954" s="540">
        <f t="shared" si="111"/>
        <v>0</v>
      </c>
      <c r="AA954" s="471">
        <v>0</v>
      </c>
    </row>
    <row r="955" spans="1:27">
      <c r="A955" s="451" t="str">
        <f>CONCATENATE(VLOOKUP(B955,★営業所!$A$1:$B$5,2,FALSE),VLOOKUP(D955,★サイズ表記!$D$4:$E$55,2,FALSE),VLOOKUP(F955,★折込地区!$A$1:$B$11,2,FALSE))</f>
        <v>S2006Hha</v>
      </c>
      <c r="B955" s="457" t="s">
        <v>276</v>
      </c>
      <c r="C955" s="452" t="str">
        <f>VLOOKUP(B955,★営業所!$A$1:$B$5,2,FALSE)</f>
        <v>S</v>
      </c>
      <c r="D955" s="465" t="s">
        <v>968</v>
      </c>
      <c r="E955" s="452" t="str">
        <f>VLOOKUP(D955,★サイズ表記!$D$4:$E$55,2,FALSE)</f>
        <v>2006</v>
      </c>
      <c r="F955" s="457" t="s">
        <v>158</v>
      </c>
      <c r="G955" s="452" t="str">
        <f>VLOOKUP(F955,★折込地区!$A$1:$B$11,2,FALSE)</f>
        <v>Hha</v>
      </c>
      <c r="H955" s="453">
        <f>INDEX(★サイズ表記!$I$4:$Q$55, MATCH(E955,★サイズ表記!$E$4:$E$55,0), MATCH(G955,★サイズ表記!$I$3:$R$3,0))</f>
        <v>0</v>
      </c>
      <c r="K955" s="471" t="str">
        <f t="shared" si="104"/>
        <v>S2006Hha</v>
      </c>
      <c r="L955" s="471" t="str">
        <f t="shared" si="105"/>
        <v>連合2つ折り極小</v>
      </c>
      <c r="P955" s="533" t="s">
        <v>1324</v>
      </c>
      <c r="Q955" s="533" t="s">
        <v>1325</v>
      </c>
      <c r="R955" s="534" t="str">
        <f t="shared" si="106"/>
        <v>2006</v>
      </c>
      <c r="S955" s="534" t="str">
        <f t="shared" si="107"/>
        <v>連合2つ折り極小</v>
      </c>
      <c r="T955" s="538" t="str">
        <f t="shared" si="108"/>
        <v>20</v>
      </c>
      <c r="U955" s="538" t="str">
        <f t="shared" si="109"/>
        <v>06</v>
      </c>
      <c r="V955" s="471" t="s">
        <v>1136</v>
      </c>
      <c r="Y955" s="472">
        <f t="shared" si="110"/>
        <v>0</v>
      </c>
      <c r="Z955" s="540">
        <f t="shared" si="111"/>
        <v>0</v>
      </c>
      <c r="AA955" s="471">
        <v>0</v>
      </c>
    </row>
    <row r="956" spans="1:27">
      <c r="A956" s="451" t="str">
        <f>CONCATENATE(VLOOKUP(B956,★営業所!$A$1:$B$5,2,FALSE),VLOOKUP(D956,★サイズ表記!$D$4:$E$55,2,FALSE),VLOOKUP(F956,★折込地区!$A$1:$B$11,2,FALSE))</f>
        <v>S2007Hha</v>
      </c>
      <c r="B956" s="457" t="s">
        <v>276</v>
      </c>
      <c r="C956" s="452" t="str">
        <f>VLOOKUP(B956,★営業所!$A$1:$B$5,2,FALSE)</f>
        <v>S</v>
      </c>
      <c r="D956" s="465" t="s">
        <v>1365</v>
      </c>
      <c r="E956" s="452" t="str">
        <f>VLOOKUP(D956,★サイズ表記!$D$4:$E$55,2,FALSE)</f>
        <v>2007</v>
      </c>
      <c r="F956" s="457" t="s">
        <v>158</v>
      </c>
      <c r="G956" s="452" t="str">
        <f>VLOOKUP(F956,★折込地区!$A$1:$B$11,2,FALSE)</f>
        <v>Hha</v>
      </c>
      <c r="H956" s="453">
        <f>INDEX(★サイズ表記!$I$4:$Q$55, MATCH(E956,★サイズ表記!$E$4:$E$55,0), MATCH(G956,★サイズ表記!$I$3:$R$3,0))</f>
        <v>0</v>
      </c>
      <c r="K956" s="471" t="str">
        <f t="shared" si="104"/>
        <v>S2007Hha</v>
      </c>
      <c r="L956" s="471" t="str">
        <f t="shared" si="105"/>
        <v>連合タブ6P</v>
      </c>
      <c r="P956" s="533" t="s">
        <v>1324</v>
      </c>
      <c r="Q956" s="533" t="s">
        <v>1325</v>
      </c>
      <c r="R956" s="534" t="str">
        <f t="shared" si="106"/>
        <v>2007</v>
      </c>
      <c r="S956" s="534" t="str">
        <f t="shared" si="107"/>
        <v>連合タブ6P</v>
      </c>
      <c r="T956" s="538" t="str">
        <f t="shared" si="108"/>
        <v>20</v>
      </c>
      <c r="U956" s="538" t="str">
        <f t="shared" si="109"/>
        <v>07</v>
      </c>
      <c r="V956" s="471" t="s">
        <v>1136</v>
      </c>
      <c r="Y956" s="472">
        <f t="shared" si="110"/>
        <v>0</v>
      </c>
      <c r="Z956" s="540">
        <f t="shared" si="111"/>
        <v>0</v>
      </c>
      <c r="AA956" s="471">
        <v>0</v>
      </c>
    </row>
    <row r="957" spans="1:27">
      <c r="A957" s="451" t="str">
        <f>CONCATENATE(VLOOKUP(B957,★営業所!$A$1:$B$5,2,FALSE),VLOOKUP(D957,★サイズ表記!$D$4:$E$55,2,FALSE),VLOOKUP(F957,★折込地区!$A$1:$B$11,2,FALSE))</f>
        <v>S2008Hha</v>
      </c>
      <c r="B957" s="457" t="s">
        <v>276</v>
      </c>
      <c r="C957" s="452" t="str">
        <f>VLOOKUP(B957,★営業所!$A$1:$B$5,2,FALSE)</f>
        <v>S</v>
      </c>
      <c r="D957" s="465" t="s">
        <v>1366</v>
      </c>
      <c r="E957" s="452" t="str">
        <f>VLOOKUP(D957,★サイズ表記!$D$4:$E$55,2,FALSE)</f>
        <v>2008</v>
      </c>
      <c r="F957" s="457" t="s">
        <v>158</v>
      </c>
      <c r="G957" s="452" t="str">
        <f>VLOOKUP(F957,★折込地区!$A$1:$B$11,2,FALSE)</f>
        <v>Hha</v>
      </c>
      <c r="H957" s="453">
        <f>INDEX(★サイズ表記!$I$4:$Q$55, MATCH(E957,★サイズ表記!$E$4:$E$55,0), MATCH(G957,★サイズ表記!$I$3:$R$3,0))</f>
        <v>0</v>
      </c>
      <c r="K957" s="471" t="str">
        <f t="shared" si="104"/>
        <v>S2008Hha</v>
      </c>
      <c r="L957" s="471" t="str">
        <f t="shared" si="105"/>
        <v>連合タブ8P</v>
      </c>
      <c r="P957" s="533" t="s">
        <v>1324</v>
      </c>
      <c r="Q957" s="533" t="s">
        <v>1325</v>
      </c>
      <c r="R957" s="534" t="str">
        <f t="shared" si="106"/>
        <v>2008</v>
      </c>
      <c r="S957" s="534" t="str">
        <f t="shared" si="107"/>
        <v>連合タブ8P</v>
      </c>
      <c r="T957" s="538" t="str">
        <f t="shared" si="108"/>
        <v>20</v>
      </c>
      <c r="U957" s="538" t="str">
        <f t="shared" si="109"/>
        <v>08</v>
      </c>
      <c r="V957" s="471" t="s">
        <v>1136</v>
      </c>
      <c r="Y957" s="472">
        <f t="shared" si="110"/>
        <v>0</v>
      </c>
      <c r="Z957" s="540">
        <f t="shared" si="111"/>
        <v>0</v>
      </c>
      <c r="AA957" s="471">
        <v>0</v>
      </c>
    </row>
    <row r="958" spans="1:27">
      <c r="A958" s="451" t="str">
        <f>CONCATENATE(VLOOKUP(B958,★営業所!$A$1:$B$5,2,FALSE),VLOOKUP(D958,★サイズ表記!$D$4:$E$55,2,FALSE),VLOOKUP(F958,★折込地区!$A$1:$B$11,2,FALSE))</f>
        <v>S2009Hha</v>
      </c>
      <c r="B958" s="457" t="s">
        <v>276</v>
      </c>
      <c r="C958" s="452" t="str">
        <f>VLOOKUP(B958,★営業所!$A$1:$B$5,2,FALSE)</f>
        <v>S</v>
      </c>
      <c r="D958" s="465" t="s">
        <v>1364</v>
      </c>
      <c r="E958" s="452" t="str">
        <f>VLOOKUP(D958,★サイズ表記!$D$4:$E$55,2,FALSE)</f>
        <v>2009</v>
      </c>
      <c r="F958" s="457" t="s">
        <v>158</v>
      </c>
      <c r="G958" s="452" t="str">
        <f>VLOOKUP(F958,★折込地区!$A$1:$B$11,2,FALSE)</f>
        <v>Hha</v>
      </c>
      <c r="H958" s="453">
        <f>INDEX(★サイズ表記!$I$4:$Q$55, MATCH(E958,★サイズ表記!$E$4:$E$55,0), MATCH(G958,★サイズ表記!$I$3:$R$3,0))</f>
        <v>0</v>
      </c>
      <c r="K958" s="471" t="str">
        <f t="shared" si="104"/>
        <v>S2009Hha</v>
      </c>
      <c r="L958" s="471" t="str">
        <f t="shared" si="105"/>
        <v>連合タブ12P</v>
      </c>
      <c r="P958" s="533" t="s">
        <v>1324</v>
      </c>
      <c r="Q958" s="533" t="s">
        <v>1325</v>
      </c>
      <c r="R958" s="534" t="str">
        <f t="shared" si="106"/>
        <v>2009</v>
      </c>
      <c r="S958" s="534" t="str">
        <f t="shared" si="107"/>
        <v>連合タブ12P</v>
      </c>
      <c r="T958" s="538" t="str">
        <f t="shared" si="108"/>
        <v>20</v>
      </c>
      <c r="U958" s="538" t="str">
        <f t="shared" si="109"/>
        <v>09</v>
      </c>
      <c r="V958" s="471" t="s">
        <v>1136</v>
      </c>
      <c r="Y958" s="472">
        <f t="shared" si="110"/>
        <v>0</v>
      </c>
      <c r="Z958" s="540">
        <f t="shared" si="111"/>
        <v>0</v>
      </c>
      <c r="AA958" s="471">
        <v>0</v>
      </c>
    </row>
    <row r="959" spans="1:27">
      <c r="A959" s="451" t="str">
        <f>CONCATENATE(VLOOKUP(B959,★営業所!$A$1:$B$5,2,FALSE),VLOOKUP(D959,★サイズ表記!$D$4:$E$55,2,FALSE),VLOOKUP(F959,★折込地区!$A$1:$B$11,2,FALSE))</f>
        <v>S3001Hha</v>
      </c>
      <c r="B959" s="457" t="s">
        <v>276</v>
      </c>
      <c r="C959" s="452" t="str">
        <f>VLOOKUP(B959,★営業所!$A$1:$B$5,2,FALSE)</f>
        <v>S</v>
      </c>
      <c r="D959" s="465" t="s">
        <v>969</v>
      </c>
      <c r="E959" s="452" t="str">
        <f>VLOOKUP(D959,★サイズ表記!$D$4:$E$55,2,FALSE)</f>
        <v>3001</v>
      </c>
      <c r="F959" s="457" t="s">
        <v>158</v>
      </c>
      <c r="G959" s="452" t="str">
        <f>VLOOKUP(F959,★折込地区!$A$1:$B$11,2,FALSE)</f>
        <v>Hha</v>
      </c>
      <c r="H959" s="453">
        <f>INDEX(★サイズ表記!$I$4:$Q$55, MATCH(E959,★サイズ表記!$E$4:$E$55,0), MATCH(G959,★サイズ表記!$I$3:$R$3,0))</f>
        <v>4.5</v>
      </c>
      <c r="K959" s="471" t="str">
        <f t="shared" si="104"/>
        <v>S3001Hha</v>
      </c>
      <c r="L959" s="471" t="str">
        <f t="shared" si="105"/>
        <v>政治B4</v>
      </c>
      <c r="P959" s="533" t="s">
        <v>1324</v>
      </c>
      <c r="Q959" s="533" t="s">
        <v>1325</v>
      </c>
      <c r="R959" s="534" t="str">
        <f t="shared" si="106"/>
        <v>3001</v>
      </c>
      <c r="S959" s="534" t="str">
        <f t="shared" si="107"/>
        <v>政治B4</v>
      </c>
      <c r="T959" s="538" t="str">
        <f t="shared" si="108"/>
        <v>30</v>
      </c>
      <c r="U959" s="538" t="str">
        <f t="shared" si="109"/>
        <v>01</v>
      </c>
      <c r="V959" s="471" t="s">
        <v>1136</v>
      </c>
      <c r="Y959" s="472">
        <f t="shared" si="110"/>
        <v>4.5</v>
      </c>
      <c r="Z959" s="540">
        <f t="shared" si="111"/>
        <v>0.36</v>
      </c>
      <c r="AA959" s="471">
        <v>0</v>
      </c>
    </row>
    <row r="960" spans="1:27">
      <c r="A960" s="451" t="str">
        <f>CONCATENATE(VLOOKUP(B960,★営業所!$A$1:$B$5,2,FALSE),VLOOKUP(D960,★サイズ表記!$D$4:$E$55,2,FALSE),VLOOKUP(F960,★折込地区!$A$1:$B$11,2,FALSE))</f>
        <v>S3002Hha</v>
      </c>
      <c r="B960" s="457" t="s">
        <v>276</v>
      </c>
      <c r="C960" s="452" t="str">
        <f>VLOOKUP(B960,★営業所!$A$1:$B$5,2,FALSE)</f>
        <v>S</v>
      </c>
      <c r="D960" s="465" t="s">
        <v>970</v>
      </c>
      <c r="E960" s="452" t="str">
        <f>VLOOKUP(D960,★サイズ表記!$D$4:$E$55,2,FALSE)</f>
        <v>3002</v>
      </c>
      <c r="F960" s="457" t="s">
        <v>158</v>
      </c>
      <c r="G960" s="452" t="str">
        <f>VLOOKUP(F960,★折込地区!$A$1:$B$11,2,FALSE)</f>
        <v>Hha</v>
      </c>
      <c r="H960" s="453">
        <f>INDEX(★サイズ表記!$I$4:$Q$55, MATCH(E960,★サイズ表記!$E$4:$E$55,0), MATCH(G960,★サイズ表記!$I$3:$R$3,0))</f>
        <v>6</v>
      </c>
      <c r="K960" s="471" t="str">
        <f t="shared" si="104"/>
        <v>S3002Hha</v>
      </c>
      <c r="L960" s="471" t="str">
        <f t="shared" si="105"/>
        <v>政治B3</v>
      </c>
      <c r="P960" s="533" t="s">
        <v>1324</v>
      </c>
      <c r="Q960" s="533" t="s">
        <v>1325</v>
      </c>
      <c r="R960" s="534" t="str">
        <f t="shared" si="106"/>
        <v>3002</v>
      </c>
      <c r="S960" s="534" t="str">
        <f t="shared" si="107"/>
        <v>政治B3</v>
      </c>
      <c r="T960" s="538" t="str">
        <f t="shared" si="108"/>
        <v>30</v>
      </c>
      <c r="U960" s="538" t="str">
        <f t="shared" si="109"/>
        <v>02</v>
      </c>
      <c r="V960" s="471" t="s">
        <v>1136</v>
      </c>
      <c r="Y960" s="472">
        <f t="shared" si="110"/>
        <v>6</v>
      </c>
      <c r="Z960" s="540">
        <f t="shared" si="111"/>
        <v>0.48</v>
      </c>
      <c r="AA960" s="471">
        <v>0</v>
      </c>
    </row>
    <row r="961" spans="1:27">
      <c r="A961" s="451" t="str">
        <f>CONCATENATE(VLOOKUP(B961,★営業所!$A$1:$B$5,2,FALSE),VLOOKUP(D961,★サイズ表記!$D$4:$E$55,2,FALSE),VLOOKUP(F961,★折込地区!$A$1:$B$11,2,FALSE))</f>
        <v>S3003Hha</v>
      </c>
      <c r="B961" s="457" t="s">
        <v>276</v>
      </c>
      <c r="C961" s="452" t="str">
        <f>VLOOKUP(B961,★営業所!$A$1:$B$5,2,FALSE)</f>
        <v>S</v>
      </c>
      <c r="D961" s="465" t="s">
        <v>971</v>
      </c>
      <c r="E961" s="452" t="str">
        <f>VLOOKUP(D961,★サイズ表記!$D$4:$E$55,2,FALSE)</f>
        <v>3003</v>
      </c>
      <c r="F961" s="457" t="s">
        <v>158</v>
      </c>
      <c r="G961" s="452" t="str">
        <f>VLOOKUP(F961,★折込地区!$A$1:$B$11,2,FALSE)</f>
        <v>Hha</v>
      </c>
      <c r="H961" s="453">
        <f>INDEX(★サイズ表記!$I$4:$Q$55, MATCH(E961,★サイズ表記!$E$4:$E$55,0), MATCH(G961,★サイズ表記!$I$3:$R$3,0))</f>
        <v>9</v>
      </c>
      <c r="K961" s="471" t="str">
        <f t="shared" si="104"/>
        <v>S3003Hha</v>
      </c>
      <c r="L961" s="471" t="str">
        <f t="shared" si="105"/>
        <v>政治B2</v>
      </c>
      <c r="P961" s="533" t="s">
        <v>1324</v>
      </c>
      <c r="Q961" s="533" t="s">
        <v>1325</v>
      </c>
      <c r="R961" s="534" t="str">
        <f t="shared" si="106"/>
        <v>3003</v>
      </c>
      <c r="S961" s="534" t="str">
        <f t="shared" si="107"/>
        <v>政治B2</v>
      </c>
      <c r="T961" s="538" t="str">
        <f t="shared" si="108"/>
        <v>30</v>
      </c>
      <c r="U961" s="538" t="str">
        <f t="shared" si="109"/>
        <v>03</v>
      </c>
      <c r="V961" s="471" t="s">
        <v>1136</v>
      </c>
      <c r="Y961" s="472">
        <f t="shared" si="110"/>
        <v>9</v>
      </c>
      <c r="Z961" s="540">
        <f t="shared" si="111"/>
        <v>0.72</v>
      </c>
      <c r="AA961" s="471">
        <v>0</v>
      </c>
    </row>
    <row r="962" spans="1:27">
      <c r="A962" s="451" t="str">
        <f>CONCATENATE(VLOOKUP(B962,★営業所!$A$1:$B$5,2,FALSE),VLOOKUP(D962,★サイズ表記!$D$4:$E$55,2,FALSE),VLOOKUP(F962,★折込地区!$A$1:$B$11,2,FALSE))</f>
        <v>S3004Hha</v>
      </c>
      <c r="B962" s="457" t="s">
        <v>276</v>
      </c>
      <c r="C962" s="452" t="str">
        <f>VLOOKUP(B962,★営業所!$A$1:$B$5,2,FALSE)</f>
        <v>S</v>
      </c>
      <c r="D962" s="465" t="s">
        <v>972</v>
      </c>
      <c r="E962" s="452" t="str">
        <f>VLOOKUP(D962,★サイズ表記!$D$4:$E$55,2,FALSE)</f>
        <v>3004</v>
      </c>
      <c r="F962" s="457" t="s">
        <v>158</v>
      </c>
      <c r="G962" s="452" t="str">
        <f>VLOOKUP(F962,★折込地区!$A$1:$B$11,2,FALSE)</f>
        <v>Hha</v>
      </c>
      <c r="H962" s="453">
        <f>INDEX(★サイズ表記!$I$4:$Q$55, MATCH(E962,★サイズ表記!$E$4:$E$55,0), MATCH(G962,★サイズ表記!$I$3:$R$3,0))</f>
        <v>0</v>
      </c>
      <c r="K962" s="471" t="str">
        <f t="shared" si="104"/>
        <v>S3004Hha</v>
      </c>
      <c r="L962" s="471" t="str">
        <f t="shared" si="105"/>
        <v>政治3つ折り</v>
      </c>
      <c r="P962" s="533" t="s">
        <v>1324</v>
      </c>
      <c r="Q962" s="533" t="s">
        <v>1325</v>
      </c>
      <c r="R962" s="534" t="str">
        <f t="shared" si="106"/>
        <v>3004</v>
      </c>
      <c r="S962" s="534" t="str">
        <f t="shared" si="107"/>
        <v>政治3つ折り</v>
      </c>
      <c r="T962" s="538" t="str">
        <f t="shared" si="108"/>
        <v>30</v>
      </c>
      <c r="U962" s="538" t="str">
        <f t="shared" si="109"/>
        <v>04</v>
      </c>
      <c r="V962" s="471" t="s">
        <v>1136</v>
      </c>
      <c r="Y962" s="472">
        <f t="shared" si="110"/>
        <v>0</v>
      </c>
      <c r="Z962" s="540">
        <f t="shared" si="111"/>
        <v>0</v>
      </c>
      <c r="AA962" s="471">
        <v>0</v>
      </c>
    </row>
    <row r="963" spans="1:27">
      <c r="A963" s="451" t="str">
        <f>CONCATENATE(VLOOKUP(B963,★営業所!$A$1:$B$5,2,FALSE),VLOOKUP(D963,★サイズ表記!$D$4:$E$55,2,FALSE),VLOOKUP(F963,★折込地区!$A$1:$B$11,2,FALSE))</f>
        <v>S3005Hha</v>
      </c>
      <c r="B963" s="457" t="s">
        <v>276</v>
      </c>
      <c r="C963" s="452" t="str">
        <f>VLOOKUP(B963,★営業所!$A$1:$B$5,2,FALSE)</f>
        <v>S</v>
      </c>
      <c r="D963" s="465" t="s">
        <v>973</v>
      </c>
      <c r="E963" s="452" t="str">
        <f>VLOOKUP(D963,★サイズ表記!$D$4:$E$55,2,FALSE)</f>
        <v>3005</v>
      </c>
      <c r="F963" s="457" t="s">
        <v>158</v>
      </c>
      <c r="G963" s="452" t="str">
        <f>VLOOKUP(F963,★折込地区!$A$1:$B$11,2,FALSE)</f>
        <v>Hha</v>
      </c>
      <c r="H963" s="453">
        <f>INDEX(★サイズ表記!$I$4:$Q$55, MATCH(E963,★サイズ表記!$E$4:$E$55,0), MATCH(G963,★サイズ表記!$I$3:$R$3,0))</f>
        <v>0</v>
      </c>
      <c r="K963" s="471" t="str">
        <f t="shared" si="104"/>
        <v>S3005Hha</v>
      </c>
      <c r="L963" s="471" t="str">
        <f t="shared" si="105"/>
        <v>政治2つ折り極小</v>
      </c>
      <c r="P963" s="533" t="s">
        <v>1324</v>
      </c>
      <c r="Q963" s="533" t="s">
        <v>1325</v>
      </c>
      <c r="R963" s="534" t="str">
        <f t="shared" si="106"/>
        <v>3005</v>
      </c>
      <c r="S963" s="534" t="str">
        <f t="shared" si="107"/>
        <v>政治2つ折り極小</v>
      </c>
      <c r="T963" s="538" t="str">
        <f t="shared" si="108"/>
        <v>30</v>
      </c>
      <c r="U963" s="538" t="str">
        <f t="shared" si="109"/>
        <v>05</v>
      </c>
      <c r="V963" s="471" t="s">
        <v>1136</v>
      </c>
      <c r="Y963" s="472">
        <f t="shared" si="110"/>
        <v>0</v>
      </c>
      <c r="Z963" s="540">
        <f t="shared" si="111"/>
        <v>0</v>
      </c>
      <c r="AA963" s="471">
        <v>0</v>
      </c>
    </row>
    <row r="964" spans="1:27">
      <c r="A964" s="451" t="str">
        <f>CONCATENATE(VLOOKUP(B964,★営業所!$A$1:$B$5,2,FALSE),VLOOKUP(D964,★サイズ表記!$D$4:$E$55,2,FALSE),VLOOKUP(F964,★折込地区!$A$1:$B$11,2,FALSE))</f>
        <v>S3006Hha</v>
      </c>
      <c r="B964" s="457" t="s">
        <v>276</v>
      </c>
      <c r="C964" s="452" t="str">
        <f>VLOOKUP(B964,★営業所!$A$1:$B$5,2,FALSE)</f>
        <v>S</v>
      </c>
      <c r="D964" s="465" t="s">
        <v>974</v>
      </c>
      <c r="E964" s="452" t="str">
        <f>VLOOKUP(D964,★サイズ表記!$D$4:$E$55,2,FALSE)</f>
        <v>3006</v>
      </c>
      <c r="F964" s="457" t="s">
        <v>158</v>
      </c>
      <c r="G964" s="452" t="str">
        <f>VLOOKUP(F964,★折込地区!$A$1:$B$11,2,FALSE)</f>
        <v>Hha</v>
      </c>
      <c r="H964" s="453">
        <f>INDEX(★サイズ表記!$I$4:$Q$55, MATCH(E964,★サイズ表記!$E$4:$E$55,0), MATCH(G964,★サイズ表記!$I$3:$R$3,0))</f>
        <v>0</v>
      </c>
      <c r="K964" s="471" t="str">
        <f t="shared" si="104"/>
        <v>S3006Hha</v>
      </c>
      <c r="L964" s="471" t="str">
        <f t="shared" si="105"/>
        <v>政治B4厚紙</v>
      </c>
      <c r="P964" s="533" t="s">
        <v>1324</v>
      </c>
      <c r="Q964" s="533" t="s">
        <v>1325</v>
      </c>
      <c r="R964" s="534" t="str">
        <f t="shared" si="106"/>
        <v>3006</v>
      </c>
      <c r="S964" s="534" t="str">
        <f t="shared" si="107"/>
        <v>政治B4厚紙</v>
      </c>
      <c r="T964" s="538" t="str">
        <f t="shared" si="108"/>
        <v>30</v>
      </c>
      <c r="U964" s="538" t="str">
        <f t="shared" si="109"/>
        <v>06</v>
      </c>
      <c r="V964" s="471" t="s">
        <v>1136</v>
      </c>
      <c r="Y964" s="472">
        <f t="shared" si="110"/>
        <v>0</v>
      </c>
      <c r="Z964" s="540">
        <f t="shared" si="111"/>
        <v>0</v>
      </c>
      <c r="AA964" s="471">
        <v>0</v>
      </c>
    </row>
    <row r="965" spans="1:27">
      <c r="A965" s="451" t="str">
        <f>CONCATENATE(VLOOKUP(B965,★営業所!$A$1:$B$5,2,FALSE),VLOOKUP(D965,★サイズ表記!$D$4:$E$55,2,FALSE),VLOOKUP(F965,★折込地区!$A$1:$B$11,2,FALSE))</f>
        <v>S3007Hha</v>
      </c>
      <c r="B965" s="457" t="s">
        <v>276</v>
      </c>
      <c r="C965" s="452" t="str">
        <f>VLOOKUP(B965,★営業所!$A$1:$B$5,2,FALSE)</f>
        <v>S</v>
      </c>
      <c r="D965" s="465" t="s">
        <v>1362</v>
      </c>
      <c r="E965" s="452" t="str">
        <f>VLOOKUP(D965,★サイズ表記!$D$4:$E$55,2,FALSE)</f>
        <v>3007</v>
      </c>
      <c r="F965" s="457" t="s">
        <v>158</v>
      </c>
      <c r="G965" s="452" t="str">
        <f>VLOOKUP(F965,★折込地区!$A$1:$B$11,2,FALSE)</f>
        <v>Hha</v>
      </c>
      <c r="H965" s="453">
        <f>INDEX(★サイズ表記!$I$4:$Q$55, MATCH(E965,★サイズ表記!$E$4:$E$55,0), MATCH(G965,★サイズ表記!$I$3:$R$3,0))</f>
        <v>0</v>
      </c>
      <c r="K965" s="471" t="str">
        <f t="shared" si="104"/>
        <v>S3007Hha</v>
      </c>
      <c r="L965" s="471" t="str">
        <f t="shared" si="105"/>
        <v>政治タブ6P</v>
      </c>
      <c r="P965" s="533" t="s">
        <v>1324</v>
      </c>
      <c r="Q965" s="533" t="s">
        <v>1325</v>
      </c>
      <c r="R965" s="534" t="str">
        <f t="shared" si="106"/>
        <v>3007</v>
      </c>
      <c r="S965" s="534" t="str">
        <f t="shared" si="107"/>
        <v>政治タブ6P</v>
      </c>
      <c r="T965" s="538" t="str">
        <f t="shared" si="108"/>
        <v>30</v>
      </c>
      <c r="U965" s="538" t="str">
        <f t="shared" si="109"/>
        <v>07</v>
      </c>
      <c r="V965" s="471" t="s">
        <v>1136</v>
      </c>
      <c r="Y965" s="472">
        <f t="shared" si="110"/>
        <v>0</v>
      </c>
      <c r="Z965" s="540">
        <f t="shared" si="111"/>
        <v>0</v>
      </c>
      <c r="AA965" s="471">
        <v>0</v>
      </c>
    </row>
    <row r="966" spans="1:27">
      <c r="A966" s="451" t="str">
        <f>CONCATENATE(VLOOKUP(B966,★営業所!$A$1:$B$5,2,FALSE),VLOOKUP(D966,★サイズ表記!$D$4:$E$55,2,FALSE),VLOOKUP(F966,★折込地区!$A$1:$B$11,2,FALSE))</f>
        <v>S3008Hha</v>
      </c>
      <c r="B966" s="457" t="s">
        <v>276</v>
      </c>
      <c r="C966" s="452" t="str">
        <f>VLOOKUP(B966,★営業所!$A$1:$B$5,2,FALSE)</f>
        <v>S</v>
      </c>
      <c r="D966" s="465" t="s">
        <v>1363</v>
      </c>
      <c r="E966" s="452" t="str">
        <f>VLOOKUP(D966,★サイズ表記!$D$4:$E$55,2,FALSE)</f>
        <v>3008</v>
      </c>
      <c r="F966" s="457" t="s">
        <v>158</v>
      </c>
      <c r="G966" s="452" t="str">
        <f>VLOOKUP(F966,★折込地区!$A$1:$B$11,2,FALSE)</f>
        <v>Hha</v>
      </c>
      <c r="H966" s="453">
        <f>INDEX(★サイズ表記!$I$4:$Q$55, MATCH(E966,★サイズ表記!$E$4:$E$55,0), MATCH(G966,★サイズ表記!$I$3:$R$3,0))</f>
        <v>0</v>
      </c>
      <c r="K966" s="471" t="str">
        <f t="shared" si="104"/>
        <v>S3008Hha</v>
      </c>
      <c r="L966" s="471" t="str">
        <f t="shared" si="105"/>
        <v>政治タブ8P</v>
      </c>
      <c r="P966" s="533" t="s">
        <v>1324</v>
      </c>
      <c r="Q966" s="533" t="s">
        <v>1325</v>
      </c>
      <c r="R966" s="534" t="str">
        <f t="shared" si="106"/>
        <v>3008</v>
      </c>
      <c r="S966" s="534" t="str">
        <f t="shared" si="107"/>
        <v>政治タブ8P</v>
      </c>
      <c r="T966" s="538" t="str">
        <f t="shared" si="108"/>
        <v>30</v>
      </c>
      <c r="U966" s="538" t="str">
        <f t="shared" si="109"/>
        <v>08</v>
      </c>
      <c r="V966" s="471" t="s">
        <v>1136</v>
      </c>
      <c r="Y966" s="472">
        <f t="shared" si="110"/>
        <v>0</v>
      </c>
      <c r="Z966" s="540">
        <f t="shared" si="111"/>
        <v>0</v>
      </c>
      <c r="AA966" s="471">
        <v>0</v>
      </c>
    </row>
    <row r="967" spans="1:27">
      <c r="A967" s="451" t="str">
        <f>CONCATENATE(VLOOKUP(B967,★営業所!$A$1:$B$5,2,FALSE),VLOOKUP(D967,★サイズ表記!$D$4:$E$55,2,FALSE),VLOOKUP(F967,★折込地区!$A$1:$B$11,2,FALSE))</f>
        <v>S3009Hha</v>
      </c>
      <c r="B967" s="457" t="s">
        <v>276</v>
      </c>
      <c r="C967" s="452" t="str">
        <f>VLOOKUP(B967,★営業所!$A$1:$B$5,2,FALSE)</f>
        <v>S</v>
      </c>
      <c r="D967" s="465" t="s">
        <v>1361</v>
      </c>
      <c r="E967" s="452" t="str">
        <f>VLOOKUP(D967,★サイズ表記!$D$4:$E$55,2,FALSE)</f>
        <v>3009</v>
      </c>
      <c r="F967" s="457" t="s">
        <v>158</v>
      </c>
      <c r="G967" s="452" t="str">
        <f>VLOOKUP(F967,★折込地区!$A$1:$B$11,2,FALSE)</f>
        <v>Hha</v>
      </c>
      <c r="H967" s="453">
        <f>INDEX(★サイズ表記!$I$4:$Q$55, MATCH(E967,★サイズ表記!$E$4:$E$55,0), MATCH(G967,★サイズ表記!$I$3:$R$3,0))</f>
        <v>0</v>
      </c>
      <c r="K967" s="471" t="str">
        <f t="shared" si="104"/>
        <v>S3009Hha</v>
      </c>
      <c r="L967" s="471" t="str">
        <f t="shared" si="105"/>
        <v>政治タブ12P</v>
      </c>
      <c r="P967" s="533" t="s">
        <v>1324</v>
      </c>
      <c r="Q967" s="533" t="s">
        <v>1325</v>
      </c>
      <c r="R967" s="534" t="str">
        <f t="shared" si="106"/>
        <v>3009</v>
      </c>
      <c r="S967" s="534" t="str">
        <f t="shared" si="107"/>
        <v>政治タブ12P</v>
      </c>
      <c r="T967" s="538" t="str">
        <f t="shared" si="108"/>
        <v>30</v>
      </c>
      <c r="U967" s="538" t="str">
        <f t="shared" si="109"/>
        <v>09</v>
      </c>
      <c r="V967" s="471" t="s">
        <v>1136</v>
      </c>
      <c r="Y967" s="472">
        <f t="shared" si="110"/>
        <v>0</v>
      </c>
      <c r="Z967" s="540">
        <f t="shared" si="111"/>
        <v>0</v>
      </c>
      <c r="AA967" s="471">
        <v>0</v>
      </c>
    </row>
    <row r="968" spans="1:27">
      <c r="A968" s="451" t="str">
        <f>CONCATENATE(VLOOKUP(B968,★営業所!$A$1:$B$5,2,FALSE),VLOOKUP(D968,★サイズ表記!$D$4:$E$55,2,FALSE),VLOOKUP(F968,★折込地区!$A$1:$B$11,2,FALSE))</f>
        <v>S4001Hha</v>
      </c>
      <c r="B968" s="457" t="s">
        <v>276</v>
      </c>
      <c r="C968" s="452" t="str">
        <f>VLOOKUP(B968,★営業所!$A$1:$B$5,2,FALSE)</f>
        <v>S</v>
      </c>
      <c r="D968" s="465" t="s">
        <v>1358</v>
      </c>
      <c r="E968" s="452" t="str">
        <f>VLOOKUP(D968,★サイズ表記!$D$4:$E$55,2,FALSE)</f>
        <v>4001</v>
      </c>
      <c r="F968" s="457" t="s">
        <v>158</v>
      </c>
      <c r="G968" s="452" t="str">
        <f>VLOOKUP(F968,★折込地区!$A$1:$B$11,2,FALSE)</f>
        <v>Hha</v>
      </c>
      <c r="H968" s="453">
        <f>INDEX(★サイズ表記!$I$4:$Q$55, MATCH(E968,★サイズ表記!$E$4:$E$55,0), MATCH(G968,★サイズ表記!$I$3:$R$3,0))</f>
        <v>0</v>
      </c>
      <c r="K968" s="471" t="str">
        <f t="shared" si="104"/>
        <v>S4001Hha</v>
      </c>
      <c r="L968" s="471" t="str">
        <f t="shared" si="105"/>
        <v>タブ6P</v>
      </c>
      <c r="P968" s="533" t="s">
        <v>1324</v>
      </c>
      <c r="Q968" s="533" t="s">
        <v>1325</v>
      </c>
      <c r="R968" s="534" t="str">
        <f t="shared" si="106"/>
        <v>4001</v>
      </c>
      <c r="S968" s="534" t="str">
        <f t="shared" si="107"/>
        <v>タブ6P</v>
      </c>
      <c r="T968" s="538" t="str">
        <f t="shared" si="108"/>
        <v>40</v>
      </c>
      <c r="U968" s="538" t="str">
        <f t="shared" si="109"/>
        <v>01</v>
      </c>
      <c r="V968" s="471" t="s">
        <v>1136</v>
      </c>
      <c r="Y968" s="472">
        <f t="shared" si="110"/>
        <v>0</v>
      </c>
      <c r="Z968" s="540">
        <f t="shared" si="111"/>
        <v>0</v>
      </c>
      <c r="AA968" s="471">
        <v>0</v>
      </c>
    </row>
    <row r="969" spans="1:27">
      <c r="A969" s="451" t="str">
        <f>CONCATENATE(VLOOKUP(B969,★営業所!$A$1:$B$5,2,FALSE),VLOOKUP(D969,★サイズ表記!$D$4:$E$55,2,FALSE),VLOOKUP(F969,★折込地区!$A$1:$B$11,2,FALSE))</f>
        <v>S4002Hha</v>
      </c>
      <c r="B969" s="457" t="s">
        <v>276</v>
      </c>
      <c r="C969" s="452" t="str">
        <f>VLOOKUP(B969,★営業所!$A$1:$B$5,2,FALSE)</f>
        <v>S</v>
      </c>
      <c r="D969" s="465" t="s">
        <v>1359</v>
      </c>
      <c r="E969" s="452" t="str">
        <f>VLOOKUP(D969,★サイズ表記!$D$4:$E$55,2,FALSE)</f>
        <v>4002</v>
      </c>
      <c r="F969" s="457" t="s">
        <v>158</v>
      </c>
      <c r="G969" s="452" t="str">
        <f>VLOOKUP(F969,★折込地区!$A$1:$B$11,2,FALSE)</f>
        <v>Hha</v>
      </c>
      <c r="H969" s="453">
        <f>INDEX(★サイズ表記!$I$4:$Q$55, MATCH(E969,★サイズ表記!$E$4:$E$55,0), MATCH(G969,★サイズ表記!$I$3:$R$3,0))</f>
        <v>0</v>
      </c>
      <c r="K969" s="471" t="str">
        <f t="shared" si="104"/>
        <v>S4002Hha</v>
      </c>
      <c r="L969" s="471" t="str">
        <f t="shared" si="105"/>
        <v>タブ8P</v>
      </c>
      <c r="P969" s="533" t="s">
        <v>1324</v>
      </c>
      <c r="Q969" s="533" t="s">
        <v>1325</v>
      </c>
      <c r="R969" s="534" t="str">
        <f t="shared" si="106"/>
        <v>4002</v>
      </c>
      <c r="S969" s="534" t="str">
        <f t="shared" si="107"/>
        <v>タブ8P</v>
      </c>
      <c r="T969" s="538" t="str">
        <f t="shared" si="108"/>
        <v>40</v>
      </c>
      <c r="U969" s="538" t="str">
        <f t="shared" si="109"/>
        <v>02</v>
      </c>
      <c r="V969" s="471" t="s">
        <v>1136</v>
      </c>
      <c r="Y969" s="472">
        <f t="shared" si="110"/>
        <v>0</v>
      </c>
      <c r="Z969" s="540">
        <f t="shared" si="111"/>
        <v>0</v>
      </c>
      <c r="AA969" s="471">
        <v>0</v>
      </c>
    </row>
    <row r="970" spans="1:27">
      <c r="A970" s="451" t="str">
        <f>CONCATENATE(VLOOKUP(B970,★営業所!$A$1:$B$5,2,FALSE),VLOOKUP(D970,★サイズ表記!$D$4:$E$55,2,FALSE),VLOOKUP(F970,★折込地区!$A$1:$B$11,2,FALSE))</f>
        <v>S4003Hha</v>
      </c>
      <c r="B970" s="457" t="s">
        <v>276</v>
      </c>
      <c r="C970" s="452" t="str">
        <f>VLOOKUP(B970,★営業所!$A$1:$B$5,2,FALSE)</f>
        <v>S</v>
      </c>
      <c r="D970" s="465" t="s">
        <v>1360</v>
      </c>
      <c r="E970" s="452" t="str">
        <f>VLOOKUP(D970,★サイズ表記!$D$4:$E$55,2,FALSE)</f>
        <v>4003</v>
      </c>
      <c r="F970" s="457" t="s">
        <v>158</v>
      </c>
      <c r="G970" s="452" t="str">
        <f>VLOOKUP(F970,★折込地区!$A$1:$B$11,2,FALSE)</f>
        <v>Hha</v>
      </c>
      <c r="H970" s="453">
        <f>INDEX(★サイズ表記!$I$4:$Q$55, MATCH(E970,★サイズ表記!$E$4:$E$55,0), MATCH(G970,★サイズ表記!$I$3:$R$3,0))</f>
        <v>0</v>
      </c>
      <c r="K970" s="471" t="str">
        <f t="shared" si="104"/>
        <v>S4003Hha</v>
      </c>
      <c r="L970" s="471" t="str">
        <f t="shared" si="105"/>
        <v>タブ8Pホチキス止め</v>
      </c>
      <c r="P970" s="533" t="s">
        <v>1324</v>
      </c>
      <c r="Q970" s="533" t="s">
        <v>1325</v>
      </c>
      <c r="R970" s="534" t="str">
        <f t="shared" si="106"/>
        <v>4003</v>
      </c>
      <c r="S970" s="534" t="str">
        <f t="shared" si="107"/>
        <v>タブ8Pホチキス止め</v>
      </c>
      <c r="T970" s="538" t="str">
        <f t="shared" si="108"/>
        <v>40</v>
      </c>
      <c r="U970" s="538" t="str">
        <f t="shared" si="109"/>
        <v>03</v>
      </c>
      <c r="V970" s="471" t="s">
        <v>1136</v>
      </c>
      <c r="Y970" s="472">
        <f t="shared" si="110"/>
        <v>0</v>
      </c>
      <c r="Z970" s="540">
        <f t="shared" si="111"/>
        <v>0</v>
      </c>
      <c r="AA970" s="471">
        <v>0</v>
      </c>
    </row>
    <row r="971" spans="1:27">
      <c r="A971" s="451" t="str">
        <f>CONCATENATE(VLOOKUP(B971,★営業所!$A$1:$B$5,2,FALSE),VLOOKUP(D971,★サイズ表記!$D$4:$E$55,2,FALSE),VLOOKUP(F971,★折込地区!$A$1:$B$11,2,FALSE))</f>
        <v>S4004Hha</v>
      </c>
      <c r="B971" s="457" t="s">
        <v>276</v>
      </c>
      <c r="C971" s="452" t="str">
        <f>VLOOKUP(B971,★営業所!$A$1:$B$5,2,FALSE)</f>
        <v>S</v>
      </c>
      <c r="D971" s="465" t="s">
        <v>1350</v>
      </c>
      <c r="E971" s="452" t="str">
        <f>VLOOKUP(D971,★サイズ表記!$D$4:$E$55,2,FALSE)</f>
        <v>4004</v>
      </c>
      <c r="F971" s="457" t="s">
        <v>158</v>
      </c>
      <c r="G971" s="452" t="str">
        <f>VLOOKUP(F971,★折込地区!$A$1:$B$11,2,FALSE)</f>
        <v>Hha</v>
      </c>
      <c r="H971" s="453">
        <f>INDEX(★サイズ表記!$I$4:$Q$55, MATCH(E971,★サイズ表記!$E$4:$E$55,0), MATCH(G971,★サイズ表記!$I$3:$R$3,0))</f>
        <v>0</v>
      </c>
      <c r="K971" s="471" t="str">
        <f t="shared" si="104"/>
        <v>S4004Hha</v>
      </c>
      <c r="L971" s="471" t="str">
        <f t="shared" si="105"/>
        <v>タブ10P</v>
      </c>
      <c r="P971" s="533" t="s">
        <v>1324</v>
      </c>
      <c r="Q971" s="533" t="s">
        <v>1325</v>
      </c>
      <c r="R971" s="534" t="str">
        <f t="shared" si="106"/>
        <v>4004</v>
      </c>
      <c r="S971" s="534" t="str">
        <f t="shared" si="107"/>
        <v>タブ10P</v>
      </c>
      <c r="T971" s="538" t="str">
        <f t="shared" si="108"/>
        <v>40</v>
      </c>
      <c r="U971" s="538" t="str">
        <f t="shared" si="109"/>
        <v>04</v>
      </c>
      <c r="V971" s="471" t="s">
        <v>1136</v>
      </c>
      <c r="Y971" s="472">
        <f t="shared" si="110"/>
        <v>0</v>
      </c>
      <c r="Z971" s="540">
        <f t="shared" si="111"/>
        <v>0</v>
      </c>
      <c r="AA971" s="471">
        <v>0</v>
      </c>
    </row>
    <row r="972" spans="1:27">
      <c r="A972" s="451" t="str">
        <f>CONCATENATE(VLOOKUP(B972,★営業所!$A$1:$B$5,2,FALSE),VLOOKUP(D972,★サイズ表記!$D$4:$E$55,2,FALSE),VLOOKUP(F972,★折込地区!$A$1:$B$11,2,FALSE))</f>
        <v>S4005Hha</v>
      </c>
      <c r="B972" s="457" t="s">
        <v>276</v>
      </c>
      <c r="C972" s="452" t="str">
        <f>VLOOKUP(B972,★営業所!$A$1:$B$5,2,FALSE)</f>
        <v>S</v>
      </c>
      <c r="D972" s="465" t="s">
        <v>1351</v>
      </c>
      <c r="E972" s="452" t="str">
        <f>VLOOKUP(D972,★サイズ表記!$D$4:$E$55,2,FALSE)</f>
        <v>4005</v>
      </c>
      <c r="F972" s="457" t="s">
        <v>158</v>
      </c>
      <c r="G972" s="452" t="str">
        <f>VLOOKUP(F972,★折込地区!$A$1:$B$11,2,FALSE)</f>
        <v>Hha</v>
      </c>
      <c r="H972" s="453">
        <f>INDEX(★サイズ表記!$I$4:$Q$55, MATCH(E972,★サイズ表記!$E$4:$E$55,0), MATCH(G972,★サイズ表記!$I$3:$R$3,0))</f>
        <v>0</v>
      </c>
      <c r="K972" s="471" t="str">
        <f t="shared" si="104"/>
        <v>S4005Hha</v>
      </c>
      <c r="L972" s="471" t="str">
        <f t="shared" si="105"/>
        <v>タブ12P</v>
      </c>
      <c r="P972" s="533" t="s">
        <v>1324</v>
      </c>
      <c r="Q972" s="533" t="s">
        <v>1325</v>
      </c>
      <c r="R972" s="534" t="str">
        <f t="shared" si="106"/>
        <v>4005</v>
      </c>
      <c r="S972" s="534" t="str">
        <f t="shared" si="107"/>
        <v>タブ12P</v>
      </c>
      <c r="T972" s="538" t="str">
        <f t="shared" si="108"/>
        <v>40</v>
      </c>
      <c r="U972" s="538" t="str">
        <f t="shared" si="109"/>
        <v>05</v>
      </c>
      <c r="V972" s="471" t="s">
        <v>1136</v>
      </c>
      <c r="Y972" s="472">
        <f t="shared" si="110"/>
        <v>0</v>
      </c>
      <c r="Z972" s="540">
        <f t="shared" si="111"/>
        <v>0</v>
      </c>
      <c r="AA972" s="471">
        <v>0</v>
      </c>
    </row>
    <row r="973" spans="1:27">
      <c r="A973" s="451" t="str">
        <f>CONCATENATE(VLOOKUP(B973,★営業所!$A$1:$B$5,2,FALSE),VLOOKUP(D973,★サイズ表記!$D$4:$E$55,2,FALSE),VLOOKUP(F973,★折込地区!$A$1:$B$11,2,FALSE))</f>
        <v>S4006Hha</v>
      </c>
      <c r="B973" s="457" t="s">
        <v>276</v>
      </c>
      <c r="C973" s="452" t="str">
        <f>VLOOKUP(B973,★営業所!$A$1:$B$5,2,FALSE)</f>
        <v>S</v>
      </c>
      <c r="D973" s="465" t="s">
        <v>1352</v>
      </c>
      <c r="E973" s="452" t="str">
        <f>VLOOKUP(D973,★サイズ表記!$D$4:$E$55,2,FALSE)</f>
        <v>4006</v>
      </c>
      <c r="F973" s="457" t="s">
        <v>158</v>
      </c>
      <c r="G973" s="452" t="str">
        <f>VLOOKUP(F973,★折込地区!$A$1:$B$11,2,FALSE)</f>
        <v>Hha</v>
      </c>
      <c r="H973" s="453">
        <f>INDEX(★サイズ表記!$I$4:$Q$55, MATCH(E973,★サイズ表記!$E$4:$E$55,0), MATCH(G973,★サイズ表記!$I$3:$R$3,0))</f>
        <v>0</v>
      </c>
      <c r="K973" s="471" t="str">
        <f t="shared" si="104"/>
        <v>S4006Hha</v>
      </c>
      <c r="L973" s="471" t="str">
        <f t="shared" si="105"/>
        <v>タブ14P</v>
      </c>
      <c r="P973" s="533" t="s">
        <v>1324</v>
      </c>
      <c r="Q973" s="533" t="s">
        <v>1325</v>
      </c>
      <c r="R973" s="534" t="str">
        <f t="shared" si="106"/>
        <v>4006</v>
      </c>
      <c r="S973" s="534" t="str">
        <f t="shared" si="107"/>
        <v>タブ14P</v>
      </c>
      <c r="T973" s="538" t="str">
        <f t="shared" si="108"/>
        <v>40</v>
      </c>
      <c r="U973" s="538" t="str">
        <f t="shared" si="109"/>
        <v>06</v>
      </c>
      <c r="V973" s="471" t="s">
        <v>1136</v>
      </c>
      <c r="Y973" s="472">
        <f t="shared" si="110"/>
        <v>0</v>
      </c>
      <c r="Z973" s="540">
        <f t="shared" si="111"/>
        <v>0</v>
      </c>
      <c r="AA973" s="471">
        <v>0</v>
      </c>
    </row>
    <row r="974" spans="1:27">
      <c r="A974" s="451" t="str">
        <f>CONCATENATE(VLOOKUP(B974,★営業所!$A$1:$B$5,2,FALSE),VLOOKUP(D974,★サイズ表記!$D$4:$E$55,2,FALSE),VLOOKUP(F974,★折込地区!$A$1:$B$11,2,FALSE))</f>
        <v>S4007Hha</v>
      </c>
      <c r="B974" s="457" t="s">
        <v>276</v>
      </c>
      <c r="C974" s="452" t="str">
        <f>VLOOKUP(B974,★営業所!$A$1:$B$5,2,FALSE)</f>
        <v>S</v>
      </c>
      <c r="D974" s="465" t="s">
        <v>1353</v>
      </c>
      <c r="E974" s="452" t="str">
        <f>VLOOKUP(D974,★サイズ表記!$D$4:$E$55,2,FALSE)</f>
        <v>4007</v>
      </c>
      <c r="F974" s="457" t="s">
        <v>158</v>
      </c>
      <c r="G974" s="452" t="str">
        <f>VLOOKUP(F974,★折込地区!$A$1:$B$11,2,FALSE)</f>
        <v>Hha</v>
      </c>
      <c r="H974" s="453">
        <f>INDEX(★サイズ表記!$I$4:$Q$55, MATCH(E974,★サイズ表記!$E$4:$E$55,0), MATCH(G974,★サイズ表記!$I$3:$R$3,0))</f>
        <v>0</v>
      </c>
      <c r="K974" s="471" t="str">
        <f t="shared" si="104"/>
        <v>S4007Hha</v>
      </c>
      <c r="L974" s="471" t="str">
        <f t="shared" si="105"/>
        <v>タブ16P</v>
      </c>
      <c r="P974" s="533" t="s">
        <v>1324</v>
      </c>
      <c r="Q974" s="533" t="s">
        <v>1325</v>
      </c>
      <c r="R974" s="534" t="str">
        <f t="shared" si="106"/>
        <v>4007</v>
      </c>
      <c r="S974" s="534" t="str">
        <f t="shared" si="107"/>
        <v>タブ16P</v>
      </c>
      <c r="T974" s="538" t="str">
        <f t="shared" si="108"/>
        <v>40</v>
      </c>
      <c r="U974" s="538" t="str">
        <f t="shared" si="109"/>
        <v>07</v>
      </c>
      <c r="V974" s="471" t="s">
        <v>1136</v>
      </c>
      <c r="Y974" s="472">
        <f t="shared" si="110"/>
        <v>0</v>
      </c>
      <c r="Z974" s="540">
        <f t="shared" si="111"/>
        <v>0</v>
      </c>
      <c r="AA974" s="471">
        <v>0</v>
      </c>
    </row>
    <row r="975" spans="1:27">
      <c r="A975" s="451" t="str">
        <f>CONCATENATE(VLOOKUP(B975,★営業所!$A$1:$B$5,2,FALSE),VLOOKUP(D975,★サイズ表記!$D$4:$E$55,2,FALSE),VLOOKUP(F975,★折込地区!$A$1:$B$11,2,FALSE))</f>
        <v>S4008Hha</v>
      </c>
      <c r="B975" s="457" t="s">
        <v>276</v>
      </c>
      <c r="C975" s="452" t="str">
        <f>VLOOKUP(B975,★営業所!$A$1:$B$5,2,FALSE)</f>
        <v>S</v>
      </c>
      <c r="D975" s="465" t="s">
        <v>1355</v>
      </c>
      <c r="E975" s="452" t="str">
        <f>VLOOKUP(D975,★サイズ表記!$D$4:$E$55,2,FALSE)</f>
        <v>4008</v>
      </c>
      <c r="F975" s="457" t="s">
        <v>158</v>
      </c>
      <c r="G975" s="452" t="str">
        <f>VLOOKUP(F975,★折込地区!$A$1:$B$11,2,FALSE)</f>
        <v>Hha</v>
      </c>
      <c r="H975" s="453">
        <f>INDEX(★サイズ表記!$I$4:$Q$55, MATCH(E975,★サイズ表記!$E$4:$E$55,0), MATCH(G975,★サイズ表記!$I$3:$R$3,0))</f>
        <v>0</v>
      </c>
      <c r="K975" s="471" t="str">
        <f t="shared" si="104"/>
        <v>S4008Hha</v>
      </c>
      <c r="L975" s="471" t="str">
        <f t="shared" si="105"/>
        <v>タブ18P</v>
      </c>
      <c r="P975" s="533" t="s">
        <v>1324</v>
      </c>
      <c r="Q975" s="533" t="s">
        <v>1325</v>
      </c>
      <c r="R975" s="534" t="str">
        <f t="shared" si="106"/>
        <v>4008</v>
      </c>
      <c r="S975" s="534" t="str">
        <f t="shared" si="107"/>
        <v>タブ18P</v>
      </c>
      <c r="T975" s="538" t="str">
        <f t="shared" si="108"/>
        <v>40</v>
      </c>
      <c r="U975" s="538" t="str">
        <f t="shared" si="109"/>
        <v>08</v>
      </c>
      <c r="V975" s="471" t="s">
        <v>1136</v>
      </c>
      <c r="Y975" s="472">
        <f t="shared" si="110"/>
        <v>0</v>
      </c>
      <c r="Z975" s="540">
        <f t="shared" si="111"/>
        <v>0</v>
      </c>
      <c r="AA975" s="471">
        <v>0</v>
      </c>
    </row>
    <row r="976" spans="1:27">
      <c r="A976" s="451" t="str">
        <f>CONCATENATE(VLOOKUP(B976,★営業所!$A$1:$B$5,2,FALSE),VLOOKUP(D976,★サイズ表記!$D$4:$E$55,2,FALSE),VLOOKUP(F976,★折込地区!$A$1:$B$11,2,FALSE))</f>
        <v>S4009Hha</v>
      </c>
      <c r="B976" s="457" t="s">
        <v>276</v>
      </c>
      <c r="C976" s="452" t="str">
        <f>VLOOKUP(B976,★営業所!$A$1:$B$5,2,FALSE)</f>
        <v>S</v>
      </c>
      <c r="D976" s="465" t="s">
        <v>1356</v>
      </c>
      <c r="E976" s="452" t="str">
        <f>VLOOKUP(D976,★サイズ表記!$D$4:$E$55,2,FALSE)</f>
        <v>4009</v>
      </c>
      <c r="F976" s="457" t="s">
        <v>158</v>
      </c>
      <c r="G976" s="452" t="str">
        <f>VLOOKUP(F976,★折込地区!$A$1:$B$11,2,FALSE)</f>
        <v>Hha</v>
      </c>
      <c r="H976" s="453">
        <f>INDEX(★サイズ表記!$I$4:$Q$55, MATCH(E976,★サイズ表記!$E$4:$E$55,0), MATCH(G976,★サイズ表記!$I$3:$R$3,0))</f>
        <v>0</v>
      </c>
      <c r="K976" s="471" t="str">
        <f t="shared" si="104"/>
        <v>S4009Hha</v>
      </c>
      <c r="L976" s="471" t="str">
        <f t="shared" si="105"/>
        <v>タブ20P</v>
      </c>
      <c r="P976" s="533" t="s">
        <v>1324</v>
      </c>
      <c r="Q976" s="533" t="s">
        <v>1325</v>
      </c>
      <c r="R976" s="534" t="str">
        <f t="shared" si="106"/>
        <v>4009</v>
      </c>
      <c r="S976" s="534" t="str">
        <f t="shared" si="107"/>
        <v>タブ20P</v>
      </c>
      <c r="T976" s="538" t="str">
        <f t="shared" si="108"/>
        <v>40</v>
      </c>
      <c r="U976" s="538" t="str">
        <f t="shared" si="109"/>
        <v>09</v>
      </c>
      <c r="V976" s="471" t="s">
        <v>1136</v>
      </c>
      <c r="Y976" s="472">
        <f t="shared" si="110"/>
        <v>0</v>
      </c>
      <c r="Z976" s="540">
        <f t="shared" si="111"/>
        <v>0</v>
      </c>
      <c r="AA976" s="471">
        <v>0</v>
      </c>
    </row>
    <row r="977" spans="1:27">
      <c r="A977" s="451" t="str">
        <f>CONCATENATE(VLOOKUP(B977,★営業所!$A$1:$B$5,2,FALSE),VLOOKUP(D977,★サイズ表記!$D$4:$E$55,2,FALSE),VLOOKUP(F977,★折込地区!$A$1:$B$11,2,FALSE))</f>
        <v>S4010Hha</v>
      </c>
      <c r="B977" s="457" t="s">
        <v>276</v>
      </c>
      <c r="C977" s="452" t="str">
        <f>VLOOKUP(B977,★営業所!$A$1:$B$5,2,FALSE)</f>
        <v>S</v>
      </c>
      <c r="D977" s="465" t="s">
        <v>1354</v>
      </c>
      <c r="E977" s="452" t="str">
        <f>VLOOKUP(D977,★サイズ表記!$D$4:$E$55,2,FALSE)</f>
        <v>4010</v>
      </c>
      <c r="F977" s="457" t="s">
        <v>158</v>
      </c>
      <c r="G977" s="452" t="str">
        <f>VLOOKUP(F977,★折込地区!$A$1:$B$11,2,FALSE)</f>
        <v>Hha</v>
      </c>
      <c r="H977" s="453">
        <f>INDEX(★サイズ表記!$I$4:$Q$55, MATCH(E977,★サイズ表記!$E$4:$E$55,0), MATCH(G977,★サイズ表記!$I$3:$R$3,0))</f>
        <v>0</v>
      </c>
      <c r="K977" s="471" t="str">
        <f t="shared" si="104"/>
        <v>S4010Hha</v>
      </c>
      <c r="L977" s="471" t="str">
        <f t="shared" si="105"/>
        <v>タブ16Pホチキス止め</v>
      </c>
      <c r="P977" s="533" t="s">
        <v>1324</v>
      </c>
      <c r="Q977" s="533" t="s">
        <v>1325</v>
      </c>
      <c r="R977" s="534" t="str">
        <f t="shared" si="106"/>
        <v>4010</v>
      </c>
      <c r="S977" s="534" t="str">
        <f t="shared" si="107"/>
        <v>タブ16Pホチキス止め</v>
      </c>
      <c r="T977" s="538" t="str">
        <f t="shared" si="108"/>
        <v>40</v>
      </c>
      <c r="U977" s="538" t="str">
        <f t="shared" si="109"/>
        <v>10</v>
      </c>
      <c r="V977" s="471" t="s">
        <v>1136</v>
      </c>
      <c r="Y977" s="472">
        <f t="shared" si="110"/>
        <v>0</v>
      </c>
      <c r="Z977" s="540">
        <f t="shared" si="111"/>
        <v>0</v>
      </c>
      <c r="AA977" s="471">
        <v>0</v>
      </c>
    </row>
    <row r="978" spans="1:27">
      <c r="A978" s="451" t="str">
        <f>CONCATENATE(VLOOKUP(B978,★営業所!$A$1:$B$5,2,FALSE),VLOOKUP(D978,★サイズ表記!$D$4:$E$55,2,FALSE),VLOOKUP(F978,★折込地区!$A$1:$B$11,2,FALSE))</f>
        <v>S4011Hha</v>
      </c>
      <c r="B978" s="457" t="s">
        <v>276</v>
      </c>
      <c r="C978" s="452" t="str">
        <f>VLOOKUP(B978,★営業所!$A$1:$B$5,2,FALSE)</f>
        <v>S</v>
      </c>
      <c r="D978" s="465" t="s">
        <v>1357</v>
      </c>
      <c r="E978" s="452" t="str">
        <f>VLOOKUP(D978,★サイズ表記!$D$4:$E$55,2,FALSE)</f>
        <v>4011</v>
      </c>
      <c r="F978" s="457" t="s">
        <v>158</v>
      </c>
      <c r="G978" s="452" t="str">
        <f>VLOOKUP(F978,★折込地区!$A$1:$B$11,2,FALSE)</f>
        <v>Hha</v>
      </c>
      <c r="H978" s="453">
        <f>INDEX(★サイズ表記!$I$4:$Q$55, MATCH(E978,★サイズ表記!$E$4:$E$55,0), MATCH(G978,★サイズ表記!$I$3:$R$3,0))</f>
        <v>0</v>
      </c>
      <c r="K978" s="471" t="str">
        <f t="shared" si="104"/>
        <v>S4011Hha</v>
      </c>
      <c r="L978" s="471" t="str">
        <f t="shared" si="105"/>
        <v>タブ40P</v>
      </c>
      <c r="P978" s="533" t="s">
        <v>1324</v>
      </c>
      <c r="Q978" s="533" t="s">
        <v>1325</v>
      </c>
      <c r="R978" s="534" t="str">
        <f t="shared" si="106"/>
        <v>4011</v>
      </c>
      <c r="S978" s="534" t="str">
        <f t="shared" si="107"/>
        <v>タブ40P</v>
      </c>
      <c r="T978" s="538" t="str">
        <f t="shared" si="108"/>
        <v>40</v>
      </c>
      <c r="U978" s="538" t="str">
        <f t="shared" si="109"/>
        <v>11</v>
      </c>
      <c r="V978" s="471" t="s">
        <v>1136</v>
      </c>
      <c r="Y978" s="472">
        <f t="shared" si="110"/>
        <v>0</v>
      </c>
      <c r="Z978" s="540">
        <f t="shared" si="111"/>
        <v>0</v>
      </c>
      <c r="AA978" s="471">
        <v>0</v>
      </c>
    </row>
    <row r="979" spans="1:27">
      <c r="A979" s="451" t="str">
        <f>CONCATENATE(VLOOKUP(B979,★営業所!$A$1:$B$5,2,FALSE),VLOOKUP(D979,★サイズ表記!$D$4:$E$55,2,FALSE),VLOOKUP(F979,★折込地区!$A$1:$B$11,2,FALSE))</f>
        <v>S9001Hha</v>
      </c>
      <c r="B979" s="457" t="s">
        <v>276</v>
      </c>
      <c r="C979" s="452" t="str">
        <f>VLOOKUP(B979,★営業所!$A$1:$B$5,2,FALSE)</f>
        <v>S</v>
      </c>
      <c r="D979" s="465" t="s">
        <v>975</v>
      </c>
      <c r="E979" s="452" t="str">
        <f>VLOOKUP(D979,★サイズ表記!$D$4:$E$55,2,FALSE)</f>
        <v>9001</v>
      </c>
      <c r="F979" s="457" t="s">
        <v>158</v>
      </c>
      <c r="G979" s="452" t="str">
        <f>VLOOKUP(F979,★折込地区!$A$1:$B$11,2,FALSE)</f>
        <v>Hha</v>
      </c>
      <c r="H979" s="453">
        <f>INDEX(★サイズ表記!$I$4:$Q$55, MATCH(E979,★サイズ表記!$E$4:$E$55,0), MATCH(G979,★サイズ表記!$I$3:$R$3,0))</f>
        <v>7</v>
      </c>
      <c r="K979" s="471" t="str">
        <f t="shared" si="104"/>
        <v>S9001Hha</v>
      </c>
      <c r="L979" s="471" t="str">
        <f t="shared" si="105"/>
        <v>うさぎの耳</v>
      </c>
      <c r="P979" s="533" t="s">
        <v>1324</v>
      </c>
      <c r="Q979" s="533" t="s">
        <v>1325</v>
      </c>
      <c r="R979" s="534" t="str">
        <f t="shared" si="106"/>
        <v>9001</v>
      </c>
      <c r="S979" s="534" t="str">
        <f t="shared" si="107"/>
        <v>うさぎの耳</v>
      </c>
      <c r="T979" s="538" t="str">
        <f t="shared" si="108"/>
        <v>90</v>
      </c>
      <c r="U979" s="538" t="str">
        <f t="shared" si="109"/>
        <v>01</v>
      </c>
      <c r="V979" s="471" t="s">
        <v>1136</v>
      </c>
      <c r="Y979" s="472">
        <f t="shared" si="110"/>
        <v>7</v>
      </c>
      <c r="Z979" s="540">
        <f t="shared" si="111"/>
        <v>0.56000000000000005</v>
      </c>
      <c r="AA979" s="471">
        <v>0</v>
      </c>
    </row>
    <row r="980" spans="1:27">
      <c r="A980" s="451" t="str">
        <f>CONCATENATE(VLOOKUP(B980,★営業所!$A$1:$B$5,2,FALSE),VLOOKUP(D980,★サイズ表記!$D$4:$E$55,2,FALSE),VLOOKUP(F980,★折込地区!$A$1:$B$11,2,FALSE))</f>
        <v>S9002Hha</v>
      </c>
      <c r="B980" s="457" t="s">
        <v>276</v>
      </c>
      <c r="C980" s="452" t="str">
        <f>VLOOKUP(B980,★営業所!$A$1:$B$5,2,FALSE)</f>
        <v>S</v>
      </c>
      <c r="D980" s="465" t="s">
        <v>976</v>
      </c>
      <c r="E980" s="452" t="str">
        <f>VLOOKUP(D980,★サイズ表記!$D$4:$E$55,2,FALSE)</f>
        <v>9002</v>
      </c>
      <c r="F980" s="457" t="s">
        <v>158</v>
      </c>
      <c r="G980" s="452" t="str">
        <f>VLOOKUP(F980,★折込地区!$A$1:$B$11,2,FALSE)</f>
        <v>Hha</v>
      </c>
      <c r="H980" s="453">
        <f>INDEX(★サイズ表記!$I$4:$Q$55, MATCH(E980,★サイズ表記!$E$4:$E$55,0), MATCH(G980,★サイズ表記!$I$3:$R$3,0))</f>
        <v>5</v>
      </c>
      <c r="K980" s="471" t="str">
        <f t="shared" si="104"/>
        <v>S9002Hha</v>
      </c>
      <c r="L980" s="471" t="str">
        <f t="shared" si="105"/>
        <v>ユーキャン（題字）</v>
      </c>
      <c r="P980" s="533" t="s">
        <v>1324</v>
      </c>
      <c r="Q980" s="533" t="s">
        <v>1325</v>
      </c>
      <c r="R980" s="534" t="str">
        <f t="shared" si="106"/>
        <v>9002</v>
      </c>
      <c r="S980" s="534" t="str">
        <f t="shared" si="107"/>
        <v>ユーキャン（題字）</v>
      </c>
      <c r="T980" s="538" t="str">
        <f t="shared" si="108"/>
        <v>90</v>
      </c>
      <c r="U980" s="538" t="str">
        <f t="shared" si="109"/>
        <v>02</v>
      </c>
      <c r="V980" s="471" t="s">
        <v>1136</v>
      </c>
      <c r="Y980" s="472">
        <f t="shared" si="110"/>
        <v>5</v>
      </c>
      <c r="Z980" s="540">
        <f t="shared" si="111"/>
        <v>0.4</v>
      </c>
      <c r="AA980" s="471">
        <v>0</v>
      </c>
    </row>
    <row r="981" spans="1:27">
      <c r="A981" s="451" t="str">
        <f>CONCATENATE(VLOOKUP(B981,★営業所!$A$1:$B$5,2,FALSE),VLOOKUP(D981,★サイズ表記!$D$4:$E$55,2,FALSE),VLOOKUP(F981,★折込地区!$A$1:$B$11,2,FALSE))</f>
        <v>S9003Hha</v>
      </c>
      <c r="B981" s="457" t="s">
        <v>276</v>
      </c>
      <c r="C981" s="452" t="str">
        <f>VLOOKUP(B981,★営業所!$A$1:$B$5,2,FALSE)</f>
        <v>S</v>
      </c>
      <c r="D981" s="465" t="s">
        <v>977</v>
      </c>
      <c r="E981" s="452" t="str">
        <f>VLOOKUP(D981,★サイズ表記!$D$4:$E$55,2,FALSE)</f>
        <v>9003</v>
      </c>
      <c r="F981" s="457" t="s">
        <v>158</v>
      </c>
      <c r="G981" s="452" t="str">
        <f>VLOOKUP(F981,★折込地区!$A$1:$B$11,2,FALSE)</f>
        <v>Hha</v>
      </c>
      <c r="H981" s="453">
        <f>INDEX(★サイズ表記!$I$4:$Q$55, MATCH(E981,★サイズ表記!$E$4:$E$55,0), MATCH(G981,★サイズ表記!$I$3:$R$3,0))</f>
        <v>0</v>
      </c>
      <c r="K981" s="471" t="str">
        <f t="shared" si="104"/>
        <v>S9003Hha</v>
      </c>
      <c r="L981" s="471" t="str">
        <f t="shared" si="105"/>
        <v>横長B3</v>
      </c>
      <c r="P981" s="533" t="s">
        <v>1324</v>
      </c>
      <c r="Q981" s="533" t="s">
        <v>1325</v>
      </c>
      <c r="R981" s="534" t="str">
        <f t="shared" si="106"/>
        <v>9003</v>
      </c>
      <c r="S981" s="534" t="str">
        <f t="shared" si="107"/>
        <v>横長B3</v>
      </c>
      <c r="T981" s="538" t="str">
        <f t="shared" si="108"/>
        <v>90</v>
      </c>
      <c r="U981" s="538" t="str">
        <f t="shared" si="109"/>
        <v>03</v>
      </c>
      <c r="V981" s="471" t="s">
        <v>1136</v>
      </c>
      <c r="Y981" s="472">
        <f t="shared" si="110"/>
        <v>0</v>
      </c>
      <c r="Z981" s="540">
        <f t="shared" si="111"/>
        <v>0</v>
      </c>
      <c r="AA981" s="471">
        <v>0</v>
      </c>
    </row>
    <row r="982" spans="1:27">
      <c r="A982" s="451" t="str">
        <f>CONCATENATE(VLOOKUP(B982,★営業所!$A$1:$B$5,2,FALSE),VLOOKUP(D982,★サイズ表記!$D$4:$E$55,2,FALSE),VLOOKUP(F982,★折込地区!$A$1:$B$11,2,FALSE))</f>
        <v>S9004Hha</v>
      </c>
      <c r="B982" s="457" t="s">
        <v>276</v>
      </c>
      <c r="C982" s="452" t="str">
        <f>VLOOKUP(B982,★営業所!$A$1:$B$5,2,FALSE)</f>
        <v>S</v>
      </c>
      <c r="D982" s="465" t="s">
        <v>978</v>
      </c>
      <c r="E982" s="452" t="str">
        <f>VLOOKUP(D982,★サイズ表記!$D$4:$E$55,2,FALSE)</f>
        <v>9004</v>
      </c>
      <c r="F982" s="457" t="s">
        <v>158</v>
      </c>
      <c r="G982" s="452" t="str">
        <f>VLOOKUP(F982,★折込地区!$A$1:$B$11,2,FALSE)</f>
        <v>Hha</v>
      </c>
      <c r="H982" s="453">
        <f>INDEX(★サイズ表記!$I$4:$Q$55, MATCH(E982,★サイズ表記!$E$4:$E$55,0), MATCH(G982,★サイズ表記!$I$3:$R$3,0))</f>
        <v>0</v>
      </c>
      <c r="K982" s="471" t="str">
        <f t="shared" si="104"/>
        <v>S9004Hha</v>
      </c>
      <c r="L982" s="471" t="str">
        <f t="shared" si="105"/>
        <v>AD-BAG</v>
      </c>
      <c r="P982" s="533" t="s">
        <v>1324</v>
      </c>
      <c r="Q982" s="533" t="s">
        <v>1325</v>
      </c>
      <c r="R982" s="534" t="str">
        <f t="shared" si="106"/>
        <v>9004</v>
      </c>
      <c r="S982" s="534" t="str">
        <f t="shared" si="107"/>
        <v>AD-BAG</v>
      </c>
      <c r="T982" s="538" t="str">
        <f t="shared" si="108"/>
        <v>90</v>
      </c>
      <c r="U982" s="538" t="str">
        <f t="shared" si="109"/>
        <v>04</v>
      </c>
      <c r="V982" s="471" t="s">
        <v>1136</v>
      </c>
      <c r="Y982" s="472">
        <f t="shared" si="110"/>
        <v>0</v>
      </c>
      <c r="Z982" s="540">
        <f t="shared" si="111"/>
        <v>0</v>
      </c>
      <c r="AA982" s="471">
        <v>0</v>
      </c>
    </row>
    <row r="983" spans="1:27">
      <c r="A983" s="451" t="str">
        <f>CONCATENATE(VLOOKUP(B983,★営業所!$A$1:$B$5,2,FALSE),VLOOKUP(D983,★サイズ表記!$D$4:$E$55,2,FALSE),VLOOKUP(F983,★折込地区!$A$1:$B$11,2,FALSE))</f>
        <v>S9005Hha</v>
      </c>
      <c r="B983" s="457" t="s">
        <v>276</v>
      </c>
      <c r="C983" s="452" t="str">
        <f>VLOOKUP(B983,★営業所!$A$1:$B$5,2,FALSE)</f>
        <v>S</v>
      </c>
      <c r="D983" s="465" t="s">
        <v>979</v>
      </c>
      <c r="E983" s="452" t="str">
        <f>VLOOKUP(D983,★サイズ表記!$D$4:$E$55,2,FALSE)</f>
        <v>9005</v>
      </c>
      <c r="F983" s="457" t="s">
        <v>158</v>
      </c>
      <c r="G983" s="452" t="str">
        <f>VLOOKUP(F983,★折込地区!$A$1:$B$11,2,FALSE)</f>
        <v>Hha</v>
      </c>
      <c r="H983" s="453">
        <f>INDEX(★サイズ表記!$I$4:$Q$55, MATCH(E983,★サイズ表記!$E$4:$E$55,0), MATCH(G983,★サイズ表記!$I$3:$R$3,0))</f>
        <v>0</v>
      </c>
      <c r="K983" s="471" t="str">
        <f t="shared" si="104"/>
        <v>S9005Hha</v>
      </c>
      <c r="L983" s="471" t="str">
        <f t="shared" si="105"/>
        <v>封筒</v>
      </c>
      <c r="P983" s="533" t="s">
        <v>1324</v>
      </c>
      <c r="Q983" s="533" t="s">
        <v>1325</v>
      </c>
      <c r="R983" s="534" t="str">
        <f t="shared" si="106"/>
        <v>9005</v>
      </c>
      <c r="S983" s="534" t="str">
        <f t="shared" si="107"/>
        <v>封筒</v>
      </c>
      <c r="T983" s="538" t="str">
        <f t="shared" si="108"/>
        <v>90</v>
      </c>
      <c r="U983" s="538" t="str">
        <f t="shared" si="109"/>
        <v>05</v>
      </c>
      <c r="V983" s="471" t="s">
        <v>1136</v>
      </c>
      <c r="Y983" s="472">
        <f t="shared" si="110"/>
        <v>0</v>
      </c>
      <c r="Z983" s="540">
        <f t="shared" si="111"/>
        <v>0</v>
      </c>
      <c r="AA983" s="471">
        <v>0</v>
      </c>
    </row>
    <row r="984" spans="1:27">
      <c r="A984" s="451" t="str">
        <f>CONCATENATE(VLOOKUP(B984,★営業所!$A$1:$B$5,2,FALSE),VLOOKUP(D984,★サイズ表記!$D$4:$E$55,2,FALSE),VLOOKUP(F984,★折込地区!$A$1:$B$11,2,FALSE))</f>
        <v>S9006Hha</v>
      </c>
      <c r="B984" s="457" t="s">
        <v>276</v>
      </c>
      <c r="C984" s="452" t="str">
        <f>VLOOKUP(B984,★営業所!$A$1:$B$5,2,FALSE)</f>
        <v>S</v>
      </c>
      <c r="D984" s="465" t="s">
        <v>980</v>
      </c>
      <c r="E984" s="452" t="str">
        <f>VLOOKUP(D984,★サイズ表記!$D$4:$E$55,2,FALSE)</f>
        <v>9006</v>
      </c>
      <c r="F984" s="457" t="s">
        <v>158</v>
      </c>
      <c r="G984" s="452" t="str">
        <f>VLOOKUP(F984,★折込地区!$A$1:$B$11,2,FALSE)</f>
        <v>Hha</v>
      </c>
      <c r="H984" s="453">
        <f>INDEX(★サイズ表記!$I$4:$Q$55, MATCH(E984,★サイズ表記!$E$4:$E$55,0), MATCH(G984,★サイズ表記!$I$3:$R$3,0))</f>
        <v>0</v>
      </c>
      <c r="K984" s="471" t="str">
        <f t="shared" si="104"/>
        <v>S9006Hha</v>
      </c>
      <c r="L984" s="471" t="str">
        <f t="shared" si="105"/>
        <v>圧着</v>
      </c>
      <c r="P984" s="533" t="s">
        <v>1324</v>
      </c>
      <c r="Q984" s="533" t="s">
        <v>1325</v>
      </c>
      <c r="R984" s="534" t="str">
        <f t="shared" si="106"/>
        <v>9006</v>
      </c>
      <c r="S984" s="534" t="str">
        <f t="shared" si="107"/>
        <v>圧着</v>
      </c>
      <c r="T984" s="538" t="str">
        <f t="shared" si="108"/>
        <v>90</v>
      </c>
      <c r="U984" s="538" t="str">
        <f t="shared" si="109"/>
        <v>06</v>
      </c>
      <c r="V984" s="471" t="s">
        <v>1136</v>
      </c>
      <c r="Y984" s="472">
        <f t="shared" si="110"/>
        <v>0</v>
      </c>
      <c r="Z984" s="540">
        <f t="shared" si="111"/>
        <v>0</v>
      </c>
      <c r="AA984" s="471">
        <v>0</v>
      </c>
    </row>
    <row r="985" spans="1:27">
      <c r="A985" s="451" t="str">
        <f>CONCATENATE(VLOOKUP(B985,★営業所!$A$1:$B$5,2,FALSE),VLOOKUP(D985,★サイズ表記!$D$4:$E$55,2,FALSE),VLOOKUP(F985,★折込地区!$A$1:$B$11,2,FALSE))</f>
        <v>S9007Hha</v>
      </c>
      <c r="B985" s="457" t="s">
        <v>276</v>
      </c>
      <c r="C985" s="452" t="str">
        <f>VLOOKUP(B985,★営業所!$A$1:$B$5,2,FALSE)</f>
        <v>S</v>
      </c>
      <c r="D985" s="465" t="s">
        <v>981</v>
      </c>
      <c r="E985" s="452" t="str">
        <f>VLOOKUP(D985,★サイズ表記!$D$4:$E$55,2,FALSE)</f>
        <v>9007</v>
      </c>
      <c r="F985" s="457" t="s">
        <v>158</v>
      </c>
      <c r="G985" s="452" t="str">
        <f>VLOOKUP(F985,★折込地区!$A$1:$B$11,2,FALSE)</f>
        <v>Hha</v>
      </c>
      <c r="H985" s="453">
        <f>INDEX(★サイズ表記!$I$4:$Q$55, MATCH(E985,★サイズ表記!$E$4:$E$55,0), MATCH(G985,★サイズ表記!$I$3:$R$3,0))</f>
        <v>0</v>
      </c>
      <c r="K985" s="471" t="str">
        <f t="shared" si="104"/>
        <v>S9007Hha</v>
      </c>
      <c r="L985" s="471" t="str">
        <f t="shared" si="105"/>
        <v>圧着厚紙</v>
      </c>
      <c r="P985" s="533" t="s">
        <v>1324</v>
      </c>
      <c r="Q985" s="533" t="s">
        <v>1325</v>
      </c>
      <c r="R985" s="534" t="str">
        <f t="shared" si="106"/>
        <v>9007</v>
      </c>
      <c r="S985" s="534" t="str">
        <f t="shared" si="107"/>
        <v>圧着厚紙</v>
      </c>
      <c r="T985" s="538" t="str">
        <f t="shared" si="108"/>
        <v>90</v>
      </c>
      <c r="U985" s="538" t="str">
        <f t="shared" si="109"/>
        <v>07</v>
      </c>
      <c r="V985" s="471" t="s">
        <v>1136</v>
      </c>
      <c r="Y985" s="472">
        <f t="shared" si="110"/>
        <v>0</v>
      </c>
      <c r="Z985" s="540">
        <f t="shared" si="111"/>
        <v>0</v>
      </c>
      <c r="AA985" s="471">
        <v>0</v>
      </c>
    </row>
    <row r="986" spans="1:27">
      <c r="A986" s="451" t="str">
        <f>CONCATENATE(VLOOKUP(B986,★営業所!$A$1:$B$5,2,FALSE),VLOOKUP(D986,★サイズ表記!$D$4:$E$55,2,FALSE),VLOOKUP(F986,★折込地区!$A$1:$B$11,2,FALSE))</f>
        <v>S1001Hmm</v>
      </c>
      <c r="B986" s="457" t="s">
        <v>276</v>
      </c>
      <c r="C986" s="452" t="str">
        <f>VLOOKUP(B986,★営業所!$A$1:$B$5,2,FALSE)</f>
        <v>S</v>
      </c>
      <c r="D986" s="465" t="s">
        <v>948</v>
      </c>
      <c r="E986" s="452" t="str">
        <f>VLOOKUP(D986,★サイズ表記!$D$4:$E$55,2,FALSE)</f>
        <v>1001</v>
      </c>
      <c r="F986" s="457" t="s">
        <v>857</v>
      </c>
      <c r="G986" s="452" t="str">
        <f>VLOOKUP(F986,★折込地区!$A$1:$B$11,2,FALSE)</f>
        <v>Hmm</v>
      </c>
      <c r="H986" s="453">
        <f>INDEX(★サイズ表記!$I$4:$Q$55, MATCH(E986,★サイズ表記!$E$4:$E$55,0), MATCH(G986,★サイズ表記!$I$3:$R$3,0))</f>
        <v>3</v>
      </c>
      <c r="K986" s="471" t="str">
        <f t="shared" si="104"/>
        <v>S1001Hmm</v>
      </c>
      <c r="L986" s="471" t="str">
        <f t="shared" si="105"/>
        <v>B4（折り無し）</v>
      </c>
      <c r="P986" s="533" t="s">
        <v>1324</v>
      </c>
      <c r="Q986" s="533" t="s">
        <v>1325</v>
      </c>
      <c r="R986" s="534" t="str">
        <f t="shared" si="106"/>
        <v>1001</v>
      </c>
      <c r="S986" s="534" t="str">
        <f t="shared" si="107"/>
        <v>B4（折り無し）</v>
      </c>
      <c r="T986" s="538" t="str">
        <f t="shared" si="108"/>
        <v>10</v>
      </c>
      <c r="U986" s="538" t="str">
        <f t="shared" si="109"/>
        <v>01</v>
      </c>
      <c r="V986" s="471" t="s">
        <v>1136</v>
      </c>
      <c r="Y986" s="472">
        <f t="shared" si="110"/>
        <v>3</v>
      </c>
      <c r="Z986" s="540">
        <f t="shared" si="111"/>
        <v>0.24</v>
      </c>
      <c r="AA986" s="471">
        <v>0</v>
      </c>
    </row>
    <row r="987" spans="1:27">
      <c r="A987" s="451" t="str">
        <f>CONCATENATE(VLOOKUP(B987,★営業所!$A$1:$B$5,2,FALSE),VLOOKUP(D987,★サイズ表記!$D$4:$E$55,2,FALSE),VLOOKUP(F987,★折込地区!$A$1:$B$11,2,FALSE))</f>
        <v>S1002Hmm</v>
      </c>
      <c r="B987" s="457" t="s">
        <v>276</v>
      </c>
      <c r="C987" s="452" t="str">
        <f>VLOOKUP(B987,★営業所!$A$1:$B$5,2,FALSE)</f>
        <v>S</v>
      </c>
      <c r="D987" s="465" t="s">
        <v>950</v>
      </c>
      <c r="E987" s="452" t="str">
        <f>VLOOKUP(D987,★サイズ表記!$D$4:$E$55,2,FALSE)</f>
        <v>1002</v>
      </c>
      <c r="F987" s="457" t="s">
        <v>857</v>
      </c>
      <c r="G987" s="452" t="str">
        <f>VLOOKUP(F987,★折込地区!$A$1:$B$11,2,FALSE)</f>
        <v>Hmm</v>
      </c>
      <c r="H987" s="453">
        <f>INDEX(★サイズ表記!$I$4:$Q$55, MATCH(E987,★サイズ表記!$E$4:$E$55,0), MATCH(G987,★サイズ表記!$I$3:$R$3,0))</f>
        <v>5</v>
      </c>
      <c r="K987" s="471" t="str">
        <f t="shared" si="104"/>
        <v>S1002Hmm</v>
      </c>
      <c r="L987" s="471" t="str">
        <f t="shared" si="105"/>
        <v>B3（2つ折り）</v>
      </c>
      <c r="P987" s="533" t="s">
        <v>1324</v>
      </c>
      <c r="Q987" s="533" t="s">
        <v>1325</v>
      </c>
      <c r="R987" s="534" t="str">
        <f t="shared" si="106"/>
        <v>1002</v>
      </c>
      <c r="S987" s="534" t="str">
        <f t="shared" si="107"/>
        <v>B3（2つ折り）</v>
      </c>
      <c r="T987" s="538" t="str">
        <f t="shared" si="108"/>
        <v>10</v>
      </c>
      <c r="U987" s="538" t="str">
        <f t="shared" si="109"/>
        <v>02</v>
      </c>
      <c r="V987" s="471" t="s">
        <v>1136</v>
      </c>
      <c r="Y987" s="472">
        <f t="shared" si="110"/>
        <v>5</v>
      </c>
      <c r="Z987" s="540">
        <f t="shared" si="111"/>
        <v>0.4</v>
      </c>
      <c r="AA987" s="471">
        <v>0</v>
      </c>
    </row>
    <row r="988" spans="1:27">
      <c r="A988" s="451" t="str">
        <f>CONCATENATE(VLOOKUP(B988,★営業所!$A$1:$B$5,2,FALSE),VLOOKUP(D988,★サイズ表記!$D$4:$E$55,2,FALSE),VLOOKUP(F988,★折込地区!$A$1:$B$11,2,FALSE))</f>
        <v>S1003Hmm</v>
      </c>
      <c r="B988" s="457" t="s">
        <v>276</v>
      </c>
      <c r="C988" s="452" t="str">
        <f>VLOOKUP(B988,★営業所!$A$1:$B$5,2,FALSE)</f>
        <v>S</v>
      </c>
      <c r="D988" s="465" t="s">
        <v>951</v>
      </c>
      <c r="E988" s="452" t="str">
        <f>VLOOKUP(D988,★サイズ表記!$D$4:$E$55,2,FALSE)</f>
        <v>1003</v>
      </c>
      <c r="F988" s="457" t="s">
        <v>857</v>
      </c>
      <c r="G988" s="452" t="str">
        <f>VLOOKUP(F988,★折込地区!$A$1:$B$11,2,FALSE)</f>
        <v>Hmm</v>
      </c>
      <c r="H988" s="453">
        <f>INDEX(★サイズ表記!$I$4:$Q$55, MATCH(E988,★サイズ表記!$E$4:$E$55,0), MATCH(G988,★サイズ表記!$I$3:$R$3,0))</f>
        <v>0</v>
      </c>
      <c r="K988" s="471" t="str">
        <f t="shared" si="104"/>
        <v>S1003Hmm</v>
      </c>
      <c r="L988" s="471" t="str">
        <f t="shared" si="105"/>
        <v>3つ折り</v>
      </c>
      <c r="P988" s="533" t="s">
        <v>1324</v>
      </c>
      <c r="Q988" s="533" t="s">
        <v>1325</v>
      </c>
      <c r="R988" s="534" t="str">
        <f t="shared" si="106"/>
        <v>1003</v>
      </c>
      <c r="S988" s="534" t="str">
        <f t="shared" si="107"/>
        <v>3つ折り</v>
      </c>
      <c r="T988" s="538" t="str">
        <f t="shared" si="108"/>
        <v>10</v>
      </c>
      <c r="U988" s="538" t="str">
        <f t="shared" si="109"/>
        <v>03</v>
      </c>
      <c r="V988" s="471" t="s">
        <v>1136</v>
      </c>
      <c r="Y988" s="472">
        <f t="shared" si="110"/>
        <v>0</v>
      </c>
      <c r="Z988" s="540">
        <f t="shared" si="111"/>
        <v>0</v>
      </c>
      <c r="AA988" s="471">
        <v>0</v>
      </c>
    </row>
    <row r="989" spans="1:27">
      <c r="A989" s="451" t="str">
        <f>CONCATENATE(VLOOKUP(B989,★営業所!$A$1:$B$5,2,FALSE),VLOOKUP(D989,★サイズ表記!$D$4:$E$55,2,FALSE),VLOOKUP(F989,★折込地区!$A$1:$B$11,2,FALSE))</f>
        <v>S1004Hmm</v>
      </c>
      <c r="B989" s="457" t="s">
        <v>276</v>
      </c>
      <c r="C989" s="452" t="str">
        <f>VLOOKUP(B989,★営業所!$A$1:$B$5,2,FALSE)</f>
        <v>S</v>
      </c>
      <c r="D989" s="465" t="s">
        <v>947</v>
      </c>
      <c r="E989" s="452" t="str">
        <f>VLOOKUP(D989,★サイズ表記!$D$4:$E$55,2,FALSE)</f>
        <v>1004</v>
      </c>
      <c r="F989" s="457" t="s">
        <v>857</v>
      </c>
      <c r="G989" s="452" t="str">
        <f>VLOOKUP(F989,★折込地区!$A$1:$B$11,2,FALSE)</f>
        <v>Hmm</v>
      </c>
      <c r="H989" s="453">
        <f>INDEX(★サイズ表記!$I$4:$Q$55, MATCH(E989,★サイズ表記!$E$4:$E$55,0), MATCH(G989,★サイズ表記!$I$3:$R$3,0))</f>
        <v>0</v>
      </c>
      <c r="K989" s="471" t="str">
        <f t="shared" si="104"/>
        <v>S1004Hmm</v>
      </c>
      <c r="L989" s="471" t="str">
        <f t="shared" si="105"/>
        <v>観音折</v>
      </c>
      <c r="P989" s="533" t="s">
        <v>1324</v>
      </c>
      <c r="Q989" s="533" t="s">
        <v>1325</v>
      </c>
      <c r="R989" s="534" t="str">
        <f t="shared" si="106"/>
        <v>1004</v>
      </c>
      <c r="S989" s="534" t="str">
        <f t="shared" si="107"/>
        <v>観音折</v>
      </c>
      <c r="T989" s="538" t="str">
        <f t="shared" si="108"/>
        <v>10</v>
      </c>
      <c r="U989" s="538" t="str">
        <f t="shared" si="109"/>
        <v>04</v>
      </c>
      <c r="V989" s="471" t="s">
        <v>1136</v>
      </c>
      <c r="Y989" s="472">
        <f t="shared" si="110"/>
        <v>0</v>
      </c>
      <c r="Z989" s="540">
        <f t="shared" si="111"/>
        <v>0</v>
      </c>
      <c r="AA989" s="471">
        <v>0</v>
      </c>
    </row>
    <row r="990" spans="1:27">
      <c r="A990" s="451" t="str">
        <f>CONCATENATE(VLOOKUP(B990,★営業所!$A$1:$B$5,2,FALSE),VLOOKUP(D990,★サイズ表記!$D$4:$E$55,2,FALSE),VLOOKUP(F990,★折込地区!$A$1:$B$11,2,FALSE))</f>
        <v>S1005Hmm</v>
      </c>
      <c r="B990" s="457" t="s">
        <v>276</v>
      </c>
      <c r="C990" s="452" t="str">
        <f>VLOOKUP(B990,★営業所!$A$1:$B$5,2,FALSE)</f>
        <v>S</v>
      </c>
      <c r="D990" s="465" t="s">
        <v>952</v>
      </c>
      <c r="E990" s="452" t="str">
        <f>VLOOKUP(D990,★サイズ表記!$D$4:$E$55,2,FALSE)</f>
        <v>1005</v>
      </c>
      <c r="F990" s="457" t="s">
        <v>857</v>
      </c>
      <c r="G990" s="452" t="str">
        <f>VLOOKUP(F990,★折込地区!$A$1:$B$11,2,FALSE)</f>
        <v>Hmm</v>
      </c>
      <c r="H990" s="453">
        <f>INDEX(★サイズ表記!$I$4:$Q$55, MATCH(E990,★サイズ表記!$E$4:$E$55,0), MATCH(G990,★サイズ表記!$I$3:$R$3,0))</f>
        <v>8</v>
      </c>
      <c r="K990" s="471" t="str">
        <f t="shared" si="104"/>
        <v>S1005Hmm</v>
      </c>
      <c r="L990" s="471" t="str">
        <f t="shared" si="105"/>
        <v>B2（4つ折り）</v>
      </c>
      <c r="P990" s="533" t="s">
        <v>1324</v>
      </c>
      <c r="Q990" s="533" t="s">
        <v>1325</v>
      </c>
      <c r="R990" s="534" t="str">
        <f t="shared" si="106"/>
        <v>1005</v>
      </c>
      <c r="S990" s="534" t="str">
        <f t="shared" si="107"/>
        <v>B2（4つ折り）</v>
      </c>
      <c r="T990" s="538" t="str">
        <f t="shared" si="108"/>
        <v>10</v>
      </c>
      <c r="U990" s="538" t="str">
        <f t="shared" si="109"/>
        <v>05</v>
      </c>
      <c r="V990" s="471" t="s">
        <v>1136</v>
      </c>
      <c r="Y990" s="472">
        <f t="shared" si="110"/>
        <v>8</v>
      </c>
      <c r="Z990" s="540">
        <f t="shared" si="111"/>
        <v>0.64</v>
      </c>
      <c r="AA990" s="471">
        <v>0</v>
      </c>
    </row>
    <row r="991" spans="1:27">
      <c r="A991" s="451" t="str">
        <f>CONCATENATE(VLOOKUP(B991,★営業所!$A$1:$B$5,2,FALSE),VLOOKUP(D991,★サイズ表記!$D$4:$E$55,2,FALSE),VLOOKUP(F991,★折込地区!$A$1:$B$11,2,FALSE))</f>
        <v>S1006Hmm</v>
      </c>
      <c r="B991" s="457" t="s">
        <v>276</v>
      </c>
      <c r="C991" s="452" t="str">
        <f>VLOOKUP(B991,★営業所!$A$1:$B$5,2,FALSE)</f>
        <v>S</v>
      </c>
      <c r="D991" s="465" t="s">
        <v>955</v>
      </c>
      <c r="E991" s="452" t="str">
        <f>VLOOKUP(D991,★サイズ表記!$D$4:$E$55,2,FALSE)</f>
        <v>1006</v>
      </c>
      <c r="F991" s="457" t="s">
        <v>857</v>
      </c>
      <c r="G991" s="452" t="str">
        <f>VLOOKUP(F991,★折込地区!$A$1:$B$11,2,FALSE)</f>
        <v>Hmm</v>
      </c>
      <c r="H991" s="453">
        <f>INDEX(★サイズ表記!$I$4:$Q$55, MATCH(E991,★サイズ表記!$E$4:$E$55,0), MATCH(G991,★サイズ表記!$I$3:$R$3,0))</f>
        <v>16</v>
      </c>
      <c r="K991" s="471" t="str">
        <f t="shared" si="104"/>
        <v>S1006Hmm</v>
      </c>
      <c r="L991" s="471" t="str">
        <f t="shared" si="105"/>
        <v>B1（8折り）</v>
      </c>
      <c r="P991" s="533" t="s">
        <v>1324</v>
      </c>
      <c r="Q991" s="533" t="s">
        <v>1325</v>
      </c>
      <c r="R991" s="534" t="str">
        <f t="shared" si="106"/>
        <v>1006</v>
      </c>
      <c r="S991" s="534" t="str">
        <f t="shared" si="107"/>
        <v>B1（8折り）</v>
      </c>
      <c r="T991" s="538" t="str">
        <f t="shared" si="108"/>
        <v>10</v>
      </c>
      <c r="U991" s="538" t="str">
        <f t="shared" si="109"/>
        <v>06</v>
      </c>
      <c r="V991" s="471" t="s">
        <v>1136</v>
      </c>
      <c r="Y991" s="472">
        <f t="shared" si="110"/>
        <v>16</v>
      </c>
      <c r="Z991" s="540">
        <f t="shared" si="111"/>
        <v>1.28</v>
      </c>
      <c r="AA991" s="471">
        <v>0</v>
      </c>
    </row>
    <row r="992" spans="1:27">
      <c r="A992" s="451" t="str">
        <f>CONCATENATE(VLOOKUP(B992,★営業所!$A$1:$B$5,2,FALSE),VLOOKUP(D992,★サイズ表記!$D$4:$E$55,2,FALSE),VLOOKUP(F992,★折込地区!$A$1:$B$11,2,FALSE))</f>
        <v>S1007Hmm</v>
      </c>
      <c r="B992" s="457" t="s">
        <v>276</v>
      </c>
      <c r="C992" s="452" t="str">
        <f>VLOOKUP(B992,★営業所!$A$1:$B$5,2,FALSE)</f>
        <v>S</v>
      </c>
      <c r="D992" s="465" t="s">
        <v>956</v>
      </c>
      <c r="E992" s="452" t="str">
        <f>VLOOKUP(D992,★サイズ表記!$D$4:$E$55,2,FALSE)</f>
        <v>1007</v>
      </c>
      <c r="F992" s="457" t="s">
        <v>857</v>
      </c>
      <c r="G992" s="452" t="str">
        <f>VLOOKUP(F992,★折込地区!$A$1:$B$11,2,FALSE)</f>
        <v>Hmm</v>
      </c>
      <c r="H992" s="453">
        <f>INDEX(★サイズ表記!$I$4:$Q$55, MATCH(E992,★サイズ表記!$E$4:$E$55,0), MATCH(G992,★サイズ表記!$I$3:$R$3,0))</f>
        <v>0</v>
      </c>
      <c r="K992" s="471" t="str">
        <f t="shared" si="104"/>
        <v>S1007Hmm</v>
      </c>
      <c r="L992" s="471" t="str">
        <f t="shared" si="105"/>
        <v>B4厚紙</v>
      </c>
      <c r="P992" s="533" t="s">
        <v>1324</v>
      </c>
      <c r="Q992" s="533" t="s">
        <v>1325</v>
      </c>
      <c r="R992" s="534" t="str">
        <f t="shared" si="106"/>
        <v>1007</v>
      </c>
      <c r="S992" s="534" t="str">
        <f t="shared" si="107"/>
        <v>B4厚紙</v>
      </c>
      <c r="T992" s="538" t="str">
        <f t="shared" si="108"/>
        <v>10</v>
      </c>
      <c r="U992" s="538" t="str">
        <f t="shared" si="109"/>
        <v>07</v>
      </c>
      <c r="V992" s="471" t="s">
        <v>1136</v>
      </c>
      <c r="Y992" s="472">
        <f t="shared" si="110"/>
        <v>0</v>
      </c>
      <c r="Z992" s="540">
        <f t="shared" si="111"/>
        <v>0</v>
      </c>
      <c r="AA992" s="471">
        <v>0</v>
      </c>
    </row>
    <row r="993" spans="1:27">
      <c r="A993" s="451" t="str">
        <f>CONCATENATE(VLOOKUP(B993,★営業所!$A$1:$B$5,2,FALSE),VLOOKUP(D993,★サイズ表記!$D$4:$E$55,2,FALSE),VLOOKUP(F993,★折込地区!$A$1:$B$11,2,FALSE))</f>
        <v>S1008Hmm</v>
      </c>
      <c r="B993" s="457" t="s">
        <v>276</v>
      </c>
      <c r="C993" s="452" t="str">
        <f>VLOOKUP(B993,★営業所!$A$1:$B$5,2,FALSE)</f>
        <v>S</v>
      </c>
      <c r="D993" s="465" t="s">
        <v>957</v>
      </c>
      <c r="E993" s="452" t="str">
        <f>VLOOKUP(D993,★サイズ表記!$D$4:$E$55,2,FALSE)</f>
        <v>1008</v>
      </c>
      <c r="F993" s="457" t="s">
        <v>857</v>
      </c>
      <c r="G993" s="452" t="str">
        <f>VLOOKUP(F993,★折込地区!$A$1:$B$11,2,FALSE)</f>
        <v>Hmm</v>
      </c>
      <c r="H993" s="453">
        <f>INDEX(★サイズ表記!$I$4:$Q$55, MATCH(E993,★サイズ表記!$E$4:$E$55,0), MATCH(G993,★サイズ表記!$I$3:$R$3,0))</f>
        <v>0</v>
      </c>
      <c r="K993" s="471" t="str">
        <f t="shared" si="104"/>
        <v>S1008Hmm</v>
      </c>
      <c r="L993" s="471" t="str">
        <f t="shared" si="105"/>
        <v>B3厚紙</v>
      </c>
      <c r="P993" s="533" t="s">
        <v>1324</v>
      </c>
      <c r="Q993" s="533" t="s">
        <v>1325</v>
      </c>
      <c r="R993" s="534" t="str">
        <f t="shared" si="106"/>
        <v>1008</v>
      </c>
      <c r="S993" s="534" t="str">
        <f t="shared" si="107"/>
        <v>B3厚紙</v>
      </c>
      <c r="T993" s="538" t="str">
        <f t="shared" si="108"/>
        <v>10</v>
      </c>
      <c r="U993" s="538" t="str">
        <f t="shared" si="109"/>
        <v>08</v>
      </c>
      <c r="V993" s="471" t="s">
        <v>1136</v>
      </c>
      <c r="Y993" s="472">
        <f t="shared" si="110"/>
        <v>0</v>
      </c>
      <c r="Z993" s="540">
        <f t="shared" si="111"/>
        <v>0</v>
      </c>
      <c r="AA993" s="471">
        <v>0</v>
      </c>
    </row>
    <row r="994" spans="1:27">
      <c r="A994" s="451" t="str">
        <f>CONCATENATE(VLOOKUP(B994,★営業所!$A$1:$B$5,2,FALSE),VLOOKUP(D994,★サイズ表記!$D$4:$E$55,2,FALSE),VLOOKUP(F994,★折込地区!$A$1:$B$11,2,FALSE))</f>
        <v>S1009Hmm</v>
      </c>
      <c r="B994" s="457" t="s">
        <v>276</v>
      </c>
      <c r="C994" s="452" t="str">
        <f>VLOOKUP(B994,★営業所!$A$1:$B$5,2,FALSE)</f>
        <v>S</v>
      </c>
      <c r="D994" s="465" t="s">
        <v>958</v>
      </c>
      <c r="E994" s="452" t="str">
        <f>VLOOKUP(D994,★サイズ表記!$D$4:$E$55,2,FALSE)</f>
        <v>1009</v>
      </c>
      <c r="F994" s="457" t="s">
        <v>857</v>
      </c>
      <c r="G994" s="452" t="str">
        <f>VLOOKUP(F994,★折込地区!$A$1:$B$11,2,FALSE)</f>
        <v>Hmm</v>
      </c>
      <c r="H994" s="453">
        <f>INDEX(★サイズ表記!$I$4:$Q$55, MATCH(E994,★サイズ表記!$E$4:$E$55,0), MATCH(G994,★サイズ表記!$I$3:$R$3,0))</f>
        <v>0</v>
      </c>
      <c r="K994" s="471" t="str">
        <f t="shared" si="104"/>
        <v>S1009Hmm</v>
      </c>
      <c r="L994" s="471" t="str">
        <f t="shared" si="105"/>
        <v>B2厚紙</v>
      </c>
      <c r="P994" s="533" t="s">
        <v>1324</v>
      </c>
      <c r="Q994" s="533" t="s">
        <v>1325</v>
      </c>
      <c r="R994" s="534" t="str">
        <f t="shared" si="106"/>
        <v>1009</v>
      </c>
      <c r="S994" s="534" t="str">
        <f t="shared" si="107"/>
        <v>B2厚紙</v>
      </c>
      <c r="T994" s="538" t="str">
        <f t="shared" si="108"/>
        <v>10</v>
      </c>
      <c r="U994" s="538" t="str">
        <f t="shared" si="109"/>
        <v>09</v>
      </c>
      <c r="V994" s="471" t="s">
        <v>1136</v>
      </c>
      <c r="Y994" s="472">
        <f t="shared" si="110"/>
        <v>0</v>
      </c>
      <c r="Z994" s="540">
        <f t="shared" si="111"/>
        <v>0</v>
      </c>
      <c r="AA994" s="471">
        <v>0</v>
      </c>
    </row>
    <row r="995" spans="1:27">
      <c r="A995" s="451" t="str">
        <f>CONCATENATE(VLOOKUP(B995,★営業所!$A$1:$B$5,2,FALSE),VLOOKUP(D995,★サイズ表記!$D$4:$E$55,2,FALSE),VLOOKUP(F995,★折込地区!$A$1:$B$11,2,FALSE))</f>
        <v>S1010Hmm</v>
      </c>
      <c r="B995" s="457" t="s">
        <v>276</v>
      </c>
      <c r="C995" s="452" t="str">
        <f>VLOOKUP(B995,★営業所!$A$1:$B$5,2,FALSE)</f>
        <v>S</v>
      </c>
      <c r="D995" s="465" t="s">
        <v>959</v>
      </c>
      <c r="E995" s="452" t="str">
        <f>VLOOKUP(D995,★サイズ表記!$D$4:$E$55,2,FALSE)</f>
        <v>1010</v>
      </c>
      <c r="F995" s="457" t="s">
        <v>857</v>
      </c>
      <c r="G995" s="452" t="str">
        <f>VLOOKUP(F995,★折込地区!$A$1:$B$11,2,FALSE)</f>
        <v>Hmm</v>
      </c>
      <c r="H995" s="453">
        <f>INDEX(★サイズ表記!$I$4:$Q$55, MATCH(E995,★サイズ表記!$E$4:$E$55,0), MATCH(G995,★サイズ表記!$I$3:$R$3,0))</f>
        <v>0</v>
      </c>
      <c r="K995" s="471" t="str">
        <f t="shared" si="104"/>
        <v>S1010Hmm</v>
      </c>
      <c r="L995" s="471" t="str">
        <f t="shared" si="105"/>
        <v>B4以下変形</v>
      </c>
      <c r="P995" s="533" t="s">
        <v>1324</v>
      </c>
      <c r="Q995" s="533" t="s">
        <v>1325</v>
      </c>
      <c r="R995" s="534" t="str">
        <f t="shared" si="106"/>
        <v>1010</v>
      </c>
      <c r="S995" s="534" t="str">
        <f t="shared" si="107"/>
        <v>B4以下変形</v>
      </c>
      <c r="T995" s="538" t="str">
        <f t="shared" si="108"/>
        <v>10</v>
      </c>
      <c r="U995" s="538" t="str">
        <f t="shared" si="109"/>
        <v>10</v>
      </c>
      <c r="V995" s="471" t="s">
        <v>1136</v>
      </c>
      <c r="Y995" s="472">
        <f t="shared" si="110"/>
        <v>0</v>
      </c>
      <c r="Z995" s="540">
        <f t="shared" si="111"/>
        <v>0</v>
      </c>
      <c r="AA995" s="471">
        <v>0</v>
      </c>
    </row>
    <row r="996" spans="1:27">
      <c r="A996" s="451" t="str">
        <f>CONCATENATE(VLOOKUP(B996,★営業所!$A$1:$B$5,2,FALSE),VLOOKUP(D996,★サイズ表記!$D$4:$E$55,2,FALSE),VLOOKUP(F996,★折込地区!$A$1:$B$11,2,FALSE))</f>
        <v>S1011Hmm</v>
      </c>
      <c r="B996" s="457" t="s">
        <v>276</v>
      </c>
      <c r="C996" s="452" t="str">
        <f>VLOOKUP(B996,★営業所!$A$1:$B$5,2,FALSE)</f>
        <v>S</v>
      </c>
      <c r="D996" s="465" t="s">
        <v>960</v>
      </c>
      <c r="E996" s="452" t="str">
        <f>VLOOKUP(D996,★サイズ表記!$D$4:$E$55,2,FALSE)</f>
        <v>1011</v>
      </c>
      <c r="F996" s="457" t="s">
        <v>857</v>
      </c>
      <c r="G996" s="452" t="str">
        <f>VLOOKUP(F996,★折込地区!$A$1:$B$11,2,FALSE)</f>
        <v>Hmm</v>
      </c>
      <c r="H996" s="453">
        <f>INDEX(★サイズ表記!$I$4:$Q$55, MATCH(E996,★サイズ表記!$E$4:$E$55,0), MATCH(G996,★サイズ表記!$I$3:$R$3,0))</f>
        <v>0</v>
      </c>
      <c r="K996" s="471" t="str">
        <f t="shared" si="104"/>
        <v>S1011Hmm</v>
      </c>
      <c r="L996" s="471" t="str">
        <f t="shared" si="105"/>
        <v>B4シール付き</v>
      </c>
      <c r="P996" s="533" t="s">
        <v>1324</v>
      </c>
      <c r="Q996" s="533" t="s">
        <v>1325</v>
      </c>
      <c r="R996" s="534" t="str">
        <f t="shared" si="106"/>
        <v>1011</v>
      </c>
      <c r="S996" s="534" t="str">
        <f t="shared" si="107"/>
        <v>B4シール付き</v>
      </c>
      <c r="T996" s="538" t="str">
        <f t="shared" si="108"/>
        <v>10</v>
      </c>
      <c r="U996" s="538" t="str">
        <f t="shared" si="109"/>
        <v>11</v>
      </c>
      <c r="V996" s="471" t="s">
        <v>1136</v>
      </c>
      <c r="Y996" s="472">
        <f t="shared" si="110"/>
        <v>0</v>
      </c>
      <c r="Z996" s="540">
        <f t="shared" si="111"/>
        <v>0</v>
      </c>
      <c r="AA996" s="471">
        <v>0</v>
      </c>
    </row>
    <row r="997" spans="1:27">
      <c r="A997" s="451" t="str">
        <f>CONCATENATE(VLOOKUP(B997,★営業所!$A$1:$B$5,2,FALSE),VLOOKUP(D997,★サイズ表記!$D$4:$E$55,2,FALSE),VLOOKUP(F997,★折込地区!$A$1:$B$11,2,FALSE))</f>
        <v>S1012Hmm</v>
      </c>
      <c r="B997" s="457" t="s">
        <v>276</v>
      </c>
      <c r="C997" s="452" t="str">
        <f>VLOOKUP(B997,★営業所!$A$1:$B$5,2,FALSE)</f>
        <v>S</v>
      </c>
      <c r="D997" s="465" t="s">
        <v>961</v>
      </c>
      <c r="E997" s="452" t="str">
        <f>VLOOKUP(D997,★サイズ表記!$D$4:$E$55,2,FALSE)</f>
        <v>1012</v>
      </c>
      <c r="F997" s="457" t="s">
        <v>857</v>
      </c>
      <c r="G997" s="452" t="str">
        <f>VLOOKUP(F997,★折込地区!$A$1:$B$11,2,FALSE)</f>
        <v>Hmm</v>
      </c>
      <c r="H997" s="453">
        <f>INDEX(★サイズ表記!$I$4:$Q$55, MATCH(E997,★サイズ表記!$E$4:$E$55,0), MATCH(G997,★サイズ表記!$I$3:$R$3,0))</f>
        <v>0</v>
      </c>
      <c r="K997" s="471" t="str">
        <f t="shared" si="104"/>
        <v>S1012Hmm</v>
      </c>
      <c r="L997" s="471" t="str">
        <f t="shared" si="105"/>
        <v>B3シール付き</v>
      </c>
      <c r="P997" s="533" t="s">
        <v>1324</v>
      </c>
      <c r="Q997" s="533" t="s">
        <v>1325</v>
      </c>
      <c r="R997" s="534" t="str">
        <f t="shared" si="106"/>
        <v>1012</v>
      </c>
      <c r="S997" s="534" t="str">
        <f t="shared" si="107"/>
        <v>B3シール付き</v>
      </c>
      <c r="T997" s="538" t="str">
        <f t="shared" si="108"/>
        <v>10</v>
      </c>
      <c r="U997" s="538" t="str">
        <f t="shared" si="109"/>
        <v>12</v>
      </c>
      <c r="V997" s="471" t="s">
        <v>1136</v>
      </c>
      <c r="Y997" s="472">
        <f t="shared" si="110"/>
        <v>0</v>
      </c>
      <c r="Z997" s="540">
        <f t="shared" si="111"/>
        <v>0</v>
      </c>
      <c r="AA997" s="471">
        <v>0</v>
      </c>
    </row>
    <row r="998" spans="1:27">
      <c r="A998" s="451" t="str">
        <f>CONCATENATE(VLOOKUP(B998,★営業所!$A$1:$B$5,2,FALSE),VLOOKUP(D998,★サイズ表記!$D$4:$E$55,2,FALSE),VLOOKUP(F998,★折込地区!$A$1:$B$11,2,FALSE))</f>
        <v>S1013Hmm</v>
      </c>
      <c r="B998" s="457" t="s">
        <v>276</v>
      </c>
      <c r="C998" s="452" t="str">
        <f>VLOOKUP(B998,★営業所!$A$1:$B$5,2,FALSE)</f>
        <v>S</v>
      </c>
      <c r="D998" s="465" t="s">
        <v>962</v>
      </c>
      <c r="E998" s="452" t="str">
        <f>VLOOKUP(D998,★サイズ表記!$D$4:$E$55,2,FALSE)</f>
        <v>1013</v>
      </c>
      <c r="F998" s="457" t="s">
        <v>857</v>
      </c>
      <c r="G998" s="452" t="str">
        <f>VLOOKUP(F998,★折込地区!$A$1:$B$11,2,FALSE)</f>
        <v>Hmm</v>
      </c>
      <c r="H998" s="453">
        <f>INDEX(★サイズ表記!$I$4:$Q$55, MATCH(E998,★サイズ表記!$E$4:$E$55,0), MATCH(G998,★サイズ表記!$I$3:$R$3,0))</f>
        <v>0</v>
      </c>
      <c r="K998" s="471" t="str">
        <f t="shared" si="104"/>
        <v>S1013Hmm</v>
      </c>
      <c r="L998" s="471" t="str">
        <f t="shared" si="105"/>
        <v>B4スクラッチ付き</v>
      </c>
      <c r="P998" s="533" t="s">
        <v>1324</v>
      </c>
      <c r="Q998" s="533" t="s">
        <v>1325</v>
      </c>
      <c r="R998" s="534" t="str">
        <f t="shared" si="106"/>
        <v>1013</v>
      </c>
      <c r="S998" s="534" t="str">
        <f t="shared" si="107"/>
        <v>B4スクラッチ付き</v>
      </c>
      <c r="T998" s="538" t="str">
        <f t="shared" si="108"/>
        <v>10</v>
      </c>
      <c r="U998" s="538" t="str">
        <f t="shared" si="109"/>
        <v>13</v>
      </c>
      <c r="V998" s="471" t="s">
        <v>1136</v>
      </c>
      <c r="Y998" s="472">
        <f t="shared" si="110"/>
        <v>0</v>
      </c>
      <c r="Z998" s="540">
        <f t="shared" si="111"/>
        <v>0</v>
      </c>
      <c r="AA998" s="471">
        <v>0</v>
      </c>
    </row>
    <row r="999" spans="1:27">
      <c r="A999" s="451" t="str">
        <f>CONCATENATE(VLOOKUP(B999,★営業所!$A$1:$B$5,2,FALSE),VLOOKUP(D999,★サイズ表記!$D$4:$E$55,2,FALSE),VLOOKUP(F999,★折込地区!$A$1:$B$11,2,FALSE))</f>
        <v>S2001Hmm</v>
      </c>
      <c r="B999" s="457" t="s">
        <v>276</v>
      </c>
      <c r="C999" s="452" t="str">
        <f>VLOOKUP(B999,★営業所!$A$1:$B$5,2,FALSE)</f>
        <v>S</v>
      </c>
      <c r="D999" s="465" t="s">
        <v>963</v>
      </c>
      <c r="E999" s="452" t="str">
        <f>VLOOKUP(D999,★サイズ表記!$D$4:$E$55,2,FALSE)</f>
        <v>2001</v>
      </c>
      <c r="F999" s="457" t="s">
        <v>857</v>
      </c>
      <c r="G999" s="452" t="str">
        <f>VLOOKUP(F999,★折込地区!$A$1:$B$11,2,FALSE)</f>
        <v>Hmm</v>
      </c>
      <c r="H999" s="453">
        <f>INDEX(★サイズ表記!$I$4:$Q$55, MATCH(E999,★サイズ表記!$E$4:$E$55,0), MATCH(G999,★サイズ表記!$I$3:$R$3,0))</f>
        <v>4.5</v>
      </c>
      <c r="K999" s="471" t="str">
        <f t="shared" si="104"/>
        <v>S2001Hmm</v>
      </c>
      <c r="L999" s="471" t="str">
        <f t="shared" si="105"/>
        <v>連合B4</v>
      </c>
      <c r="P999" s="533" t="s">
        <v>1324</v>
      </c>
      <c r="Q999" s="533" t="s">
        <v>1325</v>
      </c>
      <c r="R999" s="534" t="str">
        <f t="shared" si="106"/>
        <v>2001</v>
      </c>
      <c r="S999" s="534" t="str">
        <f t="shared" si="107"/>
        <v>連合B4</v>
      </c>
      <c r="T999" s="538" t="str">
        <f t="shared" si="108"/>
        <v>20</v>
      </c>
      <c r="U999" s="538" t="str">
        <f t="shared" si="109"/>
        <v>01</v>
      </c>
      <c r="V999" s="471" t="s">
        <v>1136</v>
      </c>
      <c r="Y999" s="472">
        <f t="shared" si="110"/>
        <v>4.5</v>
      </c>
      <c r="Z999" s="540">
        <f t="shared" si="111"/>
        <v>0.36</v>
      </c>
      <c r="AA999" s="471">
        <v>0</v>
      </c>
    </row>
    <row r="1000" spans="1:27">
      <c r="A1000" s="451" t="str">
        <f>CONCATENATE(VLOOKUP(B1000,★営業所!$A$1:$B$5,2,FALSE),VLOOKUP(D1000,★サイズ表記!$D$4:$E$55,2,FALSE),VLOOKUP(F1000,★折込地区!$A$1:$B$11,2,FALSE))</f>
        <v>S2002Hmm</v>
      </c>
      <c r="B1000" s="457" t="s">
        <v>276</v>
      </c>
      <c r="C1000" s="452" t="str">
        <f>VLOOKUP(B1000,★営業所!$A$1:$B$5,2,FALSE)</f>
        <v>S</v>
      </c>
      <c r="D1000" s="465" t="s">
        <v>964</v>
      </c>
      <c r="E1000" s="452" t="str">
        <f>VLOOKUP(D1000,★サイズ表記!$D$4:$E$55,2,FALSE)</f>
        <v>2002</v>
      </c>
      <c r="F1000" s="457" t="s">
        <v>857</v>
      </c>
      <c r="G1000" s="452" t="str">
        <f>VLOOKUP(F1000,★折込地区!$A$1:$B$11,2,FALSE)</f>
        <v>Hmm</v>
      </c>
      <c r="H1000" s="453">
        <f>INDEX(★サイズ表記!$I$4:$Q$55, MATCH(E1000,★サイズ表記!$E$4:$E$55,0), MATCH(G1000,★サイズ表記!$I$3:$R$3,0))</f>
        <v>7.5</v>
      </c>
      <c r="K1000" s="471" t="str">
        <f t="shared" si="104"/>
        <v>S2002Hmm</v>
      </c>
      <c r="L1000" s="471" t="str">
        <f t="shared" si="105"/>
        <v>連合B3</v>
      </c>
      <c r="P1000" s="533" t="s">
        <v>1324</v>
      </c>
      <c r="Q1000" s="533" t="s">
        <v>1325</v>
      </c>
      <c r="R1000" s="534" t="str">
        <f t="shared" si="106"/>
        <v>2002</v>
      </c>
      <c r="S1000" s="534" t="str">
        <f t="shared" si="107"/>
        <v>連合B3</v>
      </c>
      <c r="T1000" s="538" t="str">
        <f t="shared" si="108"/>
        <v>20</v>
      </c>
      <c r="U1000" s="538" t="str">
        <f t="shared" si="109"/>
        <v>02</v>
      </c>
      <c r="V1000" s="471" t="s">
        <v>1136</v>
      </c>
      <c r="Y1000" s="472">
        <f t="shared" si="110"/>
        <v>7.5</v>
      </c>
      <c r="Z1000" s="540">
        <f t="shared" si="111"/>
        <v>0.6</v>
      </c>
      <c r="AA1000" s="471">
        <v>0</v>
      </c>
    </row>
    <row r="1001" spans="1:27">
      <c r="A1001" s="451" t="str">
        <f>CONCATENATE(VLOOKUP(B1001,★営業所!$A$1:$B$5,2,FALSE),VLOOKUP(D1001,★サイズ表記!$D$4:$E$55,2,FALSE),VLOOKUP(F1001,★折込地区!$A$1:$B$11,2,FALSE))</f>
        <v>S2003Hmm</v>
      </c>
      <c r="B1001" s="457" t="s">
        <v>276</v>
      </c>
      <c r="C1001" s="452" t="str">
        <f>VLOOKUP(B1001,★営業所!$A$1:$B$5,2,FALSE)</f>
        <v>S</v>
      </c>
      <c r="D1001" s="465" t="s">
        <v>965</v>
      </c>
      <c r="E1001" s="452" t="str">
        <f>VLOOKUP(D1001,★サイズ表記!$D$4:$E$55,2,FALSE)</f>
        <v>2003</v>
      </c>
      <c r="F1001" s="457" t="s">
        <v>857</v>
      </c>
      <c r="G1001" s="452" t="str">
        <f>VLOOKUP(F1001,★折込地区!$A$1:$B$11,2,FALSE)</f>
        <v>Hmm</v>
      </c>
      <c r="H1001" s="453">
        <f>INDEX(★サイズ表記!$I$4:$Q$55, MATCH(E1001,★サイズ表記!$E$4:$E$55,0), MATCH(G1001,★サイズ表記!$I$3:$R$3,0))</f>
        <v>12</v>
      </c>
      <c r="K1001" s="471" t="str">
        <f t="shared" si="104"/>
        <v>S2003Hmm</v>
      </c>
      <c r="L1001" s="471" t="str">
        <f t="shared" si="105"/>
        <v>連合B2</v>
      </c>
      <c r="P1001" s="533" t="s">
        <v>1324</v>
      </c>
      <c r="Q1001" s="533" t="s">
        <v>1325</v>
      </c>
      <c r="R1001" s="534" t="str">
        <f t="shared" si="106"/>
        <v>2003</v>
      </c>
      <c r="S1001" s="534" t="str">
        <f t="shared" si="107"/>
        <v>連合B2</v>
      </c>
      <c r="T1001" s="538" t="str">
        <f t="shared" si="108"/>
        <v>20</v>
      </c>
      <c r="U1001" s="538" t="str">
        <f t="shared" si="109"/>
        <v>03</v>
      </c>
      <c r="V1001" s="471" t="s">
        <v>1136</v>
      </c>
      <c r="Y1001" s="472">
        <f t="shared" si="110"/>
        <v>12</v>
      </c>
      <c r="Z1001" s="540">
        <f t="shared" si="111"/>
        <v>0.96</v>
      </c>
      <c r="AA1001" s="471">
        <v>0</v>
      </c>
    </row>
    <row r="1002" spans="1:27">
      <c r="A1002" s="451" t="str">
        <f>CONCATENATE(VLOOKUP(B1002,★営業所!$A$1:$B$5,2,FALSE),VLOOKUP(D1002,★サイズ表記!$D$4:$E$55,2,FALSE),VLOOKUP(F1002,★折込地区!$A$1:$B$11,2,FALSE))</f>
        <v>S2004Hmm</v>
      </c>
      <c r="B1002" s="457" t="s">
        <v>276</v>
      </c>
      <c r="C1002" s="452" t="str">
        <f>VLOOKUP(B1002,★営業所!$A$1:$B$5,2,FALSE)</f>
        <v>S</v>
      </c>
      <c r="D1002" s="465" t="s">
        <v>966</v>
      </c>
      <c r="E1002" s="452" t="str">
        <f>VLOOKUP(D1002,★サイズ表記!$D$4:$E$55,2,FALSE)</f>
        <v>2004</v>
      </c>
      <c r="F1002" s="457" t="s">
        <v>857</v>
      </c>
      <c r="G1002" s="452" t="str">
        <f>VLOOKUP(F1002,★折込地区!$A$1:$B$11,2,FALSE)</f>
        <v>Hmm</v>
      </c>
      <c r="H1002" s="453">
        <f>INDEX(★サイズ表記!$I$4:$Q$55, MATCH(E1002,★サイズ表記!$E$4:$E$55,0), MATCH(G1002,★サイズ表記!$I$3:$R$3,0))</f>
        <v>0</v>
      </c>
      <c r="K1002" s="471" t="str">
        <f t="shared" si="104"/>
        <v>S2004Hmm</v>
      </c>
      <c r="L1002" s="471" t="str">
        <f t="shared" si="105"/>
        <v>連合3つ折り</v>
      </c>
      <c r="P1002" s="533" t="s">
        <v>1324</v>
      </c>
      <c r="Q1002" s="533" t="s">
        <v>1325</v>
      </c>
      <c r="R1002" s="534" t="str">
        <f t="shared" si="106"/>
        <v>2004</v>
      </c>
      <c r="S1002" s="534" t="str">
        <f t="shared" si="107"/>
        <v>連合3つ折り</v>
      </c>
      <c r="T1002" s="538" t="str">
        <f t="shared" si="108"/>
        <v>20</v>
      </c>
      <c r="U1002" s="538" t="str">
        <f t="shared" si="109"/>
        <v>04</v>
      </c>
      <c r="V1002" s="471" t="s">
        <v>1136</v>
      </c>
      <c r="Y1002" s="472">
        <f t="shared" si="110"/>
        <v>0</v>
      </c>
      <c r="Z1002" s="540">
        <f t="shared" si="111"/>
        <v>0</v>
      </c>
      <c r="AA1002" s="471">
        <v>0</v>
      </c>
    </row>
    <row r="1003" spans="1:27">
      <c r="A1003" s="451" t="str">
        <f>CONCATENATE(VLOOKUP(B1003,★営業所!$A$1:$B$5,2,FALSE),VLOOKUP(D1003,★サイズ表記!$D$4:$E$55,2,FALSE),VLOOKUP(F1003,★折込地区!$A$1:$B$11,2,FALSE))</f>
        <v>S2005Hmm</v>
      </c>
      <c r="B1003" s="457" t="s">
        <v>276</v>
      </c>
      <c r="C1003" s="452" t="str">
        <f>VLOOKUP(B1003,★営業所!$A$1:$B$5,2,FALSE)</f>
        <v>S</v>
      </c>
      <c r="D1003" s="465" t="s">
        <v>967</v>
      </c>
      <c r="E1003" s="452" t="str">
        <f>VLOOKUP(D1003,★サイズ表記!$D$4:$E$55,2,FALSE)</f>
        <v>2005</v>
      </c>
      <c r="F1003" s="457" t="s">
        <v>857</v>
      </c>
      <c r="G1003" s="452" t="str">
        <f>VLOOKUP(F1003,★折込地区!$A$1:$B$11,2,FALSE)</f>
        <v>Hmm</v>
      </c>
      <c r="H1003" s="453">
        <f>INDEX(★サイズ表記!$I$4:$Q$55, MATCH(E1003,★サイズ表記!$E$4:$E$55,0), MATCH(G1003,★サイズ表記!$I$3:$R$3,0))</f>
        <v>0</v>
      </c>
      <c r="K1003" s="471" t="str">
        <f t="shared" si="104"/>
        <v>S2005Hmm</v>
      </c>
      <c r="L1003" s="471" t="str">
        <f t="shared" si="105"/>
        <v>連合B4厚紙</v>
      </c>
      <c r="P1003" s="533" t="s">
        <v>1324</v>
      </c>
      <c r="Q1003" s="533" t="s">
        <v>1325</v>
      </c>
      <c r="R1003" s="534" t="str">
        <f t="shared" si="106"/>
        <v>2005</v>
      </c>
      <c r="S1003" s="534" t="str">
        <f t="shared" si="107"/>
        <v>連合B4厚紙</v>
      </c>
      <c r="T1003" s="538" t="str">
        <f t="shared" si="108"/>
        <v>20</v>
      </c>
      <c r="U1003" s="538" t="str">
        <f t="shared" si="109"/>
        <v>05</v>
      </c>
      <c r="V1003" s="471" t="s">
        <v>1136</v>
      </c>
      <c r="Y1003" s="472">
        <f t="shared" si="110"/>
        <v>0</v>
      </c>
      <c r="Z1003" s="540">
        <f t="shared" si="111"/>
        <v>0</v>
      </c>
      <c r="AA1003" s="471">
        <v>0</v>
      </c>
    </row>
    <row r="1004" spans="1:27">
      <c r="A1004" s="451" t="str">
        <f>CONCATENATE(VLOOKUP(B1004,★営業所!$A$1:$B$5,2,FALSE),VLOOKUP(D1004,★サイズ表記!$D$4:$E$55,2,FALSE),VLOOKUP(F1004,★折込地区!$A$1:$B$11,2,FALSE))</f>
        <v>S2006Hmm</v>
      </c>
      <c r="B1004" s="457" t="s">
        <v>276</v>
      </c>
      <c r="C1004" s="452" t="str">
        <f>VLOOKUP(B1004,★営業所!$A$1:$B$5,2,FALSE)</f>
        <v>S</v>
      </c>
      <c r="D1004" s="465" t="s">
        <v>968</v>
      </c>
      <c r="E1004" s="452" t="str">
        <f>VLOOKUP(D1004,★サイズ表記!$D$4:$E$55,2,FALSE)</f>
        <v>2006</v>
      </c>
      <c r="F1004" s="457" t="s">
        <v>857</v>
      </c>
      <c r="G1004" s="452" t="str">
        <f>VLOOKUP(F1004,★折込地区!$A$1:$B$11,2,FALSE)</f>
        <v>Hmm</v>
      </c>
      <c r="H1004" s="453">
        <f>INDEX(★サイズ表記!$I$4:$Q$55, MATCH(E1004,★サイズ表記!$E$4:$E$55,0), MATCH(G1004,★サイズ表記!$I$3:$R$3,0))</f>
        <v>0</v>
      </c>
      <c r="K1004" s="471" t="str">
        <f t="shared" ref="K1004:K1067" si="112">A1004</f>
        <v>S2006Hmm</v>
      </c>
      <c r="L1004" s="471" t="str">
        <f t="shared" ref="L1004:L1067" si="113">D1004</f>
        <v>連合2つ折り極小</v>
      </c>
      <c r="P1004" s="533" t="s">
        <v>1324</v>
      </c>
      <c r="Q1004" s="533" t="s">
        <v>1325</v>
      </c>
      <c r="R1004" s="534" t="str">
        <f t="shared" si="106"/>
        <v>2006</v>
      </c>
      <c r="S1004" s="534" t="str">
        <f t="shared" si="107"/>
        <v>連合2つ折り極小</v>
      </c>
      <c r="T1004" s="538" t="str">
        <f t="shared" si="108"/>
        <v>20</v>
      </c>
      <c r="U1004" s="538" t="str">
        <f t="shared" si="109"/>
        <v>06</v>
      </c>
      <c r="V1004" s="471" t="s">
        <v>1136</v>
      </c>
      <c r="Y1004" s="472">
        <f t="shared" si="110"/>
        <v>0</v>
      </c>
      <c r="Z1004" s="540">
        <f t="shared" si="111"/>
        <v>0</v>
      </c>
      <c r="AA1004" s="471">
        <v>0</v>
      </c>
    </row>
    <row r="1005" spans="1:27">
      <c r="A1005" s="451" t="str">
        <f>CONCATENATE(VLOOKUP(B1005,★営業所!$A$1:$B$5,2,FALSE),VLOOKUP(D1005,★サイズ表記!$D$4:$E$55,2,FALSE),VLOOKUP(F1005,★折込地区!$A$1:$B$11,2,FALSE))</f>
        <v>S2007Hmm</v>
      </c>
      <c r="B1005" s="457" t="s">
        <v>276</v>
      </c>
      <c r="C1005" s="452" t="str">
        <f>VLOOKUP(B1005,★営業所!$A$1:$B$5,2,FALSE)</f>
        <v>S</v>
      </c>
      <c r="D1005" s="465" t="s">
        <v>1365</v>
      </c>
      <c r="E1005" s="452" t="str">
        <f>VLOOKUP(D1005,★サイズ表記!$D$4:$E$55,2,FALSE)</f>
        <v>2007</v>
      </c>
      <c r="F1005" s="457" t="s">
        <v>857</v>
      </c>
      <c r="G1005" s="452" t="str">
        <f>VLOOKUP(F1005,★折込地区!$A$1:$B$11,2,FALSE)</f>
        <v>Hmm</v>
      </c>
      <c r="H1005" s="453">
        <f>INDEX(★サイズ表記!$I$4:$Q$55, MATCH(E1005,★サイズ表記!$E$4:$E$55,0), MATCH(G1005,★サイズ表記!$I$3:$R$3,0))</f>
        <v>0</v>
      </c>
      <c r="K1005" s="471" t="str">
        <f t="shared" si="112"/>
        <v>S2007Hmm</v>
      </c>
      <c r="L1005" s="471" t="str">
        <f t="shared" si="113"/>
        <v>連合タブ6P</v>
      </c>
      <c r="P1005" s="533" t="s">
        <v>1324</v>
      </c>
      <c r="Q1005" s="533" t="s">
        <v>1325</v>
      </c>
      <c r="R1005" s="534" t="str">
        <f t="shared" ref="R1005:R1068" si="114">E1005</f>
        <v>2007</v>
      </c>
      <c r="S1005" s="534" t="str">
        <f t="shared" ref="S1005:S1068" si="115">L1005</f>
        <v>連合タブ6P</v>
      </c>
      <c r="T1005" s="538" t="str">
        <f t="shared" ref="T1005:T1068" si="116">LEFT($E1005,2)</f>
        <v>20</v>
      </c>
      <c r="U1005" s="538" t="str">
        <f t="shared" ref="U1005:U1068" si="117">RIGHT($E1005,2)</f>
        <v>07</v>
      </c>
      <c r="V1005" s="471" t="s">
        <v>1136</v>
      </c>
      <c r="Y1005" s="472">
        <f t="shared" ref="Y1005:Y1068" si="118">$H1005</f>
        <v>0</v>
      </c>
      <c r="Z1005" s="540">
        <f t="shared" ref="Z1005:Z1068" si="119">ROUNDDOWN($H1005*8/100,2)</f>
        <v>0</v>
      </c>
      <c r="AA1005" s="471">
        <v>0</v>
      </c>
    </row>
    <row r="1006" spans="1:27">
      <c r="A1006" s="451" t="str">
        <f>CONCATENATE(VLOOKUP(B1006,★営業所!$A$1:$B$5,2,FALSE),VLOOKUP(D1006,★サイズ表記!$D$4:$E$55,2,FALSE),VLOOKUP(F1006,★折込地区!$A$1:$B$11,2,FALSE))</f>
        <v>S2008Hmm</v>
      </c>
      <c r="B1006" s="457" t="s">
        <v>276</v>
      </c>
      <c r="C1006" s="452" t="str">
        <f>VLOOKUP(B1006,★営業所!$A$1:$B$5,2,FALSE)</f>
        <v>S</v>
      </c>
      <c r="D1006" s="465" t="s">
        <v>1366</v>
      </c>
      <c r="E1006" s="452" t="str">
        <f>VLOOKUP(D1006,★サイズ表記!$D$4:$E$55,2,FALSE)</f>
        <v>2008</v>
      </c>
      <c r="F1006" s="457" t="s">
        <v>857</v>
      </c>
      <c r="G1006" s="452" t="str">
        <f>VLOOKUP(F1006,★折込地区!$A$1:$B$11,2,FALSE)</f>
        <v>Hmm</v>
      </c>
      <c r="H1006" s="453">
        <f>INDEX(★サイズ表記!$I$4:$Q$55, MATCH(E1006,★サイズ表記!$E$4:$E$55,0), MATCH(G1006,★サイズ表記!$I$3:$R$3,0))</f>
        <v>0</v>
      </c>
      <c r="K1006" s="471" t="str">
        <f t="shared" si="112"/>
        <v>S2008Hmm</v>
      </c>
      <c r="L1006" s="471" t="str">
        <f t="shared" si="113"/>
        <v>連合タブ8P</v>
      </c>
      <c r="P1006" s="533" t="s">
        <v>1324</v>
      </c>
      <c r="Q1006" s="533" t="s">
        <v>1325</v>
      </c>
      <c r="R1006" s="534" t="str">
        <f t="shared" si="114"/>
        <v>2008</v>
      </c>
      <c r="S1006" s="534" t="str">
        <f t="shared" si="115"/>
        <v>連合タブ8P</v>
      </c>
      <c r="T1006" s="538" t="str">
        <f t="shared" si="116"/>
        <v>20</v>
      </c>
      <c r="U1006" s="538" t="str">
        <f t="shared" si="117"/>
        <v>08</v>
      </c>
      <c r="V1006" s="471" t="s">
        <v>1136</v>
      </c>
      <c r="Y1006" s="472">
        <f t="shared" si="118"/>
        <v>0</v>
      </c>
      <c r="Z1006" s="540">
        <f t="shared" si="119"/>
        <v>0</v>
      </c>
      <c r="AA1006" s="471">
        <v>0</v>
      </c>
    </row>
    <row r="1007" spans="1:27">
      <c r="A1007" s="451" t="str">
        <f>CONCATENATE(VLOOKUP(B1007,★営業所!$A$1:$B$5,2,FALSE),VLOOKUP(D1007,★サイズ表記!$D$4:$E$55,2,FALSE),VLOOKUP(F1007,★折込地区!$A$1:$B$11,2,FALSE))</f>
        <v>S2009Hmm</v>
      </c>
      <c r="B1007" s="457" t="s">
        <v>276</v>
      </c>
      <c r="C1007" s="452" t="str">
        <f>VLOOKUP(B1007,★営業所!$A$1:$B$5,2,FALSE)</f>
        <v>S</v>
      </c>
      <c r="D1007" s="465" t="s">
        <v>1364</v>
      </c>
      <c r="E1007" s="452" t="str">
        <f>VLOOKUP(D1007,★サイズ表記!$D$4:$E$55,2,FALSE)</f>
        <v>2009</v>
      </c>
      <c r="F1007" s="457" t="s">
        <v>857</v>
      </c>
      <c r="G1007" s="452" t="str">
        <f>VLOOKUP(F1007,★折込地区!$A$1:$B$11,2,FALSE)</f>
        <v>Hmm</v>
      </c>
      <c r="H1007" s="453">
        <f>INDEX(★サイズ表記!$I$4:$Q$55, MATCH(E1007,★サイズ表記!$E$4:$E$55,0), MATCH(G1007,★サイズ表記!$I$3:$R$3,0))</f>
        <v>0</v>
      </c>
      <c r="K1007" s="471" t="str">
        <f t="shared" si="112"/>
        <v>S2009Hmm</v>
      </c>
      <c r="L1007" s="471" t="str">
        <f t="shared" si="113"/>
        <v>連合タブ12P</v>
      </c>
      <c r="P1007" s="533" t="s">
        <v>1324</v>
      </c>
      <c r="Q1007" s="533" t="s">
        <v>1325</v>
      </c>
      <c r="R1007" s="534" t="str">
        <f t="shared" si="114"/>
        <v>2009</v>
      </c>
      <c r="S1007" s="534" t="str">
        <f t="shared" si="115"/>
        <v>連合タブ12P</v>
      </c>
      <c r="T1007" s="538" t="str">
        <f t="shared" si="116"/>
        <v>20</v>
      </c>
      <c r="U1007" s="538" t="str">
        <f t="shared" si="117"/>
        <v>09</v>
      </c>
      <c r="V1007" s="471" t="s">
        <v>1136</v>
      </c>
      <c r="Y1007" s="472">
        <f t="shared" si="118"/>
        <v>0</v>
      </c>
      <c r="Z1007" s="540">
        <f t="shared" si="119"/>
        <v>0</v>
      </c>
      <c r="AA1007" s="471">
        <v>0</v>
      </c>
    </row>
    <row r="1008" spans="1:27">
      <c r="A1008" s="451" t="str">
        <f>CONCATENATE(VLOOKUP(B1008,★営業所!$A$1:$B$5,2,FALSE),VLOOKUP(D1008,★サイズ表記!$D$4:$E$55,2,FALSE),VLOOKUP(F1008,★折込地区!$A$1:$B$11,2,FALSE))</f>
        <v>S3001Hmm</v>
      </c>
      <c r="B1008" s="457" t="s">
        <v>276</v>
      </c>
      <c r="C1008" s="452" t="str">
        <f>VLOOKUP(B1008,★営業所!$A$1:$B$5,2,FALSE)</f>
        <v>S</v>
      </c>
      <c r="D1008" s="465" t="s">
        <v>969</v>
      </c>
      <c r="E1008" s="452" t="str">
        <f>VLOOKUP(D1008,★サイズ表記!$D$4:$E$55,2,FALSE)</f>
        <v>3001</v>
      </c>
      <c r="F1008" s="457" t="s">
        <v>857</v>
      </c>
      <c r="G1008" s="452" t="str">
        <f>VLOOKUP(F1008,★折込地区!$A$1:$B$11,2,FALSE)</f>
        <v>Hmm</v>
      </c>
      <c r="H1008" s="453">
        <f>INDEX(★サイズ表記!$I$4:$Q$55, MATCH(E1008,★サイズ表記!$E$4:$E$55,0), MATCH(G1008,★サイズ表記!$I$3:$R$3,0))</f>
        <v>4.5</v>
      </c>
      <c r="K1008" s="471" t="str">
        <f t="shared" si="112"/>
        <v>S3001Hmm</v>
      </c>
      <c r="L1008" s="471" t="str">
        <f t="shared" si="113"/>
        <v>政治B4</v>
      </c>
      <c r="P1008" s="533" t="s">
        <v>1324</v>
      </c>
      <c r="Q1008" s="533" t="s">
        <v>1325</v>
      </c>
      <c r="R1008" s="534" t="str">
        <f t="shared" si="114"/>
        <v>3001</v>
      </c>
      <c r="S1008" s="534" t="str">
        <f t="shared" si="115"/>
        <v>政治B4</v>
      </c>
      <c r="T1008" s="538" t="str">
        <f t="shared" si="116"/>
        <v>30</v>
      </c>
      <c r="U1008" s="538" t="str">
        <f t="shared" si="117"/>
        <v>01</v>
      </c>
      <c r="V1008" s="471" t="s">
        <v>1136</v>
      </c>
      <c r="Y1008" s="472">
        <f t="shared" si="118"/>
        <v>4.5</v>
      </c>
      <c r="Z1008" s="540">
        <f t="shared" si="119"/>
        <v>0.36</v>
      </c>
      <c r="AA1008" s="471">
        <v>0</v>
      </c>
    </row>
    <row r="1009" spans="1:27">
      <c r="A1009" s="451" t="str">
        <f>CONCATENATE(VLOOKUP(B1009,★営業所!$A$1:$B$5,2,FALSE),VLOOKUP(D1009,★サイズ表記!$D$4:$E$55,2,FALSE),VLOOKUP(F1009,★折込地区!$A$1:$B$11,2,FALSE))</f>
        <v>S3002Hmm</v>
      </c>
      <c r="B1009" s="457" t="s">
        <v>276</v>
      </c>
      <c r="C1009" s="452" t="str">
        <f>VLOOKUP(B1009,★営業所!$A$1:$B$5,2,FALSE)</f>
        <v>S</v>
      </c>
      <c r="D1009" s="465" t="s">
        <v>970</v>
      </c>
      <c r="E1009" s="452" t="str">
        <f>VLOOKUP(D1009,★サイズ表記!$D$4:$E$55,2,FALSE)</f>
        <v>3002</v>
      </c>
      <c r="F1009" s="457" t="s">
        <v>857</v>
      </c>
      <c r="G1009" s="452" t="str">
        <f>VLOOKUP(F1009,★折込地区!$A$1:$B$11,2,FALSE)</f>
        <v>Hmm</v>
      </c>
      <c r="H1009" s="453">
        <f>INDEX(★サイズ表記!$I$4:$Q$55, MATCH(E1009,★サイズ表記!$E$4:$E$55,0), MATCH(G1009,★サイズ表記!$I$3:$R$3,0))</f>
        <v>7.5</v>
      </c>
      <c r="K1009" s="471" t="str">
        <f t="shared" si="112"/>
        <v>S3002Hmm</v>
      </c>
      <c r="L1009" s="471" t="str">
        <f t="shared" si="113"/>
        <v>政治B3</v>
      </c>
      <c r="P1009" s="533" t="s">
        <v>1324</v>
      </c>
      <c r="Q1009" s="533" t="s">
        <v>1325</v>
      </c>
      <c r="R1009" s="534" t="str">
        <f t="shared" si="114"/>
        <v>3002</v>
      </c>
      <c r="S1009" s="534" t="str">
        <f t="shared" si="115"/>
        <v>政治B3</v>
      </c>
      <c r="T1009" s="538" t="str">
        <f t="shared" si="116"/>
        <v>30</v>
      </c>
      <c r="U1009" s="538" t="str">
        <f t="shared" si="117"/>
        <v>02</v>
      </c>
      <c r="V1009" s="471" t="s">
        <v>1136</v>
      </c>
      <c r="Y1009" s="472">
        <f t="shared" si="118"/>
        <v>7.5</v>
      </c>
      <c r="Z1009" s="540">
        <f t="shared" si="119"/>
        <v>0.6</v>
      </c>
      <c r="AA1009" s="471">
        <v>0</v>
      </c>
    </row>
    <row r="1010" spans="1:27">
      <c r="A1010" s="451" t="str">
        <f>CONCATENATE(VLOOKUP(B1010,★営業所!$A$1:$B$5,2,FALSE),VLOOKUP(D1010,★サイズ表記!$D$4:$E$55,2,FALSE),VLOOKUP(F1010,★折込地区!$A$1:$B$11,2,FALSE))</f>
        <v>S3003Hmm</v>
      </c>
      <c r="B1010" s="457" t="s">
        <v>276</v>
      </c>
      <c r="C1010" s="452" t="str">
        <f>VLOOKUP(B1010,★営業所!$A$1:$B$5,2,FALSE)</f>
        <v>S</v>
      </c>
      <c r="D1010" s="465" t="s">
        <v>971</v>
      </c>
      <c r="E1010" s="452" t="str">
        <f>VLOOKUP(D1010,★サイズ表記!$D$4:$E$55,2,FALSE)</f>
        <v>3003</v>
      </c>
      <c r="F1010" s="457" t="s">
        <v>857</v>
      </c>
      <c r="G1010" s="452" t="str">
        <f>VLOOKUP(F1010,★折込地区!$A$1:$B$11,2,FALSE)</f>
        <v>Hmm</v>
      </c>
      <c r="H1010" s="453">
        <f>INDEX(★サイズ表記!$I$4:$Q$55, MATCH(E1010,★サイズ表記!$E$4:$E$55,0), MATCH(G1010,★サイズ表記!$I$3:$R$3,0))</f>
        <v>12</v>
      </c>
      <c r="K1010" s="471" t="str">
        <f t="shared" si="112"/>
        <v>S3003Hmm</v>
      </c>
      <c r="L1010" s="471" t="str">
        <f t="shared" si="113"/>
        <v>政治B2</v>
      </c>
      <c r="P1010" s="533" t="s">
        <v>1324</v>
      </c>
      <c r="Q1010" s="533" t="s">
        <v>1325</v>
      </c>
      <c r="R1010" s="534" t="str">
        <f t="shared" si="114"/>
        <v>3003</v>
      </c>
      <c r="S1010" s="534" t="str">
        <f t="shared" si="115"/>
        <v>政治B2</v>
      </c>
      <c r="T1010" s="538" t="str">
        <f t="shared" si="116"/>
        <v>30</v>
      </c>
      <c r="U1010" s="538" t="str">
        <f t="shared" si="117"/>
        <v>03</v>
      </c>
      <c r="V1010" s="471" t="s">
        <v>1136</v>
      </c>
      <c r="Y1010" s="472">
        <f t="shared" si="118"/>
        <v>12</v>
      </c>
      <c r="Z1010" s="540">
        <f t="shared" si="119"/>
        <v>0.96</v>
      </c>
      <c r="AA1010" s="471">
        <v>0</v>
      </c>
    </row>
    <row r="1011" spans="1:27">
      <c r="A1011" s="451" t="str">
        <f>CONCATENATE(VLOOKUP(B1011,★営業所!$A$1:$B$5,2,FALSE),VLOOKUP(D1011,★サイズ表記!$D$4:$E$55,2,FALSE),VLOOKUP(F1011,★折込地区!$A$1:$B$11,2,FALSE))</f>
        <v>S3004Hmm</v>
      </c>
      <c r="B1011" s="457" t="s">
        <v>276</v>
      </c>
      <c r="C1011" s="452" t="str">
        <f>VLOOKUP(B1011,★営業所!$A$1:$B$5,2,FALSE)</f>
        <v>S</v>
      </c>
      <c r="D1011" s="465" t="s">
        <v>972</v>
      </c>
      <c r="E1011" s="452" t="str">
        <f>VLOOKUP(D1011,★サイズ表記!$D$4:$E$55,2,FALSE)</f>
        <v>3004</v>
      </c>
      <c r="F1011" s="457" t="s">
        <v>857</v>
      </c>
      <c r="G1011" s="452" t="str">
        <f>VLOOKUP(F1011,★折込地区!$A$1:$B$11,2,FALSE)</f>
        <v>Hmm</v>
      </c>
      <c r="H1011" s="453">
        <f>INDEX(★サイズ表記!$I$4:$Q$55, MATCH(E1011,★サイズ表記!$E$4:$E$55,0), MATCH(G1011,★サイズ表記!$I$3:$R$3,0))</f>
        <v>0</v>
      </c>
      <c r="K1011" s="471" t="str">
        <f t="shared" si="112"/>
        <v>S3004Hmm</v>
      </c>
      <c r="L1011" s="471" t="str">
        <f t="shared" si="113"/>
        <v>政治3つ折り</v>
      </c>
      <c r="P1011" s="533" t="s">
        <v>1324</v>
      </c>
      <c r="Q1011" s="533" t="s">
        <v>1325</v>
      </c>
      <c r="R1011" s="534" t="str">
        <f t="shared" si="114"/>
        <v>3004</v>
      </c>
      <c r="S1011" s="534" t="str">
        <f t="shared" si="115"/>
        <v>政治3つ折り</v>
      </c>
      <c r="T1011" s="538" t="str">
        <f t="shared" si="116"/>
        <v>30</v>
      </c>
      <c r="U1011" s="538" t="str">
        <f t="shared" si="117"/>
        <v>04</v>
      </c>
      <c r="V1011" s="471" t="s">
        <v>1136</v>
      </c>
      <c r="Y1011" s="472">
        <f t="shared" si="118"/>
        <v>0</v>
      </c>
      <c r="Z1011" s="540">
        <f t="shared" si="119"/>
        <v>0</v>
      </c>
      <c r="AA1011" s="471">
        <v>0</v>
      </c>
    </row>
    <row r="1012" spans="1:27">
      <c r="A1012" s="451" t="str">
        <f>CONCATENATE(VLOOKUP(B1012,★営業所!$A$1:$B$5,2,FALSE),VLOOKUP(D1012,★サイズ表記!$D$4:$E$55,2,FALSE),VLOOKUP(F1012,★折込地区!$A$1:$B$11,2,FALSE))</f>
        <v>S3005Hmm</v>
      </c>
      <c r="B1012" s="457" t="s">
        <v>276</v>
      </c>
      <c r="C1012" s="452" t="str">
        <f>VLOOKUP(B1012,★営業所!$A$1:$B$5,2,FALSE)</f>
        <v>S</v>
      </c>
      <c r="D1012" s="465" t="s">
        <v>973</v>
      </c>
      <c r="E1012" s="452" t="str">
        <f>VLOOKUP(D1012,★サイズ表記!$D$4:$E$55,2,FALSE)</f>
        <v>3005</v>
      </c>
      <c r="F1012" s="457" t="s">
        <v>857</v>
      </c>
      <c r="G1012" s="452" t="str">
        <f>VLOOKUP(F1012,★折込地区!$A$1:$B$11,2,FALSE)</f>
        <v>Hmm</v>
      </c>
      <c r="H1012" s="453">
        <f>INDEX(★サイズ表記!$I$4:$Q$55, MATCH(E1012,★サイズ表記!$E$4:$E$55,0), MATCH(G1012,★サイズ表記!$I$3:$R$3,0))</f>
        <v>0</v>
      </c>
      <c r="K1012" s="471" t="str">
        <f t="shared" si="112"/>
        <v>S3005Hmm</v>
      </c>
      <c r="L1012" s="471" t="str">
        <f t="shared" si="113"/>
        <v>政治2つ折り極小</v>
      </c>
      <c r="P1012" s="533" t="s">
        <v>1324</v>
      </c>
      <c r="Q1012" s="533" t="s">
        <v>1325</v>
      </c>
      <c r="R1012" s="534" t="str">
        <f t="shared" si="114"/>
        <v>3005</v>
      </c>
      <c r="S1012" s="534" t="str">
        <f t="shared" si="115"/>
        <v>政治2つ折り極小</v>
      </c>
      <c r="T1012" s="538" t="str">
        <f t="shared" si="116"/>
        <v>30</v>
      </c>
      <c r="U1012" s="538" t="str">
        <f t="shared" si="117"/>
        <v>05</v>
      </c>
      <c r="V1012" s="471" t="s">
        <v>1136</v>
      </c>
      <c r="Y1012" s="472">
        <f t="shared" si="118"/>
        <v>0</v>
      </c>
      <c r="Z1012" s="540">
        <f t="shared" si="119"/>
        <v>0</v>
      </c>
      <c r="AA1012" s="471">
        <v>0</v>
      </c>
    </row>
    <row r="1013" spans="1:27">
      <c r="A1013" s="451" t="str">
        <f>CONCATENATE(VLOOKUP(B1013,★営業所!$A$1:$B$5,2,FALSE),VLOOKUP(D1013,★サイズ表記!$D$4:$E$55,2,FALSE),VLOOKUP(F1013,★折込地区!$A$1:$B$11,2,FALSE))</f>
        <v>S3006Hmm</v>
      </c>
      <c r="B1013" s="457" t="s">
        <v>276</v>
      </c>
      <c r="C1013" s="452" t="str">
        <f>VLOOKUP(B1013,★営業所!$A$1:$B$5,2,FALSE)</f>
        <v>S</v>
      </c>
      <c r="D1013" s="465" t="s">
        <v>974</v>
      </c>
      <c r="E1013" s="452" t="str">
        <f>VLOOKUP(D1013,★サイズ表記!$D$4:$E$55,2,FALSE)</f>
        <v>3006</v>
      </c>
      <c r="F1013" s="457" t="s">
        <v>857</v>
      </c>
      <c r="G1013" s="452" t="str">
        <f>VLOOKUP(F1013,★折込地区!$A$1:$B$11,2,FALSE)</f>
        <v>Hmm</v>
      </c>
      <c r="H1013" s="453">
        <f>INDEX(★サイズ表記!$I$4:$Q$55, MATCH(E1013,★サイズ表記!$E$4:$E$55,0), MATCH(G1013,★サイズ表記!$I$3:$R$3,0))</f>
        <v>0</v>
      </c>
      <c r="K1013" s="471" t="str">
        <f t="shared" si="112"/>
        <v>S3006Hmm</v>
      </c>
      <c r="L1013" s="471" t="str">
        <f t="shared" si="113"/>
        <v>政治B4厚紙</v>
      </c>
      <c r="P1013" s="533" t="s">
        <v>1324</v>
      </c>
      <c r="Q1013" s="533" t="s">
        <v>1325</v>
      </c>
      <c r="R1013" s="534" t="str">
        <f t="shared" si="114"/>
        <v>3006</v>
      </c>
      <c r="S1013" s="534" t="str">
        <f t="shared" si="115"/>
        <v>政治B4厚紙</v>
      </c>
      <c r="T1013" s="538" t="str">
        <f t="shared" si="116"/>
        <v>30</v>
      </c>
      <c r="U1013" s="538" t="str">
        <f t="shared" si="117"/>
        <v>06</v>
      </c>
      <c r="V1013" s="471" t="s">
        <v>1136</v>
      </c>
      <c r="Y1013" s="472">
        <f t="shared" si="118"/>
        <v>0</v>
      </c>
      <c r="Z1013" s="540">
        <f t="shared" si="119"/>
        <v>0</v>
      </c>
      <c r="AA1013" s="471">
        <v>0</v>
      </c>
    </row>
    <row r="1014" spans="1:27">
      <c r="A1014" s="451" t="str">
        <f>CONCATENATE(VLOOKUP(B1014,★営業所!$A$1:$B$5,2,FALSE),VLOOKUP(D1014,★サイズ表記!$D$4:$E$55,2,FALSE),VLOOKUP(F1014,★折込地区!$A$1:$B$11,2,FALSE))</f>
        <v>S3007Hmm</v>
      </c>
      <c r="B1014" s="457" t="s">
        <v>276</v>
      </c>
      <c r="C1014" s="452" t="str">
        <f>VLOOKUP(B1014,★営業所!$A$1:$B$5,2,FALSE)</f>
        <v>S</v>
      </c>
      <c r="D1014" s="465" t="s">
        <v>1362</v>
      </c>
      <c r="E1014" s="452" t="str">
        <f>VLOOKUP(D1014,★サイズ表記!$D$4:$E$55,2,FALSE)</f>
        <v>3007</v>
      </c>
      <c r="F1014" s="457" t="s">
        <v>857</v>
      </c>
      <c r="G1014" s="452" t="str">
        <f>VLOOKUP(F1014,★折込地区!$A$1:$B$11,2,FALSE)</f>
        <v>Hmm</v>
      </c>
      <c r="H1014" s="453">
        <f>INDEX(★サイズ表記!$I$4:$Q$55, MATCH(E1014,★サイズ表記!$E$4:$E$55,0), MATCH(G1014,★サイズ表記!$I$3:$R$3,0))</f>
        <v>0</v>
      </c>
      <c r="K1014" s="471" t="str">
        <f t="shared" si="112"/>
        <v>S3007Hmm</v>
      </c>
      <c r="L1014" s="471" t="str">
        <f t="shared" si="113"/>
        <v>政治タブ6P</v>
      </c>
      <c r="P1014" s="533" t="s">
        <v>1324</v>
      </c>
      <c r="Q1014" s="533" t="s">
        <v>1325</v>
      </c>
      <c r="R1014" s="534" t="str">
        <f t="shared" si="114"/>
        <v>3007</v>
      </c>
      <c r="S1014" s="534" t="str">
        <f t="shared" si="115"/>
        <v>政治タブ6P</v>
      </c>
      <c r="T1014" s="538" t="str">
        <f t="shared" si="116"/>
        <v>30</v>
      </c>
      <c r="U1014" s="538" t="str">
        <f t="shared" si="117"/>
        <v>07</v>
      </c>
      <c r="V1014" s="471" t="s">
        <v>1136</v>
      </c>
      <c r="Y1014" s="472">
        <f t="shared" si="118"/>
        <v>0</v>
      </c>
      <c r="Z1014" s="540">
        <f t="shared" si="119"/>
        <v>0</v>
      </c>
      <c r="AA1014" s="471">
        <v>0</v>
      </c>
    </row>
    <row r="1015" spans="1:27">
      <c r="A1015" s="451" t="str">
        <f>CONCATENATE(VLOOKUP(B1015,★営業所!$A$1:$B$5,2,FALSE),VLOOKUP(D1015,★サイズ表記!$D$4:$E$55,2,FALSE),VLOOKUP(F1015,★折込地区!$A$1:$B$11,2,FALSE))</f>
        <v>S3008Hmm</v>
      </c>
      <c r="B1015" s="457" t="s">
        <v>276</v>
      </c>
      <c r="C1015" s="452" t="str">
        <f>VLOOKUP(B1015,★営業所!$A$1:$B$5,2,FALSE)</f>
        <v>S</v>
      </c>
      <c r="D1015" s="465" t="s">
        <v>1363</v>
      </c>
      <c r="E1015" s="452" t="str">
        <f>VLOOKUP(D1015,★サイズ表記!$D$4:$E$55,2,FALSE)</f>
        <v>3008</v>
      </c>
      <c r="F1015" s="457" t="s">
        <v>857</v>
      </c>
      <c r="G1015" s="452" t="str">
        <f>VLOOKUP(F1015,★折込地区!$A$1:$B$11,2,FALSE)</f>
        <v>Hmm</v>
      </c>
      <c r="H1015" s="453">
        <f>INDEX(★サイズ表記!$I$4:$Q$55, MATCH(E1015,★サイズ表記!$E$4:$E$55,0), MATCH(G1015,★サイズ表記!$I$3:$R$3,0))</f>
        <v>0</v>
      </c>
      <c r="K1015" s="471" t="str">
        <f t="shared" si="112"/>
        <v>S3008Hmm</v>
      </c>
      <c r="L1015" s="471" t="str">
        <f t="shared" si="113"/>
        <v>政治タブ8P</v>
      </c>
      <c r="P1015" s="533" t="s">
        <v>1324</v>
      </c>
      <c r="Q1015" s="533" t="s">
        <v>1325</v>
      </c>
      <c r="R1015" s="534" t="str">
        <f t="shared" si="114"/>
        <v>3008</v>
      </c>
      <c r="S1015" s="534" t="str">
        <f t="shared" si="115"/>
        <v>政治タブ8P</v>
      </c>
      <c r="T1015" s="538" t="str">
        <f t="shared" si="116"/>
        <v>30</v>
      </c>
      <c r="U1015" s="538" t="str">
        <f t="shared" si="117"/>
        <v>08</v>
      </c>
      <c r="V1015" s="471" t="s">
        <v>1136</v>
      </c>
      <c r="Y1015" s="472">
        <f t="shared" si="118"/>
        <v>0</v>
      </c>
      <c r="Z1015" s="540">
        <f t="shared" si="119"/>
        <v>0</v>
      </c>
      <c r="AA1015" s="471">
        <v>0</v>
      </c>
    </row>
    <row r="1016" spans="1:27">
      <c r="A1016" s="451" t="str">
        <f>CONCATENATE(VLOOKUP(B1016,★営業所!$A$1:$B$5,2,FALSE),VLOOKUP(D1016,★サイズ表記!$D$4:$E$55,2,FALSE),VLOOKUP(F1016,★折込地区!$A$1:$B$11,2,FALSE))</f>
        <v>S3009Hmm</v>
      </c>
      <c r="B1016" s="457" t="s">
        <v>276</v>
      </c>
      <c r="C1016" s="452" t="str">
        <f>VLOOKUP(B1016,★営業所!$A$1:$B$5,2,FALSE)</f>
        <v>S</v>
      </c>
      <c r="D1016" s="465" t="s">
        <v>1361</v>
      </c>
      <c r="E1016" s="452" t="str">
        <f>VLOOKUP(D1016,★サイズ表記!$D$4:$E$55,2,FALSE)</f>
        <v>3009</v>
      </c>
      <c r="F1016" s="457" t="s">
        <v>857</v>
      </c>
      <c r="G1016" s="452" t="str">
        <f>VLOOKUP(F1016,★折込地区!$A$1:$B$11,2,FALSE)</f>
        <v>Hmm</v>
      </c>
      <c r="H1016" s="453">
        <f>INDEX(★サイズ表記!$I$4:$Q$55, MATCH(E1016,★サイズ表記!$E$4:$E$55,0), MATCH(G1016,★サイズ表記!$I$3:$R$3,0))</f>
        <v>0</v>
      </c>
      <c r="K1016" s="471" t="str">
        <f t="shared" si="112"/>
        <v>S3009Hmm</v>
      </c>
      <c r="L1016" s="471" t="str">
        <f t="shared" si="113"/>
        <v>政治タブ12P</v>
      </c>
      <c r="P1016" s="533" t="s">
        <v>1324</v>
      </c>
      <c r="Q1016" s="533" t="s">
        <v>1325</v>
      </c>
      <c r="R1016" s="534" t="str">
        <f t="shared" si="114"/>
        <v>3009</v>
      </c>
      <c r="S1016" s="534" t="str">
        <f t="shared" si="115"/>
        <v>政治タブ12P</v>
      </c>
      <c r="T1016" s="538" t="str">
        <f t="shared" si="116"/>
        <v>30</v>
      </c>
      <c r="U1016" s="538" t="str">
        <f t="shared" si="117"/>
        <v>09</v>
      </c>
      <c r="V1016" s="471" t="s">
        <v>1136</v>
      </c>
      <c r="Y1016" s="472">
        <f t="shared" si="118"/>
        <v>0</v>
      </c>
      <c r="Z1016" s="540">
        <f t="shared" si="119"/>
        <v>0</v>
      </c>
      <c r="AA1016" s="471">
        <v>0</v>
      </c>
    </row>
    <row r="1017" spans="1:27">
      <c r="A1017" s="451" t="str">
        <f>CONCATENATE(VLOOKUP(B1017,★営業所!$A$1:$B$5,2,FALSE),VLOOKUP(D1017,★サイズ表記!$D$4:$E$55,2,FALSE),VLOOKUP(F1017,★折込地区!$A$1:$B$11,2,FALSE))</f>
        <v>S4001Hmm</v>
      </c>
      <c r="B1017" s="457" t="s">
        <v>276</v>
      </c>
      <c r="C1017" s="452" t="str">
        <f>VLOOKUP(B1017,★営業所!$A$1:$B$5,2,FALSE)</f>
        <v>S</v>
      </c>
      <c r="D1017" s="465" t="s">
        <v>1358</v>
      </c>
      <c r="E1017" s="452" t="str">
        <f>VLOOKUP(D1017,★サイズ表記!$D$4:$E$55,2,FALSE)</f>
        <v>4001</v>
      </c>
      <c r="F1017" s="457" t="s">
        <v>857</v>
      </c>
      <c r="G1017" s="452" t="str">
        <f>VLOOKUP(F1017,★折込地区!$A$1:$B$11,2,FALSE)</f>
        <v>Hmm</v>
      </c>
      <c r="H1017" s="453">
        <f>INDEX(★サイズ表記!$I$4:$Q$55, MATCH(E1017,★サイズ表記!$E$4:$E$55,0), MATCH(G1017,★サイズ表記!$I$3:$R$3,0))</f>
        <v>0</v>
      </c>
      <c r="K1017" s="471" t="str">
        <f t="shared" si="112"/>
        <v>S4001Hmm</v>
      </c>
      <c r="L1017" s="471" t="str">
        <f t="shared" si="113"/>
        <v>タブ6P</v>
      </c>
      <c r="P1017" s="533" t="s">
        <v>1324</v>
      </c>
      <c r="Q1017" s="533" t="s">
        <v>1325</v>
      </c>
      <c r="R1017" s="534" t="str">
        <f t="shared" si="114"/>
        <v>4001</v>
      </c>
      <c r="S1017" s="534" t="str">
        <f t="shared" si="115"/>
        <v>タブ6P</v>
      </c>
      <c r="T1017" s="538" t="str">
        <f t="shared" si="116"/>
        <v>40</v>
      </c>
      <c r="U1017" s="538" t="str">
        <f t="shared" si="117"/>
        <v>01</v>
      </c>
      <c r="V1017" s="471" t="s">
        <v>1136</v>
      </c>
      <c r="Y1017" s="472">
        <f t="shared" si="118"/>
        <v>0</v>
      </c>
      <c r="Z1017" s="540">
        <f t="shared" si="119"/>
        <v>0</v>
      </c>
      <c r="AA1017" s="471">
        <v>0</v>
      </c>
    </row>
    <row r="1018" spans="1:27">
      <c r="A1018" s="451" t="str">
        <f>CONCATENATE(VLOOKUP(B1018,★営業所!$A$1:$B$5,2,FALSE),VLOOKUP(D1018,★サイズ表記!$D$4:$E$55,2,FALSE),VLOOKUP(F1018,★折込地区!$A$1:$B$11,2,FALSE))</f>
        <v>S4002Hmm</v>
      </c>
      <c r="B1018" s="457" t="s">
        <v>276</v>
      </c>
      <c r="C1018" s="452" t="str">
        <f>VLOOKUP(B1018,★営業所!$A$1:$B$5,2,FALSE)</f>
        <v>S</v>
      </c>
      <c r="D1018" s="465" t="s">
        <v>1359</v>
      </c>
      <c r="E1018" s="452" t="str">
        <f>VLOOKUP(D1018,★サイズ表記!$D$4:$E$55,2,FALSE)</f>
        <v>4002</v>
      </c>
      <c r="F1018" s="457" t="s">
        <v>857</v>
      </c>
      <c r="G1018" s="452" t="str">
        <f>VLOOKUP(F1018,★折込地区!$A$1:$B$11,2,FALSE)</f>
        <v>Hmm</v>
      </c>
      <c r="H1018" s="453">
        <f>INDEX(★サイズ表記!$I$4:$Q$55, MATCH(E1018,★サイズ表記!$E$4:$E$55,0), MATCH(G1018,★サイズ表記!$I$3:$R$3,0))</f>
        <v>0</v>
      </c>
      <c r="K1018" s="471" t="str">
        <f t="shared" si="112"/>
        <v>S4002Hmm</v>
      </c>
      <c r="L1018" s="471" t="str">
        <f t="shared" si="113"/>
        <v>タブ8P</v>
      </c>
      <c r="P1018" s="533" t="s">
        <v>1324</v>
      </c>
      <c r="Q1018" s="533" t="s">
        <v>1325</v>
      </c>
      <c r="R1018" s="534" t="str">
        <f t="shared" si="114"/>
        <v>4002</v>
      </c>
      <c r="S1018" s="534" t="str">
        <f t="shared" si="115"/>
        <v>タブ8P</v>
      </c>
      <c r="T1018" s="538" t="str">
        <f t="shared" si="116"/>
        <v>40</v>
      </c>
      <c r="U1018" s="538" t="str">
        <f t="shared" si="117"/>
        <v>02</v>
      </c>
      <c r="V1018" s="471" t="s">
        <v>1136</v>
      </c>
      <c r="Y1018" s="472">
        <f t="shared" si="118"/>
        <v>0</v>
      </c>
      <c r="Z1018" s="540">
        <f t="shared" si="119"/>
        <v>0</v>
      </c>
      <c r="AA1018" s="471">
        <v>0</v>
      </c>
    </row>
    <row r="1019" spans="1:27">
      <c r="A1019" s="451" t="str">
        <f>CONCATENATE(VLOOKUP(B1019,★営業所!$A$1:$B$5,2,FALSE),VLOOKUP(D1019,★サイズ表記!$D$4:$E$55,2,FALSE),VLOOKUP(F1019,★折込地区!$A$1:$B$11,2,FALSE))</f>
        <v>S4003Hmm</v>
      </c>
      <c r="B1019" s="457" t="s">
        <v>276</v>
      </c>
      <c r="C1019" s="452" t="str">
        <f>VLOOKUP(B1019,★営業所!$A$1:$B$5,2,FALSE)</f>
        <v>S</v>
      </c>
      <c r="D1019" s="465" t="s">
        <v>1360</v>
      </c>
      <c r="E1019" s="452" t="str">
        <f>VLOOKUP(D1019,★サイズ表記!$D$4:$E$55,2,FALSE)</f>
        <v>4003</v>
      </c>
      <c r="F1019" s="457" t="s">
        <v>857</v>
      </c>
      <c r="G1019" s="452" t="str">
        <f>VLOOKUP(F1019,★折込地区!$A$1:$B$11,2,FALSE)</f>
        <v>Hmm</v>
      </c>
      <c r="H1019" s="453">
        <f>INDEX(★サイズ表記!$I$4:$Q$55, MATCH(E1019,★サイズ表記!$E$4:$E$55,0), MATCH(G1019,★サイズ表記!$I$3:$R$3,0))</f>
        <v>0</v>
      </c>
      <c r="K1019" s="471" t="str">
        <f t="shared" si="112"/>
        <v>S4003Hmm</v>
      </c>
      <c r="L1019" s="471" t="str">
        <f t="shared" si="113"/>
        <v>タブ8Pホチキス止め</v>
      </c>
      <c r="P1019" s="533" t="s">
        <v>1324</v>
      </c>
      <c r="Q1019" s="533" t="s">
        <v>1325</v>
      </c>
      <c r="R1019" s="534" t="str">
        <f t="shared" si="114"/>
        <v>4003</v>
      </c>
      <c r="S1019" s="534" t="str">
        <f t="shared" si="115"/>
        <v>タブ8Pホチキス止め</v>
      </c>
      <c r="T1019" s="538" t="str">
        <f t="shared" si="116"/>
        <v>40</v>
      </c>
      <c r="U1019" s="538" t="str">
        <f t="shared" si="117"/>
        <v>03</v>
      </c>
      <c r="V1019" s="471" t="s">
        <v>1136</v>
      </c>
      <c r="Y1019" s="472">
        <f t="shared" si="118"/>
        <v>0</v>
      </c>
      <c r="Z1019" s="540">
        <f t="shared" si="119"/>
        <v>0</v>
      </c>
      <c r="AA1019" s="471">
        <v>0</v>
      </c>
    </row>
    <row r="1020" spans="1:27">
      <c r="A1020" s="451" t="str">
        <f>CONCATENATE(VLOOKUP(B1020,★営業所!$A$1:$B$5,2,FALSE),VLOOKUP(D1020,★サイズ表記!$D$4:$E$55,2,FALSE),VLOOKUP(F1020,★折込地区!$A$1:$B$11,2,FALSE))</f>
        <v>S4004Hmm</v>
      </c>
      <c r="B1020" s="457" t="s">
        <v>276</v>
      </c>
      <c r="C1020" s="452" t="str">
        <f>VLOOKUP(B1020,★営業所!$A$1:$B$5,2,FALSE)</f>
        <v>S</v>
      </c>
      <c r="D1020" s="465" t="s">
        <v>1350</v>
      </c>
      <c r="E1020" s="452" t="str">
        <f>VLOOKUP(D1020,★サイズ表記!$D$4:$E$55,2,FALSE)</f>
        <v>4004</v>
      </c>
      <c r="F1020" s="457" t="s">
        <v>857</v>
      </c>
      <c r="G1020" s="452" t="str">
        <f>VLOOKUP(F1020,★折込地区!$A$1:$B$11,2,FALSE)</f>
        <v>Hmm</v>
      </c>
      <c r="H1020" s="453">
        <f>INDEX(★サイズ表記!$I$4:$Q$55, MATCH(E1020,★サイズ表記!$E$4:$E$55,0), MATCH(G1020,★サイズ表記!$I$3:$R$3,0))</f>
        <v>0</v>
      </c>
      <c r="K1020" s="471" t="str">
        <f t="shared" si="112"/>
        <v>S4004Hmm</v>
      </c>
      <c r="L1020" s="471" t="str">
        <f t="shared" si="113"/>
        <v>タブ10P</v>
      </c>
      <c r="P1020" s="533" t="s">
        <v>1324</v>
      </c>
      <c r="Q1020" s="533" t="s">
        <v>1325</v>
      </c>
      <c r="R1020" s="534" t="str">
        <f t="shared" si="114"/>
        <v>4004</v>
      </c>
      <c r="S1020" s="534" t="str">
        <f t="shared" si="115"/>
        <v>タブ10P</v>
      </c>
      <c r="T1020" s="538" t="str">
        <f t="shared" si="116"/>
        <v>40</v>
      </c>
      <c r="U1020" s="538" t="str">
        <f t="shared" si="117"/>
        <v>04</v>
      </c>
      <c r="V1020" s="471" t="s">
        <v>1136</v>
      </c>
      <c r="Y1020" s="472">
        <f t="shared" si="118"/>
        <v>0</v>
      </c>
      <c r="Z1020" s="540">
        <f t="shared" si="119"/>
        <v>0</v>
      </c>
      <c r="AA1020" s="471">
        <v>0</v>
      </c>
    </row>
    <row r="1021" spans="1:27">
      <c r="A1021" s="451" t="str">
        <f>CONCATENATE(VLOOKUP(B1021,★営業所!$A$1:$B$5,2,FALSE),VLOOKUP(D1021,★サイズ表記!$D$4:$E$55,2,FALSE),VLOOKUP(F1021,★折込地区!$A$1:$B$11,2,FALSE))</f>
        <v>S4005Hmm</v>
      </c>
      <c r="B1021" s="457" t="s">
        <v>276</v>
      </c>
      <c r="C1021" s="452" t="str">
        <f>VLOOKUP(B1021,★営業所!$A$1:$B$5,2,FALSE)</f>
        <v>S</v>
      </c>
      <c r="D1021" s="465" t="s">
        <v>1351</v>
      </c>
      <c r="E1021" s="452" t="str">
        <f>VLOOKUP(D1021,★サイズ表記!$D$4:$E$55,2,FALSE)</f>
        <v>4005</v>
      </c>
      <c r="F1021" s="457" t="s">
        <v>857</v>
      </c>
      <c r="G1021" s="452" t="str">
        <f>VLOOKUP(F1021,★折込地区!$A$1:$B$11,2,FALSE)</f>
        <v>Hmm</v>
      </c>
      <c r="H1021" s="453">
        <f>INDEX(★サイズ表記!$I$4:$Q$55, MATCH(E1021,★サイズ表記!$E$4:$E$55,0), MATCH(G1021,★サイズ表記!$I$3:$R$3,0))</f>
        <v>0</v>
      </c>
      <c r="K1021" s="471" t="str">
        <f t="shared" si="112"/>
        <v>S4005Hmm</v>
      </c>
      <c r="L1021" s="471" t="str">
        <f t="shared" si="113"/>
        <v>タブ12P</v>
      </c>
      <c r="P1021" s="533" t="s">
        <v>1324</v>
      </c>
      <c r="Q1021" s="533" t="s">
        <v>1325</v>
      </c>
      <c r="R1021" s="534" t="str">
        <f t="shared" si="114"/>
        <v>4005</v>
      </c>
      <c r="S1021" s="534" t="str">
        <f t="shared" si="115"/>
        <v>タブ12P</v>
      </c>
      <c r="T1021" s="538" t="str">
        <f t="shared" si="116"/>
        <v>40</v>
      </c>
      <c r="U1021" s="538" t="str">
        <f t="shared" si="117"/>
        <v>05</v>
      </c>
      <c r="V1021" s="471" t="s">
        <v>1136</v>
      </c>
      <c r="Y1021" s="472">
        <f t="shared" si="118"/>
        <v>0</v>
      </c>
      <c r="Z1021" s="540">
        <f t="shared" si="119"/>
        <v>0</v>
      </c>
      <c r="AA1021" s="471">
        <v>0</v>
      </c>
    </row>
    <row r="1022" spans="1:27">
      <c r="A1022" s="451" t="str">
        <f>CONCATENATE(VLOOKUP(B1022,★営業所!$A$1:$B$5,2,FALSE),VLOOKUP(D1022,★サイズ表記!$D$4:$E$55,2,FALSE),VLOOKUP(F1022,★折込地区!$A$1:$B$11,2,FALSE))</f>
        <v>S4006Hmm</v>
      </c>
      <c r="B1022" s="457" t="s">
        <v>276</v>
      </c>
      <c r="C1022" s="452" t="str">
        <f>VLOOKUP(B1022,★営業所!$A$1:$B$5,2,FALSE)</f>
        <v>S</v>
      </c>
      <c r="D1022" s="465" t="s">
        <v>1352</v>
      </c>
      <c r="E1022" s="452" t="str">
        <f>VLOOKUP(D1022,★サイズ表記!$D$4:$E$55,2,FALSE)</f>
        <v>4006</v>
      </c>
      <c r="F1022" s="457" t="s">
        <v>857</v>
      </c>
      <c r="G1022" s="452" t="str">
        <f>VLOOKUP(F1022,★折込地区!$A$1:$B$11,2,FALSE)</f>
        <v>Hmm</v>
      </c>
      <c r="H1022" s="453">
        <f>INDEX(★サイズ表記!$I$4:$Q$55, MATCH(E1022,★サイズ表記!$E$4:$E$55,0), MATCH(G1022,★サイズ表記!$I$3:$R$3,0))</f>
        <v>0</v>
      </c>
      <c r="K1022" s="471" t="str">
        <f t="shared" si="112"/>
        <v>S4006Hmm</v>
      </c>
      <c r="L1022" s="471" t="str">
        <f t="shared" si="113"/>
        <v>タブ14P</v>
      </c>
      <c r="P1022" s="533" t="s">
        <v>1324</v>
      </c>
      <c r="Q1022" s="533" t="s">
        <v>1325</v>
      </c>
      <c r="R1022" s="534" t="str">
        <f t="shared" si="114"/>
        <v>4006</v>
      </c>
      <c r="S1022" s="534" t="str">
        <f t="shared" si="115"/>
        <v>タブ14P</v>
      </c>
      <c r="T1022" s="538" t="str">
        <f t="shared" si="116"/>
        <v>40</v>
      </c>
      <c r="U1022" s="538" t="str">
        <f t="shared" si="117"/>
        <v>06</v>
      </c>
      <c r="V1022" s="471" t="s">
        <v>1136</v>
      </c>
      <c r="Y1022" s="472">
        <f t="shared" si="118"/>
        <v>0</v>
      </c>
      <c r="Z1022" s="540">
        <f t="shared" si="119"/>
        <v>0</v>
      </c>
      <c r="AA1022" s="471">
        <v>0</v>
      </c>
    </row>
    <row r="1023" spans="1:27">
      <c r="A1023" s="451" t="str">
        <f>CONCATENATE(VLOOKUP(B1023,★営業所!$A$1:$B$5,2,FALSE),VLOOKUP(D1023,★サイズ表記!$D$4:$E$55,2,FALSE),VLOOKUP(F1023,★折込地区!$A$1:$B$11,2,FALSE))</f>
        <v>S4007Hmm</v>
      </c>
      <c r="B1023" s="457" t="s">
        <v>276</v>
      </c>
      <c r="C1023" s="452" t="str">
        <f>VLOOKUP(B1023,★営業所!$A$1:$B$5,2,FALSE)</f>
        <v>S</v>
      </c>
      <c r="D1023" s="465" t="s">
        <v>1353</v>
      </c>
      <c r="E1023" s="452" t="str">
        <f>VLOOKUP(D1023,★サイズ表記!$D$4:$E$55,2,FALSE)</f>
        <v>4007</v>
      </c>
      <c r="F1023" s="457" t="s">
        <v>857</v>
      </c>
      <c r="G1023" s="452" t="str">
        <f>VLOOKUP(F1023,★折込地区!$A$1:$B$11,2,FALSE)</f>
        <v>Hmm</v>
      </c>
      <c r="H1023" s="453">
        <f>INDEX(★サイズ表記!$I$4:$Q$55, MATCH(E1023,★サイズ表記!$E$4:$E$55,0), MATCH(G1023,★サイズ表記!$I$3:$R$3,0))</f>
        <v>0</v>
      </c>
      <c r="K1023" s="471" t="str">
        <f t="shared" si="112"/>
        <v>S4007Hmm</v>
      </c>
      <c r="L1023" s="471" t="str">
        <f t="shared" si="113"/>
        <v>タブ16P</v>
      </c>
      <c r="P1023" s="533" t="s">
        <v>1324</v>
      </c>
      <c r="Q1023" s="533" t="s">
        <v>1325</v>
      </c>
      <c r="R1023" s="534" t="str">
        <f t="shared" si="114"/>
        <v>4007</v>
      </c>
      <c r="S1023" s="534" t="str">
        <f t="shared" si="115"/>
        <v>タブ16P</v>
      </c>
      <c r="T1023" s="538" t="str">
        <f t="shared" si="116"/>
        <v>40</v>
      </c>
      <c r="U1023" s="538" t="str">
        <f t="shared" si="117"/>
        <v>07</v>
      </c>
      <c r="V1023" s="471" t="s">
        <v>1136</v>
      </c>
      <c r="Y1023" s="472">
        <f t="shared" si="118"/>
        <v>0</v>
      </c>
      <c r="Z1023" s="540">
        <f t="shared" si="119"/>
        <v>0</v>
      </c>
      <c r="AA1023" s="471">
        <v>0</v>
      </c>
    </row>
    <row r="1024" spans="1:27">
      <c r="A1024" s="451" t="str">
        <f>CONCATENATE(VLOOKUP(B1024,★営業所!$A$1:$B$5,2,FALSE),VLOOKUP(D1024,★サイズ表記!$D$4:$E$55,2,FALSE),VLOOKUP(F1024,★折込地区!$A$1:$B$11,2,FALSE))</f>
        <v>S4008Hmm</v>
      </c>
      <c r="B1024" s="457" t="s">
        <v>276</v>
      </c>
      <c r="C1024" s="452" t="str">
        <f>VLOOKUP(B1024,★営業所!$A$1:$B$5,2,FALSE)</f>
        <v>S</v>
      </c>
      <c r="D1024" s="465" t="s">
        <v>1355</v>
      </c>
      <c r="E1024" s="452" t="str">
        <f>VLOOKUP(D1024,★サイズ表記!$D$4:$E$55,2,FALSE)</f>
        <v>4008</v>
      </c>
      <c r="F1024" s="457" t="s">
        <v>857</v>
      </c>
      <c r="G1024" s="452" t="str">
        <f>VLOOKUP(F1024,★折込地区!$A$1:$B$11,2,FALSE)</f>
        <v>Hmm</v>
      </c>
      <c r="H1024" s="453">
        <f>INDEX(★サイズ表記!$I$4:$Q$55, MATCH(E1024,★サイズ表記!$E$4:$E$55,0), MATCH(G1024,★サイズ表記!$I$3:$R$3,0))</f>
        <v>0</v>
      </c>
      <c r="K1024" s="471" t="str">
        <f t="shared" si="112"/>
        <v>S4008Hmm</v>
      </c>
      <c r="L1024" s="471" t="str">
        <f t="shared" si="113"/>
        <v>タブ18P</v>
      </c>
      <c r="P1024" s="533" t="s">
        <v>1324</v>
      </c>
      <c r="Q1024" s="533" t="s">
        <v>1325</v>
      </c>
      <c r="R1024" s="534" t="str">
        <f t="shared" si="114"/>
        <v>4008</v>
      </c>
      <c r="S1024" s="534" t="str">
        <f t="shared" si="115"/>
        <v>タブ18P</v>
      </c>
      <c r="T1024" s="538" t="str">
        <f t="shared" si="116"/>
        <v>40</v>
      </c>
      <c r="U1024" s="538" t="str">
        <f t="shared" si="117"/>
        <v>08</v>
      </c>
      <c r="V1024" s="471" t="s">
        <v>1136</v>
      </c>
      <c r="Y1024" s="472">
        <f t="shared" si="118"/>
        <v>0</v>
      </c>
      <c r="Z1024" s="540">
        <f t="shared" si="119"/>
        <v>0</v>
      </c>
      <c r="AA1024" s="471">
        <v>0</v>
      </c>
    </row>
    <row r="1025" spans="1:27">
      <c r="A1025" s="451" t="str">
        <f>CONCATENATE(VLOOKUP(B1025,★営業所!$A$1:$B$5,2,FALSE),VLOOKUP(D1025,★サイズ表記!$D$4:$E$55,2,FALSE),VLOOKUP(F1025,★折込地区!$A$1:$B$11,2,FALSE))</f>
        <v>S4009Hmm</v>
      </c>
      <c r="B1025" s="457" t="s">
        <v>276</v>
      </c>
      <c r="C1025" s="452" t="str">
        <f>VLOOKUP(B1025,★営業所!$A$1:$B$5,2,FALSE)</f>
        <v>S</v>
      </c>
      <c r="D1025" s="465" t="s">
        <v>1356</v>
      </c>
      <c r="E1025" s="452" t="str">
        <f>VLOOKUP(D1025,★サイズ表記!$D$4:$E$55,2,FALSE)</f>
        <v>4009</v>
      </c>
      <c r="F1025" s="457" t="s">
        <v>857</v>
      </c>
      <c r="G1025" s="452" t="str">
        <f>VLOOKUP(F1025,★折込地区!$A$1:$B$11,2,FALSE)</f>
        <v>Hmm</v>
      </c>
      <c r="H1025" s="453">
        <f>INDEX(★サイズ表記!$I$4:$Q$55, MATCH(E1025,★サイズ表記!$E$4:$E$55,0), MATCH(G1025,★サイズ表記!$I$3:$R$3,0))</f>
        <v>0</v>
      </c>
      <c r="K1025" s="471" t="str">
        <f t="shared" si="112"/>
        <v>S4009Hmm</v>
      </c>
      <c r="L1025" s="471" t="str">
        <f t="shared" si="113"/>
        <v>タブ20P</v>
      </c>
      <c r="P1025" s="533" t="s">
        <v>1324</v>
      </c>
      <c r="Q1025" s="533" t="s">
        <v>1325</v>
      </c>
      <c r="R1025" s="534" t="str">
        <f t="shared" si="114"/>
        <v>4009</v>
      </c>
      <c r="S1025" s="534" t="str">
        <f t="shared" si="115"/>
        <v>タブ20P</v>
      </c>
      <c r="T1025" s="538" t="str">
        <f t="shared" si="116"/>
        <v>40</v>
      </c>
      <c r="U1025" s="538" t="str">
        <f t="shared" si="117"/>
        <v>09</v>
      </c>
      <c r="V1025" s="471" t="s">
        <v>1136</v>
      </c>
      <c r="Y1025" s="472">
        <f t="shared" si="118"/>
        <v>0</v>
      </c>
      <c r="Z1025" s="540">
        <f t="shared" si="119"/>
        <v>0</v>
      </c>
      <c r="AA1025" s="471">
        <v>0</v>
      </c>
    </row>
    <row r="1026" spans="1:27">
      <c r="A1026" s="451" t="str">
        <f>CONCATENATE(VLOOKUP(B1026,★営業所!$A$1:$B$5,2,FALSE),VLOOKUP(D1026,★サイズ表記!$D$4:$E$55,2,FALSE),VLOOKUP(F1026,★折込地区!$A$1:$B$11,2,FALSE))</f>
        <v>S4010Hmm</v>
      </c>
      <c r="B1026" s="457" t="s">
        <v>276</v>
      </c>
      <c r="C1026" s="452" t="str">
        <f>VLOOKUP(B1026,★営業所!$A$1:$B$5,2,FALSE)</f>
        <v>S</v>
      </c>
      <c r="D1026" s="465" t="s">
        <v>1354</v>
      </c>
      <c r="E1026" s="452" t="str">
        <f>VLOOKUP(D1026,★サイズ表記!$D$4:$E$55,2,FALSE)</f>
        <v>4010</v>
      </c>
      <c r="F1026" s="457" t="s">
        <v>857</v>
      </c>
      <c r="G1026" s="452" t="str">
        <f>VLOOKUP(F1026,★折込地区!$A$1:$B$11,2,FALSE)</f>
        <v>Hmm</v>
      </c>
      <c r="H1026" s="453">
        <f>INDEX(★サイズ表記!$I$4:$Q$55, MATCH(E1026,★サイズ表記!$E$4:$E$55,0), MATCH(G1026,★サイズ表記!$I$3:$R$3,0))</f>
        <v>0</v>
      </c>
      <c r="K1026" s="471" t="str">
        <f t="shared" si="112"/>
        <v>S4010Hmm</v>
      </c>
      <c r="L1026" s="471" t="str">
        <f t="shared" si="113"/>
        <v>タブ16Pホチキス止め</v>
      </c>
      <c r="P1026" s="533" t="s">
        <v>1324</v>
      </c>
      <c r="Q1026" s="533" t="s">
        <v>1325</v>
      </c>
      <c r="R1026" s="534" t="str">
        <f t="shared" si="114"/>
        <v>4010</v>
      </c>
      <c r="S1026" s="534" t="str">
        <f t="shared" si="115"/>
        <v>タブ16Pホチキス止め</v>
      </c>
      <c r="T1026" s="538" t="str">
        <f t="shared" si="116"/>
        <v>40</v>
      </c>
      <c r="U1026" s="538" t="str">
        <f t="shared" si="117"/>
        <v>10</v>
      </c>
      <c r="V1026" s="471" t="s">
        <v>1136</v>
      </c>
      <c r="Y1026" s="472">
        <f t="shared" si="118"/>
        <v>0</v>
      </c>
      <c r="Z1026" s="540">
        <f t="shared" si="119"/>
        <v>0</v>
      </c>
      <c r="AA1026" s="471">
        <v>0</v>
      </c>
    </row>
    <row r="1027" spans="1:27">
      <c r="A1027" s="451" t="str">
        <f>CONCATENATE(VLOOKUP(B1027,★営業所!$A$1:$B$5,2,FALSE),VLOOKUP(D1027,★サイズ表記!$D$4:$E$55,2,FALSE),VLOOKUP(F1027,★折込地区!$A$1:$B$11,2,FALSE))</f>
        <v>S4011Hmm</v>
      </c>
      <c r="B1027" s="457" t="s">
        <v>276</v>
      </c>
      <c r="C1027" s="452" t="str">
        <f>VLOOKUP(B1027,★営業所!$A$1:$B$5,2,FALSE)</f>
        <v>S</v>
      </c>
      <c r="D1027" s="465" t="s">
        <v>1357</v>
      </c>
      <c r="E1027" s="452" t="str">
        <f>VLOOKUP(D1027,★サイズ表記!$D$4:$E$55,2,FALSE)</f>
        <v>4011</v>
      </c>
      <c r="F1027" s="457" t="s">
        <v>857</v>
      </c>
      <c r="G1027" s="452" t="str">
        <f>VLOOKUP(F1027,★折込地区!$A$1:$B$11,2,FALSE)</f>
        <v>Hmm</v>
      </c>
      <c r="H1027" s="453">
        <f>INDEX(★サイズ表記!$I$4:$Q$55, MATCH(E1027,★サイズ表記!$E$4:$E$55,0), MATCH(G1027,★サイズ表記!$I$3:$R$3,0))</f>
        <v>0</v>
      </c>
      <c r="K1027" s="471" t="str">
        <f t="shared" si="112"/>
        <v>S4011Hmm</v>
      </c>
      <c r="L1027" s="471" t="str">
        <f t="shared" si="113"/>
        <v>タブ40P</v>
      </c>
      <c r="P1027" s="533" t="s">
        <v>1324</v>
      </c>
      <c r="Q1027" s="533" t="s">
        <v>1325</v>
      </c>
      <c r="R1027" s="534" t="str">
        <f t="shared" si="114"/>
        <v>4011</v>
      </c>
      <c r="S1027" s="534" t="str">
        <f t="shared" si="115"/>
        <v>タブ40P</v>
      </c>
      <c r="T1027" s="538" t="str">
        <f t="shared" si="116"/>
        <v>40</v>
      </c>
      <c r="U1027" s="538" t="str">
        <f t="shared" si="117"/>
        <v>11</v>
      </c>
      <c r="V1027" s="471" t="s">
        <v>1136</v>
      </c>
      <c r="Y1027" s="472">
        <f t="shared" si="118"/>
        <v>0</v>
      </c>
      <c r="Z1027" s="540">
        <f t="shared" si="119"/>
        <v>0</v>
      </c>
      <c r="AA1027" s="471">
        <v>0</v>
      </c>
    </row>
    <row r="1028" spans="1:27">
      <c r="A1028" s="451" t="str">
        <f>CONCATENATE(VLOOKUP(B1028,★営業所!$A$1:$B$5,2,FALSE),VLOOKUP(D1028,★サイズ表記!$D$4:$E$55,2,FALSE),VLOOKUP(F1028,★折込地区!$A$1:$B$11,2,FALSE))</f>
        <v>S9001Hmm</v>
      </c>
      <c r="B1028" s="457" t="s">
        <v>276</v>
      </c>
      <c r="C1028" s="452" t="str">
        <f>VLOOKUP(B1028,★営業所!$A$1:$B$5,2,FALSE)</f>
        <v>S</v>
      </c>
      <c r="D1028" s="465" t="s">
        <v>975</v>
      </c>
      <c r="E1028" s="452" t="str">
        <f>VLOOKUP(D1028,★サイズ表記!$D$4:$E$55,2,FALSE)</f>
        <v>9001</v>
      </c>
      <c r="F1028" s="457" t="s">
        <v>857</v>
      </c>
      <c r="G1028" s="452" t="str">
        <f>VLOOKUP(F1028,★折込地区!$A$1:$B$11,2,FALSE)</f>
        <v>Hmm</v>
      </c>
      <c r="H1028" s="453">
        <f>INDEX(★サイズ表記!$I$4:$Q$55, MATCH(E1028,★サイズ表記!$E$4:$E$55,0), MATCH(G1028,★サイズ表記!$I$3:$R$3,0))</f>
        <v>7</v>
      </c>
      <c r="K1028" s="471" t="str">
        <f t="shared" si="112"/>
        <v>S9001Hmm</v>
      </c>
      <c r="L1028" s="471" t="str">
        <f t="shared" si="113"/>
        <v>うさぎの耳</v>
      </c>
      <c r="P1028" s="533" t="s">
        <v>1324</v>
      </c>
      <c r="Q1028" s="533" t="s">
        <v>1325</v>
      </c>
      <c r="R1028" s="534" t="str">
        <f t="shared" si="114"/>
        <v>9001</v>
      </c>
      <c r="S1028" s="534" t="str">
        <f t="shared" si="115"/>
        <v>うさぎの耳</v>
      </c>
      <c r="T1028" s="538" t="str">
        <f t="shared" si="116"/>
        <v>90</v>
      </c>
      <c r="U1028" s="538" t="str">
        <f t="shared" si="117"/>
        <v>01</v>
      </c>
      <c r="V1028" s="471" t="s">
        <v>1136</v>
      </c>
      <c r="Y1028" s="472">
        <f t="shared" si="118"/>
        <v>7</v>
      </c>
      <c r="Z1028" s="540">
        <f t="shared" si="119"/>
        <v>0.56000000000000005</v>
      </c>
      <c r="AA1028" s="471">
        <v>0</v>
      </c>
    </row>
    <row r="1029" spans="1:27">
      <c r="A1029" s="451" t="str">
        <f>CONCATENATE(VLOOKUP(B1029,★営業所!$A$1:$B$5,2,FALSE),VLOOKUP(D1029,★サイズ表記!$D$4:$E$55,2,FALSE),VLOOKUP(F1029,★折込地区!$A$1:$B$11,2,FALSE))</f>
        <v>S9002Hmm</v>
      </c>
      <c r="B1029" s="457" t="s">
        <v>276</v>
      </c>
      <c r="C1029" s="452" t="str">
        <f>VLOOKUP(B1029,★営業所!$A$1:$B$5,2,FALSE)</f>
        <v>S</v>
      </c>
      <c r="D1029" s="465" t="s">
        <v>976</v>
      </c>
      <c r="E1029" s="452" t="str">
        <f>VLOOKUP(D1029,★サイズ表記!$D$4:$E$55,2,FALSE)</f>
        <v>9002</v>
      </c>
      <c r="F1029" s="457" t="s">
        <v>857</v>
      </c>
      <c r="G1029" s="452" t="str">
        <f>VLOOKUP(F1029,★折込地区!$A$1:$B$11,2,FALSE)</f>
        <v>Hmm</v>
      </c>
      <c r="H1029" s="453">
        <f>INDEX(★サイズ表記!$I$4:$Q$55, MATCH(E1029,★サイズ表記!$E$4:$E$55,0), MATCH(G1029,★サイズ表記!$I$3:$R$3,0))</f>
        <v>5</v>
      </c>
      <c r="K1029" s="471" t="str">
        <f t="shared" si="112"/>
        <v>S9002Hmm</v>
      </c>
      <c r="L1029" s="471" t="str">
        <f t="shared" si="113"/>
        <v>ユーキャン（題字）</v>
      </c>
      <c r="P1029" s="533" t="s">
        <v>1324</v>
      </c>
      <c r="Q1029" s="533" t="s">
        <v>1325</v>
      </c>
      <c r="R1029" s="534" t="str">
        <f t="shared" si="114"/>
        <v>9002</v>
      </c>
      <c r="S1029" s="534" t="str">
        <f t="shared" si="115"/>
        <v>ユーキャン（題字）</v>
      </c>
      <c r="T1029" s="538" t="str">
        <f t="shared" si="116"/>
        <v>90</v>
      </c>
      <c r="U1029" s="538" t="str">
        <f t="shared" si="117"/>
        <v>02</v>
      </c>
      <c r="V1029" s="471" t="s">
        <v>1136</v>
      </c>
      <c r="Y1029" s="472">
        <f t="shared" si="118"/>
        <v>5</v>
      </c>
      <c r="Z1029" s="540">
        <f t="shared" si="119"/>
        <v>0.4</v>
      </c>
      <c r="AA1029" s="471">
        <v>0</v>
      </c>
    </row>
    <row r="1030" spans="1:27">
      <c r="A1030" s="451" t="str">
        <f>CONCATENATE(VLOOKUP(B1030,★営業所!$A$1:$B$5,2,FALSE),VLOOKUP(D1030,★サイズ表記!$D$4:$E$55,2,FALSE),VLOOKUP(F1030,★折込地区!$A$1:$B$11,2,FALSE))</f>
        <v>S9003Hmm</v>
      </c>
      <c r="B1030" s="457" t="s">
        <v>276</v>
      </c>
      <c r="C1030" s="452" t="str">
        <f>VLOOKUP(B1030,★営業所!$A$1:$B$5,2,FALSE)</f>
        <v>S</v>
      </c>
      <c r="D1030" s="465" t="s">
        <v>977</v>
      </c>
      <c r="E1030" s="452" t="str">
        <f>VLOOKUP(D1030,★サイズ表記!$D$4:$E$55,2,FALSE)</f>
        <v>9003</v>
      </c>
      <c r="F1030" s="457" t="s">
        <v>857</v>
      </c>
      <c r="G1030" s="452" t="str">
        <f>VLOOKUP(F1030,★折込地区!$A$1:$B$11,2,FALSE)</f>
        <v>Hmm</v>
      </c>
      <c r="H1030" s="453">
        <f>INDEX(★サイズ表記!$I$4:$Q$55, MATCH(E1030,★サイズ表記!$E$4:$E$55,0), MATCH(G1030,★サイズ表記!$I$3:$R$3,0))</f>
        <v>0</v>
      </c>
      <c r="K1030" s="471" t="str">
        <f t="shared" si="112"/>
        <v>S9003Hmm</v>
      </c>
      <c r="L1030" s="471" t="str">
        <f t="shared" si="113"/>
        <v>横長B3</v>
      </c>
      <c r="P1030" s="533" t="s">
        <v>1324</v>
      </c>
      <c r="Q1030" s="533" t="s">
        <v>1325</v>
      </c>
      <c r="R1030" s="534" t="str">
        <f t="shared" si="114"/>
        <v>9003</v>
      </c>
      <c r="S1030" s="534" t="str">
        <f t="shared" si="115"/>
        <v>横長B3</v>
      </c>
      <c r="T1030" s="538" t="str">
        <f t="shared" si="116"/>
        <v>90</v>
      </c>
      <c r="U1030" s="538" t="str">
        <f t="shared" si="117"/>
        <v>03</v>
      </c>
      <c r="V1030" s="471" t="s">
        <v>1136</v>
      </c>
      <c r="Y1030" s="472">
        <f t="shared" si="118"/>
        <v>0</v>
      </c>
      <c r="Z1030" s="540">
        <f t="shared" si="119"/>
        <v>0</v>
      </c>
      <c r="AA1030" s="471">
        <v>0</v>
      </c>
    </row>
    <row r="1031" spans="1:27">
      <c r="A1031" s="451" t="str">
        <f>CONCATENATE(VLOOKUP(B1031,★営業所!$A$1:$B$5,2,FALSE),VLOOKUP(D1031,★サイズ表記!$D$4:$E$55,2,FALSE),VLOOKUP(F1031,★折込地区!$A$1:$B$11,2,FALSE))</f>
        <v>S9004Hmm</v>
      </c>
      <c r="B1031" s="457" t="s">
        <v>276</v>
      </c>
      <c r="C1031" s="452" t="str">
        <f>VLOOKUP(B1031,★営業所!$A$1:$B$5,2,FALSE)</f>
        <v>S</v>
      </c>
      <c r="D1031" s="465" t="s">
        <v>978</v>
      </c>
      <c r="E1031" s="452" t="str">
        <f>VLOOKUP(D1031,★サイズ表記!$D$4:$E$55,2,FALSE)</f>
        <v>9004</v>
      </c>
      <c r="F1031" s="457" t="s">
        <v>857</v>
      </c>
      <c r="G1031" s="452" t="str">
        <f>VLOOKUP(F1031,★折込地区!$A$1:$B$11,2,FALSE)</f>
        <v>Hmm</v>
      </c>
      <c r="H1031" s="453">
        <f>INDEX(★サイズ表記!$I$4:$Q$55, MATCH(E1031,★サイズ表記!$E$4:$E$55,0), MATCH(G1031,★サイズ表記!$I$3:$R$3,0))</f>
        <v>0</v>
      </c>
      <c r="K1031" s="471" t="str">
        <f t="shared" si="112"/>
        <v>S9004Hmm</v>
      </c>
      <c r="L1031" s="471" t="str">
        <f t="shared" si="113"/>
        <v>AD-BAG</v>
      </c>
      <c r="P1031" s="533" t="s">
        <v>1324</v>
      </c>
      <c r="Q1031" s="533" t="s">
        <v>1325</v>
      </c>
      <c r="R1031" s="534" t="str">
        <f t="shared" si="114"/>
        <v>9004</v>
      </c>
      <c r="S1031" s="534" t="str">
        <f t="shared" si="115"/>
        <v>AD-BAG</v>
      </c>
      <c r="T1031" s="538" t="str">
        <f t="shared" si="116"/>
        <v>90</v>
      </c>
      <c r="U1031" s="538" t="str">
        <f t="shared" si="117"/>
        <v>04</v>
      </c>
      <c r="V1031" s="471" t="s">
        <v>1136</v>
      </c>
      <c r="Y1031" s="472">
        <f t="shared" si="118"/>
        <v>0</v>
      </c>
      <c r="Z1031" s="540">
        <f t="shared" si="119"/>
        <v>0</v>
      </c>
      <c r="AA1031" s="471">
        <v>0</v>
      </c>
    </row>
    <row r="1032" spans="1:27">
      <c r="A1032" s="451" t="str">
        <f>CONCATENATE(VLOOKUP(B1032,★営業所!$A$1:$B$5,2,FALSE),VLOOKUP(D1032,★サイズ表記!$D$4:$E$55,2,FALSE),VLOOKUP(F1032,★折込地区!$A$1:$B$11,2,FALSE))</f>
        <v>S9005Hmm</v>
      </c>
      <c r="B1032" s="457" t="s">
        <v>276</v>
      </c>
      <c r="C1032" s="452" t="str">
        <f>VLOOKUP(B1032,★営業所!$A$1:$B$5,2,FALSE)</f>
        <v>S</v>
      </c>
      <c r="D1032" s="465" t="s">
        <v>979</v>
      </c>
      <c r="E1032" s="452" t="str">
        <f>VLOOKUP(D1032,★サイズ表記!$D$4:$E$55,2,FALSE)</f>
        <v>9005</v>
      </c>
      <c r="F1032" s="457" t="s">
        <v>857</v>
      </c>
      <c r="G1032" s="452" t="str">
        <f>VLOOKUP(F1032,★折込地区!$A$1:$B$11,2,FALSE)</f>
        <v>Hmm</v>
      </c>
      <c r="H1032" s="453">
        <f>INDEX(★サイズ表記!$I$4:$Q$55, MATCH(E1032,★サイズ表記!$E$4:$E$55,0), MATCH(G1032,★サイズ表記!$I$3:$R$3,0))</f>
        <v>0</v>
      </c>
      <c r="K1032" s="471" t="str">
        <f t="shared" si="112"/>
        <v>S9005Hmm</v>
      </c>
      <c r="L1032" s="471" t="str">
        <f t="shared" si="113"/>
        <v>封筒</v>
      </c>
      <c r="P1032" s="533" t="s">
        <v>1324</v>
      </c>
      <c r="Q1032" s="533" t="s">
        <v>1325</v>
      </c>
      <c r="R1032" s="534" t="str">
        <f t="shared" si="114"/>
        <v>9005</v>
      </c>
      <c r="S1032" s="534" t="str">
        <f t="shared" si="115"/>
        <v>封筒</v>
      </c>
      <c r="T1032" s="538" t="str">
        <f t="shared" si="116"/>
        <v>90</v>
      </c>
      <c r="U1032" s="538" t="str">
        <f t="shared" si="117"/>
        <v>05</v>
      </c>
      <c r="V1032" s="471" t="s">
        <v>1136</v>
      </c>
      <c r="Y1032" s="472">
        <f t="shared" si="118"/>
        <v>0</v>
      </c>
      <c r="Z1032" s="540">
        <f t="shared" si="119"/>
        <v>0</v>
      </c>
      <c r="AA1032" s="471">
        <v>0</v>
      </c>
    </row>
    <row r="1033" spans="1:27">
      <c r="A1033" s="451" t="str">
        <f>CONCATENATE(VLOOKUP(B1033,★営業所!$A$1:$B$5,2,FALSE),VLOOKUP(D1033,★サイズ表記!$D$4:$E$55,2,FALSE),VLOOKUP(F1033,★折込地区!$A$1:$B$11,2,FALSE))</f>
        <v>S9006Hmm</v>
      </c>
      <c r="B1033" s="457" t="s">
        <v>276</v>
      </c>
      <c r="C1033" s="452" t="str">
        <f>VLOOKUP(B1033,★営業所!$A$1:$B$5,2,FALSE)</f>
        <v>S</v>
      </c>
      <c r="D1033" s="465" t="s">
        <v>980</v>
      </c>
      <c r="E1033" s="452" t="str">
        <f>VLOOKUP(D1033,★サイズ表記!$D$4:$E$55,2,FALSE)</f>
        <v>9006</v>
      </c>
      <c r="F1033" s="457" t="s">
        <v>857</v>
      </c>
      <c r="G1033" s="452" t="str">
        <f>VLOOKUP(F1033,★折込地区!$A$1:$B$11,2,FALSE)</f>
        <v>Hmm</v>
      </c>
      <c r="H1033" s="453">
        <f>INDEX(★サイズ表記!$I$4:$Q$55, MATCH(E1033,★サイズ表記!$E$4:$E$55,0), MATCH(G1033,★サイズ表記!$I$3:$R$3,0))</f>
        <v>0</v>
      </c>
      <c r="K1033" s="471" t="str">
        <f t="shared" si="112"/>
        <v>S9006Hmm</v>
      </c>
      <c r="L1033" s="471" t="str">
        <f t="shared" si="113"/>
        <v>圧着</v>
      </c>
      <c r="P1033" s="533" t="s">
        <v>1324</v>
      </c>
      <c r="Q1033" s="533" t="s">
        <v>1325</v>
      </c>
      <c r="R1033" s="534" t="str">
        <f t="shared" si="114"/>
        <v>9006</v>
      </c>
      <c r="S1033" s="534" t="str">
        <f t="shared" si="115"/>
        <v>圧着</v>
      </c>
      <c r="T1033" s="538" t="str">
        <f t="shared" si="116"/>
        <v>90</v>
      </c>
      <c r="U1033" s="538" t="str">
        <f t="shared" si="117"/>
        <v>06</v>
      </c>
      <c r="V1033" s="471" t="s">
        <v>1136</v>
      </c>
      <c r="Y1033" s="472">
        <f t="shared" si="118"/>
        <v>0</v>
      </c>
      <c r="Z1033" s="540">
        <f t="shared" si="119"/>
        <v>0</v>
      </c>
      <c r="AA1033" s="471">
        <v>0</v>
      </c>
    </row>
    <row r="1034" spans="1:27">
      <c r="A1034" s="451" t="str">
        <f>CONCATENATE(VLOOKUP(B1034,★営業所!$A$1:$B$5,2,FALSE),VLOOKUP(D1034,★サイズ表記!$D$4:$E$55,2,FALSE),VLOOKUP(F1034,★折込地区!$A$1:$B$11,2,FALSE))</f>
        <v>S9007Hmm</v>
      </c>
      <c r="B1034" s="457" t="s">
        <v>276</v>
      </c>
      <c r="C1034" s="452" t="str">
        <f>VLOOKUP(B1034,★営業所!$A$1:$B$5,2,FALSE)</f>
        <v>S</v>
      </c>
      <c r="D1034" s="465" t="s">
        <v>981</v>
      </c>
      <c r="E1034" s="452" t="str">
        <f>VLOOKUP(D1034,★サイズ表記!$D$4:$E$55,2,FALSE)</f>
        <v>9007</v>
      </c>
      <c r="F1034" s="457" t="s">
        <v>857</v>
      </c>
      <c r="G1034" s="452" t="str">
        <f>VLOOKUP(F1034,★折込地区!$A$1:$B$11,2,FALSE)</f>
        <v>Hmm</v>
      </c>
      <c r="H1034" s="453">
        <f>INDEX(★サイズ表記!$I$4:$Q$55, MATCH(E1034,★サイズ表記!$E$4:$E$55,0), MATCH(G1034,★サイズ表記!$I$3:$R$3,0))</f>
        <v>0</v>
      </c>
      <c r="K1034" s="471" t="str">
        <f t="shared" si="112"/>
        <v>S9007Hmm</v>
      </c>
      <c r="L1034" s="471" t="str">
        <f t="shared" si="113"/>
        <v>圧着厚紙</v>
      </c>
      <c r="P1034" s="533" t="s">
        <v>1324</v>
      </c>
      <c r="Q1034" s="533" t="s">
        <v>1325</v>
      </c>
      <c r="R1034" s="534" t="str">
        <f t="shared" si="114"/>
        <v>9007</v>
      </c>
      <c r="S1034" s="534" t="str">
        <f t="shared" si="115"/>
        <v>圧着厚紙</v>
      </c>
      <c r="T1034" s="538" t="str">
        <f t="shared" si="116"/>
        <v>90</v>
      </c>
      <c r="U1034" s="538" t="str">
        <f t="shared" si="117"/>
        <v>07</v>
      </c>
      <c r="V1034" s="471" t="s">
        <v>1136</v>
      </c>
      <c r="Y1034" s="472">
        <f t="shared" si="118"/>
        <v>0</v>
      </c>
      <c r="Z1034" s="540">
        <f t="shared" si="119"/>
        <v>0</v>
      </c>
      <c r="AA1034" s="471">
        <v>0</v>
      </c>
    </row>
    <row r="1035" spans="1:27">
      <c r="A1035" s="451" t="str">
        <f>CONCATENATE(VLOOKUP(B1035,★営業所!$A$1:$B$5,2,FALSE),VLOOKUP(D1035,★サイズ表記!$D$4:$E$55,2,FALSE),VLOOKUP(F1035,★折込地区!$A$1:$B$11,2,FALSE))</f>
        <v>S1001Hks</v>
      </c>
      <c r="B1035" s="457" t="s">
        <v>276</v>
      </c>
      <c r="C1035" s="452" t="str">
        <f>VLOOKUP(B1035,★営業所!$A$1:$B$5,2,FALSE)</f>
        <v>S</v>
      </c>
      <c r="D1035" s="465" t="s">
        <v>948</v>
      </c>
      <c r="E1035" s="452" t="str">
        <f>VLOOKUP(D1035,★サイズ表記!$D$4:$E$55,2,FALSE)</f>
        <v>1001</v>
      </c>
      <c r="F1035" s="457" t="s">
        <v>38</v>
      </c>
      <c r="G1035" s="452" t="str">
        <f>VLOOKUP(F1035,★折込地区!$A$1:$B$11,2,FALSE)</f>
        <v>Hks</v>
      </c>
      <c r="H1035" s="453">
        <f>INDEX(★サイズ表記!$I$4:$Q$55, MATCH(E1035,★サイズ表記!$E$4:$E$55,0), MATCH(G1035,★サイズ表記!$I$3:$R$3,0))</f>
        <v>3</v>
      </c>
      <c r="K1035" s="471" t="str">
        <f t="shared" si="112"/>
        <v>S1001Hks</v>
      </c>
      <c r="L1035" s="471" t="str">
        <f t="shared" si="113"/>
        <v>B4（折り無し）</v>
      </c>
      <c r="P1035" s="533" t="s">
        <v>1324</v>
      </c>
      <c r="Q1035" s="533" t="s">
        <v>1325</v>
      </c>
      <c r="R1035" s="534" t="str">
        <f t="shared" si="114"/>
        <v>1001</v>
      </c>
      <c r="S1035" s="534" t="str">
        <f t="shared" si="115"/>
        <v>B4（折り無し）</v>
      </c>
      <c r="T1035" s="538" t="str">
        <f t="shared" si="116"/>
        <v>10</v>
      </c>
      <c r="U1035" s="538" t="str">
        <f t="shared" si="117"/>
        <v>01</v>
      </c>
      <c r="V1035" s="471" t="s">
        <v>1136</v>
      </c>
      <c r="Y1035" s="472">
        <f t="shared" si="118"/>
        <v>3</v>
      </c>
      <c r="Z1035" s="540">
        <f t="shared" si="119"/>
        <v>0.24</v>
      </c>
      <c r="AA1035" s="471">
        <v>0</v>
      </c>
    </row>
    <row r="1036" spans="1:27">
      <c r="A1036" s="451" t="str">
        <f>CONCATENATE(VLOOKUP(B1036,★営業所!$A$1:$B$5,2,FALSE),VLOOKUP(D1036,★サイズ表記!$D$4:$E$55,2,FALSE),VLOOKUP(F1036,★折込地区!$A$1:$B$11,2,FALSE))</f>
        <v>S1002Hks</v>
      </c>
      <c r="B1036" s="457" t="s">
        <v>276</v>
      </c>
      <c r="C1036" s="452" t="str">
        <f>VLOOKUP(B1036,★営業所!$A$1:$B$5,2,FALSE)</f>
        <v>S</v>
      </c>
      <c r="D1036" s="465" t="s">
        <v>950</v>
      </c>
      <c r="E1036" s="452" t="str">
        <f>VLOOKUP(D1036,★サイズ表記!$D$4:$E$55,2,FALSE)</f>
        <v>1002</v>
      </c>
      <c r="F1036" s="457" t="s">
        <v>38</v>
      </c>
      <c r="G1036" s="452" t="str">
        <f>VLOOKUP(F1036,★折込地区!$A$1:$B$11,2,FALSE)</f>
        <v>Hks</v>
      </c>
      <c r="H1036" s="453">
        <f>INDEX(★サイズ表記!$I$4:$Q$55, MATCH(E1036,★サイズ表記!$E$4:$E$55,0), MATCH(G1036,★サイズ表記!$I$3:$R$3,0))</f>
        <v>6</v>
      </c>
      <c r="K1036" s="471" t="str">
        <f t="shared" si="112"/>
        <v>S1002Hks</v>
      </c>
      <c r="L1036" s="471" t="str">
        <f t="shared" si="113"/>
        <v>B3（2つ折り）</v>
      </c>
      <c r="P1036" s="533" t="s">
        <v>1324</v>
      </c>
      <c r="Q1036" s="533" t="s">
        <v>1325</v>
      </c>
      <c r="R1036" s="534" t="str">
        <f t="shared" si="114"/>
        <v>1002</v>
      </c>
      <c r="S1036" s="534" t="str">
        <f t="shared" si="115"/>
        <v>B3（2つ折り）</v>
      </c>
      <c r="T1036" s="538" t="str">
        <f t="shared" si="116"/>
        <v>10</v>
      </c>
      <c r="U1036" s="538" t="str">
        <f t="shared" si="117"/>
        <v>02</v>
      </c>
      <c r="V1036" s="471" t="s">
        <v>1136</v>
      </c>
      <c r="Y1036" s="472">
        <f t="shared" si="118"/>
        <v>6</v>
      </c>
      <c r="Z1036" s="540">
        <f t="shared" si="119"/>
        <v>0.48</v>
      </c>
      <c r="AA1036" s="471">
        <v>0</v>
      </c>
    </row>
    <row r="1037" spans="1:27">
      <c r="A1037" s="451" t="str">
        <f>CONCATENATE(VLOOKUP(B1037,★営業所!$A$1:$B$5,2,FALSE),VLOOKUP(D1037,★サイズ表記!$D$4:$E$55,2,FALSE),VLOOKUP(F1037,★折込地区!$A$1:$B$11,2,FALSE))</f>
        <v>S1003Hks</v>
      </c>
      <c r="B1037" s="457" t="s">
        <v>276</v>
      </c>
      <c r="C1037" s="452" t="str">
        <f>VLOOKUP(B1037,★営業所!$A$1:$B$5,2,FALSE)</f>
        <v>S</v>
      </c>
      <c r="D1037" s="465" t="s">
        <v>951</v>
      </c>
      <c r="E1037" s="452" t="str">
        <f>VLOOKUP(D1037,★サイズ表記!$D$4:$E$55,2,FALSE)</f>
        <v>1003</v>
      </c>
      <c r="F1037" s="457" t="s">
        <v>38</v>
      </c>
      <c r="G1037" s="452" t="str">
        <f>VLOOKUP(F1037,★折込地区!$A$1:$B$11,2,FALSE)</f>
        <v>Hks</v>
      </c>
      <c r="H1037" s="453">
        <f>INDEX(★サイズ表記!$I$4:$Q$55, MATCH(E1037,★サイズ表記!$E$4:$E$55,0), MATCH(G1037,★サイズ表記!$I$3:$R$3,0))</f>
        <v>0</v>
      </c>
      <c r="K1037" s="471" t="str">
        <f t="shared" si="112"/>
        <v>S1003Hks</v>
      </c>
      <c r="L1037" s="471" t="str">
        <f t="shared" si="113"/>
        <v>3つ折り</v>
      </c>
      <c r="P1037" s="533" t="s">
        <v>1324</v>
      </c>
      <c r="Q1037" s="533" t="s">
        <v>1325</v>
      </c>
      <c r="R1037" s="534" t="str">
        <f t="shared" si="114"/>
        <v>1003</v>
      </c>
      <c r="S1037" s="534" t="str">
        <f t="shared" si="115"/>
        <v>3つ折り</v>
      </c>
      <c r="T1037" s="538" t="str">
        <f t="shared" si="116"/>
        <v>10</v>
      </c>
      <c r="U1037" s="538" t="str">
        <f t="shared" si="117"/>
        <v>03</v>
      </c>
      <c r="V1037" s="471" t="s">
        <v>1136</v>
      </c>
      <c r="Y1037" s="472">
        <f t="shared" si="118"/>
        <v>0</v>
      </c>
      <c r="Z1037" s="540">
        <f t="shared" si="119"/>
        <v>0</v>
      </c>
      <c r="AA1037" s="471">
        <v>0</v>
      </c>
    </row>
    <row r="1038" spans="1:27">
      <c r="A1038" s="451" t="str">
        <f>CONCATENATE(VLOOKUP(B1038,★営業所!$A$1:$B$5,2,FALSE),VLOOKUP(D1038,★サイズ表記!$D$4:$E$55,2,FALSE),VLOOKUP(F1038,★折込地区!$A$1:$B$11,2,FALSE))</f>
        <v>S1004Hks</v>
      </c>
      <c r="B1038" s="457" t="s">
        <v>276</v>
      </c>
      <c r="C1038" s="452" t="str">
        <f>VLOOKUP(B1038,★営業所!$A$1:$B$5,2,FALSE)</f>
        <v>S</v>
      </c>
      <c r="D1038" s="465" t="s">
        <v>947</v>
      </c>
      <c r="E1038" s="452" t="str">
        <f>VLOOKUP(D1038,★サイズ表記!$D$4:$E$55,2,FALSE)</f>
        <v>1004</v>
      </c>
      <c r="F1038" s="457" t="s">
        <v>38</v>
      </c>
      <c r="G1038" s="452" t="str">
        <f>VLOOKUP(F1038,★折込地区!$A$1:$B$11,2,FALSE)</f>
        <v>Hks</v>
      </c>
      <c r="H1038" s="453">
        <f>INDEX(★サイズ表記!$I$4:$Q$55, MATCH(E1038,★サイズ表記!$E$4:$E$55,0), MATCH(G1038,★サイズ表記!$I$3:$R$3,0))</f>
        <v>0</v>
      </c>
      <c r="K1038" s="471" t="str">
        <f t="shared" si="112"/>
        <v>S1004Hks</v>
      </c>
      <c r="L1038" s="471" t="str">
        <f t="shared" si="113"/>
        <v>観音折</v>
      </c>
      <c r="P1038" s="533" t="s">
        <v>1324</v>
      </c>
      <c r="Q1038" s="533" t="s">
        <v>1325</v>
      </c>
      <c r="R1038" s="534" t="str">
        <f t="shared" si="114"/>
        <v>1004</v>
      </c>
      <c r="S1038" s="534" t="str">
        <f t="shared" si="115"/>
        <v>観音折</v>
      </c>
      <c r="T1038" s="538" t="str">
        <f t="shared" si="116"/>
        <v>10</v>
      </c>
      <c r="U1038" s="538" t="str">
        <f t="shared" si="117"/>
        <v>04</v>
      </c>
      <c r="V1038" s="471" t="s">
        <v>1136</v>
      </c>
      <c r="Y1038" s="472">
        <f t="shared" si="118"/>
        <v>0</v>
      </c>
      <c r="Z1038" s="540">
        <f t="shared" si="119"/>
        <v>0</v>
      </c>
      <c r="AA1038" s="471">
        <v>0</v>
      </c>
    </row>
    <row r="1039" spans="1:27">
      <c r="A1039" s="451" t="str">
        <f>CONCATENATE(VLOOKUP(B1039,★営業所!$A$1:$B$5,2,FALSE),VLOOKUP(D1039,★サイズ表記!$D$4:$E$55,2,FALSE),VLOOKUP(F1039,★折込地区!$A$1:$B$11,2,FALSE))</f>
        <v>S1005Hks</v>
      </c>
      <c r="B1039" s="457" t="s">
        <v>276</v>
      </c>
      <c r="C1039" s="452" t="str">
        <f>VLOOKUP(B1039,★営業所!$A$1:$B$5,2,FALSE)</f>
        <v>S</v>
      </c>
      <c r="D1039" s="465" t="s">
        <v>952</v>
      </c>
      <c r="E1039" s="452" t="str">
        <f>VLOOKUP(D1039,★サイズ表記!$D$4:$E$55,2,FALSE)</f>
        <v>1005</v>
      </c>
      <c r="F1039" s="457" t="s">
        <v>38</v>
      </c>
      <c r="G1039" s="452" t="str">
        <f>VLOOKUP(F1039,★折込地区!$A$1:$B$11,2,FALSE)</f>
        <v>Hks</v>
      </c>
      <c r="H1039" s="453">
        <f>INDEX(★サイズ表記!$I$4:$Q$55, MATCH(E1039,★サイズ表記!$E$4:$E$55,0), MATCH(G1039,★サイズ表記!$I$3:$R$3,0))</f>
        <v>10</v>
      </c>
      <c r="K1039" s="471" t="str">
        <f t="shared" si="112"/>
        <v>S1005Hks</v>
      </c>
      <c r="L1039" s="471" t="str">
        <f t="shared" si="113"/>
        <v>B2（4つ折り）</v>
      </c>
      <c r="P1039" s="533" t="s">
        <v>1324</v>
      </c>
      <c r="Q1039" s="533" t="s">
        <v>1325</v>
      </c>
      <c r="R1039" s="534" t="str">
        <f t="shared" si="114"/>
        <v>1005</v>
      </c>
      <c r="S1039" s="534" t="str">
        <f t="shared" si="115"/>
        <v>B2（4つ折り）</v>
      </c>
      <c r="T1039" s="538" t="str">
        <f t="shared" si="116"/>
        <v>10</v>
      </c>
      <c r="U1039" s="538" t="str">
        <f t="shared" si="117"/>
        <v>05</v>
      </c>
      <c r="V1039" s="471" t="s">
        <v>1136</v>
      </c>
      <c r="Y1039" s="472">
        <f t="shared" si="118"/>
        <v>10</v>
      </c>
      <c r="Z1039" s="540">
        <f t="shared" si="119"/>
        <v>0.8</v>
      </c>
      <c r="AA1039" s="471">
        <v>0</v>
      </c>
    </row>
    <row r="1040" spans="1:27">
      <c r="A1040" s="451" t="str">
        <f>CONCATENATE(VLOOKUP(B1040,★営業所!$A$1:$B$5,2,FALSE),VLOOKUP(D1040,★サイズ表記!$D$4:$E$55,2,FALSE),VLOOKUP(F1040,★折込地区!$A$1:$B$11,2,FALSE))</f>
        <v>S1006Hks</v>
      </c>
      <c r="B1040" s="457" t="s">
        <v>276</v>
      </c>
      <c r="C1040" s="452" t="str">
        <f>VLOOKUP(B1040,★営業所!$A$1:$B$5,2,FALSE)</f>
        <v>S</v>
      </c>
      <c r="D1040" s="465" t="s">
        <v>955</v>
      </c>
      <c r="E1040" s="452" t="str">
        <f>VLOOKUP(D1040,★サイズ表記!$D$4:$E$55,2,FALSE)</f>
        <v>1006</v>
      </c>
      <c r="F1040" s="457" t="s">
        <v>38</v>
      </c>
      <c r="G1040" s="452" t="str">
        <f>VLOOKUP(F1040,★折込地区!$A$1:$B$11,2,FALSE)</f>
        <v>Hks</v>
      </c>
      <c r="H1040" s="453">
        <f>INDEX(★サイズ表記!$I$4:$Q$55, MATCH(E1040,★サイズ表記!$E$4:$E$55,0), MATCH(G1040,★サイズ表記!$I$3:$R$3,0))</f>
        <v>15</v>
      </c>
      <c r="K1040" s="471" t="str">
        <f t="shared" si="112"/>
        <v>S1006Hks</v>
      </c>
      <c r="L1040" s="471" t="str">
        <f t="shared" si="113"/>
        <v>B1（8折り）</v>
      </c>
      <c r="P1040" s="533" t="s">
        <v>1324</v>
      </c>
      <c r="Q1040" s="533" t="s">
        <v>1325</v>
      </c>
      <c r="R1040" s="534" t="str">
        <f t="shared" si="114"/>
        <v>1006</v>
      </c>
      <c r="S1040" s="534" t="str">
        <f t="shared" si="115"/>
        <v>B1（8折り）</v>
      </c>
      <c r="T1040" s="538" t="str">
        <f t="shared" si="116"/>
        <v>10</v>
      </c>
      <c r="U1040" s="538" t="str">
        <f t="shared" si="117"/>
        <v>06</v>
      </c>
      <c r="V1040" s="471" t="s">
        <v>1136</v>
      </c>
      <c r="Y1040" s="472">
        <f t="shared" si="118"/>
        <v>15</v>
      </c>
      <c r="Z1040" s="540">
        <f t="shared" si="119"/>
        <v>1.2</v>
      </c>
      <c r="AA1040" s="471">
        <v>0</v>
      </c>
    </row>
    <row r="1041" spans="1:27">
      <c r="A1041" s="451" t="str">
        <f>CONCATENATE(VLOOKUP(B1041,★営業所!$A$1:$B$5,2,FALSE),VLOOKUP(D1041,★サイズ表記!$D$4:$E$55,2,FALSE),VLOOKUP(F1041,★折込地区!$A$1:$B$11,2,FALSE))</f>
        <v>S1007Hks</v>
      </c>
      <c r="B1041" s="457" t="s">
        <v>276</v>
      </c>
      <c r="C1041" s="452" t="str">
        <f>VLOOKUP(B1041,★営業所!$A$1:$B$5,2,FALSE)</f>
        <v>S</v>
      </c>
      <c r="D1041" s="465" t="s">
        <v>956</v>
      </c>
      <c r="E1041" s="452" t="str">
        <f>VLOOKUP(D1041,★サイズ表記!$D$4:$E$55,2,FALSE)</f>
        <v>1007</v>
      </c>
      <c r="F1041" s="457" t="s">
        <v>38</v>
      </c>
      <c r="G1041" s="452" t="str">
        <f>VLOOKUP(F1041,★折込地区!$A$1:$B$11,2,FALSE)</f>
        <v>Hks</v>
      </c>
      <c r="H1041" s="453">
        <f>INDEX(★サイズ表記!$I$4:$Q$55, MATCH(E1041,★サイズ表記!$E$4:$E$55,0), MATCH(G1041,★サイズ表記!$I$3:$R$3,0))</f>
        <v>0</v>
      </c>
      <c r="K1041" s="471" t="str">
        <f t="shared" si="112"/>
        <v>S1007Hks</v>
      </c>
      <c r="L1041" s="471" t="str">
        <f t="shared" si="113"/>
        <v>B4厚紙</v>
      </c>
      <c r="P1041" s="533" t="s">
        <v>1324</v>
      </c>
      <c r="Q1041" s="533" t="s">
        <v>1325</v>
      </c>
      <c r="R1041" s="534" t="str">
        <f t="shared" si="114"/>
        <v>1007</v>
      </c>
      <c r="S1041" s="534" t="str">
        <f t="shared" si="115"/>
        <v>B4厚紙</v>
      </c>
      <c r="T1041" s="538" t="str">
        <f t="shared" si="116"/>
        <v>10</v>
      </c>
      <c r="U1041" s="538" t="str">
        <f t="shared" si="117"/>
        <v>07</v>
      </c>
      <c r="V1041" s="471" t="s">
        <v>1136</v>
      </c>
      <c r="Y1041" s="472">
        <f t="shared" si="118"/>
        <v>0</v>
      </c>
      <c r="Z1041" s="540">
        <f t="shared" si="119"/>
        <v>0</v>
      </c>
      <c r="AA1041" s="471">
        <v>0</v>
      </c>
    </row>
    <row r="1042" spans="1:27">
      <c r="A1042" s="451" t="str">
        <f>CONCATENATE(VLOOKUP(B1042,★営業所!$A$1:$B$5,2,FALSE),VLOOKUP(D1042,★サイズ表記!$D$4:$E$55,2,FALSE),VLOOKUP(F1042,★折込地区!$A$1:$B$11,2,FALSE))</f>
        <v>S1008Hks</v>
      </c>
      <c r="B1042" s="457" t="s">
        <v>276</v>
      </c>
      <c r="C1042" s="452" t="str">
        <f>VLOOKUP(B1042,★営業所!$A$1:$B$5,2,FALSE)</f>
        <v>S</v>
      </c>
      <c r="D1042" s="465" t="s">
        <v>957</v>
      </c>
      <c r="E1042" s="452" t="str">
        <f>VLOOKUP(D1042,★サイズ表記!$D$4:$E$55,2,FALSE)</f>
        <v>1008</v>
      </c>
      <c r="F1042" s="457" t="s">
        <v>38</v>
      </c>
      <c r="G1042" s="452" t="str">
        <f>VLOOKUP(F1042,★折込地区!$A$1:$B$11,2,FALSE)</f>
        <v>Hks</v>
      </c>
      <c r="H1042" s="453">
        <f>INDEX(★サイズ表記!$I$4:$Q$55, MATCH(E1042,★サイズ表記!$E$4:$E$55,0), MATCH(G1042,★サイズ表記!$I$3:$R$3,0))</f>
        <v>0</v>
      </c>
      <c r="K1042" s="471" t="str">
        <f t="shared" si="112"/>
        <v>S1008Hks</v>
      </c>
      <c r="L1042" s="471" t="str">
        <f t="shared" si="113"/>
        <v>B3厚紙</v>
      </c>
      <c r="P1042" s="533" t="s">
        <v>1324</v>
      </c>
      <c r="Q1042" s="533" t="s">
        <v>1325</v>
      </c>
      <c r="R1042" s="534" t="str">
        <f t="shared" si="114"/>
        <v>1008</v>
      </c>
      <c r="S1042" s="534" t="str">
        <f t="shared" si="115"/>
        <v>B3厚紙</v>
      </c>
      <c r="T1042" s="538" t="str">
        <f t="shared" si="116"/>
        <v>10</v>
      </c>
      <c r="U1042" s="538" t="str">
        <f t="shared" si="117"/>
        <v>08</v>
      </c>
      <c r="V1042" s="471" t="s">
        <v>1136</v>
      </c>
      <c r="Y1042" s="472">
        <f t="shared" si="118"/>
        <v>0</v>
      </c>
      <c r="Z1042" s="540">
        <f t="shared" si="119"/>
        <v>0</v>
      </c>
      <c r="AA1042" s="471">
        <v>0</v>
      </c>
    </row>
    <row r="1043" spans="1:27">
      <c r="A1043" s="451" t="str">
        <f>CONCATENATE(VLOOKUP(B1043,★営業所!$A$1:$B$5,2,FALSE),VLOOKUP(D1043,★サイズ表記!$D$4:$E$55,2,FALSE),VLOOKUP(F1043,★折込地区!$A$1:$B$11,2,FALSE))</f>
        <v>S1009Hks</v>
      </c>
      <c r="B1043" s="457" t="s">
        <v>276</v>
      </c>
      <c r="C1043" s="452" t="str">
        <f>VLOOKUP(B1043,★営業所!$A$1:$B$5,2,FALSE)</f>
        <v>S</v>
      </c>
      <c r="D1043" s="465" t="s">
        <v>958</v>
      </c>
      <c r="E1043" s="452" t="str">
        <f>VLOOKUP(D1043,★サイズ表記!$D$4:$E$55,2,FALSE)</f>
        <v>1009</v>
      </c>
      <c r="F1043" s="457" t="s">
        <v>38</v>
      </c>
      <c r="G1043" s="452" t="str">
        <f>VLOOKUP(F1043,★折込地区!$A$1:$B$11,2,FALSE)</f>
        <v>Hks</v>
      </c>
      <c r="H1043" s="453">
        <f>INDEX(★サイズ表記!$I$4:$Q$55, MATCH(E1043,★サイズ表記!$E$4:$E$55,0), MATCH(G1043,★サイズ表記!$I$3:$R$3,0))</f>
        <v>0</v>
      </c>
      <c r="K1043" s="471" t="str">
        <f t="shared" si="112"/>
        <v>S1009Hks</v>
      </c>
      <c r="L1043" s="471" t="str">
        <f t="shared" si="113"/>
        <v>B2厚紙</v>
      </c>
      <c r="P1043" s="533" t="s">
        <v>1324</v>
      </c>
      <c r="Q1043" s="533" t="s">
        <v>1325</v>
      </c>
      <c r="R1043" s="534" t="str">
        <f t="shared" si="114"/>
        <v>1009</v>
      </c>
      <c r="S1043" s="534" t="str">
        <f t="shared" si="115"/>
        <v>B2厚紙</v>
      </c>
      <c r="T1043" s="538" t="str">
        <f t="shared" si="116"/>
        <v>10</v>
      </c>
      <c r="U1043" s="538" t="str">
        <f t="shared" si="117"/>
        <v>09</v>
      </c>
      <c r="V1043" s="471" t="s">
        <v>1136</v>
      </c>
      <c r="Y1043" s="472">
        <f t="shared" si="118"/>
        <v>0</v>
      </c>
      <c r="Z1043" s="540">
        <f t="shared" si="119"/>
        <v>0</v>
      </c>
      <c r="AA1043" s="471">
        <v>0</v>
      </c>
    </row>
    <row r="1044" spans="1:27">
      <c r="A1044" s="451" t="str">
        <f>CONCATENATE(VLOOKUP(B1044,★営業所!$A$1:$B$5,2,FALSE),VLOOKUP(D1044,★サイズ表記!$D$4:$E$55,2,FALSE),VLOOKUP(F1044,★折込地区!$A$1:$B$11,2,FALSE))</f>
        <v>S1010Hks</v>
      </c>
      <c r="B1044" s="457" t="s">
        <v>276</v>
      </c>
      <c r="C1044" s="452" t="str">
        <f>VLOOKUP(B1044,★営業所!$A$1:$B$5,2,FALSE)</f>
        <v>S</v>
      </c>
      <c r="D1044" s="465" t="s">
        <v>959</v>
      </c>
      <c r="E1044" s="452" t="str">
        <f>VLOOKUP(D1044,★サイズ表記!$D$4:$E$55,2,FALSE)</f>
        <v>1010</v>
      </c>
      <c r="F1044" s="457" t="s">
        <v>38</v>
      </c>
      <c r="G1044" s="452" t="str">
        <f>VLOOKUP(F1044,★折込地区!$A$1:$B$11,2,FALSE)</f>
        <v>Hks</v>
      </c>
      <c r="H1044" s="453">
        <f>INDEX(★サイズ表記!$I$4:$Q$55, MATCH(E1044,★サイズ表記!$E$4:$E$55,0), MATCH(G1044,★サイズ表記!$I$3:$R$3,0))</f>
        <v>0</v>
      </c>
      <c r="K1044" s="471" t="str">
        <f t="shared" si="112"/>
        <v>S1010Hks</v>
      </c>
      <c r="L1044" s="471" t="str">
        <f t="shared" si="113"/>
        <v>B4以下変形</v>
      </c>
      <c r="P1044" s="533" t="s">
        <v>1324</v>
      </c>
      <c r="Q1044" s="533" t="s">
        <v>1325</v>
      </c>
      <c r="R1044" s="534" t="str">
        <f t="shared" si="114"/>
        <v>1010</v>
      </c>
      <c r="S1044" s="534" t="str">
        <f t="shared" si="115"/>
        <v>B4以下変形</v>
      </c>
      <c r="T1044" s="538" t="str">
        <f t="shared" si="116"/>
        <v>10</v>
      </c>
      <c r="U1044" s="538" t="str">
        <f t="shared" si="117"/>
        <v>10</v>
      </c>
      <c r="V1044" s="471" t="s">
        <v>1136</v>
      </c>
      <c r="Y1044" s="472">
        <f t="shared" si="118"/>
        <v>0</v>
      </c>
      <c r="Z1044" s="540">
        <f t="shared" si="119"/>
        <v>0</v>
      </c>
      <c r="AA1044" s="471">
        <v>0</v>
      </c>
    </row>
    <row r="1045" spans="1:27">
      <c r="A1045" s="451" t="str">
        <f>CONCATENATE(VLOOKUP(B1045,★営業所!$A$1:$B$5,2,FALSE),VLOOKUP(D1045,★サイズ表記!$D$4:$E$55,2,FALSE),VLOOKUP(F1045,★折込地区!$A$1:$B$11,2,FALSE))</f>
        <v>S1011Hks</v>
      </c>
      <c r="B1045" s="457" t="s">
        <v>276</v>
      </c>
      <c r="C1045" s="452" t="str">
        <f>VLOOKUP(B1045,★営業所!$A$1:$B$5,2,FALSE)</f>
        <v>S</v>
      </c>
      <c r="D1045" s="465" t="s">
        <v>960</v>
      </c>
      <c r="E1045" s="452" t="str">
        <f>VLOOKUP(D1045,★サイズ表記!$D$4:$E$55,2,FALSE)</f>
        <v>1011</v>
      </c>
      <c r="F1045" s="457" t="s">
        <v>38</v>
      </c>
      <c r="G1045" s="452" t="str">
        <f>VLOOKUP(F1045,★折込地区!$A$1:$B$11,2,FALSE)</f>
        <v>Hks</v>
      </c>
      <c r="H1045" s="453">
        <f>INDEX(★サイズ表記!$I$4:$Q$55, MATCH(E1045,★サイズ表記!$E$4:$E$55,0), MATCH(G1045,★サイズ表記!$I$3:$R$3,0))</f>
        <v>0</v>
      </c>
      <c r="K1045" s="471" t="str">
        <f t="shared" si="112"/>
        <v>S1011Hks</v>
      </c>
      <c r="L1045" s="471" t="str">
        <f t="shared" si="113"/>
        <v>B4シール付き</v>
      </c>
      <c r="P1045" s="533" t="s">
        <v>1324</v>
      </c>
      <c r="Q1045" s="533" t="s">
        <v>1325</v>
      </c>
      <c r="R1045" s="534" t="str">
        <f t="shared" si="114"/>
        <v>1011</v>
      </c>
      <c r="S1045" s="534" t="str">
        <f t="shared" si="115"/>
        <v>B4シール付き</v>
      </c>
      <c r="T1045" s="538" t="str">
        <f t="shared" si="116"/>
        <v>10</v>
      </c>
      <c r="U1045" s="538" t="str">
        <f t="shared" si="117"/>
        <v>11</v>
      </c>
      <c r="V1045" s="471" t="s">
        <v>1136</v>
      </c>
      <c r="Y1045" s="472">
        <f t="shared" si="118"/>
        <v>0</v>
      </c>
      <c r="Z1045" s="540">
        <f t="shared" si="119"/>
        <v>0</v>
      </c>
      <c r="AA1045" s="471">
        <v>0</v>
      </c>
    </row>
    <row r="1046" spans="1:27">
      <c r="A1046" s="451" t="str">
        <f>CONCATENATE(VLOOKUP(B1046,★営業所!$A$1:$B$5,2,FALSE),VLOOKUP(D1046,★サイズ表記!$D$4:$E$55,2,FALSE),VLOOKUP(F1046,★折込地区!$A$1:$B$11,2,FALSE))</f>
        <v>S1012Hks</v>
      </c>
      <c r="B1046" s="457" t="s">
        <v>276</v>
      </c>
      <c r="C1046" s="452" t="str">
        <f>VLOOKUP(B1046,★営業所!$A$1:$B$5,2,FALSE)</f>
        <v>S</v>
      </c>
      <c r="D1046" s="465" t="s">
        <v>961</v>
      </c>
      <c r="E1046" s="452" t="str">
        <f>VLOOKUP(D1046,★サイズ表記!$D$4:$E$55,2,FALSE)</f>
        <v>1012</v>
      </c>
      <c r="F1046" s="457" t="s">
        <v>38</v>
      </c>
      <c r="G1046" s="452" t="str">
        <f>VLOOKUP(F1046,★折込地区!$A$1:$B$11,2,FALSE)</f>
        <v>Hks</v>
      </c>
      <c r="H1046" s="453">
        <f>INDEX(★サイズ表記!$I$4:$Q$55, MATCH(E1046,★サイズ表記!$E$4:$E$55,0), MATCH(G1046,★サイズ表記!$I$3:$R$3,0))</f>
        <v>0</v>
      </c>
      <c r="K1046" s="471" t="str">
        <f t="shared" si="112"/>
        <v>S1012Hks</v>
      </c>
      <c r="L1046" s="471" t="str">
        <f t="shared" si="113"/>
        <v>B3シール付き</v>
      </c>
      <c r="P1046" s="533" t="s">
        <v>1324</v>
      </c>
      <c r="Q1046" s="533" t="s">
        <v>1325</v>
      </c>
      <c r="R1046" s="534" t="str">
        <f t="shared" si="114"/>
        <v>1012</v>
      </c>
      <c r="S1046" s="534" t="str">
        <f t="shared" si="115"/>
        <v>B3シール付き</v>
      </c>
      <c r="T1046" s="538" t="str">
        <f t="shared" si="116"/>
        <v>10</v>
      </c>
      <c r="U1046" s="538" t="str">
        <f t="shared" si="117"/>
        <v>12</v>
      </c>
      <c r="V1046" s="471" t="s">
        <v>1136</v>
      </c>
      <c r="Y1046" s="472">
        <f t="shared" si="118"/>
        <v>0</v>
      </c>
      <c r="Z1046" s="540">
        <f t="shared" si="119"/>
        <v>0</v>
      </c>
      <c r="AA1046" s="471">
        <v>0</v>
      </c>
    </row>
    <row r="1047" spans="1:27">
      <c r="A1047" s="451" t="str">
        <f>CONCATENATE(VLOOKUP(B1047,★営業所!$A$1:$B$5,2,FALSE),VLOOKUP(D1047,★サイズ表記!$D$4:$E$55,2,FALSE),VLOOKUP(F1047,★折込地区!$A$1:$B$11,2,FALSE))</f>
        <v>S1013Hks</v>
      </c>
      <c r="B1047" s="457" t="s">
        <v>276</v>
      </c>
      <c r="C1047" s="452" t="str">
        <f>VLOOKUP(B1047,★営業所!$A$1:$B$5,2,FALSE)</f>
        <v>S</v>
      </c>
      <c r="D1047" s="465" t="s">
        <v>962</v>
      </c>
      <c r="E1047" s="452" t="str">
        <f>VLOOKUP(D1047,★サイズ表記!$D$4:$E$55,2,FALSE)</f>
        <v>1013</v>
      </c>
      <c r="F1047" s="457" t="s">
        <v>38</v>
      </c>
      <c r="G1047" s="452" t="str">
        <f>VLOOKUP(F1047,★折込地区!$A$1:$B$11,2,FALSE)</f>
        <v>Hks</v>
      </c>
      <c r="H1047" s="453">
        <f>INDEX(★サイズ表記!$I$4:$Q$55, MATCH(E1047,★サイズ表記!$E$4:$E$55,0), MATCH(G1047,★サイズ表記!$I$3:$R$3,0))</f>
        <v>0</v>
      </c>
      <c r="K1047" s="471" t="str">
        <f t="shared" si="112"/>
        <v>S1013Hks</v>
      </c>
      <c r="L1047" s="471" t="str">
        <f t="shared" si="113"/>
        <v>B4スクラッチ付き</v>
      </c>
      <c r="P1047" s="533" t="s">
        <v>1324</v>
      </c>
      <c r="Q1047" s="533" t="s">
        <v>1325</v>
      </c>
      <c r="R1047" s="534" t="str">
        <f t="shared" si="114"/>
        <v>1013</v>
      </c>
      <c r="S1047" s="534" t="str">
        <f t="shared" si="115"/>
        <v>B4スクラッチ付き</v>
      </c>
      <c r="T1047" s="538" t="str">
        <f t="shared" si="116"/>
        <v>10</v>
      </c>
      <c r="U1047" s="538" t="str">
        <f t="shared" si="117"/>
        <v>13</v>
      </c>
      <c r="V1047" s="471" t="s">
        <v>1136</v>
      </c>
      <c r="Y1047" s="472">
        <f t="shared" si="118"/>
        <v>0</v>
      </c>
      <c r="Z1047" s="540">
        <f t="shared" si="119"/>
        <v>0</v>
      </c>
      <c r="AA1047" s="471">
        <v>0</v>
      </c>
    </row>
    <row r="1048" spans="1:27">
      <c r="A1048" s="451" t="str">
        <f>CONCATENATE(VLOOKUP(B1048,★営業所!$A$1:$B$5,2,FALSE),VLOOKUP(D1048,★サイズ表記!$D$4:$E$55,2,FALSE),VLOOKUP(F1048,★折込地区!$A$1:$B$11,2,FALSE))</f>
        <v>S2001Hks</v>
      </c>
      <c r="B1048" s="457" t="s">
        <v>276</v>
      </c>
      <c r="C1048" s="452" t="str">
        <f>VLOOKUP(B1048,★営業所!$A$1:$B$5,2,FALSE)</f>
        <v>S</v>
      </c>
      <c r="D1048" s="465" t="s">
        <v>963</v>
      </c>
      <c r="E1048" s="452" t="str">
        <f>VLOOKUP(D1048,★サイズ表記!$D$4:$E$55,2,FALSE)</f>
        <v>2001</v>
      </c>
      <c r="F1048" s="457" t="s">
        <v>38</v>
      </c>
      <c r="G1048" s="452" t="str">
        <f>VLOOKUP(F1048,★折込地区!$A$1:$B$11,2,FALSE)</f>
        <v>Hks</v>
      </c>
      <c r="H1048" s="453">
        <f>INDEX(★サイズ表記!$I$4:$Q$55, MATCH(E1048,★サイズ表記!$E$4:$E$55,0), MATCH(G1048,★サイズ表記!$I$3:$R$3,0))</f>
        <v>4.5</v>
      </c>
      <c r="K1048" s="471" t="str">
        <f t="shared" si="112"/>
        <v>S2001Hks</v>
      </c>
      <c r="L1048" s="471" t="str">
        <f t="shared" si="113"/>
        <v>連合B4</v>
      </c>
      <c r="P1048" s="533" t="s">
        <v>1324</v>
      </c>
      <c r="Q1048" s="533" t="s">
        <v>1325</v>
      </c>
      <c r="R1048" s="534" t="str">
        <f t="shared" si="114"/>
        <v>2001</v>
      </c>
      <c r="S1048" s="534" t="str">
        <f t="shared" si="115"/>
        <v>連合B4</v>
      </c>
      <c r="T1048" s="538" t="str">
        <f t="shared" si="116"/>
        <v>20</v>
      </c>
      <c r="U1048" s="538" t="str">
        <f t="shared" si="117"/>
        <v>01</v>
      </c>
      <c r="V1048" s="471" t="s">
        <v>1136</v>
      </c>
      <c r="Y1048" s="472">
        <f t="shared" si="118"/>
        <v>4.5</v>
      </c>
      <c r="Z1048" s="540">
        <f t="shared" si="119"/>
        <v>0.36</v>
      </c>
      <c r="AA1048" s="471">
        <v>0</v>
      </c>
    </row>
    <row r="1049" spans="1:27">
      <c r="A1049" s="451" t="str">
        <f>CONCATENATE(VLOOKUP(B1049,★営業所!$A$1:$B$5,2,FALSE),VLOOKUP(D1049,★サイズ表記!$D$4:$E$55,2,FALSE),VLOOKUP(F1049,★折込地区!$A$1:$B$11,2,FALSE))</f>
        <v>S2002Hks</v>
      </c>
      <c r="B1049" s="457" t="s">
        <v>276</v>
      </c>
      <c r="C1049" s="452" t="str">
        <f>VLOOKUP(B1049,★営業所!$A$1:$B$5,2,FALSE)</f>
        <v>S</v>
      </c>
      <c r="D1049" s="465" t="s">
        <v>964</v>
      </c>
      <c r="E1049" s="452" t="str">
        <f>VLOOKUP(D1049,★サイズ表記!$D$4:$E$55,2,FALSE)</f>
        <v>2002</v>
      </c>
      <c r="F1049" s="457" t="s">
        <v>38</v>
      </c>
      <c r="G1049" s="452" t="str">
        <f>VLOOKUP(F1049,★折込地区!$A$1:$B$11,2,FALSE)</f>
        <v>Hks</v>
      </c>
      <c r="H1049" s="453">
        <f>INDEX(★サイズ表記!$I$4:$Q$55, MATCH(E1049,★サイズ表記!$E$4:$E$55,0), MATCH(G1049,★サイズ表記!$I$3:$R$3,0))</f>
        <v>9</v>
      </c>
      <c r="K1049" s="471" t="str">
        <f t="shared" si="112"/>
        <v>S2002Hks</v>
      </c>
      <c r="L1049" s="471" t="str">
        <f t="shared" si="113"/>
        <v>連合B3</v>
      </c>
      <c r="P1049" s="533" t="s">
        <v>1324</v>
      </c>
      <c r="Q1049" s="533" t="s">
        <v>1325</v>
      </c>
      <c r="R1049" s="534" t="str">
        <f t="shared" si="114"/>
        <v>2002</v>
      </c>
      <c r="S1049" s="534" t="str">
        <f t="shared" si="115"/>
        <v>連合B3</v>
      </c>
      <c r="T1049" s="538" t="str">
        <f t="shared" si="116"/>
        <v>20</v>
      </c>
      <c r="U1049" s="538" t="str">
        <f t="shared" si="117"/>
        <v>02</v>
      </c>
      <c r="V1049" s="471" t="s">
        <v>1136</v>
      </c>
      <c r="Y1049" s="472">
        <f t="shared" si="118"/>
        <v>9</v>
      </c>
      <c r="Z1049" s="540">
        <f t="shared" si="119"/>
        <v>0.72</v>
      </c>
      <c r="AA1049" s="471">
        <v>0</v>
      </c>
    </row>
    <row r="1050" spans="1:27">
      <c r="A1050" s="451" t="str">
        <f>CONCATENATE(VLOOKUP(B1050,★営業所!$A$1:$B$5,2,FALSE),VLOOKUP(D1050,★サイズ表記!$D$4:$E$55,2,FALSE),VLOOKUP(F1050,★折込地区!$A$1:$B$11,2,FALSE))</f>
        <v>S2003Hks</v>
      </c>
      <c r="B1050" s="457" t="s">
        <v>276</v>
      </c>
      <c r="C1050" s="452" t="str">
        <f>VLOOKUP(B1050,★営業所!$A$1:$B$5,2,FALSE)</f>
        <v>S</v>
      </c>
      <c r="D1050" s="465" t="s">
        <v>965</v>
      </c>
      <c r="E1050" s="452" t="str">
        <f>VLOOKUP(D1050,★サイズ表記!$D$4:$E$55,2,FALSE)</f>
        <v>2003</v>
      </c>
      <c r="F1050" s="457" t="s">
        <v>38</v>
      </c>
      <c r="G1050" s="452" t="str">
        <f>VLOOKUP(F1050,★折込地区!$A$1:$B$11,2,FALSE)</f>
        <v>Hks</v>
      </c>
      <c r="H1050" s="453">
        <f>INDEX(★サイズ表記!$I$4:$Q$55, MATCH(E1050,★サイズ表記!$E$4:$E$55,0), MATCH(G1050,★サイズ表記!$I$3:$R$3,0))</f>
        <v>15</v>
      </c>
      <c r="K1050" s="471" t="str">
        <f t="shared" si="112"/>
        <v>S2003Hks</v>
      </c>
      <c r="L1050" s="471" t="str">
        <f t="shared" si="113"/>
        <v>連合B2</v>
      </c>
      <c r="P1050" s="533" t="s">
        <v>1324</v>
      </c>
      <c r="Q1050" s="533" t="s">
        <v>1325</v>
      </c>
      <c r="R1050" s="534" t="str">
        <f t="shared" si="114"/>
        <v>2003</v>
      </c>
      <c r="S1050" s="534" t="str">
        <f t="shared" si="115"/>
        <v>連合B2</v>
      </c>
      <c r="T1050" s="538" t="str">
        <f t="shared" si="116"/>
        <v>20</v>
      </c>
      <c r="U1050" s="538" t="str">
        <f t="shared" si="117"/>
        <v>03</v>
      </c>
      <c r="V1050" s="471" t="s">
        <v>1136</v>
      </c>
      <c r="Y1050" s="472">
        <f t="shared" si="118"/>
        <v>15</v>
      </c>
      <c r="Z1050" s="540">
        <f t="shared" si="119"/>
        <v>1.2</v>
      </c>
      <c r="AA1050" s="471">
        <v>0</v>
      </c>
    </row>
    <row r="1051" spans="1:27">
      <c r="A1051" s="451" t="str">
        <f>CONCATENATE(VLOOKUP(B1051,★営業所!$A$1:$B$5,2,FALSE),VLOOKUP(D1051,★サイズ表記!$D$4:$E$55,2,FALSE),VLOOKUP(F1051,★折込地区!$A$1:$B$11,2,FALSE))</f>
        <v>S2004Hks</v>
      </c>
      <c r="B1051" s="457" t="s">
        <v>276</v>
      </c>
      <c r="C1051" s="452" t="str">
        <f>VLOOKUP(B1051,★営業所!$A$1:$B$5,2,FALSE)</f>
        <v>S</v>
      </c>
      <c r="D1051" s="465" t="s">
        <v>966</v>
      </c>
      <c r="E1051" s="452" t="str">
        <f>VLOOKUP(D1051,★サイズ表記!$D$4:$E$55,2,FALSE)</f>
        <v>2004</v>
      </c>
      <c r="F1051" s="457" t="s">
        <v>38</v>
      </c>
      <c r="G1051" s="452" t="str">
        <f>VLOOKUP(F1051,★折込地区!$A$1:$B$11,2,FALSE)</f>
        <v>Hks</v>
      </c>
      <c r="H1051" s="453">
        <f>INDEX(★サイズ表記!$I$4:$Q$55, MATCH(E1051,★サイズ表記!$E$4:$E$55,0), MATCH(G1051,★サイズ表記!$I$3:$R$3,0))</f>
        <v>0</v>
      </c>
      <c r="K1051" s="471" t="str">
        <f t="shared" si="112"/>
        <v>S2004Hks</v>
      </c>
      <c r="L1051" s="471" t="str">
        <f t="shared" si="113"/>
        <v>連合3つ折り</v>
      </c>
      <c r="P1051" s="533" t="s">
        <v>1324</v>
      </c>
      <c r="Q1051" s="533" t="s">
        <v>1325</v>
      </c>
      <c r="R1051" s="534" t="str">
        <f t="shared" si="114"/>
        <v>2004</v>
      </c>
      <c r="S1051" s="534" t="str">
        <f t="shared" si="115"/>
        <v>連合3つ折り</v>
      </c>
      <c r="T1051" s="538" t="str">
        <f t="shared" si="116"/>
        <v>20</v>
      </c>
      <c r="U1051" s="538" t="str">
        <f t="shared" si="117"/>
        <v>04</v>
      </c>
      <c r="V1051" s="471" t="s">
        <v>1136</v>
      </c>
      <c r="Y1051" s="472">
        <f t="shared" si="118"/>
        <v>0</v>
      </c>
      <c r="Z1051" s="540">
        <f t="shared" si="119"/>
        <v>0</v>
      </c>
      <c r="AA1051" s="471">
        <v>0</v>
      </c>
    </row>
    <row r="1052" spans="1:27">
      <c r="A1052" s="451" t="str">
        <f>CONCATENATE(VLOOKUP(B1052,★営業所!$A$1:$B$5,2,FALSE),VLOOKUP(D1052,★サイズ表記!$D$4:$E$55,2,FALSE),VLOOKUP(F1052,★折込地区!$A$1:$B$11,2,FALSE))</f>
        <v>S2005Hks</v>
      </c>
      <c r="B1052" s="457" t="s">
        <v>276</v>
      </c>
      <c r="C1052" s="452" t="str">
        <f>VLOOKUP(B1052,★営業所!$A$1:$B$5,2,FALSE)</f>
        <v>S</v>
      </c>
      <c r="D1052" s="465" t="s">
        <v>967</v>
      </c>
      <c r="E1052" s="452" t="str">
        <f>VLOOKUP(D1052,★サイズ表記!$D$4:$E$55,2,FALSE)</f>
        <v>2005</v>
      </c>
      <c r="F1052" s="457" t="s">
        <v>38</v>
      </c>
      <c r="G1052" s="452" t="str">
        <f>VLOOKUP(F1052,★折込地区!$A$1:$B$11,2,FALSE)</f>
        <v>Hks</v>
      </c>
      <c r="H1052" s="453">
        <f>INDEX(★サイズ表記!$I$4:$Q$55, MATCH(E1052,★サイズ表記!$E$4:$E$55,0), MATCH(G1052,★サイズ表記!$I$3:$R$3,0))</f>
        <v>0</v>
      </c>
      <c r="K1052" s="471" t="str">
        <f t="shared" si="112"/>
        <v>S2005Hks</v>
      </c>
      <c r="L1052" s="471" t="str">
        <f t="shared" si="113"/>
        <v>連合B4厚紙</v>
      </c>
      <c r="P1052" s="533" t="s">
        <v>1324</v>
      </c>
      <c r="Q1052" s="533" t="s">
        <v>1325</v>
      </c>
      <c r="R1052" s="534" t="str">
        <f t="shared" si="114"/>
        <v>2005</v>
      </c>
      <c r="S1052" s="534" t="str">
        <f t="shared" si="115"/>
        <v>連合B4厚紙</v>
      </c>
      <c r="T1052" s="538" t="str">
        <f t="shared" si="116"/>
        <v>20</v>
      </c>
      <c r="U1052" s="538" t="str">
        <f t="shared" si="117"/>
        <v>05</v>
      </c>
      <c r="V1052" s="471" t="s">
        <v>1136</v>
      </c>
      <c r="Y1052" s="472">
        <f t="shared" si="118"/>
        <v>0</v>
      </c>
      <c r="Z1052" s="540">
        <f t="shared" si="119"/>
        <v>0</v>
      </c>
      <c r="AA1052" s="471">
        <v>0</v>
      </c>
    </row>
    <row r="1053" spans="1:27">
      <c r="A1053" s="451" t="str">
        <f>CONCATENATE(VLOOKUP(B1053,★営業所!$A$1:$B$5,2,FALSE),VLOOKUP(D1053,★サイズ表記!$D$4:$E$55,2,FALSE),VLOOKUP(F1053,★折込地区!$A$1:$B$11,2,FALSE))</f>
        <v>S2006Hks</v>
      </c>
      <c r="B1053" s="457" t="s">
        <v>276</v>
      </c>
      <c r="C1053" s="452" t="str">
        <f>VLOOKUP(B1053,★営業所!$A$1:$B$5,2,FALSE)</f>
        <v>S</v>
      </c>
      <c r="D1053" s="465" t="s">
        <v>968</v>
      </c>
      <c r="E1053" s="452" t="str">
        <f>VLOOKUP(D1053,★サイズ表記!$D$4:$E$55,2,FALSE)</f>
        <v>2006</v>
      </c>
      <c r="F1053" s="457" t="s">
        <v>38</v>
      </c>
      <c r="G1053" s="452" t="str">
        <f>VLOOKUP(F1053,★折込地区!$A$1:$B$11,2,FALSE)</f>
        <v>Hks</v>
      </c>
      <c r="H1053" s="453">
        <f>INDEX(★サイズ表記!$I$4:$Q$55, MATCH(E1053,★サイズ表記!$E$4:$E$55,0), MATCH(G1053,★サイズ表記!$I$3:$R$3,0))</f>
        <v>0</v>
      </c>
      <c r="K1053" s="471" t="str">
        <f t="shared" si="112"/>
        <v>S2006Hks</v>
      </c>
      <c r="L1053" s="471" t="str">
        <f t="shared" si="113"/>
        <v>連合2つ折り極小</v>
      </c>
      <c r="P1053" s="533" t="s">
        <v>1324</v>
      </c>
      <c r="Q1053" s="533" t="s">
        <v>1325</v>
      </c>
      <c r="R1053" s="534" t="str">
        <f t="shared" si="114"/>
        <v>2006</v>
      </c>
      <c r="S1053" s="534" t="str">
        <f t="shared" si="115"/>
        <v>連合2つ折り極小</v>
      </c>
      <c r="T1053" s="538" t="str">
        <f t="shared" si="116"/>
        <v>20</v>
      </c>
      <c r="U1053" s="538" t="str">
        <f t="shared" si="117"/>
        <v>06</v>
      </c>
      <c r="V1053" s="471" t="s">
        <v>1136</v>
      </c>
      <c r="Y1053" s="472">
        <f t="shared" si="118"/>
        <v>0</v>
      </c>
      <c r="Z1053" s="540">
        <f t="shared" si="119"/>
        <v>0</v>
      </c>
      <c r="AA1053" s="471">
        <v>0</v>
      </c>
    </row>
    <row r="1054" spans="1:27">
      <c r="A1054" s="451" t="str">
        <f>CONCATENATE(VLOOKUP(B1054,★営業所!$A$1:$B$5,2,FALSE),VLOOKUP(D1054,★サイズ表記!$D$4:$E$55,2,FALSE),VLOOKUP(F1054,★折込地区!$A$1:$B$11,2,FALSE))</f>
        <v>S2007Hks</v>
      </c>
      <c r="B1054" s="457" t="s">
        <v>276</v>
      </c>
      <c r="C1054" s="452" t="str">
        <f>VLOOKUP(B1054,★営業所!$A$1:$B$5,2,FALSE)</f>
        <v>S</v>
      </c>
      <c r="D1054" s="465" t="s">
        <v>1365</v>
      </c>
      <c r="E1054" s="452" t="str">
        <f>VLOOKUP(D1054,★サイズ表記!$D$4:$E$55,2,FALSE)</f>
        <v>2007</v>
      </c>
      <c r="F1054" s="457" t="s">
        <v>38</v>
      </c>
      <c r="G1054" s="452" t="str">
        <f>VLOOKUP(F1054,★折込地区!$A$1:$B$11,2,FALSE)</f>
        <v>Hks</v>
      </c>
      <c r="H1054" s="453">
        <f>INDEX(★サイズ表記!$I$4:$Q$55, MATCH(E1054,★サイズ表記!$E$4:$E$55,0), MATCH(G1054,★サイズ表記!$I$3:$R$3,0))</f>
        <v>0</v>
      </c>
      <c r="K1054" s="471" t="str">
        <f t="shared" si="112"/>
        <v>S2007Hks</v>
      </c>
      <c r="L1054" s="471" t="str">
        <f t="shared" si="113"/>
        <v>連合タブ6P</v>
      </c>
      <c r="P1054" s="533" t="s">
        <v>1324</v>
      </c>
      <c r="Q1054" s="533" t="s">
        <v>1325</v>
      </c>
      <c r="R1054" s="534" t="str">
        <f t="shared" si="114"/>
        <v>2007</v>
      </c>
      <c r="S1054" s="534" t="str">
        <f t="shared" si="115"/>
        <v>連合タブ6P</v>
      </c>
      <c r="T1054" s="538" t="str">
        <f t="shared" si="116"/>
        <v>20</v>
      </c>
      <c r="U1054" s="538" t="str">
        <f t="shared" si="117"/>
        <v>07</v>
      </c>
      <c r="V1054" s="471" t="s">
        <v>1136</v>
      </c>
      <c r="Y1054" s="472">
        <f t="shared" si="118"/>
        <v>0</v>
      </c>
      <c r="Z1054" s="540">
        <f t="shared" si="119"/>
        <v>0</v>
      </c>
      <c r="AA1054" s="471">
        <v>0</v>
      </c>
    </row>
    <row r="1055" spans="1:27">
      <c r="A1055" s="451" t="str">
        <f>CONCATENATE(VLOOKUP(B1055,★営業所!$A$1:$B$5,2,FALSE),VLOOKUP(D1055,★サイズ表記!$D$4:$E$55,2,FALSE),VLOOKUP(F1055,★折込地区!$A$1:$B$11,2,FALSE))</f>
        <v>S2008Hks</v>
      </c>
      <c r="B1055" s="457" t="s">
        <v>276</v>
      </c>
      <c r="C1055" s="452" t="str">
        <f>VLOOKUP(B1055,★営業所!$A$1:$B$5,2,FALSE)</f>
        <v>S</v>
      </c>
      <c r="D1055" s="465" t="s">
        <v>1366</v>
      </c>
      <c r="E1055" s="452" t="str">
        <f>VLOOKUP(D1055,★サイズ表記!$D$4:$E$55,2,FALSE)</f>
        <v>2008</v>
      </c>
      <c r="F1055" s="457" t="s">
        <v>38</v>
      </c>
      <c r="G1055" s="452" t="str">
        <f>VLOOKUP(F1055,★折込地区!$A$1:$B$11,2,FALSE)</f>
        <v>Hks</v>
      </c>
      <c r="H1055" s="453">
        <f>INDEX(★サイズ表記!$I$4:$Q$55, MATCH(E1055,★サイズ表記!$E$4:$E$55,0), MATCH(G1055,★サイズ表記!$I$3:$R$3,0))</f>
        <v>0</v>
      </c>
      <c r="K1055" s="471" t="str">
        <f t="shared" si="112"/>
        <v>S2008Hks</v>
      </c>
      <c r="L1055" s="471" t="str">
        <f t="shared" si="113"/>
        <v>連合タブ8P</v>
      </c>
      <c r="P1055" s="533" t="s">
        <v>1324</v>
      </c>
      <c r="Q1055" s="533" t="s">
        <v>1325</v>
      </c>
      <c r="R1055" s="534" t="str">
        <f t="shared" si="114"/>
        <v>2008</v>
      </c>
      <c r="S1055" s="534" t="str">
        <f t="shared" si="115"/>
        <v>連合タブ8P</v>
      </c>
      <c r="T1055" s="538" t="str">
        <f t="shared" si="116"/>
        <v>20</v>
      </c>
      <c r="U1055" s="538" t="str">
        <f t="shared" si="117"/>
        <v>08</v>
      </c>
      <c r="V1055" s="471" t="s">
        <v>1136</v>
      </c>
      <c r="Y1055" s="472">
        <f t="shared" si="118"/>
        <v>0</v>
      </c>
      <c r="Z1055" s="540">
        <f t="shared" si="119"/>
        <v>0</v>
      </c>
      <c r="AA1055" s="471">
        <v>0</v>
      </c>
    </row>
    <row r="1056" spans="1:27">
      <c r="A1056" s="451" t="str">
        <f>CONCATENATE(VLOOKUP(B1056,★営業所!$A$1:$B$5,2,FALSE),VLOOKUP(D1056,★サイズ表記!$D$4:$E$55,2,FALSE),VLOOKUP(F1056,★折込地区!$A$1:$B$11,2,FALSE))</f>
        <v>S2009Hks</v>
      </c>
      <c r="B1056" s="457" t="s">
        <v>276</v>
      </c>
      <c r="C1056" s="452" t="str">
        <f>VLOOKUP(B1056,★営業所!$A$1:$B$5,2,FALSE)</f>
        <v>S</v>
      </c>
      <c r="D1056" s="465" t="s">
        <v>1364</v>
      </c>
      <c r="E1056" s="452" t="str">
        <f>VLOOKUP(D1056,★サイズ表記!$D$4:$E$55,2,FALSE)</f>
        <v>2009</v>
      </c>
      <c r="F1056" s="457" t="s">
        <v>38</v>
      </c>
      <c r="G1056" s="452" t="str">
        <f>VLOOKUP(F1056,★折込地区!$A$1:$B$11,2,FALSE)</f>
        <v>Hks</v>
      </c>
      <c r="H1056" s="453">
        <f>INDEX(★サイズ表記!$I$4:$Q$55, MATCH(E1056,★サイズ表記!$E$4:$E$55,0), MATCH(G1056,★サイズ表記!$I$3:$R$3,0))</f>
        <v>0</v>
      </c>
      <c r="K1056" s="471" t="str">
        <f t="shared" si="112"/>
        <v>S2009Hks</v>
      </c>
      <c r="L1056" s="471" t="str">
        <f t="shared" si="113"/>
        <v>連合タブ12P</v>
      </c>
      <c r="P1056" s="533" t="s">
        <v>1324</v>
      </c>
      <c r="Q1056" s="533" t="s">
        <v>1325</v>
      </c>
      <c r="R1056" s="534" t="str">
        <f t="shared" si="114"/>
        <v>2009</v>
      </c>
      <c r="S1056" s="534" t="str">
        <f t="shared" si="115"/>
        <v>連合タブ12P</v>
      </c>
      <c r="T1056" s="538" t="str">
        <f t="shared" si="116"/>
        <v>20</v>
      </c>
      <c r="U1056" s="538" t="str">
        <f t="shared" si="117"/>
        <v>09</v>
      </c>
      <c r="V1056" s="471" t="s">
        <v>1136</v>
      </c>
      <c r="Y1056" s="472">
        <f t="shared" si="118"/>
        <v>0</v>
      </c>
      <c r="Z1056" s="540">
        <f t="shared" si="119"/>
        <v>0</v>
      </c>
      <c r="AA1056" s="471">
        <v>0</v>
      </c>
    </row>
    <row r="1057" spans="1:27">
      <c r="A1057" s="451" t="str">
        <f>CONCATENATE(VLOOKUP(B1057,★営業所!$A$1:$B$5,2,FALSE),VLOOKUP(D1057,★サイズ表記!$D$4:$E$55,2,FALSE),VLOOKUP(F1057,★折込地区!$A$1:$B$11,2,FALSE))</f>
        <v>S3001Hks</v>
      </c>
      <c r="B1057" s="457" t="s">
        <v>276</v>
      </c>
      <c r="C1057" s="452" t="str">
        <f>VLOOKUP(B1057,★営業所!$A$1:$B$5,2,FALSE)</f>
        <v>S</v>
      </c>
      <c r="D1057" s="465" t="s">
        <v>969</v>
      </c>
      <c r="E1057" s="452" t="str">
        <f>VLOOKUP(D1057,★サイズ表記!$D$4:$E$55,2,FALSE)</f>
        <v>3001</v>
      </c>
      <c r="F1057" s="457" t="s">
        <v>38</v>
      </c>
      <c r="G1057" s="452" t="str">
        <f>VLOOKUP(F1057,★折込地区!$A$1:$B$11,2,FALSE)</f>
        <v>Hks</v>
      </c>
      <c r="H1057" s="453">
        <f>INDEX(★サイズ表記!$I$4:$Q$55, MATCH(E1057,★サイズ表記!$E$4:$E$55,0), MATCH(G1057,★サイズ表記!$I$3:$R$3,0))</f>
        <v>4.5</v>
      </c>
      <c r="K1057" s="471" t="str">
        <f t="shared" si="112"/>
        <v>S3001Hks</v>
      </c>
      <c r="L1057" s="471" t="str">
        <f t="shared" si="113"/>
        <v>政治B4</v>
      </c>
      <c r="P1057" s="533" t="s">
        <v>1324</v>
      </c>
      <c r="Q1057" s="533" t="s">
        <v>1325</v>
      </c>
      <c r="R1057" s="534" t="str">
        <f t="shared" si="114"/>
        <v>3001</v>
      </c>
      <c r="S1057" s="534" t="str">
        <f t="shared" si="115"/>
        <v>政治B4</v>
      </c>
      <c r="T1057" s="538" t="str">
        <f t="shared" si="116"/>
        <v>30</v>
      </c>
      <c r="U1057" s="538" t="str">
        <f t="shared" si="117"/>
        <v>01</v>
      </c>
      <c r="V1057" s="471" t="s">
        <v>1136</v>
      </c>
      <c r="Y1057" s="472">
        <f t="shared" si="118"/>
        <v>4.5</v>
      </c>
      <c r="Z1057" s="540">
        <f t="shared" si="119"/>
        <v>0.36</v>
      </c>
      <c r="AA1057" s="471">
        <v>0</v>
      </c>
    </row>
    <row r="1058" spans="1:27">
      <c r="A1058" s="451" t="str">
        <f>CONCATENATE(VLOOKUP(B1058,★営業所!$A$1:$B$5,2,FALSE),VLOOKUP(D1058,★サイズ表記!$D$4:$E$55,2,FALSE),VLOOKUP(F1058,★折込地区!$A$1:$B$11,2,FALSE))</f>
        <v>S3002Hks</v>
      </c>
      <c r="B1058" s="457" t="s">
        <v>276</v>
      </c>
      <c r="C1058" s="452" t="str">
        <f>VLOOKUP(B1058,★営業所!$A$1:$B$5,2,FALSE)</f>
        <v>S</v>
      </c>
      <c r="D1058" s="465" t="s">
        <v>970</v>
      </c>
      <c r="E1058" s="452" t="str">
        <f>VLOOKUP(D1058,★サイズ表記!$D$4:$E$55,2,FALSE)</f>
        <v>3002</v>
      </c>
      <c r="F1058" s="457" t="s">
        <v>38</v>
      </c>
      <c r="G1058" s="452" t="str">
        <f>VLOOKUP(F1058,★折込地区!$A$1:$B$11,2,FALSE)</f>
        <v>Hks</v>
      </c>
      <c r="H1058" s="453">
        <f>INDEX(★サイズ表記!$I$4:$Q$55, MATCH(E1058,★サイズ表記!$E$4:$E$55,0), MATCH(G1058,★サイズ表記!$I$3:$R$3,0))</f>
        <v>9</v>
      </c>
      <c r="K1058" s="471" t="str">
        <f t="shared" si="112"/>
        <v>S3002Hks</v>
      </c>
      <c r="L1058" s="471" t="str">
        <f t="shared" si="113"/>
        <v>政治B3</v>
      </c>
      <c r="P1058" s="533" t="s">
        <v>1324</v>
      </c>
      <c r="Q1058" s="533" t="s">
        <v>1325</v>
      </c>
      <c r="R1058" s="534" t="str">
        <f t="shared" si="114"/>
        <v>3002</v>
      </c>
      <c r="S1058" s="534" t="str">
        <f t="shared" si="115"/>
        <v>政治B3</v>
      </c>
      <c r="T1058" s="538" t="str">
        <f t="shared" si="116"/>
        <v>30</v>
      </c>
      <c r="U1058" s="538" t="str">
        <f t="shared" si="117"/>
        <v>02</v>
      </c>
      <c r="V1058" s="471" t="s">
        <v>1136</v>
      </c>
      <c r="Y1058" s="472">
        <f t="shared" si="118"/>
        <v>9</v>
      </c>
      <c r="Z1058" s="540">
        <f t="shared" si="119"/>
        <v>0.72</v>
      </c>
      <c r="AA1058" s="471">
        <v>0</v>
      </c>
    </row>
    <row r="1059" spans="1:27">
      <c r="A1059" s="451" t="str">
        <f>CONCATENATE(VLOOKUP(B1059,★営業所!$A$1:$B$5,2,FALSE),VLOOKUP(D1059,★サイズ表記!$D$4:$E$55,2,FALSE),VLOOKUP(F1059,★折込地区!$A$1:$B$11,2,FALSE))</f>
        <v>S3003Hks</v>
      </c>
      <c r="B1059" s="457" t="s">
        <v>276</v>
      </c>
      <c r="C1059" s="452" t="str">
        <f>VLOOKUP(B1059,★営業所!$A$1:$B$5,2,FALSE)</f>
        <v>S</v>
      </c>
      <c r="D1059" s="465" t="s">
        <v>971</v>
      </c>
      <c r="E1059" s="452" t="str">
        <f>VLOOKUP(D1059,★サイズ表記!$D$4:$E$55,2,FALSE)</f>
        <v>3003</v>
      </c>
      <c r="F1059" s="457" t="s">
        <v>38</v>
      </c>
      <c r="G1059" s="452" t="str">
        <f>VLOOKUP(F1059,★折込地区!$A$1:$B$11,2,FALSE)</f>
        <v>Hks</v>
      </c>
      <c r="H1059" s="453">
        <f>INDEX(★サイズ表記!$I$4:$Q$55, MATCH(E1059,★サイズ表記!$E$4:$E$55,0), MATCH(G1059,★サイズ表記!$I$3:$R$3,0))</f>
        <v>15</v>
      </c>
      <c r="K1059" s="471" t="str">
        <f t="shared" si="112"/>
        <v>S3003Hks</v>
      </c>
      <c r="L1059" s="471" t="str">
        <f t="shared" si="113"/>
        <v>政治B2</v>
      </c>
      <c r="P1059" s="533" t="s">
        <v>1324</v>
      </c>
      <c r="Q1059" s="533" t="s">
        <v>1325</v>
      </c>
      <c r="R1059" s="534" t="str">
        <f t="shared" si="114"/>
        <v>3003</v>
      </c>
      <c r="S1059" s="534" t="str">
        <f t="shared" si="115"/>
        <v>政治B2</v>
      </c>
      <c r="T1059" s="538" t="str">
        <f t="shared" si="116"/>
        <v>30</v>
      </c>
      <c r="U1059" s="538" t="str">
        <f t="shared" si="117"/>
        <v>03</v>
      </c>
      <c r="V1059" s="471" t="s">
        <v>1136</v>
      </c>
      <c r="Y1059" s="472">
        <f t="shared" si="118"/>
        <v>15</v>
      </c>
      <c r="Z1059" s="540">
        <f t="shared" si="119"/>
        <v>1.2</v>
      </c>
      <c r="AA1059" s="471">
        <v>0</v>
      </c>
    </row>
    <row r="1060" spans="1:27">
      <c r="A1060" s="451" t="str">
        <f>CONCATENATE(VLOOKUP(B1060,★営業所!$A$1:$B$5,2,FALSE),VLOOKUP(D1060,★サイズ表記!$D$4:$E$55,2,FALSE),VLOOKUP(F1060,★折込地区!$A$1:$B$11,2,FALSE))</f>
        <v>S3004Hks</v>
      </c>
      <c r="B1060" s="457" t="s">
        <v>276</v>
      </c>
      <c r="C1060" s="452" t="str">
        <f>VLOOKUP(B1060,★営業所!$A$1:$B$5,2,FALSE)</f>
        <v>S</v>
      </c>
      <c r="D1060" s="465" t="s">
        <v>972</v>
      </c>
      <c r="E1060" s="452" t="str">
        <f>VLOOKUP(D1060,★サイズ表記!$D$4:$E$55,2,FALSE)</f>
        <v>3004</v>
      </c>
      <c r="F1060" s="457" t="s">
        <v>38</v>
      </c>
      <c r="G1060" s="452" t="str">
        <f>VLOOKUP(F1060,★折込地区!$A$1:$B$11,2,FALSE)</f>
        <v>Hks</v>
      </c>
      <c r="H1060" s="453">
        <f>INDEX(★サイズ表記!$I$4:$Q$55, MATCH(E1060,★サイズ表記!$E$4:$E$55,0), MATCH(G1060,★サイズ表記!$I$3:$R$3,0))</f>
        <v>0</v>
      </c>
      <c r="K1060" s="471" t="str">
        <f t="shared" si="112"/>
        <v>S3004Hks</v>
      </c>
      <c r="L1060" s="471" t="str">
        <f t="shared" si="113"/>
        <v>政治3つ折り</v>
      </c>
      <c r="P1060" s="533" t="s">
        <v>1324</v>
      </c>
      <c r="Q1060" s="533" t="s">
        <v>1325</v>
      </c>
      <c r="R1060" s="534" t="str">
        <f t="shared" si="114"/>
        <v>3004</v>
      </c>
      <c r="S1060" s="534" t="str">
        <f t="shared" si="115"/>
        <v>政治3つ折り</v>
      </c>
      <c r="T1060" s="538" t="str">
        <f t="shared" si="116"/>
        <v>30</v>
      </c>
      <c r="U1060" s="538" t="str">
        <f t="shared" si="117"/>
        <v>04</v>
      </c>
      <c r="V1060" s="471" t="s">
        <v>1136</v>
      </c>
      <c r="Y1060" s="472">
        <f t="shared" si="118"/>
        <v>0</v>
      </c>
      <c r="Z1060" s="540">
        <f t="shared" si="119"/>
        <v>0</v>
      </c>
      <c r="AA1060" s="471">
        <v>0</v>
      </c>
    </row>
    <row r="1061" spans="1:27">
      <c r="A1061" s="451" t="str">
        <f>CONCATENATE(VLOOKUP(B1061,★営業所!$A$1:$B$5,2,FALSE),VLOOKUP(D1061,★サイズ表記!$D$4:$E$55,2,FALSE),VLOOKUP(F1061,★折込地区!$A$1:$B$11,2,FALSE))</f>
        <v>S3005Hks</v>
      </c>
      <c r="B1061" s="457" t="s">
        <v>276</v>
      </c>
      <c r="C1061" s="452" t="str">
        <f>VLOOKUP(B1061,★営業所!$A$1:$B$5,2,FALSE)</f>
        <v>S</v>
      </c>
      <c r="D1061" s="465" t="s">
        <v>973</v>
      </c>
      <c r="E1061" s="452" t="str">
        <f>VLOOKUP(D1061,★サイズ表記!$D$4:$E$55,2,FALSE)</f>
        <v>3005</v>
      </c>
      <c r="F1061" s="457" t="s">
        <v>38</v>
      </c>
      <c r="G1061" s="452" t="str">
        <f>VLOOKUP(F1061,★折込地区!$A$1:$B$11,2,FALSE)</f>
        <v>Hks</v>
      </c>
      <c r="H1061" s="453">
        <f>INDEX(★サイズ表記!$I$4:$Q$55, MATCH(E1061,★サイズ表記!$E$4:$E$55,0), MATCH(G1061,★サイズ表記!$I$3:$R$3,0))</f>
        <v>0</v>
      </c>
      <c r="K1061" s="471" t="str">
        <f t="shared" si="112"/>
        <v>S3005Hks</v>
      </c>
      <c r="L1061" s="471" t="str">
        <f t="shared" si="113"/>
        <v>政治2つ折り極小</v>
      </c>
      <c r="P1061" s="533" t="s">
        <v>1324</v>
      </c>
      <c r="Q1061" s="533" t="s">
        <v>1325</v>
      </c>
      <c r="R1061" s="534" t="str">
        <f t="shared" si="114"/>
        <v>3005</v>
      </c>
      <c r="S1061" s="534" t="str">
        <f t="shared" si="115"/>
        <v>政治2つ折り極小</v>
      </c>
      <c r="T1061" s="538" t="str">
        <f t="shared" si="116"/>
        <v>30</v>
      </c>
      <c r="U1061" s="538" t="str">
        <f t="shared" si="117"/>
        <v>05</v>
      </c>
      <c r="V1061" s="471" t="s">
        <v>1136</v>
      </c>
      <c r="Y1061" s="472">
        <f t="shared" si="118"/>
        <v>0</v>
      </c>
      <c r="Z1061" s="540">
        <f t="shared" si="119"/>
        <v>0</v>
      </c>
      <c r="AA1061" s="471">
        <v>0</v>
      </c>
    </row>
    <row r="1062" spans="1:27">
      <c r="A1062" s="451" t="str">
        <f>CONCATENATE(VLOOKUP(B1062,★営業所!$A$1:$B$5,2,FALSE),VLOOKUP(D1062,★サイズ表記!$D$4:$E$55,2,FALSE),VLOOKUP(F1062,★折込地区!$A$1:$B$11,2,FALSE))</f>
        <v>S3006Hks</v>
      </c>
      <c r="B1062" s="457" t="s">
        <v>276</v>
      </c>
      <c r="C1062" s="452" t="str">
        <f>VLOOKUP(B1062,★営業所!$A$1:$B$5,2,FALSE)</f>
        <v>S</v>
      </c>
      <c r="D1062" s="465" t="s">
        <v>974</v>
      </c>
      <c r="E1062" s="452" t="str">
        <f>VLOOKUP(D1062,★サイズ表記!$D$4:$E$55,2,FALSE)</f>
        <v>3006</v>
      </c>
      <c r="F1062" s="457" t="s">
        <v>38</v>
      </c>
      <c r="G1062" s="452" t="str">
        <f>VLOOKUP(F1062,★折込地区!$A$1:$B$11,2,FALSE)</f>
        <v>Hks</v>
      </c>
      <c r="H1062" s="453">
        <f>INDEX(★サイズ表記!$I$4:$Q$55, MATCH(E1062,★サイズ表記!$E$4:$E$55,0), MATCH(G1062,★サイズ表記!$I$3:$R$3,0))</f>
        <v>0</v>
      </c>
      <c r="K1062" s="471" t="str">
        <f t="shared" si="112"/>
        <v>S3006Hks</v>
      </c>
      <c r="L1062" s="471" t="str">
        <f t="shared" si="113"/>
        <v>政治B4厚紙</v>
      </c>
      <c r="P1062" s="533" t="s">
        <v>1324</v>
      </c>
      <c r="Q1062" s="533" t="s">
        <v>1325</v>
      </c>
      <c r="R1062" s="534" t="str">
        <f t="shared" si="114"/>
        <v>3006</v>
      </c>
      <c r="S1062" s="534" t="str">
        <f t="shared" si="115"/>
        <v>政治B4厚紙</v>
      </c>
      <c r="T1062" s="538" t="str">
        <f t="shared" si="116"/>
        <v>30</v>
      </c>
      <c r="U1062" s="538" t="str">
        <f t="shared" si="117"/>
        <v>06</v>
      </c>
      <c r="V1062" s="471" t="s">
        <v>1136</v>
      </c>
      <c r="Y1062" s="472">
        <f t="shared" si="118"/>
        <v>0</v>
      </c>
      <c r="Z1062" s="540">
        <f t="shared" si="119"/>
        <v>0</v>
      </c>
      <c r="AA1062" s="471">
        <v>0</v>
      </c>
    </row>
    <row r="1063" spans="1:27">
      <c r="A1063" s="451" t="str">
        <f>CONCATENATE(VLOOKUP(B1063,★営業所!$A$1:$B$5,2,FALSE),VLOOKUP(D1063,★サイズ表記!$D$4:$E$55,2,FALSE),VLOOKUP(F1063,★折込地区!$A$1:$B$11,2,FALSE))</f>
        <v>S3007Hks</v>
      </c>
      <c r="B1063" s="457" t="s">
        <v>276</v>
      </c>
      <c r="C1063" s="452" t="str">
        <f>VLOOKUP(B1063,★営業所!$A$1:$B$5,2,FALSE)</f>
        <v>S</v>
      </c>
      <c r="D1063" s="465" t="s">
        <v>1362</v>
      </c>
      <c r="E1063" s="452" t="str">
        <f>VLOOKUP(D1063,★サイズ表記!$D$4:$E$55,2,FALSE)</f>
        <v>3007</v>
      </c>
      <c r="F1063" s="457" t="s">
        <v>38</v>
      </c>
      <c r="G1063" s="452" t="str">
        <f>VLOOKUP(F1063,★折込地区!$A$1:$B$11,2,FALSE)</f>
        <v>Hks</v>
      </c>
      <c r="H1063" s="453">
        <f>INDEX(★サイズ表記!$I$4:$Q$55, MATCH(E1063,★サイズ表記!$E$4:$E$55,0), MATCH(G1063,★サイズ表記!$I$3:$R$3,0))</f>
        <v>0</v>
      </c>
      <c r="K1063" s="471" t="str">
        <f t="shared" si="112"/>
        <v>S3007Hks</v>
      </c>
      <c r="L1063" s="471" t="str">
        <f t="shared" si="113"/>
        <v>政治タブ6P</v>
      </c>
      <c r="P1063" s="533" t="s">
        <v>1324</v>
      </c>
      <c r="Q1063" s="533" t="s">
        <v>1325</v>
      </c>
      <c r="R1063" s="534" t="str">
        <f t="shared" si="114"/>
        <v>3007</v>
      </c>
      <c r="S1063" s="534" t="str">
        <f t="shared" si="115"/>
        <v>政治タブ6P</v>
      </c>
      <c r="T1063" s="538" t="str">
        <f t="shared" si="116"/>
        <v>30</v>
      </c>
      <c r="U1063" s="538" t="str">
        <f t="shared" si="117"/>
        <v>07</v>
      </c>
      <c r="V1063" s="471" t="s">
        <v>1136</v>
      </c>
      <c r="Y1063" s="472">
        <f t="shared" si="118"/>
        <v>0</v>
      </c>
      <c r="Z1063" s="540">
        <f t="shared" si="119"/>
        <v>0</v>
      </c>
      <c r="AA1063" s="471">
        <v>0</v>
      </c>
    </row>
    <row r="1064" spans="1:27">
      <c r="A1064" s="451" t="str">
        <f>CONCATENATE(VLOOKUP(B1064,★営業所!$A$1:$B$5,2,FALSE),VLOOKUP(D1064,★サイズ表記!$D$4:$E$55,2,FALSE),VLOOKUP(F1064,★折込地区!$A$1:$B$11,2,FALSE))</f>
        <v>S3008Hks</v>
      </c>
      <c r="B1064" s="457" t="s">
        <v>276</v>
      </c>
      <c r="C1064" s="452" t="str">
        <f>VLOOKUP(B1064,★営業所!$A$1:$B$5,2,FALSE)</f>
        <v>S</v>
      </c>
      <c r="D1064" s="465" t="s">
        <v>1363</v>
      </c>
      <c r="E1064" s="452" t="str">
        <f>VLOOKUP(D1064,★サイズ表記!$D$4:$E$55,2,FALSE)</f>
        <v>3008</v>
      </c>
      <c r="F1064" s="457" t="s">
        <v>38</v>
      </c>
      <c r="G1064" s="452" t="str">
        <f>VLOOKUP(F1064,★折込地区!$A$1:$B$11,2,FALSE)</f>
        <v>Hks</v>
      </c>
      <c r="H1064" s="453">
        <f>INDEX(★サイズ表記!$I$4:$Q$55, MATCH(E1064,★サイズ表記!$E$4:$E$55,0), MATCH(G1064,★サイズ表記!$I$3:$R$3,0))</f>
        <v>0</v>
      </c>
      <c r="K1064" s="471" t="str">
        <f t="shared" si="112"/>
        <v>S3008Hks</v>
      </c>
      <c r="L1064" s="471" t="str">
        <f t="shared" si="113"/>
        <v>政治タブ8P</v>
      </c>
      <c r="P1064" s="533" t="s">
        <v>1324</v>
      </c>
      <c r="Q1064" s="533" t="s">
        <v>1325</v>
      </c>
      <c r="R1064" s="534" t="str">
        <f t="shared" si="114"/>
        <v>3008</v>
      </c>
      <c r="S1064" s="534" t="str">
        <f t="shared" si="115"/>
        <v>政治タブ8P</v>
      </c>
      <c r="T1064" s="538" t="str">
        <f t="shared" si="116"/>
        <v>30</v>
      </c>
      <c r="U1064" s="538" t="str">
        <f t="shared" si="117"/>
        <v>08</v>
      </c>
      <c r="V1064" s="471" t="s">
        <v>1136</v>
      </c>
      <c r="Y1064" s="472">
        <f t="shared" si="118"/>
        <v>0</v>
      </c>
      <c r="Z1064" s="540">
        <f t="shared" si="119"/>
        <v>0</v>
      </c>
      <c r="AA1064" s="471">
        <v>0</v>
      </c>
    </row>
    <row r="1065" spans="1:27">
      <c r="A1065" s="451" t="str">
        <f>CONCATENATE(VLOOKUP(B1065,★営業所!$A$1:$B$5,2,FALSE),VLOOKUP(D1065,★サイズ表記!$D$4:$E$55,2,FALSE),VLOOKUP(F1065,★折込地区!$A$1:$B$11,2,FALSE))</f>
        <v>S3009Hks</v>
      </c>
      <c r="B1065" s="457" t="s">
        <v>276</v>
      </c>
      <c r="C1065" s="452" t="str">
        <f>VLOOKUP(B1065,★営業所!$A$1:$B$5,2,FALSE)</f>
        <v>S</v>
      </c>
      <c r="D1065" s="465" t="s">
        <v>1361</v>
      </c>
      <c r="E1065" s="452" t="str">
        <f>VLOOKUP(D1065,★サイズ表記!$D$4:$E$55,2,FALSE)</f>
        <v>3009</v>
      </c>
      <c r="F1065" s="457" t="s">
        <v>38</v>
      </c>
      <c r="G1065" s="452" t="str">
        <f>VLOOKUP(F1065,★折込地区!$A$1:$B$11,2,FALSE)</f>
        <v>Hks</v>
      </c>
      <c r="H1065" s="453">
        <f>INDEX(★サイズ表記!$I$4:$Q$55, MATCH(E1065,★サイズ表記!$E$4:$E$55,0), MATCH(G1065,★サイズ表記!$I$3:$R$3,0))</f>
        <v>0</v>
      </c>
      <c r="K1065" s="471" t="str">
        <f t="shared" si="112"/>
        <v>S3009Hks</v>
      </c>
      <c r="L1065" s="471" t="str">
        <f t="shared" si="113"/>
        <v>政治タブ12P</v>
      </c>
      <c r="P1065" s="533" t="s">
        <v>1324</v>
      </c>
      <c r="Q1065" s="533" t="s">
        <v>1325</v>
      </c>
      <c r="R1065" s="534" t="str">
        <f t="shared" si="114"/>
        <v>3009</v>
      </c>
      <c r="S1065" s="534" t="str">
        <f t="shared" si="115"/>
        <v>政治タブ12P</v>
      </c>
      <c r="T1065" s="538" t="str">
        <f t="shared" si="116"/>
        <v>30</v>
      </c>
      <c r="U1065" s="538" t="str">
        <f t="shared" si="117"/>
        <v>09</v>
      </c>
      <c r="V1065" s="471" t="s">
        <v>1136</v>
      </c>
      <c r="Y1065" s="472">
        <f t="shared" si="118"/>
        <v>0</v>
      </c>
      <c r="Z1065" s="540">
        <f t="shared" si="119"/>
        <v>0</v>
      </c>
      <c r="AA1065" s="471">
        <v>0</v>
      </c>
    </row>
    <row r="1066" spans="1:27">
      <c r="A1066" s="451" t="str">
        <f>CONCATENATE(VLOOKUP(B1066,★営業所!$A$1:$B$5,2,FALSE),VLOOKUP(D1066,★サイズ表記!$D$4:$E$55,2,FALSE),VLOOKUP(F1066,★折込地区!$A$1:$B$11,2,FALSE))</f>
        <v>S4001Hks</v>
      </c>
      <c r="B1066" s="457" t="s">
        <v>276</v>
      </c>
      <c r="C1066" s="452" t="str">
        <f>VLOOKUP(B1066,★営業所!$A$1:$B$5,2,FALSE)</f>
        <v>S</v>
      </c>
      <c r="D1066" s="465" t="s">
        <v>1358</v>
      </c>
      <c r="E1066" s="452" t="str">
        <f>VLOOKUP(D1066,★サイズ表記!$D$4:$E$55,2,FALSE)</f>
        <v>4001</v>
      </c>
      <c r="F1066" s="457" t="s">
        <v>38</v>
      </c>
      <c r="G1066" s="452" t="str">
        <f>VLOOKUP(F1066,★折込地区!$A$1:$B$11,2,FALSE)</f>
        <v>Hks</v>
      </c>
      <c r="H1066" s="453">
        <f>INDEX(★サイズ表記!$I$4:$Q$55, MATCH(E1066,★サイズ表記!$E$4:$E$55,0), MATCH(G1066,★サイズ表記!$I$3:$R$3,0))</f>
        <v>0</v>
      </c>
      <c r="K1066" s="471" t="str">
        <f t="shared" si="112"/>
        <v>S4001Hks</v>
      </c>
      <c r="L1066" s="471" t="str">
        <f t="shared" si="113"/>
        <v>タブ6P</v>
      </c>
      <c r="P1066" s="533" t="s">
        <v>1324</v>
      </c>
      <c r="Q1066" s="533" t="s">
        <v>1325</v>
      </c>
      <c r="R1066" s="534" t="str">
        <f t="shared" si="114"/>
        <v>4001</v>
      </c>
      <c r="S1066" s="534" t="str">
        <f t="shared" si="115"/>
        <v>タブ6P</v>
      </c>
      <c r="T1066" s="538" t="str">
        <f t="shared" si="116"/>
        <v>40</v>
      </c>
      <c r="U1066" s="538" t="str">
        <f t="shared" si="117"/>
        <v>01</v>
      </c>
      <c r="V1066" s="471" t="s">
        <v>1136</v>
      </c>
      <c r="Y1066" s="472">
        <f t="shared" si="118"/>
        <v>0</v>
      </c>
      <c r="Z1066" s="540">
        <f t="shared" si="119"/>
        <v>0</v>
      </c>
      <c r="AA1066" s="471">
        <v>0</v>
      </c>
    </row>
    <row r="1067" spans="1:27">
      <c r="A1067" s="451" t="str">
        <f>CONCATENATE(VLOOKUP(B1067,★営業所!$A$1:$B$5,2,FALSE),VLOOKUP(D1067,★サイズ表記!$D$4:$E$55,2,FALSE),VLOOKUP(F1067,★折込地区!$A$1:$B$11,2,FALSE))</f>
        <v>S4002Hks</v>
      </c>
      <c r="B1067" s="457" t="s">
        <v>276</v>
      </c>
      <c r="C1067" s="452" t="str">
        <f>VLOOKUP(B1067,★営業所!$A$1:$B$5,2,FALSE)</f>
        <v>S</v>
      </c>
      <c r="D1067" s="465" t="s">
        <v>1359</v>
      </c>
      <c r="E1067" s="452" t="str">
        <f>VLOOKUP(D1067,★サイズ表記!$D$4:$E$55,2,FALSE)</f>
        <v>4002</v>
      </c>
      <c r="F1067" s="457" t="s">
        <v>38</v>
      </c>
      <c r="G1067" s="452" t="str">
        <f>VLOOKUP(F1067,★折込地区!$A$1:$B$11,2,FALSE)</f>
        <v>Hks</v>
      </c>
      <c r="H1067" s="453">
        <f>INDEX(★サイズ表記!$I$4:$Q$55, MATCH(E1067,★サイズ表記!$E$4:$E$55,0), MATCH(G1067,★サイズ表記!$I$3:$R$3,0))</f>
        <v>0</v>
      </c>
      <c r="K1067" s="471" t="str">
        <f t="shared" si="112"/>
        <v>S4002Hks</v>
      </c>
      <c r="L1067" s="471" t="str">
        <f t="shared" si="113"/>
        <v>タブ8P</v>
      </c>
      <c r="P1067" s="533" t="s">
        <v>1324</v>
      </c>
      <c r="Q1067" s="533" t="s">
        <v>1325</v>
      </c>
      <c r="R1067" s="534" t="str">
        <f t="shared" si="114"/>
        <v>4002</v>
      </c>
      <c r="S1067" s="534" t="str">
        <f t="shared" si="115"/>
        <v>タブ8P</v>
      </c>
      <c r="T1067" s="538" t="str">
        <f t="shared" si="116"/>
        <v>40</v>
      </c>
      <c r="U1067" s="538" t="str">
        <f t="shared" si="117"/>
        <v>02</v>
      </c>
      <c r="V1067" s="471" t="s">
        <v>1136</v>
      </c>
      <c r="Y1067" s="472">
        <f t="shared" si="118"/>
        <v>0</v>
      </c>
      <c r="Z1067" s="540">
        <f t="shared" si="119"/>
        <v>0</v>
      </c>
      <c r="AA1067" s="471">
        <v>0</v>
      </c>
    </row>
    <row r="1068" spans="1:27">
      <c r="A1068" s="451" t="str">
        <f>CONCATENATE(VLOOKUP(B1068,★営業所!$A$1:$B$5,2,FALSE),VLOOKUP(D1068,★サイズ表記!$D$4:$E$55,2,FALSE),VLOOKUP(F1068,★折込地区!$A$1:$B$11,2,FALSE))</f>
        <v>S4003Hks</v>
      </c>
      <c r="B1068" s="457" t="s">
        <v>276</v>
      </c>
      <c r="C1068" s="452" t="str">
        <f>VLOOKUP(B1068,★営業所!$A$1:$B$5,2,FALSE)</f>
        <v>S</v>
      </c>
      <c r="D1068" s="465" t="s">
        <v>1360</v>
      </c>
      <c r="E1068" s="452" t="str">
        <f>VLOOKUP(D1068,★サイズ表記!$D$4:$E$55,2,FALSE)</f>
        <v>4003</v>
      </c>
      <c r="F1068" s="457" t="s">
        <v>38</v>
      </c>
      <c r="G1068" s="452" t="str">
        <f>VLOOKUP(F1068,★折込地区!$A$1:$B$11,2,FALSE)</f>
        <v>Hks</v>
      </c>
      <c r="H1068" s="453">
        <f>INDEX(★サイズ表記!$I$4:$Q$55, MATCH(E1068,★サイズ表記!$E$4:$E$55,0), MATCH(G1068,★サイズ表記!$I$3:$R$3,0))</f>
        <v>0</v>
      </c>
      <c r="K1068" s="471" t="str">
        <f t="shared" ref="K1068:K1131" si="120">A1068</f>
        <v>S4003Hks</v>
      </c>
      <c r="L1068" s="471" t="str">
        <f t="shared" ref="L1068:L1131" si="121">D1068</f>
        <v>タブ8Pホチキス止め</v>
      </c>
      <c r="P1068" s="533" t="s">
        <v>1324</v>
      </c>
      <c r="Q1068" s="533" t="s">
        <v>1325</v>
      </c>
      <c r="R1068" s="534" t="str">
        <f t="shared" si="114"/>
        <v>4003</v>
      </c>
      <c r="S1068" s="534" t="str">
        <f t="shared" si="115"/>
        <v>タブ8Pホチキス止め</v>
      </c>
      <c r="T1068" s="538" t="str">
        <f t="shared" si="116"/>
        <v>40</v>
      </c>
      <c r="U1068" s="538" t="str">
        <f t="shared" si="117"/>
        <v>03</v>
      </c>
      <c r="V1068" s="471" t="s">
        <v>1136</v>
      </c>
      <c r="Y1068" s="472">
        <f t="shared" si="118"/>
        <v>0</v>
      </c>
      <c r="Z1068" s="540">
        <f t="shared" si="119"/>
        <v>0</v>
      </c>
      <c r="AA1068" s="471">
        <v>0</v>
      </c>
    </row>
    <row r="1069" spans="1:27">
      <c r="A1069" s="451" t="str">
        <f>CONCATENATE(VLOOKUP(B1069,★営業所!$A$1:$B$5,2,FALSE),VLOOKUP(D1069,★サイズ表記!$D$4:$E$55,2,FALSE),VLOOKUP(F1069,★折込地区!$A$1:$B$11,2,FALSE))</f>
        <v>S4004Hks</v>
      </c>
      <c r="B1069" s="457" t="s">
        <v>276</v>
      </c>
      <c r="C1069" s="452" t="str">
        <f>VLOOKUP(B1069,★営業所!$A$1:$B$5,2,FALSE)</f>
        <v>S</v>
      </c>
      <c r="D1069" s="465" t="s">
        <v>1350</v>
      </c>
      <c r="E1069" s="452" t="str">
        <f>VLOOKUP(D1069,★サイズ表記!$D$4:$E$55,2,FALSE)</f>
        <v>4004</v>
      </c>
      <c r="F1069" s="457" t="s">
        <v>38</v>
      </c>
      <c r="G1069" s="452" t="str">
        <f>VLOOKUP(F1069,★折込地区!$A$1:$B$11,2,FALSE)</f>
        <v>Hks</v>
      </c>
      <c r="H1069" s="453">
        <f>INDEX(★サイズ表記!$I$4:$Q$55, MATCH(E1069,★サイズ表記!$E$4:$E$55,0), MATCH(G1069,★サイズ表記!$I$3:$R$3,0))</f>
        <v>0</v>
      </c>
      <c r="K1069" s="471" t="str">
        <f t="shared" si="120"/>
        <v>S4004Hks</v>
      </c>
      <c r="L1069" s="471" t="str">
        <f t="shared" si="121"/>
        <v>タブ10P</v>
      </c>
      <c r="P1069" s="533" t="s">
        <v>1324</v>
      </c>
      <c r="Q1069" s="533" t="s">
        <v>1325</v>
      </c>
      <c r="R1069" s="534" t="str">
        <f t="shared" ref="R1069:R1132" si="122">E1069</f>
        <v>4004</v>
      </c>
      <c r="S1069" s="534" t="str">
        <f t="shared" ref="S1069:S1132" si="123">L1069</f>
        <v>タブ10P</v>
      </c>
      <c r="T1069" s="538" t="str">
        <f t="shared" ref="T1069:T1132" si="124">LEFT($E1069,2)</f>
        <v>40</v>
      </c>
      <c r="U1069" s="538" t="str">
        <f t="shared" ref="U1069:U1132" si="125">RIGHT($E1069,2)</f>
        <v>04</v>
      </c>
      <c r="V1069" s="471" t="s">
        <v>1136</v>
      </c>
      <c r="Y1069" s="472">
        <f t="shared" ref="Y1069:Y1132" si="126">$H1069</f>
        <v>0</v>
      </c>
      <c r="Z1069" s="540">
        <f t="shared" ref="Z1069:Z1132" si="127">ROUNDDOWN($H1069*8/100,2)</f>
        <v>0</v>
      </c>
      <c r="AA1069" s="471">
        <v>0</v>
      </c>
    </row>
    <row r="1070" spans="1:27">
      <c r="A1070" s="451" t="str">
        <f>CONCATENATE(VLOOKUP(B1070,★営業所!$A$1:$B$5,2,FALSE),VLOOKUP(D1070,★サイズ表記!$D$4:$E$55,2,FALSE),VLOOKUP(F1070,★折込地区!$A$1:$B$11,2,FALSE))</f>
        <v>S4005Hks</v>
      </c>
      <c r="B1070" s="457" t="s">
        <v>276</v>
      </c>
      <c r="C1070" s="452" t="str">
        <f>VLOOKUP(B1070,★営業所!$A$1:$B$5,2,FALSE)</f>
        <v>S</v>
      </c>
      <c r="D1070" s="465" t="s">
        <v>1351</v>
      </c>
      <c r="E1070" s="452" t="str">
        <f>VLOOKUP(D1070,★サイズ表記!$D$4:$E$55,2,FALSE)</f>
        <v>4005</v>
      </c>
      <c r="F1070" s="457" t="s">
        <v>38</v>
      </c>
      <c r="G1070" s="452" t="str">
        <f>VLOOKUP(F1070,★折込地区!$A$1:$B$11,2,FALSE)</f>
        <v>Hks</v>
      </c>
      <c r="H1070" s="453">
        <f>INDEX(★サイズ表記!$I$4:$Q$55, MATCH(E1070,★サイズ表記!$E$4:$E$55,0), MATCH(G1070,★サイズ表記!$I$3:$R$3,0))</f>
        <v>0</v>
      </c>
      <c r="K1070" s="471" t="str">
        <f t="shared" si="120"/>
        <v>S4005Hks</v>
      </c>
      <c r="L1070" s="471" t="str">
        <f t="shared" si="121"/>
        <v>タブ12P</v>
      </c>
      <c r="P1070" s="533" t="s">
        <v>1324</v>
      </c>
      <c r="Q1070" s="533" t="s">
        <v>1325</v>
      </c>
      <c r="R1070" s="534" t="str">
        <f t="shared" si="122"/>
        <v>4005</v>
      </c>
      <c r="S1070" s="534" t="str">
        <f t="shared" si="123"/>
        <v>タブ12P</v>
      </c>
      <c r="T1070" s="538" t="str">
        <f t="shared" si="124"/>
        <v>40</v>
      </c>
      <c r="U1070" s="538" t="str">
        <f t="shared" si="125"/>
        <v>05</v>
      </c>
      <c r="V1070" s="471" t="s">
        <v>1136</v>
      </c>
      <c r="Y1070" s="472">
        <f t="shared" si="126"/>
        <v>0</v>
      </c>
      <c r="Z1070" s="540">
        <f t="shared" si="127"/>
        <v>0</v>
      </c>
      <c r="AA1070" s="471">
        <v>0</v>
      </c>
    </row>
    <row r="1071" spans="1:27">
      <c r="A1071" s="451" t="str">
        <f>CONCATENATE(VLOOKUP(B1071,★営業所!$A$1:$B$5,2,FALSE),VLOOKUP(D1071,★サイズ表記!$D$4:$E$55,2,FALSE),VLOOKUP(F1071,★折込地区!$A$1:$B$11,2,FALSE))</f>
        <v>S4006Hks</v>
      </c>
      <c r="B1071" s="457" t="s">
        <v>276</v>
      </c>
      <c r="C1071" s="452" t="str">
        <f>VLOOKUP(B1071,★営業所!$A$1:$B$5,2,FALSE)</f>
        <v>S</v>
      </c>
      <c r="D1071" s="465" t="s">
        <v>1352</v>
      </c>
      <c r="E1071" s="452" t="str">
        <f>VLOOKUP(D1071,★サイズ表記!$D$4:$E$55,2,FALSE)</f>
        <v>4006</v>
      </c>
      <c r="F1071" s="457" t="s">
        <v>38</v>
      </c>
      <c r="G1071" s="452" t="str">
        <f>VLOOKUP(F1071,★折込地区!$A$1:$B$11,2,FALSE)</f>
        <v>Hks</v>
      </c>
      <c r="H1071" s="453">
        <f>INDEX(★サイズ表記!$I$4:$Q$55, MATCH(E1071,★サイズ表記!$E$4:$E$55,0), MATCH(G1071,★サイズ表記!$I$3:$R$3,0))</f>
        <v>0</v>
      </c>
      <c r="K1071" s="471" t="str">
        <f t="shared" si="120"/>
        <v>S4006Hks</v>
      </c>
      <c r="L1071" s="471" t="str">
        <f t="shared" si="121"/>
        <v>タブ14P</v>
      </c>
      <c r="P1071" s="533" t="s">
        <v>1324</v>
      </c>
      <c r="Q1071" s="533" t="s">
        <v>1325</v>
      </c>
      <c r="R1071" s="534" t="str">
        <f t="shared" si="122"/>
        <v>4006</v>
      </c>
      <c r="S1071" s="534" t="str">
        <f t="shared" si="123"/>
        <v>タブ14P</v>
      </c>
      <c r="T1071" s="538" t="str">
        <f t="shared" si="124"/>
        <v>40</v>
      </c>
      <c r="U1071" s="538" t="str">
        <f t="shared" si="125"/>
        <v>06</v>
      </c>
      <c r="V1071" s="471" t="s">
        <v>1136</v>
      </c>
      <c r="Y1071" s="472">
        <f t="shared" si="126"/>
        <v>0</v>
      </c>
      <c r="Z1071" s="540">
        <f t="shared" si="127"/>
        <v>0</v>
      </c>
      <c r="AA1071" s="471">
        <v>0</v>
      </c>
    </row>
    <row r="1072" spans="1:27">
      <c r="A1072" s="451" t="str">
        <f>CONCATENATE(VLOOKUP(B1072,★営業所!$A$1:$B$5,2,FALSE),VLOOKUP(D1072,★サイズ表記!$D$4:$E$55,2,FALSE),VLOOKUP(F1072,★折込地区!$A$1:$B$11,2,FALSE))</f>
        <v>S4007Hks</v>
      </c>
      <c r="B1072" s="457" t="s">
        <v>276</v>
      </c>
      <c r="C1072" s="452" t="str">
        <f>VLOOKUP(B1072,★営業所!$A$1:$B$5,2,FALSE)</f>
        <v>S</v>
      </c>
      <c r="D1072" s="465" t="s">
        <v>1353</v>
      </c>
      <c r="E1072" s="452" t="str">
        <f>VLOOKUP(D1072,★サイズ表記!$D$4:$E$55,2,FALSE)</f>
        <v>4007</v>
      </c>
      <c r="F1072" s="457" t="s">
        <v>38</v>
      </c>
      <c r="G1072" s="452" t="str">
        <f>VLOOKUP(F1072,★折込地区!$A$1:$B$11,2,FALSE)</f>
        <v>Hks</v>
      </c>
      <c r="H1072" s="453">
        <f>INDEX(★サイズ表記!$I$4:$Q$55, MATCH(E1072,★サイズ表記!$E$4:$E$55,0), MATCH(G1072,★サイズ表記!$I$3:$R$3,0))</f>
        <v>0</v>
      </c>
      <c r="K1072" s="471" t="str">
        <f t="shared" si="120"/>
        <v>S4007Hks</v>
      </c>
      <c r="L1072" s="471" t="str">
        <f t="shared" si="121"/>
        <v>タブ16P</v>
      </c>
      <c r="P1072" s="533" t="s">
        <v>1324</v>
      </c>
      <c r="Q1072" s="533" t="s">
        <v>1325</v>
      </c>
      <c r="R1072" s="534" t="str">
        <f t="shared" si="122"/>
        <v>4007</v>
      </c>
      <c r="S1072" s="534" t="str">
        <f t="shared" si="123"/>
        <v>タブ16P</v>
      </c>
      <c r="T1072" s="538" t="str">
        <f t="shared" si="124"/>
        <v>40</v>
      </c>
      <c r="U1072" s="538" t="str">
        <f t="shared" si="125"/>
        <v>07</v>
      </c>
      <c r="V1072" s="471" t="s">
        <v>1136</v>
      </c>
      <c r="Y1072" s="472">
        <f t="shared" si="126"/>
        <v>0</v>
      </c>
      <c r="Z1072" s="540">
        <f t="shared" si="127"/>
        <v>0</v>
      </c>
      <c r="AA1072" s="471">
        <v>0</v>
      </c>
    </row>
    <row r="1073" spans="1:27">
      <c r="A1073" s="451" t="str">
        <f>CONCATENATE(VLOOKUP(B1073,★営業所!$A$1:$B$5,2,FALSE),VLOOKUP(D1073,★サイズ表記!$D$4:$E$55,2,FALSE),VLOOKUP(F1073,★折込地区!$A$1:$B$11,2,FALSE))</f>
        <v>S4008Hks</v>
      </c>
      <c r="B1073" s="457" t="s">
        <v>276</v>
      </c>
      <c r="C1073" s="452" t="str">
        <f>VLOOKUP(B1073,★営業所!$A$1:$B$5,2,FALSE)</f>
        <v>S</v>
      </c>
      <c r="D1073" s="465" t="s">
        <v>1355</v>
      </c>
      <c r="E1073" s="452" t="str">
        <f>VLOOKUP(D1073,★サイズ表記!$D$4:$E$55,2,FALSE)</f>
        <v>4008</v>
      </c>
      <c r="F1073" s="457" t="s">
        <v>38</v>
      </c>
      <c r="G1073" s="452" t="str">
        <f>VLOOKUP(F1073,★折込地区!$A$1:$B$11,2,FALSE)</f>
        <v>Hks</v>
      </c>
      <c r="H1073" s="453">
        <f>INDEX(★サイズ表記!$I$4:$Q$55, MATCH(E1073,★サイズ表記!$E$4:$E$55,0), MATCH(G1073,★サイズ表記!$I$3:$R$3,0))</f>
        <v>0</v>
      </c>
      <c r="K1073" s="471" t="str">
        <f t="shared" si="120"/>
        <v>S4008Hks</v>
      </c>
      <c r="L1073" s="471" t="str">
        <f t="shared" si="121"/>
        <v>タブ18P</v>
      </c>
      <c r="P1073" s="533" t="s">
        <v>1324</v>
      </c>
      <c r="Q1073" s="533" t="s">
        <v>1325</v>
      </c>
      <c r="R1073" s="534" t="str">
        <f t="shared" si="122"/>
        <v>4008</v>
      </c>
      <c r="S1073" s="534" t="str">
        <f t="shared" si="123"/>
        <v>タブ18P</v>
      </c>
      <c r="T1073" s="538" t="str">
        <f t="shared" si="124"/>
        <v>40</v>
      </c>
      <c r="U1073" s="538" t="str">
        <f t="shared" si="125"/>
        <v>08</v>
      </c>
      <c r="V1073" s="471" t="s">
        <v>1136</v>
      </c>
      <c r="Y1073" s="472">
        <f t="shared" si="126"/>
        <v>0</v>
      </c>
      <c r="Z1073" s="540">
        <f t="shared" si="127"/>
        <v>0</v>
      </c>
      <c r="AA1073" s="471">
        <v>0</v>
      </c>
    </row>
    <row r="1074" spans="1:27">
      <c r="A1074" s="451" t="str">
        <f>CONCATENATE(VLOOKUP(B1074,★営業所!$A$1:$B$5,2,FALSE),VLOOKUP(D1074,★サイズ表記!$D$4:$E$55,2,FALSE),VLOOKUP(F1074,★折込地区!$A$1:$B$11,2,FALSE))</f>
        <v>S4009Hks</v>
      </c>
      <c r="B1074" s="457" t="s">
        <v>276</v>
      </c>
      <c r="C1074" s="452" t="str">
        <f>VLOOKUP(B1074,★営業所!$A$1:$B$5,2,FALSE)</f>
        <v>S</v>
      </c>
      <c r="D1074" s="465" t="s">
        <v>1356</v>
      </c>
      <c r="E1074" s="452" t="str">
        <f>VLOOKUP(D1074,★サイズ表記!$D$4:$E$55,2,FALSE)</f>
        <v>4009</v>
      </c>
      <c r="F1074" s="457" t="s">
        <v>38</v>
      </c>
      <c r="G1074" s="452" t="str">
        <f>VLOOKUP(F1074,★折込地区!$A$1:$B$11,2,FALSE)</f>
        <v>Hks</v>
      </c>
      <c r="H1074" s="453">
        <f>INDEX(★サイズ表記!$I$4:$Q$55, MATCH(E1074,★サイズ表記!$E$4:$E$55,0), MATCH(G1074,★サイズ表記!$I$3:$R$3,0))</f>
        <v>0</v>
      </c>
      <c r="K1074" s="471" t="str">
        <f t="shared" si="120"/>
        <v>S4009Hks</v>
      </c>
      <c r="L1074" s="471" t="str">
        <f t="shared" si="121"/>
        <v>タブ20P</v>
      </c>
      <c r="P1074" s="533" t="s">
        <v>1324</v>
      </c>
      <c r="Q1074" s="533" t="s">
        <v>1325</v>
      </c>
      <c r="R1074" s="534" t="str">
        <f t="shared" si="122"/>
        <v>4009</v>
      </c>
      <c r="S1074" s="534" t="str">
        <f t="shared" si="123"/>
        <v>タブ20P</v>
      </c>
      <c r="T1074" s="538" t="str">
        <f t="shared" si="124"/>
        <v>40</v>
      </c>
      <c r="U1074" s="538" t="str">
        <f t="shared" si="125"/>
        <v>09</v>
      </c>
      <c r="V1074" s="471" t="s">
        <v>1136</v>
      </c>
      <c r="Y1074" s="472">
        <f t="shared" si="126"/>
        <v>0</v>
      </c>
      <c r="Z1074" s="540">
        <f t="shared" si="127"/>
        <v>0</v>
      </c>
      <c r="AA1074" s="471">
        <v>0</v>
      </c>
    </row>
    <row r="1075" spans="1:27">
      <c r="A1075" s="451" t="str">
        <f>CONCATENATE(VLOOKUP(B1075,★営業所!$A$1:$B$5,2,FALSE),VLOOKUP(D1075,★サイズ表記!$D$4:$E$55,2,FALSE),VLOOKUP(F1075,★折込地区!$A$1:$B$11,2,FALSE))</f>
        <v>S4010Hks</v>
      </c>
      <c r="B1075" s="457" t="s">
        <v>276</v>
      </c>
      <c r="C1075" s="452" t="str">
        <f>VLOOKUP(B1075,★営業所!$A$1:$B$5,2,FALSE)</f>
        <v>S</v>
      </c>
      <c r="D1075" s="465" t="s">
        <v>1354</v>
      </c>
      <c r="E1075" s="452" t="str">
        <f>VLOOKUP(D1075,★サイズ表記!$D$4:$E$55,2,FALSE)</f>
        <v>4010</v>
      </c>
      <c r="F1075" s="457" t="s">
        <v>38</v>
      </c>
      <c r="G1075" s="452" t="str">
        <f>VLOOKUP(F1075,★折込地区!$A$1:$B$11,2,FALSE)</f>
        <v>Hks</v>
      </c>
      <c r="H1075" s="453">
        <f>INDEX(★サイズ表記!$I$4:$Q$55, MATCH(E1075,★サイズ表記!$E$4:$E$55,0), MATCH(G1075,★サイズ表記!$I$3:$R$3,0))</f>
        <v>0</v>
      </c>
      <c r="K1075" s="471" t="str">
        <f t="shared" si="120"/>
        <v>S4010Hks</v>
      </c>
      <c r="L1075" s="471" t="str">
        <f t="shared" si="121"/>
        <v>タブ16Pホチキス止め</v>
      </c>
      <c r="P1075" s="533" t="s">
        <v>1324</v>
      </c>
      <c r="Q1075" s="533" t="s">
        <v>1325</v>
      </c>
      <c r="R1075" s="534" t="str">
        <f t="shared" si="122"/>
        <v>4010</v>
      </c>
      <c r="S1075" s="534" t="str">
        <f t="shared" si="123"/>
        <v>タブ16Pホチキス止め</v>
      </c>
      <c r="T1075" s="538" t="str">
        <f t="shared" si="124"/>
        <v>40</v>
      </c>
      <c r="U1075" s="538" t="str">
        <f t="shared" si="125"/>
        <v>10</v>
      </c>
      <c r="V1075" s="471" t="s">
        <v>1136</v>
      </c>
      <c r="Y1075" s="472">
        <f t="shared" si="126"/>
        <v>0</v>
      </c>
      <c r="Z1075" s="540">
        <f t="shared" si="127"/>
        <v>0</v>
      </c>
      <c r="AA1075" s="471">
        <v>0</v>
      </c>
    </row>
    <row r="1076" spans="1:27">
      <c r="A1076" s="451" t="str">
        <f>CONCATENATE(VLOOKUP(B1076,★営業所!$A$1:$B$5,2,FALSE),VLOOKUP(D1076,★サイズ表記!$D$4:$E$55,2,FALSE),VLOOKUP(F1076,★折込地区!$A$1:$B$11,2,FALSE))</f>
        <v>S4011Hks</v>
      </c>
      <c r="B1076" s="457" t="s">
        <v>276</v>
      </c>
      <c r="C1076" s="452" t="str">
        <f>VLOOKUP(B1076,★営業所!$A$1:$B$5,2,FALSE)</f>
        <v>S</v>
      </c>
      <c r="D1076" s="465" t="s">
        <v>1357</v>
      </c>
      <c r="E1076" s="452" t="str">
        <f>VLOOKUP(D1076,★サイズ表記!$D$4:$E$55,2,FALSE)</f>
        <v>4011</v>
      </c>
      <c r="F1076" s="457" t="s">
        <v>38</v>
      </c>
      <c r="G1076" s="452" t="str">
        <f>VLOOKUP(F1076,★折込地区!$A$1:$B$11,2,FALSE)</f>
        <v>Hks</v>
      </c>
      <c r="H1076" s="453">
        <f>INDEX(★サイズ表記!$I$4:$Q$55, MATCH(E1076,★サイズ表記!$E$4:$E$55,0), MATCH(G1076,★サイズ表記!$I$3:$R$3,0))</f>
        <v>0</v>
      </c>
      <c r="K1076" s="471" t="str">
        <f t="shared" si="120"/>
        <v>S4011Hks</v>
      </c>
      <c r="L1076" s="471" t="str">
        <f t="shared" si="121"/>
        <v>タブ40P</v>
      </c>
      <c r="P1076" s="533" t="s">
        <v>1324</v>
      </c>
      <c r="Q1076" s="533" t="s">
        <v>1325</v>
      </c>
      <c r="R1076" s="534" t="str">
        <f t="shared" si="122"/>
        <v>4011</v>
      </c>
      <c r="S1076" s="534" t="str">
        <f t="shared" si="123"/>
        <v>タブ40P</v>
      </c>
      <c r="T1076" s="538" t="str">
        <f t="shared" si="124"/>
        <v>40</v>
      </c>
      <c r="U1076" s="538" t="str">
        <f t="shared" si="125"/>
        <v>11</v>
      </c>
      <c r="V1076" s="471" t="s">
        <v>1136</v>
      </c>
      <c r="Y1076" s="472">
        <f t="shared" si="126"/>
        <v>0</v>
      </c>
      <c r="Z1076" s="540">
        <f t="shared" si="127"/>
        <v>0</v>
      </c>
      <c r="AA1076" s="471">
        <v>0</v>
      </c>
    </row>
    <row r="1077" spans="1:27">
      <c r="A1077" s="451" t="str">
        <f>CONCATENATE(VLOOKUP(B1077,★営業所!$A$1:$B$5,2,FALSE),VLOOKUP(D1077,★サイズ表記!$D$4:$E$55,2,FALSE),VLOOKUP(F1077,★折込地区!$A$1:$B$11,2,FALSE))</f>
        <v>S9001Hks</v>
      </c>
      <c r="B1077" s="457" t="s">
        <v>276</v>
      </c>
      <c r="C1077" s="452" t="str">
        <f>VLOOKUP(B1077,★営業所!$A$1:$B$5,2,FALSE)</f>
        <v>S</v>
      </c>
      <c r="D1077" s="465" t="s">
        <v>975</v>
      </c>
      <c r="E1077" s="452" t="str">
        <f>VLOOKUP(D1077,★サイズ表記!$D$4:$E$55,2,FALSE)</f>
        <v>9001</v>
      </c>
      <c r="F1077" s="457" t="s">
        <v>38</v>
      </c>
      <c r="G1077" s="452" t="str">
        <f>VLOOKUP(F1077,★折込地区!$A$1:$B$11,2,FALSE)</f>
        <v>Hks</v>
      </c>
      <c r="H1077" s="453">
        <f>INDEX(★サイズ表記!$I$4:$Q$55, MATCH(E1077,★サイズ表記!$E$4:$E$55,0), MATCH(G1077,★サイズ表記!$I$3:$R$3,0))</f>
        <v>7</v>
      </c>
      <c r="K1077" s="471" t="str">
        <f t="shared" si="120"/>
        <v>S9001Hks</v>
      </c>
      <c r="L1077" s="471" t="str">
        <f t="shared" si="121"/>
        <v>うさぎの耳</v>
      </c>
      <c r="P1077" s="533" t="s">
        <v>1324</v>
      </c>
      <c r="Q1077" s="533" t="s">
        <v>1325</v>
      </c>
      <c r="R1077" s="534" t="str">
        <f t="shared" si="122"/>
        <v>9001</v>
      </c>
      <c r="S1077" s="534" t="str">
        <f t="shared" si="123"/>
        <v>うさぎの耳</v>
      </c>
      <c r="T1077" s="538" t="str">
        <f t="shared" si="124"/>
        <v>90</v>
      </c>
      <c r="U1077" s="538" t="str">
        <f t="shared" si="125"/>
        <v>01</v>
      </c>
      <c r="V1077" s="471" t="s">
        <v>1136</v>
      </c>
      <c r="Y1077" s="472">
        <f t="shared" si="126"/>
        <v>7</v>
      </c>
      <c r="Z1077" s="540">
        <f t="shared" si="127"/>
        <v>0.56000000000000005</v>
      </c>
      <c r="AA1077" s="471">
        <v>0</v>
      </c>
    </row>
    <row r="1078" spans="1:27">
      <c r="A1078" s="451" t="str">
        <f>CONCATENATE(VLOOKUP(B1078,★営業所!$A$1:$B$5,2,FALSE),VLOOKUP(D1078,★サイズ表記!$D$4:$E$55,2,FALSE),VLOOKUP(F1078,★折込地区!$A$1:$B$11,2,FALSE))</f>
        <v>S9002Hks</v>
      </c>
      <c r="B1078" s="457" t="s">
        <v>276</v>
      </c>
      <c r="C1078" s="452" t="str">
        <f>VLOOKUP(B1078,★営業所!$A$1:$B$5,2,FALSE)</f>
        <v>S</v>
      </c>
      <c r="D1078" s="465" t="s">
        <v>976</v>
      </c>
      <c r="E1078" s="452" t="str">
        <f>VLOOKUP(D1078,★サイズ表記!$D$4:$E$55,2,FALSE)</f>
        <v>9002</v>
      </c>
      <c r="F1078" s="457" t="s">
        <v>38</v>
      </c>
      <c r="G1078" s="452" t="str">
        <f>VLOOKUP(F1078,★折込地区!$A$1:$B$11,2,FALSE)</f>
        <v>Hks</v>
      </c>
      <c r="H1078" s="453">
        <f>INDEX(★サイズ表記!$I$4:$Q$55, MATCH(E1078,★サイズ表記!$E$4:$E$55,0), MATCH(G1078,★サイズ表記!$I$3:$R$3,0))</f>
        <v>5</v>
      </c>
      <c r="K1078" s="471" t="str">
        <f t="shared" si="120"/>
        <v>S9002Hks</v>
      </c>
      <c r="L1078" s="471" t="str">
        <f t="shared" si="121"/>
        <v>ユーキャン（題字）</v>
      </c>
      <c r="P1078" s="533" t="s">
        <v>1324</v>
      </c>
      <c r="Q1078" s="533" t="s">
        <v>1325</v>
      </c>
      <c r="R1078" s="534" t="str">
        <f t="shared" si="122"/>
        <v>9002</v>
      </c>
      <c r="S1078" s="534" t="str">
        <f t="shared" si="123"/>
        <v>ユーキャン（題字）</v>
      </c>
      <c r="T1078" s="538" t="str">
        <f t="shared" si="124"/>
        <v>90</v>
      </c>
      <c r="U1078" s="538" t="str">
        <f t="shared" si="125"/>
        <v>02</v>
      </c>
      <c r="V1078" s="471" t="s">
        <v>1136</v>
      </c>
      <c r="Y1078" s="472">
        <f t="shared" si="126"/>
        <v>5</v>
      </c>
      <c r="Z1078" s="540">
        <f t="shared" si="127"/>
        <v>0.4</v>
      </c>
      <c r="AA1078" s="471">
        <v>0</v>
      </c>
    </row>
    <row r="1079" spans="1:27">
      <c r="A1079" s="451" t="str">
        <f>CONCATENATE(VLOOKUP(B1079,★営業所!$A$1:$B$5,2,FALSE),VLOOKUP(D1079,★サイズ表記!$D$4:$E$55,2,FALSE),VLOOKUP(F1079,★折込地区!$A$1:$B$11,2,FALSE))</f>
        <v>S9003Hks</v>
      </c>
      <c r="B1079" s="457" t="s">
        <v>276</v>
      </c>
      <c r="C1079" s="452" t="str">
        <f>VLOOKUP(B1079,★営業所!$A$1:$B$5,2,FALSE)</f>
        <v>S</v>
      </c>
      <c r="D1079" s="465" t="s">
        <v>977</v>
      </c>
      <c r="E1079" s="452" t="str">
        <f>VLOOKUP(D1079,★サイズ表記!$D$4:$E$55,2,FALSE)</f>
        <v>9003</v>
      </c>
      <c r="F1079" s="457" t="s">
        <v>38</v>
      </c>
      <c r="G1079" s="452" t="str">
        <f>VLOOKUP(F1079,★折込地区!$A$1:$B$11,2,FALSE)</f>
        <v>Hks</v>
      </c>
      <c r="H1079" s="453">
        <f>INDEX(★サイズ表記!$I$4:$Q$55, MATCH(E1079,★サイズ表記!$E$4:$E$55,0), MATCH(G1079,★サイズ表記!$I$3:$R$3,0))</f>
        <v>0</v>
      </c>
      <c r="K1079" s="471" t="str">
        <f t="shared" si="120"/>
        <v>S9003Hks</v>
      </c>
      <c r="L1079" s="471" t="str">
        <f t="shared" si="121"/>
        <v>横長B3</v>
      </c>
      <c r="P1079" s="533" t="s">
        <v>1324</v>
      </c>
      <c r="Q1079" s="533" t="s">
        <v>1325</v>
      </c>
      <c r="R1079" s="534" t="str">
        <f t="shared" si="122"/>
        <v>9003</v>
      </c>
      <c r="S1079" s="534" t="str">
        <f t="shared" si="123"/>
        <v>横長B3</v>
      </c>
      <c r="T1079" s="538" t="str">
        <f t="shared" si="124"/>
        <v>90</v>
      </c>
      <c r="U1079" s="538" t="str">
        <f t="shared" si="125"/>
        <v>03</v>
      </c>
      <c r="V1079" s="471" t="s">
        <v>1136</v>
      </c>
      <c r="Y1079" s="472">
        <f t="shared" si="126"/>
        <v>0</v>
      </c>
      <c r="Z1079" s="540">
        <f t="shared" si="127"/>
        <v>0</v>
      </c>
      <c r="AA1079" s="471">
        <v>0</v>
      </c>
    </row>
    <row r="1080" spans="1:27">
      <c r="A1080" s="451" t="str">
        <f>CONCATENATE(VLOOKUP(B1080,★営業所!$A$1:$B$5,2,FALSE),VLOOKUP(D1080,★サイズ表記!$D$4:$E$55,2,FALSE),VLOOKUP(F1080,★折込地区!$A$1:$B$11,2,FALSE))</f>
        <v>S9004Hks</v>
      </c>
      <c r="B1080" s="457" t="s">
        <v>276</v>
      </c>
      <c r="C1080" s="452" t="str">
        <f>VLOOKUP(B1080,★営業所!$A$1:$B$5,2,FALSE)</f>
        <v>S</v>
      </c>
      <c r="D1080" s="465" t="s">
        <v>978</v>
      </c>
      <c r="E1080" s="452" t="str">
        <f>VLOOKUP(D1080,★サイズ表記!$D$4:$E$55,2,FALSE)</f>
        <v>9004</v>
      </c>
      <c r="F1080" s="457" t="s">
        <v>38</v>
      </c>
      <c r="G1080" s="452" t="str">
        <f>VLOOKUP(F1080,★折込地区!$A$1:$B$11,2,FALSE)</f>
        <v>Hks</v>
      </c>
      <c r="H1080" s="453">
        <f>INDEX(★サイズ表記!$I$4:$Q$55, MATCH(E1080,★サイズ表記!$E$4:$E$55,0), MATCH(G1080,★サイズ表記!$I$3:$R$3,0))</f>
        <v>0</v>
      </c>
      <c r="K1080" s="471" t="str">
        <f t="shared" si="120"/>
        <v>S9004Hks</v>
      </c>
      <c r="L1080" s="471" t="str">
        <f t="shared" si="121"/>
        <v>AD-BAG</v>
      </c>
      <c r="P1080" s="533" t="s">
        <v>1324</v>
      </c>
      <c r="Q1080" s="533" t="s">
        <v>1325</v>
      </c>
      <c r="R1080" s="534" t="str">
        <f t="shared" si="122"/>
        <v>9004</v>
      </c>
      <c r="S1080" s="534" t="str">
        <f t="shared" si="123"/>
        <v>AD-BAG</v>
      </c>
      <c r="T1080" s="538" t="str">
        <f t="shared" si="124"/>
        <v>90</v>
      </c>
      <c r="U1080" s="538" t="str">
        <f t="shared" si="125"/>
        <v>04</v>
      </c>
      <c r="V1080" s="471" t="s">
        <v>1136</v>
      </c>
      <c r="Y1080" s="472">
        <f t="shared" si="126"/>
        <v>0</v>
      </c>
      <c r="Z1080" s="540">
        <f t="shared" si="127"/>
        <v>0</v>
      </c>
      <c r="AA1080" s="471">
        <v>0</v>
      </c>
    </row>
    <row r="1081" spans="1:27">
      <c r="A1081" s="451" t="str">
        <f>CONCATENATE(VLOOKUP(B1081,★営業所!$A$1:$B$5,2,FALSE),VLOOKUP(D1081,★サイズ表記!$D$4:$E$55,2,FALSE),VLOOKUP(F1081,★折込地区!$A$1:$B$11,2,FALSE))</f>
        <v>S9005Hks</v>
      </c>
      <c r="B1081" s="457" t="s">
        <v>276</v>
      </c>
      <c r="C1081" s="452" t="str">
        <f>VLOOKUP(B1081,★営業所!$A$1:$B$5,2,FALSE)</f>
        <v>S</v>
      </c>
      <c r="D1081" s="465" t="s">
        <v>979</v>
      </c>
      <c r="E1081" s="452" t="str">
        <f>VLOOKUP(D1081,★サイズ表記!$D$4:$E$55,2,FALSE)</f>
        <v>9005</v>
      </c>
      <c r="F1081" s="457" t="s">
        <v>38</v>
      </c>
      <c r="G1081" s="452" t="str">
        <f>VLOOKUP(F1081,★折込地区!$A$1:$B$11,2,FALSE)</f>
        <v>Hks</v>
      </c>
      <c r="H1081" s="453">
        <f>INDEX(★サイズ表記!$I$4:$Q$55, MATCH(E1081,★サイズ表記!$E$4:$E$55,0), MATCH(G1081,★サイズ表記!$I$3:$R$3,0))</f>
        <v>0</v>
      </c>
      <c r="K1081" s="471" t="str">
        <f t="shared" si="120"/>
        <v>S9005Hks</v>
      </c>
      <c r="L1081" s="471" t="str">
        <f t="shared" si="121"/>
        <v>封筒</v>
      </c>
      <c r="P1081" s="533" t="s">
        <v>1324</v>
      </c>
      <c r="Q1081" s="533" t="s">
        <v>1325</v>
      </c>
      <c r="R1081" s="534" t="str">
        <f t="shared" si="122"/>
        <v>9005</v>
      </c>
      <c r="S1081" s="534" t="str">
        <f t="shared" si="123"/>
        <v>封筒</v>
      </c>
      <c r="T1081" s="538" t="str">
        <f t="shared" si="124"/>
        <v>90</v>
      </c>
      <c r="U1081" s="538" t="str">
        <f t="shared" si="125"/>
        <v>05</v>
      </c>
      <c r="V1081" s="471" t="s">
        <v>1136</v>
      </c>
      <c r="Y1081" s="472">
        <f t="shared" si="126"/>
        <v>0</v>
      </c>
      <c r="Z1081" s="540">
        <f t="shared" si="127"/>
        <v>0</v>
      </c>
      <c r="AA1081" s="471">
        <v>0</v>
      </c>
    </row>
    <row r="1082" spans="1:27">
      <c r="A1082" s="451" t="str">
        <f>CONCATENATE(VLOOKUP(B1082,★営業所!$A$1:$B$5,2,FALSE),VLOOKUP(D1082,★サイズ表記!$D$4:$E$55,2,FALSE),VLOOKUP(F1082,★折込地区!$A$1:$B$11,2,FALSE))</f>
        <v>S9006Hks</v>
      </c>
      <c r="B1082" s="457" t="s">
        <v>276</v>
      </c>
      <c r="C1082" s="452" t="str">
        <f>VLOOKUP(B1082,★営業所!$A$1:$B$5,2,FALSE)</f>
        <v>S</v>
      </c>
      <c r="D1082" s="465" t="s">
        <v>980</v>
      </c>
      <c r="E1082" s="452" t="str">
        <f>VLOOKUP(D1082,★サイズ表記!$D$4:$E$55,2,FALSE)</f>
        <v>9006</v>
      </c>
      <c r="F1082" s="457" t="s">
        <v>38</v>
      </c>
      <c r="G1082" s="452" t="str">
        <f>VLOOKUP(F1082,★折込地区!$A$1:$B$11,2,FALSE)</f>
        <v>Hks</v>
      </c>
      <c r="H1082" s="453">
        <f>INDEX(★サイズ表記!$I$4:$Q$55, MATCH(E1082,★サイズ表記!$E$4:$E$55,0), MATCH(G1082,★サイズ表記!$I$3:$R$3,0))</f>
        <v>0</v>
      </c>
      <c r="K1082" s="471" t="str">
        <f t="shared" si="120"/>
        <v>S9006Hks</v>
      </c>
      <c r="L1082" s="471" t="str">
        <f t="shared" si="121"/>
        <v>圧着</v>
      </c>
      <c r="P1082" s="533" t="s">
        <v>1324</v>
      </c>
      <c r="Q1082" s="533" t="s">
        <v>1325</v>
      </c>
      <c r="R1082" s="534" t="str">
        <f t="shared" si="122"/>
        <v>9006</v>
      </c>
      <c r="S1082" s="534" t="str">
        <f t="shared" si="123"/>
        <v>圧着</v>
      </c>
      <c r="T1082" s="538" t="str">
        <f t="shared" si="124"/>
        <v>90</v>
      </c>
      <c r="U1082" s="538" t="str">
        <f t="shared" si="125"/>
        <v>06</v>
      </c>
      <c r="V1082" s="471" t="s">
        <v>1136</v>
      </c>
      <c r="Y1082" s="472">
        <f t="shared" si="126"/>
        <v>0</v>
      </c>
      <c r="Z1082" s="540">
        <f t="shared" si="127"/>
        <v>0</v>
      </c>
      <c r="AA1082" s="471">
        <v>0</v>
      </c>
    </row>
    <row r="1083" spans="1:27">
      <c r="A1083" s="451" t="str">
        <f>CONCATENATE(VLOOKUP(B1083,★営業所!$A$1:$B$5,2,FALSE),VLOOKUP(D1083,★サイズ表記!$D$4:$E$55,2,FALSE),VLOOKUP(F1083,★折込地区!$A$1:$B$11,2,FALSE))</f>
        <v>S9007Hks</v>
      </c>
      <c r="B1083" s="457" t="s">
        <v>276</v>
      </c>
      <c r="C1083" s="452" t="str">
        <f>VLOOKUP(B1083,★営業所!$A$1:$B$5,2,FALSE)</f>
        <v>S</v>
      </c>
      <c r="D1083" s="465" t="s">
        <v>981</v>
      </c>
      <c r="E1083" s="452" t="str">
        <f>VLOOKUP(D1083,★サイズ表記!$D$4:$E$55,2,FALSE)</f>
        <v>9007</v>
      </c>
      <c r="F1083" s="457" t="s">
        <v>38</v>
      </c>
      <c r="G1083" s="452" t="str">
        <f>VLOOKUP(F1083,★折込地区!$A$1:$B$11,2,FALSE)</f>
        <v>Hks</v>
      </c>
      <c r="H1083" s="453">
        <f>INDEX(★サイズ表記!$I$4:$Q$55, MATCH(E1083,★サイズ表記!$E$4:$E$55,0), MATCH(G1083,★サイズ表記!$I$3:$R$3,0))</f>
        <v>0</v>
      </c>
      <c r="K1083" s="471" t="str">
        <f t="shared" si="120"/>
        <v>S9007Hks</v>
      </c>
      <c r="L1083" s="471" t="str">
        <f t="shared" si="121"/>
        <v>圧着厚紙</v>
      </c>
      <c r="P1083" s="533" t="s">
        <v>1324</v>
      </c>
      <c r="Q1083" s="533" t="s">
        <v>1325</v>
      </c>
      <c r="R1083" s="534" t="str">
        <f t="shared" si="122"/>
        <v>9007</v>
      </c>
      <c r="S1083" s="534" t="str">
        <f t="shared" si="123"/>
        <v>圧着厚紙</v>
      </c>
      <c r="T1083" s="538" t="str">
        <f t="shared" si="124"/>
        <v>90</v>
      </c>
      <c r="U1083" s="538" t="str">
        <f t="shared" si="125"/>
        <v>07</v>
      </c>
      <c r="V1083" s="471" t="s">
        <v>1136</v>
      </c>
      <c r="Y1083" s="472">
        <f t="shared" si="126"/>
        <v>0</v>
      </c>
      <c r="Z1083" s="540">
        <f t="shared" si="127"/>
        <v>0</v>
      </c>
      <c r="AA1083" s="471">
        <v>0</v>
      </c>
    </row>
    <row r="1084" spans="1:27">
      <c r="A1084" s="451" t="str">
        <f>CONCATENATE(VLOOKUP(B1084,★営業所!$A$1:$B$5,2,FALSE),VLOOKUP(D1084,★サイズ表記!$D$4:$E$55,2,FALSE),VLOOKUP(F1084,★折込地区!$A$1:$B$11,2,FALSE))</f>
        <v>S1001Oka</v>
      </c>
      <c r="B1084" s="457" t="s">
        <v>276</v>
      </c>
      <c r="C1084" s="452" t="str">
        <f>VLOOKUP(B1084,★営業所!$A$1:$B$5,2,FALSE)</f>
        <v>S</v>
      </c>
      <c r="D1084" s="465" t="s">
        <v>948</v>
      </c>
      <c r="E1084" s="452" t="str">
        <f>VLOOKUP(D1084,★サイズ表記!$D$4:$E$55,2,FALSE)</f>
        <v>1001</v>
      </c>
      <c r="F1084" s="457" t="s">
        <v>42</v>
      </c>
      <c r="G1084" s="452" t="str">
        <f>VLOOKUP(F1084,★折込地区!$A$1:$B$11,2,FALSE)</f>
        <v>Oka</v>
      </c>
      <c r="H1084" s="453">
        <f>INDEX(★サイズ表記!$I$4:$Q$55, MATCH(E1084,★サイズ表記!$E$4:$E$55,0), MATCH(G1084,★サイズ表記!$I$3:$R$3,0))</f>
        <v>3</v>
      </c>
      <c r="K1084" s="471" t="str">
        <f t="shared" si="120"/>
        <v>S1001Oka</v>
      </c>
      <c r="L1084" s="471" t="str">
        <f t="shared" si="121"/>
        <v>B4（折り無し）</v>
      </c>
      <c r="P1084" s="533" t="s">
        <v>1324</v>
      </c>
      <c r="Q1084" s="533" t="s">
        <v>1325</v>
      </c>
      <c r="R1084" s="534" t="str">
        <f t="shared" si="122"/>
        <v>1001</v>
      </c>
      <c r="S1084" s="534" t="str">
        <f t="shared" si="123"/>
        <v>B4（折り無し）</v>
      </c>
      <c r="T1084" s="538" t="str">
        <f t="shared" si="124"/>
        <v>10</v>
      </c>
      <c r="U1084" s="538" t="str">
        <f t="shared" si="125"/>
        <v>01</v>
      </c>
      <c r="V1084" s="471" t="s">
        <v>1136</v>
      </c>
      <c r="Y1084" s="472">
        <f t="shared" si="126"/>
        <v>3</v>
      </c>
      <c r="Z1084" s="540">
        <f t="shared" si="127"/>
        <v>0.24</v>
      </c>
      <c r="AA1084" s="471">
        <v>0</v>
      </c>
    </row>
    <row r="1085" spans="1:27">
      <c r="A1085" s="451" t="str">
        <f>CONCATENATE(VLOOKUP(B1085,★営業所!$A$1:$B$5,2,FALSE),VLOOKUP(D1085,★サイズ表記!$D$4:$E$55,2,FALSE),VLOOKUP(F1085,★折込地区!$A$1:$B$11,2,FALSE))</f>
        <v>S1002Oka</v>
      </c>
      <c r="B1085" s="457" t="s">
        <v>276</v>
      </c>
      <c r="C1085" s="452" t="str">
        <f>VLOOKUP(B1085,★営業所!$A$1:$B$5,2,FALSE)</f>
        <v>S</v>
      </c>
      <c r="D1085" s="465" t="s">
        <v>950</v>
      </c>
      <c r="E1085" s="452" t="str">
        <f>VLOOKUP(D1085,★サイズ表記!$D$4:$E$55,2,FALSE)</f>
        <v>1002</v>
      </c>
      <c r="F1085" s="457" t="s">
        <v>42</v>
      </c>
      <c r="G1085" s="452" t="str">
        <f>VLOOKUP(F1085,★折込地区!$A$1:$B$11,2,FALSE)</f>
        <v>Oka</v>
      </c>
      <c r="H1085" s="453">
        <f>INDEX(★サイズ表記!$I$4:$Q$55, MATCH(E1085,★サイズ表記!$E$4:$E$55,0), MATCH(G1085,★サイズ表記!$I$3:$R$3,0))</f>
        <v>4.5</v>
      </c>
      <c r="K1085" s="471" t="str">
        <f t="shared" si="120"/>
        <v>S1002Oka</v>
      </c>
      <c r="L1085" s="471" t="str">
        <f t="shared" si="121"/>
        <v>B3（2つ折り）</v>
      </c>
      <c r="P1085" s="533" t="s">
        <v>1324</v>
      </c>
      <c r="Q1085" s="533" t="s">
        <v>1325</v>
      </c>
      <c r="R1085" s="534" t="str">
        <f t="shared" si="122"/>
        <v>1002</v>
      </c>
      <c r="S1085" s="534" t="str">
        <f t="shared" si="123"/>
        <v>B3（2つ折り）</v>
      </c>
      <c r="T1085" s="538" t="str">
        <f t="shared" si="124"/>
        <v>10</v>
      </c>
      <c r="U1085" s="538" t="str">
        <f t="shared" si="125"/>
        <v>02</v>
      </c>
      <c r="V1085" s="471" t="s">
        <v>1136</v>
      </c>
      <c r="Y1085" s="472">
        <f t="shared" si="126"/>
        <v>4.5</v>
      </c>
      <c r="Z1085" s="540">
        <f t="shared" si="127"/>
        <v>0.36</v>
      </c>
      <c r="AA1085" s="471">
        <v>0</v>
      </c>
    </row>
    <row r="1086" spans="1:27">
      <c r="A1086" s="451" t="str">
        <f>CONCATENATE(VLOOKUP(B1086,★営業所!$A$1:$B$5,2,FALSE),VLOOKUP(D1086,★サイズ表記!$D$4:$E$55,2,FALSE),VLOOKUP(F1086,★折込地区!$A$1:$B$11,2,FALSE))</f>
        <v>S1003Oka</v>
      </c>
      <c r="B1086" s="457" t="s">
        <v>276</v>
      </c>
      <c r="C1086" s="452" t="str">
        <f>VLOOKUP(B1086,★営業所!$A$1:$B$5,2,FALSE)</f>
        <v>S</v>
      </c>
      <c r="D1086" s="465" t="s">
        <v>951</v>
      </c>
      <c r="E1086" s="452" t="str">
        <f>VLOOKUP(D1086,★サイズ表記!$D$4:$E$55,2,FALSE)</f>
        <v>1003</v>
      </c>
      <c r="F1086" s="457" t="s">
        <v>42</v>
      </c>
      <c r="G1086" s="452" t="str">
        <f>VLOOKUP(F1086,★折込地区!$A$1:$B$11,2,FALSE)</f>
        <v>Oka</v>
      </c>
      <c r="H1086" s="453">
        <f>INDEX(★サイズ表記!$I$4:$Q$55, MATCH(E1086,★サイズ表記!$E$4:$E$55,0), MATCH(G1086,★サイズ表記!$I$3:$R$3,0))</f>
        <v>0</v>
      </c>
      <c r="K1086" s="471" t="str">
        <f t="shared" si="120"/>
        <v>S1003Oka</v>
      </c>
      <c r="L1086" s="471" t="str">
        <f t="shared" si="121"/>
        <v>3つ折り</v>
      </c>
      <c r="P1086" s="533" t="s">
        <v>1324</v>
      </c>
      <c r="Q1086" s="533" t="s">
        <v>1325</v>
      </c>
      <c r="R1086" s="534" t="str">
        <f t="shared" si="122"/>
        <v>1003</v>
      </c>
      <c r="S1086" s="534" t="str">
        <f t="shared" si="123"/>
        <v>3つ折り</v>
      </c>
      <c r="T1086" s="538" t="str">
        <f t="shared" si="124"/>
        <v>10</v>
      </c>
      <c r="U1086" s="538" t="str">
        <f t="shared" si="125"/>
        <v>03</v>
      </c>
      <c r="V1086" s="471" t="s">
        <v>1136</v>
      </c>
      <c r="Y1086" s="472">
        <f t="shared" si="126"/>
        <v>0</v>
      </c>
      <c r="Z1086" s="540">
        <f t="shared" si="127"/>
        <v>0</v>
      </c>
      <c r="AA1086" s="471">
        <v>0</v>
      </c>
    </row>
    <row r="1087" spans="1:27">
      <c r="A1087" s="451" t="str">
        <f>CONCATENATE(VLOOKUP(B1087,★営業所!$A$1:$B$5,2,FALSE),VLOOKUP(D1087,★サイズ表記!$D$4:$E$55,2,FALSE),VLOOKUP(F1087,★折込地区!$A$1:$B$11,2,FALSE))</f>
        <v>S1004Oka</v>
      </c>
      <c r="B1087" s="457" t="s">
        <v>276</v>
      </c>
      <c r="C1087" s="452" t="str">
        <f>VLOOKUP(B1087,★営業所!$A$1:$B$5,2,FALSE)</f>
        <v>S</v>
      </c>
      <c r="D1087" s="465" t="s">
        <v>947</v>
      </c>
      <c r="E1087" s="452" t="str">
        <f>VLOOKUP(D1087,★サイズ表記!$D$4:$E$55,2,FALSE)</f>
        <v>1004</v>
      </c>
      <c r="F1087" s="457" t="s">
        <v>42</v>
      </c>
      <c r="G1087" s="452" t="str">
        <f>VLOOKUP(F1087,★折込地区!$A$1:$B$11,2,FALSE)</f>
        <v>Oka</v>
      </c>
      <c r="H1087" s="453">
        <f>INDEX(★サイズ表記!$I$4:$Q$55, MATCH(E1087,★サイズ表記!$E$4:$E$55,0), MATCH(G1087,★サイズ表記!$I$3:$R$3,0))</f>
        <v>0</v>
      </c>
      <c r="K1087" s="471" t="str">
        <f t="shared" si="120"/>
        <v>S1004Oka</v>
      </c>
      <c r="L1087" s="471" t="str">
        <f t="shared" si="121"/>
        <v>観音折</v>
      </c>
      <c r="P1087" s="533" t="s">
        <v>1324</v>
      </c>
      <c r="Q1087" s="533" t="s">
        <v>1325</v>
      </c>
      <c r="R1087" s="534" t="str">
        <f t="shared" si="122"/>
        <v>1004</v>
      </c>
      <c r="S1087" s="534" t="str">
        <f t="shared" si="123"/>
        <v>観音折</v>
      </c>
      <c r="T1087" s="538" t="str">
        <f t="shared" si="124"/>
        <v>10</v>
      </c>
      <c r="U1087" s="538" t="str">
        <f t="shared" si="125"/>
        <v>04</v>
      </c>
      <c r="V1087" s="471" t="s">
        <v>1136</v>
      </c>
      <c r="Y1087" s="472">
        <f t="shared" si="126"/>
        <v>0</v>
      </c>
      <c r="Z1087" s="540">
        <f t="shared" si="127"/>
        <v>0</v>
      </c>
      <c r="AA1087" s="471">
        <v>0</v>
      </c>
    </row>
    <row r="1088" spans="1:27">
      <c r="A1088" s="451" t="str">
        <f>CONCATENATE(VLOOKUP(B1088,★営業所!$A$1:$B$5,2,FALSE),VLOOKUP(D1088,★サイズ表記!$D$4:$E$55,2,FALSE),VLOOKUP(F1088,★折込地区!$A$1:$B$11,2,FALSE))</f>
        <v>S1005Oka</v>
      </c>
      <c r="B1088" s="457" t="s">
        <v>276</v>
      </c>
      <c r="C1088" s="452" t="str">
        <f>VLOOKUP(B1088,★営業所!$A$1:$B$5,2,FALSE)</f>
        <v>S</v>
      </c>
      <c r="D1088" s="465" t="s">
        <v>952</v>
      </c>
      <c r="E1088" s="452" t="str">
        <f>VLOOKUP(D1088,★サイズ表記!$D$4:$E$55,2,FALSE)</f>
        <v>1005</v>
      </c>
      <c r="F1088" s="457" t="s">
        <v>42</v>
      </c>
      <c r="G1088" s="452" t="str">
        <f>VLOOKUP(F1088,★折込地区!$A$1:$B$11,2,FALSE)</f>
        <v>Oka</v>
      </c>
      <c r="H1088" s="453">
        <f>INDEX(★サイズ表記!$I$4:$Q$55, MATCH(E1088,★サイズ表記!$E$4:$E$55,0), MATCH(G1088,★サイズ表記!$I$3:$R$3,0))</f>
        <v>7.7</v>
      </c>
      <c r="K1088" s="471" t="str">
        <f t="shared" si="120"/>
        <v>S1005Oka</v>
      </c>
      <c r="L1088" s="471" t="str">
        <f t="shared" si="121"/>
        <v>B2（4つ折り）</v>
      </c>
      <c r="P1088" s="533" t="s">
        <v>1324</v>
      </c>
      <c r="Q1088" s="533" t="s">
        <v>1325</v>
      </c>
      <c r="R1088" s="534" t="str">
        <f t="shared" si="122"/>
        <v>1005</v>
      </c>
      <c r="S1088" s="534" t="str">
        <f t="shared" si="123"/>
        <v>B2（4つ折り）</v>
      </c>
      <c r="T1088" s="538" t="str">
        <f t="shared" si="124"/>
        <v>10</v>
      </c>
      <c r="U1088" s="538" t="str">
        <f t="shared" si="125"/>
        <v>05</v>
      </c>
      <c r="V1088" s="471" t="s">
        <v>1136</v>
      </c>
      <c r="Y1088" s="472">
        <f t="shared" si="126"/>
        <v>7.7</v>
      </c>
      <c r="Z1088" s="540">
        <f t="shared" si="127"/>
        <v>0.61</v>
      </c>
      <c r="AA1088" s="471">
        <v>0</v>
      </c>
    </row>
    <row r="1089" spans="1:27">
      <c r="A1089" s="451" t="str">
        <f>CONCATENATE(VLOOKUP(B1089,★営業所!$A$1:$B$5,2,FALSE),VLOOKUP(D1089,★サイズ表記!$D$4:$E$55,2,FALSE),VLOOKUP(F1089,★折込地区!$A$1:$B$11,2,FALSE))</f>
        <v>S1006Oka</v>
      </c>
      <c r="B1089" s="457" t="s">
        <v>276</v>
      </c>
      <c r="C1089" s="452" t="str">
        <f>VLOOKUP(B1089,★営業所!$A$1:$B$5,2,FALSE)</f>
        <v>S</v>
      </c>
      <c r="D1089" s="465" t="s">
        <v>955</v>
      </c>
      <c r="E1089" s="452" t="str">
        <f>VLOOKUP(D1089,★サイズ表記!$D$4:$E$55,2,FALSE)</f>
        <v>1006</v>
      </c>
      <c r="F1089" s="457" t="s">
        <v>42</v>
      </c>
      <c r="G1089" s="452" t="str">
        <f>VLOOKUP(F1089,★折込地区!$A$1:$B$11,2,FALSE)</f>
        <v>Oka</v>
      </c>
      <c r="H1089" s="453">
        <f>INDEX(★サイズ表記!$I$4:$Q$55, MATCH(E1089,★サイズ表記!$E$4:$E$55,0), MATCH(G1089,★サイズ表記!$I$3:$R$3,0))</f>
        <v>13.6</v>
      </c>
      <c r="K1089" s="471" t="str">
        <f t="shared" si="120"/>
        <v>S1006Oka</v>
      </c>
      <c r="L1089" s="471" t="str">
        <f t="shared" si="121"/>
        <v>B1（8折り）</v>
      </c>
      <c r="P1089" s="533" t="s">
        <v>1324</v>
      </c>
      <c r="Q1089" s="533" t="s">
        <v>1325</v>
      </c>
      <c r="R1089" s="534" t="str">
        <f t="shared" si="122"/>
        <v>1006</v>
      </c>
      <c r="S1089" s="534" t="str">
        <f t="shared" si="123"/>
        <v>B1（8折り）</v>
      </c>
      <c r="T1089" s="538" t="str">
        <f t="shared" si="124"/>
        <v>10</v>
      </c>
      <c r="U1089" s="538" t="str">
        <f t="shared" si="125"/>
        <v>06</v>
      </c>
      <c r="V1089" s="471" t="s">
        <v>1136</v>
      </c>
      <c r="Y1089" s="472">
        <f t="shared" si="126"/>
        <v>13.6</v>
      </c>
      <c r="Z1089" s="540">
        <f t="shared" si="127"/>
        <v>1.08</v>
      </c>
      <c r="AA1089" s="471">
        <v>0</v>
      </c>
    </row>
    <row r="1090" spans="1:27">
      <c r="A1090" s="451" t="str">
        <f>CONCATENATE(VLOOKUP(B1090,★営業所!$A$1:$B$5,2,FALSE),VLOOKUP(D1090,★サイズ表記!$D$4:$E$55,2,FALSE),VLOOKUP(F1090,★折込地区!$A$1:$B$11,2,FALSE))</f>
        <v>S1007Oka</v>
      </c>
      <c r="B1090" s="457" t="s">
        <v>276</v>
      </c>
      <c r="C1090" s="452" t="str">
        <f>VLOOKUP(B1090,★営業所!$A$1:$B$5,2,FALSE)</f>
        <v>S</v>
      </c>
      <c r="D1090" s="465" t="s">
        <v>956</v>
      </c>
      <c r="E1090" s="452" t="str">
        <f>VLOOKUP(D1090,★サイズ表記!$D$4:$E$55,2,FALSE)</f>
        <v>1007</v>
      </c>
      <c r="F1090" s="457" t="s">
        <v>42</v>
      </c>
      <c r="G1090" s="452" t="str">
        <f>VLOOKUP(F1090,★折込地区!$A$1:$B$11,2,FALSE)</f>
        <v>Oka</v>
      </c>
      <c r="H1090" s="453">
        <f>INDEX(★サイズ表記!$I$4:$Q$55, MATCH(E1090,★サイズ表記!$E$4:$E$55,0), MATCH(G1090,★サイズ表記!$I$3:$R$3,0))</f>
        <v>0</v>
      </c>
      <c r="K1090" s="471" t="str">
        <f t="shared" si="120"/>
        <v>S1007Oka</v>
      </c>
      <c r="L1090" s="471" t="str">
        <f t="shared" si="121"/>
        <v>B4厚紙</v>
      </c>
      <c r="P1090" s="533" t="s">
        <v>1324</v>
      </c>
      <c r="Q1090" s="533" t="s">
        <v>1325</v>
      </c>
      <c r="R1090" s="534" t="str">
        <f t="shared" si="122"/>
        <v>1007</v>
      </c>
      <c r="S1090" s="534" t="str">
        <f t="shared" si="123"/>
        <v>B4厚紙</v>
      </c>
      <c r="T1090" s="538" t="str">
        <f t="shared" si="124"/>
        <v>10</v>
      </c>
      <c r="U1090" s="538" t="str">
        <f t="shared" si="125"/>
        <v>07</v>
      </c>
      <c r="V1090" s="471" t="s">
        <v>1136</v>
      </c>
      <c r="Y1090" s="472">
        <f t="shared" si="126"/>
        <v>0</v>
      </c>
      <c r="Z1090" s="540">
        <f t="shared" si="127"/>
        <v>0</v>
      </c>
      <c r="AA1090" s="471">
        <v>0</v>
      </c>
    </row>
    <row r="1091" spans="1:27">
      <c r="A1091" s="451" t="str">
        <f>CONCATENATE(VLOOKUP(B1091,★営業所!$A$1:$B$5,2,FALSE),VLOOKUP(D1091,★サイズ表記!$D$4:$E$55,2,FALSE),VLOOKUP(F1091,★折込地区!$A$1:$B$11,2,FALSE))</f>
        <v>S1008Oka</v>
      </c>
      <c r="B1091" s="457" t="s">
        <v>276</v>
      </c>
      <c r="C1091" s="452" t="str">
        <f>VLOOKUP(B1091,★営業所!$A$1:$B$5,2,FALSE)</f>
        <v>S</v>
      </c>
      <c r="D1091" s="465" t="s">
        <v>957</v>
      </c>
      <c r="E1091" s="452" t="str">
        <f>VLOOKUP(D1091,★サイズ表記!$D$4:$E$55,2,FALSE)</f>
        <v>1008</v>
      </c>
      <c r="F1091" s="457" t="s">
        <v>42</v>
      </c>
      <c r="G1091" s="452" t="str">
        <f>VLOOKUP(F1091,★折込地区!$A$1:$B$11,2,FALSE)</f>
        <v>Oka</v>
      </c>
      <c r="H1091" s="453">
        <f>INDEX(★サイズ表記!$I$4:$Q$55, MATCH(E1091,★サイズ表記!$E$4:$E$55,0), MATCH(G1091,★サイズ表記!$I$3:$R$3,0))</f>
        <v>0</v>
      </c>
      <c r="K1091" s="471" t="str">
        <f t="shared" si="120"/>
        <v>S1008Oka</v>
      </c>
      <c r="L1091" s="471" t="str">
        <f t="shared" si="121"/>
        <v>B3厚紙</v>
      </c>
      <c r="P1091" s="533" t="s">
        <v>1324</v>
      </c>
      <c r="Q1091" s="533" t="s">
        <v>1325</v>
      </c>
      <c r="R1091" s="534" t="str">
        <f t="shared" si="122"/>
        <v>1008</v>
      </c>
      <c r="S1091" s="534" t="str">
        <f t="shared" si="123"/>
        <v>B3厚紙</v>
      </c>
      <c r="T1091" s="538" t="str">
        <f t="shared" si="124"/>
        <v>10</v>
      </c>
      <c r="U1091" s="538" t="str">
        <f t="shared" si="125"/>
        <v>08</v>
      </c>
      <c r="V1091" s="471" t="s">
        <v>1136</v>
      </c>
      <c r="Y1091" s="472">
        <f t="shared" si="126"/>
        <v>0</v>
      </c>
      <c r="Z1091" s="540">
        <f t="shared" si="127"/>
        <v>0</v>
      </c>
      <c r="AA1091" s="471">
        <v>0</v>
      </c>
    </row>
    <row r="1092" spans="1:27">
      <c r="A1092" s="451" t="str">
        <f>CONCATENATE(VLOOKUP(B1092,★営業所!$A$1:$B$5,2,FALSE),VLOOKUP(D1092,★サイズ表記!$D$4:$E$55,2,FALSE),VLOOKUP(F1092,★折込地区!$A$1:$B$11,2,FALSE))</f>
        <v>S1009Oka</v>
      </c>
      <c r="B1092" s="457" t="s">
        <v>276</v>
      </c>
      <c r="C1092" s="452" t="str">
        <f>VLOOKUP(B1092,★営業所!$A$1:$B$5,2,FALSE)</f>
        <v>S</v>
      </c>
      <c r="D1092" s="465" t="s">
        <v>958</v>
      </c>
      <c r="E1092" s="452" t="str">
        <f>VLOOKUP(D1092,★サイズ表記!$D$4:$E$55,2,FALSE)</f>
        <v>1009</v>
      </c>
      <c r="F1092" s="457" t="s">
        <v>42</v>
      </c>
      <c r="G1092" s="452" t="str">
        <f>VLOOKUP(F1092,★折込地区!$A$1:$B$11,2,FALSE)</f>
        <v>Oka</v>
      </c>
      <c r="H1092" s="453">
        <f>INDEX(★サイズ表記!$I$4:$Q$55, MATCH(E1092,★サイズ表記!$E$4:$E$55,0), MATCH(G1092,★サイズ表記!$I$3:$R$3,0))</f>
        <v>0</v>
      </c>
      <c r="K1092" s="471" t="str">
        <f t="shared" si="120"/>
        <v>S1009Oka</v>
      </c>
      <c r="L1092" s="471" t="str">
        <f t="shared" si="121"/>
        <v>B2厚紙</v>
      </c>
      <c r="P1092" s="533" t="s">
        <v>1324</v>
      </c>
      <c r="Q1092" s="533" t="s">
        <v>1325</v>
      </c>
      <c r="R1092" s="534" t="str">
        <f t="shared" si="122"/>
        <v>1009</v>
      </c>
      <c r="S1092" s="534" t="str">
        <f t="shared" si="123"/>
        <v>B2厚紙</v>
      </c>
      <c r="T1092" s="538" t="str">
        <f t="shared" si="124"/>
        <v>10</v>
      </c>
      <c r="U1092" s="538" t="str">
        <f t="shared" si="125"/>
        <v>09</v>
      </c>
      <c r="V1092" s="471" t="s">
        <v>1136</v>
      </c>
      <c r="Y1092" s="472">
        <f t="shared" si="126"/>
        <v>0</v>
      </c>
      <c r="Z1092" s="540">
        <f t="shared" si="127"/>
        <v>0</v>
      </c>
      <c r="AA1092" s="471">
        <v>0</v>
      </c>
    </row>
    <row r="1093" spans="1:27">
      <c r="A1093" s="451" t="str">
        <f>CONCATENATE(VLOOKUP(B1093,★営業所!$A$1:$B$5,2,FALSE),VLOOKUP(D1093,★サイズ表記!$D$4:$E$55,2,FALSE),VLOOKUP(F1093,★折込地区!$A$1:$B$11,2,FALSE))</f>
        <v>S1010Oka</v>
      </c>
      <c r="B1093" s="457" t="s">
        <v>276</v>
      </c>
      <c r="C1093" s="452" t="str">
        <f>VLOOKUP(B1093,★営業所!$A$1:$B$5,2,FALSE)</f>
        <v>S</v>
      </c>
      <c r="D1093" s="465" t="s">
        <v>959</v>
      </c>
      <c r="E1093" s="452" t="str">
        <f>VLOOKUP(D1093,★サイズ表記!$D$4:$E$55,2,FALSE)</f>
        <v>1010</v>
      </c>
      <c r="F1093" s="457" t="s">
        <v>42</v>
      </c>
      <c r="G1093" s="452" t="str">
        <f>VLOOKUP(F1093,★折込地区!$A$1:$B$11,2,FALSE)</f>
        <v>Oka</v>
      </c>
      <c r="H1093" s="453">
        <f>INDEX(★サイズ表記!$I$4:$Q$55, MATCH(E1093,★サイズ表記!$E$4:$E$55,0), MATCH(G1093,★サイズ表記!$I$3:$R$3,0))</f>
        <v>0</v>
      </c>
      <c r="K1093" s="471" t="str">
        <f t="shared" si="120"/>
        <v>S1010Oka</v>
      </c>
      <c r="L1093" s="471" t="str">
        <f t="shared" si="121"/>
        <v>B4以下変形</v>
      </c>
      <c r="P1093" s="533" t="s">
        <v>1324</v>
      </c>
      <c r="Q1093" s="533" t="s">
        <v>1325</v>
      </c>
      <c r="R1093" s="534" t="str">
        <f t="shared" si="122"/>
        <v>1010</v>
      </c>
      <c r="S1093" s="534" t="str">
        <f t="shared" si="123"/>
        <v>B4以下変形</v>
      </c>
      <c r="T1093" s="538" t="str">
        <f t="shared" si="124"/>
        <v>10</v>
      </c>
      <c r="U1093" s="538" t="str">
        <f t="shared" si="125"/>
        <v>10</v>
      </c>
      <c r="V1093" s="471" t="s">
        <v>1136</v>
      </c>
      <c r="Y1093" s="472">
        <f t="shared" si="126"/>
        <v>0</v>
      </c>
      <c r="Z1093" s="540">
        <f t="shared" si="127"/>
        <v>0</v>
      </c>
      <c r="AA1093" s="471">
        <v>0</v>
      </c>
    </row>
    <row r="1094" spans="1:27">
      <c r="A1094" s="451" t="str">
        <f>CONCATENATE(VLOOKUP(B1094,★営業所!$A$1:$B$5,2,FALSE),VLOOKUP(D1094,★サイズ表記!$D$4:$E$55,2,FALSE),VLOOKUP(F1094,★折込地区!$A$1:$B$11,2,FALSE))</f>
        <v>S1011Oka</v>
      </c>
      <c r="B1094" s="457" t="s">
        <v>276</v>
      </c>
      <c r="C1094" s="452" t="str">
        <f>VLOOKUP(B1094,★営業所!$A$1:$B$5,2,FALSE)</f>
        <v>S</v>
      </c>
      <c r="D1094" s="465" t="s">
        <v>960</v>
      </c>
      <c r="E1094" s="452" t="str">
        <f>VLOOKUP(D1094,★サイズ表記!$D$4:$E$55,2,FALSE)</f>
        <v>1011</v>
      </c>
      <c r="F1094" s="457" t="s">
        <v>42</v>
      </c>
      <c r="G1094" s="452" t="str">
        <f>VLOOKUP(F1094,★折込地区!$A$1:$B$11,2,FALSE)</f>
        <v>Oka</v>
      </c>
      <c r="H1094" s="453">
        <f>INDEX(★サイズ表記!$I$4:$Q$55, MATCH(E1094,★サイズ表記!$E$4:$E$55,0), MATCH(G1094,★サイズ表記!$I$3:$R$3,0))</f>
        <v>0</v>
      </c>
      <c r="K1094" s="471" t="str">
        <f t="shared" si="120"/>
        <v>S1011Oka</v>
      </c>
      <c r="L1094" s="471" t="str">
        <f t="shared" si="121"/>
        <v>B4シール付き</v>
      </c>
      <c r="P1094" s="533" t="s">
        <v>1324</v>
      </c>
      <c r="Q1094" s="533" t="s">
        <v>1325</v>
      </c>
      <c r="R1094" s="534" t="str">
        <f t="shared" si="122"/>
        <v>1011</v>
      </c>
      <c r="S1094" s="534" t="str">
        <f t="shared" si="123"/>
        <v>B4シール付き</v>
      </c>
      <c r="T1094" s="538" t="str">
        <f t="shared" si="124"/>
        <v>10</v>
      </c>
      <c r="U1094" s="538" t="str">
        <f t="shared" si="125"/>
        <v>11</v>
      </c>
      <c r="V1094" s="471" t="s">
        <v>1136</v>
      </c>
      <c r="Y1094" s="472">
        <f t="shared" si="126"/>
        <v>0</v>
      </c>
      <c r="Z1094" s="540">
        <f t="shared" si="127"/>
        <v>0</v>
      </c>
      <c r="AA1094" s="471">
        <v>0</v>
      </c>
    </row>
    <row r="1095" spans="1:27">
      <c r="A1095" s="451" t="str">
        <f>CONCATENATE(VLOOKUP(B1095,★営業所!$A$1:$B$5,2,FALSE),VLOOKUP(D1095,★サイズ表記!$D$4:$E$55,2,FALSE),VLOOKUP(F1095,★折込地区!$A$1:$B$11,2,FALSE))</f>
        <v>S1012Oka</v>
      </c>
      <c r="B1095" s="457" t="s">
        <v>276</v>
      </c>
      <c r="C1095" s="452" t="str">
        <f>VLOOKUP(B1095,★営業所!$A$1:$B$5,2,FALSE)</f>
        <v>S</v>
      </c>
      <c r="D1095" s="465" t="s">
        <v>961</v>
      </c>
      <c r="E1095" s="452" t="str">
        <f>VLOOKUP(D1095,★サイズ表記!$D$4:$E$55,2,FALSE)</f>
        <v>1012</v>
      </c>
      <c r="F1095" s="457" t="s">
        <v>42</v>
      </c>
      <c r="G1095" s="452" t="str">
        <f>VLOOKUP(F1095,★折込地区!$A$1:$B$11,2,FALSE)</f>
        <v>Oka</v>
      </c>
      <c r="H1095" s="453">
        <f>INDEX(★サイズ表記!$I$4:$Q$55, MATCH(E1095,★サイズ表記!$E$4:$E$55,0), MATCH(G1095,★サイズ表記!$I$3:$R$3,0))</f>
        <v>0</v>
      </c>
      <c r="K1095" s="471" t="str">
        <f t="shared" si="120"/>
        <v>S1012Oka</v>
      </c>
      <c r="L1095" s="471" t="str">
        <f t="shared" si="121"/>
        <v>B3シール付き</v>
      </c>
      <c r="P1095" s="533" t="s">
        <v>1324</v>
      </c>
      <c r="Q1095" s="533" t="s">
        <v>1325</v>
      </c>
      <c r="R1095" s="534" t="str">
        <f t="shared" si="122"/>
        <v>1012</v>
      </c>
      <c r="S1095" s="534" t="str">
        <f t="shared" si="123"/>
        <v>B3シール付き</v>
      </c>
      <c r="T1095" s="538" t="str">
        <f t="shared" si="124"/>
        <v>10</v>
      </c>
      <c r="U1095" s="538" t="str">
        <f t="shared" si="125"/>
        <v>12</v>
      </c>
      <c r="V1095" s="471" t="s">
        <v>1136</v>
      </c>
      <c r="Y1095" s="472">
        <f t="shared" si="126"/>
        <v>0</v>
      </c>
      <c r="Z1095" s="540">
        <f t="shared" si="127"/>
        <v>0</v>
      </c>
      <c r="AA1095" s="471">
        <v>0</v>
      </c>
    </row>
    <row r="1096" spans="1:27">
      <c r="A1096" s="451" t="str">
        <f>CONCATENATE(VLOOKUP(B1096,★営業所!$A$1:$B$5,2,FALSE),VLOOKUP(D1096,★サイズ表記!$D$4:$E$55,2,FALSE),VLOOKUP(F1096,★折込地区!$A$1:$B$11,2,FALSE))</f>
        <v>S1013Oka</v>
      </c>
      <c r="B1096" s="457" t="s">
        <v>276</v>
      </c>
      <c r="C1096" s="452" t="str">
        <f>VLOOKUP(B1096,★営業所!$A$1:$B$5,2,FALSE)</f>
        <v>S</v>
      </c>
      <c r="D1096" s="465" t="s">
        <v>962</v>
      </c>
      <c r="E1096" s="452" t="str">
        <f>VLOOKUP(D1096,★サイズ表記!$D$4:$E$55,2,FALSE)</f>
        <v>1013</v>
      </c>
      <c r="F1096" s="457" t="s">
        <v>42</v>
      </c>
      <c r="G1096" s="452" t="str">
        <f>VLOOKUP(F1096,★折込地区!$A$1:$B$11,2,FALSE)</f>
        <v>Oka</v>
      </c>
      <c r="H1096" s="453">
        <f>INDEX(★サイズ表記!$I$4:$Q$55, MATCH(E1096,★サイズ表記!$E$4:$E$55,0), MATCH(G1096,★サイズ表記!$I$3:$R$3,0))</f>
        <v>0</v>
      </c>
      <c r="K1096" s="471" t="str">
        <f t="shared" si="120"/>
        <v>S1013Oka</v>
      </c>
      <c r="L1096" s="471" t="str">
        <f t="shared" si="121"/>
        <v>B4スクラッチ付き</v>
      </c>
      <c r="P1096" s="533" t="s">
        <v>1324</v>
      </c>
      <c r="Q1096" s="533" t="s">
        <v>1325</v>
      </c>
      <c r="R1096" s="534" t="str">
        <f t="shared" si="122"/>
        <v>1013</v>
      </c>
      <c r="S1096" s="534" t="str">
        <f t="shared" si="123"/>
        <v>B4スクラッチ付き</v>
      </c>
      <c r="T1096" s="538" t="str">
        <f t="shared" si="124"/>
        <v>10</v>
      </c>
      <c r="U1096" s="538" t="str">
        <f t="shared" si="125"/>
        <v>13</v>
      </c>
      <c r="V1096" s="471" t="s">
        <v>1136</v>
      </c>
      <c r="Y1096" s="472">
        <f t="shared" si="126"/>
        <v>0</v>
      </c>
      <c r="Z1096" s="540">
        <f t="shared" si="127"/>
        <v>0</v>
      </c>
      <c r="AA1096" s="471">
        <v>0</v>
      </c>
    </row>
    <row r="1097" spans="1:27">
      <c r="A1097" s="451" t="str">
        <f>CONCATENATE(VLOOKUP(B1097,★営業所!$A$1:$B$5,2,FALSE),VLOOKUP(D1097,★サイズ表記!$D$4:$E$55,2,FALSE),VLOOKUP(F1097,★折込地区!$A$1:$B$11,2,FALSE))</f>
        <v>S2001Oka</v>
      </c>
      <c r="B1097" s="457" t="s">
        <v>276</v>
      </c>
      <c r="C1097" s="452" t="str">
        <f>VLOOKUP(B1097,★営業所!$A$1:$B$5,2,FALSE)</f>
        <v>S</v>
      </c>
      <c r="D1097" s="465" t="s">
        <v>963</v>
      </c>
      <c r="E1097" s="452" t="str">
        <f>VLOOKUP(D1097,★サイズ表記!$D$4:$E$55,2,FALSE)</f>
        <v>2001</v>
      </c>
      <c r="F1097" s="457" t="s">
        <v>42</v>
      </c>
      <c r="G1097" s="452" t="str">
        <f>VLOOKUP(F1097,★折込地区!$A$1:$B$11,2,FALSE)</f>
        <v>Oka</v>
      </c>
      <c r="H1097" s="453">
        <f>INDEX(★サイズ表記!$I$4:$Q$55, MATCH(E1097,★サイズ表記!$E$4:$E$55,0), MATCH(G1097,★サイズ表記!$I$3:$R$3,0))</f>
        <v>0</v>
      </c>
      <c r="K1097" s="471" t="str">
        <f t="shared" si="120"/>
        <v>S2001Oka</v>
      </c>
      <c r="L1097" s="471" t="str">
        <f t="shared" si="121"/>
        <v>連合B4</v>
      </c>
      <c r="P1097" s="533" t="s">
        <v>1324</v>
      </c>
      <c r="Q1097" s="533" t="s">
        <v>1325</v>
      </c>
      <c r="R1097" s="534" t="str">
        <f t="shared" si="122"/>
        <v>2001</v>
      </c>
      <c r="S1097" s="534" t="str">
        <f t="shared" si="123"/>
        <v>連合B4</v>
      </c>
      <c r="T1097" s="538" t="str">
        <f t="shared" si="124"/>
        <v>20</v>
      </c>
      <c r="U1097" s="538" t="str">
        <f t="shared" si="125"/>
        <v>01</v>
      </c>
      <c r="V1097" s="471" t="s">
        <v>1136</v>
      </c>
      <c r="Y1097" s="472">
        <f t="shared" si="126"/>
        <v>0</v>
      </c>
      <c r="Z1097" s="540">
        <f t="shared" si="127"/>
        <v>0</v>
      </c>
      <c r="AA1097" s="471">
        <v>0</v>
      </c>
    </row>
    <row r="1098" spans="1:27">
      <c r="A1098" s="451" t="str">
        <f>CONCATENATE(VLOOKUP(B1098,★営業所!$A$1:$B$5,2,FALSE),VLOOKUP(D1098,★サイズ表記!$D$4:$E$55,2,FALSE),VLOOKUP(F1098,★折込地区!$A$1:$B$11,2,FALSE))</f>
        <v>S2002Oka</v>
      </c>
      <c r="B1098" s="457" t="s">
        <v>276</v>
      </c>
      <c r="C1098" s="452" t="str">
        <f>VLOOKUP(B1098,★営業所!$A$1:$B$5,2,FALSE)</f>
        <v>S</v>
      </c>
      <c r="D1098" s="465" t="s">
        <v>964</v>
      </c>
      <c r="E1098" s="452" t="str">
        <f>VLOOKUP(D1098,★サイズ表記!$D$4:$E$55,2,FALSE)</f>
        <v>2002</v>
      </c>
      <c r="F1098" s="457" t="s">
        <v>42</v>
      </c>
      <c r="G1098" s="452" t="str">
        <f>VLOOKUP(F1098,★折込地区!$A$1:$B$11,2,FALSE)</f>
        <v>Oka</v>
      </c>
      <c r="H1098" s="453">
        <f>INDEX(★サイズ表記!$I$4:$Q$55, MATCH(E1098,★サイズ表記!$E$4:$E$55,0), MATCH(G1098,★サイズ表記!$I$3:$R$3,0))</f>
        <v>0</v>
      </c>
      <c r="K1098" s="471" t="str">
        <f t="shared" si="120"/>
        <v>S2002Oka</v>
      </c>
      <c r="L1098" s="471" t="str">
        <f t="shared" si="121"/>
        <v>連合B3</v>
      </c>
      <c r="P1098" s="533" t="s">
        <v>1324</v>
      </c>
      <c r="Q1098" s="533" t="s">
        <v>1325</v>
      </c>
      <c r="R1098" s="534" t="str">
        <f t="shared" si="122"/>
        <v>2002</v>
      </c>
      <c r="S1098" s="534" t="str">
        <f t="shared" si="123"/>
        <v>連合B3</v>
      </c>
      <c r="T1098" s="538" t="str">
        <f t="shared" si="124"/>
        <v>20</v>
      </c>
      <c r="U1098" s="538" t="str">
        <f t="shared" si="125"/>
        <v>02</v>
      </c>
      <c r="V1098" s="471" t="s">
        <v>1136</v>
      </c>
      <c r="Y1098" s="472">
        <f t="shared" si="126"/>
        <v>0</v>
      </c>
      <c r="Z1098" s="540">
        <f t="shared" si="127"/>
        <v>0</v>
      </c>
      <c r="AA1098" s="471">
        <v>0</v>
      </c>
    </row>
    <row r="1099" spans="1:27">
      <c r="A1099" s="451" t="str">
        <f>CONCATENATE(VLOOKUP(B1099,★営業所!$A$1:$B$5,2,FALSE),VLOOKUP(D1099,★サイズ表記!$D$4:$E$55,2,FALSE),VLOOKUP(F1099,★折込地区!$A$1:$B$11,2,FALSE))</f>
        <v>S2003Oka</v>
      </c>
      <c r="B1099" s="457" t="s">
        <v>276</v>
      </c>
      <c r="C1099" s="452" t="str">
        <f>VLOOKUP(B1099,★営業所!$A$1:$B$5,2,FALSE)</f>
        <v>S</v>
      </c>
      <c r="D1099" s="465" t="s">
        <v>965</v>
      </c>
      <c r="E1099" s="452" t="str">
        <f>VLOOKUP(D1099,★サイズ表記!$D$4:$E$55,2,FALSE)</f>
        <v>2003</v>
      </c>
      <c r="F1099" s="457" t="s">
        <v>42</v>
      </c>
      <c r="G1099" s="452" t="str">
        <f>VLOOKUP(F1099,★折込地区!$A$1:$B$11,2,FALSE)</f>
        <v>Oka</v>
      </c>
      <c r="H1099" s="453">
        <f>INDEX(★サイズ表記!$I$4:$Q$55, MATCH(E1099,★サイズ表記!$E$4:$E$55,0), MATCH(G1099,★サイズ表記!$I$3:$R$3,0))</f>
        <v>0</v>
      </c>
      <c r="K1099" s="471" t="str">
        <f t="shared" si="120"/>
        <v>S2003Oka</v>
      </c>
      <c r="L1099" s="471" t="str">
        <f t="shared" si="121"/>
        <v>連合B2</v>
      </c>
      <c r="P1099" s="533" t="s">
        <v>1324</v>
      </c>
      <c r="Q1099" s="533" t="s">
        <v>1325</v>
      </c>
      <c r="R1099" s="534" t="str">
        <f t="shared" si="122"/>
        <v>2003</v>
      </c>
      <c r="S1099" s="534" t="str">
        <f t="shared" si="123"/>
        <v>連合B2</v>
      </c>
      <c r="T1099" s="538" t="str">
        <f t="shared" si="124"/>
        <v>20</v>
      </c>
      <c r="U1099" s="538" t="str">
        <f t="shared" si="125"/>
        <v>03</v>
      </c>
      <c r="V1099" s="471" t="s">
        <v>1136</v>
      </c>
      <c r="Y1099" s="472">
        <f t="shared" si="126"/>
        <v>0</v>
      </c>
      <c r="Z1099" s="540">
        <f t="shared" si="127"/>
        <v>0</v>
      </c>
      <c r="AA1099" s="471">
        <v>0</v>
      </c>
    </row>
    <row r="1100" spans="1:27">
      <c r="A1100" s="451" t="str">
        <f>CONCATENATE(VLOOKUP(B1100,★営業所!$A$1:$B$5,2,FALSE),VLOOKUP(D1100,★サイズ表記!$D$4:$E$55,2,FALSE),VLOOKUP(F1100,★折込地区!$A$1:$B$11,2,FALSE))</f>
        <v>S2004Oka</v>
      </c>
      <c r="B1100" s="457" t="s">
        <v>276</v>
      </c>
      <c r="C1100" s="452" t="str">
        <f>VLOOKUP(B1100,★営業所!$A$1:$B$5,2,FALSE)</f>
        <v>S</v>
      </c>
      <c r="D1100" s="465" t="s">
        <v>966</v>
      </c>
      <c r="E1100" s="452" t="str">
        <f>VLOOKUP(D1100,★サイズ表記!$D$4:$E$55,2,FALSE)</f>
        <v>2004</v>
      </c>
      <c r="F1100" s="457" t="s">
        <v>42</v>
      </c>
      <c r="G1100" s="452" t="str">
        <f>VLOOKUP(F1100,★折込地区!$A$1:$B$11,2,FALSE)</f>
        <v>Oka</v>
      </c>
      <c r="H1100" s="453">
        <f>INDEX(★サイズ表記!$I$4:$Q$55, MATCH(E1100,★サイズ表記!$E$4:$E$55,0), MATCH(G1100,★サイズ表記!$I$3:$R$3,0))</f>
        <v>0</v>
      </c>
      <c r="K1100" s="471" t="str">
        <f t="shared" si="120"/>
        <v>S2004Oka</v>
      </c>
      <c r="L1100" s="471" t="str">
        <f t="shared" si="121"/>
        <v>連合3つ折り</v>
      </c>
      <c r="P1100" s="533" t="s">
        <v>1324</v>
      </c>
      <c r="Q1100" s="533" t="s">
        <v>1325</v>
      </c>
      <c r="R1100" s="534" t="str">
        <f t="shared" si="122"/>
        <v>2004</v>
      </c>
      <c r="S1100" s="534" t="str">
        <f t="shared" si="123"/>
        <v>連合3つ折り</v>
      </c>
      <c r="T1100" s="538" t="str">
        <f t="shared" si="124"/>
        <v>20</v>
      </c>
      <c r="U1100" s="538" t="str">
        <f t="shared" si="125"/>
        <v>04</v>
      </c>
      <c r="V1100" s="471" t="s">
        <v>1136</v>
      </c>
      <c r="Y1100" s="472">
        <f t="shared" si="126"/>
        <v>0</v>
      </c>
      <c r="Z1100" s="540">
        <f t="shared" si="127"/>
        <v>0</v>
      </c>
      <c r="AA1100" s="471">
        <v>0</v>
      </c>
    </row>
    <row r="1101" spans="1:27">
      <c r="A1101" s="451" t="str">
        <f>CONCATENATE(VLOOKUP(B1101,★営業所!$A$1:$B$5,2,FALSE),VLOOKUP(D1101,★サイズ表記!$D$4:$E$55,2,FALSE),VLOOKUP(F1101,★折込地区!$A$1:$B$11,2,FALSE))</f>
        <v>S2005Oka</v>
      </c>
      <c r="B1101" s="457" t="s">
        <v>276</v>
      </c>
      <c r="C1101" s="452" t="str">
        <f>VLOOKUP(B1101,★営業所!$A$1:$B$5,2,FALSE)</f>
        <v>S</v>
      </c>
      <c r="D1101" s="465" t="s">
        <v>967</v>
      </c>
      <c r="E1101" s="452" t="str">
        <f>VLOOKUP(D1101,★サイズ表記!$D$4:$E$55,2,FALSE)</f>
        <v>2005</v>
      </c>
      <c r="F1101" s="457" t="s">
        <v>42</v>
      </c>
      <c r="G1101" s="452" t="str">
        <f>VLOOKUP(F1101,★折込地区!$A$1:$B$11,2,FALSE)</f>
        <v>Oka</v>
      </c>
      <c r="H1101" s="453">
        <f>INDEX(★サイズ表記!$I$4:$Q$55, MATCH(E1101,★サイズ表記!$E$4:$E$55,0), MATCH(G1101,★サイズ表記!$I$3:$R$3,0))</f>
        <v>0</v>
      </c>
      <c r="K1101" s="471" t="str">
        <f t="shared" si="120"/>
        <v>S2005Oka</v>
      </c>
      <c r="L1101" s="471" t="str">
        <f t="shared" si="121"/>
        <v>連合B4厚紙</v>
      </c>
      <c r="P1101" s="533" t="s">
        <v>1324</v>
      </c>
      <c r="Q1101" s="533" t="s">
        <v>1325</v>
      </c>
      <c r="R1101" s="534" t="str">
        <f t="shared" si="122"/>
        <v>2005</v>
      </c>
      <c r="S1101" s="534" t="str">
        <f t="shared" si="123"/>
        <v>連合B4厚紙</v>
      </c>
      <c r="T1101" s="538" t="str">
        <f t="shared" si="124"/>
        <v>20</v>
      </c>
      <c r="U1101" s="538" t="str">
        <f t="shared" si="125"/>
        <v>05</v>
      </c>
      <c r="V1101" s="471" t="s">
        <v>1136</v>
      </c>
      <c r="Y1101" s="472">
        <f t="shared" si="126"/>
        <v>0</v>
      </c>
      <c r="Z1101" s="540">
        <f t="shared" si="127"/>
        <v>0</v>
      </c>
      <c r="AA1101" s="471">
        <v>0</v>
      </c>
    </row>
    <row r="1102" spans="1:27">
      <c r="A1102" s="451" t="str">
        <f>CONCATENATE(VLOOKUP(B1102,★営業所!$A$1:$B$5,2,FALSE),VLOOKUP(D1102,★サイズ表記!$D$4:$E$55,2,FALSE),VLOOKUP(F1102,★折込地区!$A$1:$B$11,2,FALSE))</f>
        <v>S2006Oka</v>
      </c>
      <c r="B1102" s="457" t="s">
        <v>276</v>
      </c>
      <c r="C1102" s="452" t="str">
        <f>VLOOKUP(B1102,★営業所!$A$1:$B$5,2,FALSE)</f>
        <v>S</v>
      </c>
      <c r="D1102" s="465" t="s">
        <v>968</v>
      </c>
      <c r="E1102" s="452" t="str">
        <f>VLOOKUP(D1102,★サイズ表記!$D$4:$E$55,2,FALSE)</f>
        <v>2006</v>
      </c>
      <c r="F1102" s="457" t="s">
        <v>42</v>
      </c>
      <c r="G1102" s="452" t="str">
        <f>VLOOKUP(F1102,★折込地区!$A$1:$B$11,2,FALSE)</f>
        <v>Oka</v>
      </c>
      <c r="H1102" s="453">
        <f>INDEX(★サイズ表記!$I$4:$Q$55, MATCH(E1102,★サイズ表記!$E$4:$E$55,0), MATCH(G1102,★サイズ表記!$I$3:$R$3,0))</f>
        <v>0</v>
      </c>
      <c r="K1102" s="471" t="str">
        <f t="shared" si="120"/>
        <v>S2006Oka</v>
      </c>
      <c r="L1102" s="471" t="str">
        <f t="shared" si="121"/>
        <v>連合2つ折り極小</v>
      </c>
      <c r="P1102" s="533" t="s">
        <v>1324</v>
      </c>
      <c r="Q1102" s="533" t="s">
        <v>1325</v>
      </c>
      <c r="R1102" s="534" t="str">
        <f t="shared" si="122"/>
        <v>2006</v>
      </c>
      <c r="S1102" s="534" t="str">
        <f t="shared" si="123"/>
        <v>連合2つ折り極小</v>
      </c>
      <c r="T1102" s="538" t="str">
        <f t="shared" si="124"/>
        <v>20</v>
      </c>
      <c r="U1102" s="538" t="str">
        <f t="shared" si="125"/>
        <v>06</v>
      </c>
      <c r="V1102" s="471" t="s">
        <v>1136</v>
      </c>
      <c r="Y1102" s="472">
        <f t="shared" si="126"/>
        <v>0</v>
      </c>
      <c r="Z1102" s="540">
        <f t="shared" si="127"/>
        <v>0</v>
      </c>
      <c r="AA1102" s="471">
        <v>0</v>
      </c>
    </row>
    <row r="1103" spans="1:27">
      <c r="A1103" s="451" t="str">
        <f>CONCATENATE(VLOOKUP(B1103,★営業所!$A$1:$B$5,2,FALSE),VLOOKUP(D1103,★サイズ表記!$D$4:$E$55,2,FALSE),VLOOKUP(F1103,★折込地区!$A$1:$B$11,2,FALSE))</f>
        <v>S2007Oka</v>
      </c>
      <c r="B1103" s="457" t="s">
        <v>276</v>
      </c>
      <c r="C1103" s="452" t="str">
        <f>VLOOKUP(B1103,★営業所!$A$1:$B$5,2,FALSE)</f>
        <v>S</v>
      </c>
      <c r="D1103" s="465" t="s">
        <v>1365</v>
      </c>
      <c r="E1103" s="452" t="str">
        <f>VLOOKUP(D1103,★サイズ表記!$D$4:$E$55,2,FALSE)</f>
        <v>2007</v>
      </c>
      <c r="F1103" s="457" t="s">
        <v>42</v>
      </c>
      <c r="G1103" s="452" t="str">
        <f>VLOOKUP(F1103,★折込地区!$A$1:$B$11,2,FALSE)</f>
        <v>Oka</v>
      </c>
      <c r="H1103" s="453">
        <f>INDEX(★サイズ表記!$I$4:$Q$55, MATCH(E1103,★サイズ表記!$E$4:$E$55,0), MATCH(G1103,★サイズ表記!$I$3:$R$3,0))</f>
        <v>0</v>
      </c>
      <c r="K1103" s="471" t="str">
        <f t="shared" si="120"/>
        <v>S2007Oka</v>
      </c>
      <c r="L1103" s="471" t="str">
        <f t="shared" si="121"/>
        <v>連合タブ6P</v>
      </c>
      <c r="P1103" s="533" t="s">
        <v>1324</v>
      </c>
      <c r="Q1103" s="533" t="s">
        <v>1325</v>
      </c>
      <c r="R1103" s="534" t="str">
        <f t="shared" si="122"/>
        <v>2007</v>
      </c>
      <c r="S1103" s="534" t="str">
        <f t="shared" si="123"/>
        <v>連合タブ6P</v>
      </c>
      <c r="T1103" s="538" t="str">
        <f t="shared" si="124"/>
        <v>20</v>
      </c>
      <c r="U1103" s="538" t="str">
        <f t="shared" si="125"/>
        <v>07</v>
      </c>
      <c r="V1103" s="471" t="s">
        <v>1136</v>
      </c>
      <c r="Y1103" s="472">
        <f t="shared" si="126"/>
        <v>0</v>
      </c>
      <c r="Z1103" s="540">
        <f t="shared" si="127"/>
        <v>0</v>
      </c>
      <c r="AA1103" s="471">
        <v>0</v>
      </c>
    </row>
    <row r="1104" spans="1:27">
      <c r="A1104" s="451" t="str">
        <f>CONCATENATE(VLOOKUP(B1104,★営業所!$A$1:$B$5,2,FALSE),VLOOKUP(D1104,★サイズ表記!$D$4:$E$55,2,FALSE),VLOOKUP(F1104,★折込地区!$A$1:$B$11,2,FALSE))</f>
        <v>S2008Oka</v>
      </c>
      <c r="B1104" s="457" t="s">
        <v>276</v>
      </c>
      <c r="C1104" s="452" t="str">
        <f>VLOOKUP(B1104,★営業所!$A$1:$B$5,2,FALSE)</f>
        <v>S</v>
      </c>
      <c r="D1104" s="465" t="s">
        <v>1366</v>
      </c>
      <c r="E1104" s="452" t="str">
        <f>VLOOKUP(D1104,★サイズ表記!$D$4:$E$55,2,FALSE)</f>
        <v>2008</v>
      </c>
      <c r="F1104" s="457" t="s">
        <v>42</v>
      </c>
      <c r="G1104" s="452" t="str">
        <f>VLOOKUP(F1104,★折込地区!$A$1:$B$11,2,FALSE)</f>
        <v>Oka</v>
      </c>
      <c r="H1104" s="453">
        <f>INDEX(★サイズ表記!$I$4:$Q$55, MATCH(E1104,★サイズ表記!$E$4:$E$55,0), MATCH(G1104,★サイズ表記!$I$3:$R$3,0))</f>
        <v>0</v>
      </c>
      <c r="K1104" s="471" t="str">
        <f t="shared" si="120"/>
        <v>S2008Oka</v>
      </c>
      <c r="L1104" s="471" t="str">
        <f t="shared" si="121"/>
        <v>連合タブ8P</v>
      </c>
      <c r="P1104" s="533" t="s">
        <v>1324</v>
      </c>
      <c r="Q1104" s="533" t="s">
        <v>1325</v>
      </c>
      <c r="R1104" s="534" t="str">
        <f t="shared" si="122"/>
        <v>2008</v>
      </c>
      <c r="S1104" s="534" t="str">
        <f t="shared" si="123"/>
        <v>連合タブ8P</v>
      </c>
      <c r="T1104" s="538" t="str">
        <f t="shared" si="124"/>
        <v>20</v>
      </c>
      <c r="U1104" s="538" t="str">
        <f t="shared" si="125"/>
        <v>08</v>
      </c>
      <c r="V1104" s="471" t="s">
        <v>1136</v>
      </c>
      <c r="Y1104" s="472">
        <f t="shared" si="126"/>
        <v>0</v>
      </c>
      <c r="Z1104" s="540">
        <f t="shared" si="127"/>
        <v>0</v>
      </c>
      <c r="AA1104" s="471">
        <v>0</v>
      </c>
    </row>
    <row r="1105" spans="1:27">
      <c r="A1105" s="451" t="str">
        <f>CONCATENATE(VLOOKUP(B1105,★営業所!$A$1:$B$5,2,FALSE),VLOOKUP(D1105,★サイズ表記!$D$4:$E$55,2,FALSE),VLOOKUP(F1105,★折込地区!$A$1:$B$11,2,FALSE))</f>
        <v>S2009Oka</v>
      </c>
      <c r="B1105" s="457" t="s">
        <v>276</v>
      </c>
      <c r="C1105" s="452" t="str">
        <f>VLOOKUP(B1105,★営業所!$A$1:$B$5,2,FALSE)</f>
        <v>S</v>
      </c>
      <c r="D1105" s="465" t="s">
        <v>1364</v>
      </c>
      <c r="E1105" s="452" t="str">
        <f>VLOOKUP(D1105,★サイズ表記!$D$4:$E$55,2,FALSE)</f>
        <v>2009</v>
      </c>
      <c r="F1105" s="457" t="s">
        <v>42</v>
      </c>
      <c r="G1105" s="452" t="str">
        <f>VLOOKUP(F1105,★折込地区!$A$1:$B$11,2,FALSE)</f>
        <v>Oka</v>
      </c>
      <c r="H1105" s="453">
        <f>INDEX(★サイズ表記!$I$4:$Q$55, MATCH(E1105,★サイズ表記!$E$4:$E$55,0), MATCH(G1105,★サイズ表記!$I$3:$R$3,0))</f>
        <v>0</v>
      </c>
      <c r="K1105" s="471" t="str">
        <f t="shared" si="120"/>
        <v>S2009Oka</v>
      </c>
      <c r="L1105" s="471" t="str">
        <f t="shared" si="121"/>
        <v>連合タブ12P</v>
      </c>
      <c r="P1105" s="533" t="s">
        <v>1324</v>
      </c>
      <c r="Q1105" s="533" t="s">
        <v>1325</v>
      </c>
      <c r="R1105" s="534" t="str">
        <f t="shared" si="122"/>
        <v>2009</v>
      </c>
      <c r="S1105" s="534" t="str">
        <f t="shared" si="123"/>
        <v>連合タブ12P</v>
      </c>
      <c r="T1105" s="538" t="str">
        <f t="shared" si="124"/>
        <v>20</v>
      </c>
      <c r="U1105" s="538" t="str">
        <f t="shared" si="125"/>
        <v>09</v>
      </c>
      <c r="V1105" s="471" t="s">
        <v>1136</v>
      </c>
      <c r="Y1105" s="472">
        <f t="shared" si="126"/>
        <v>0</v>
      </c>
      <c r="Z1105" s="540">
        <f t="shared" si="127"/>
        <v>0</v>
      </c>
      <c r="AA1105" s="471">
        <v>0</v>
      </c>
    </row>
    <row r="1106" spans="1:27">
      <c r="A1106" s="451" t="str">
        <f>CONCATENATE(VLOOKUP(B1106,★営業所!$A$1:$B$5,2,FALSE),VLOOKUP(D1106,★サイズ表記!$D$4:$E$55,2,FALSE),VLOOKUP(F1106,★折込地区!$A$1:$B$11,2,FALSE))</f>
        <v>S3001Oka</v>
      </c>
      <c r="B1106" s="457" t="s">
        <v>276</v>
      </c>
      <c r="C1106" s="452" t="str">
        <f>VLOOKUP(B1106,★営業所!$A$1:$B$5,2,FALSE)</f>
        <v>S</v>
      </c>
      <c r="D1106" s="465" t="s">
        <v>969</v>
      </c>
      <c r="E1106" s="452" t="str">
        <f>VLOOKUP(D1106,★サイズ表記!$D$4:$E$55,2,FALSE)</f>
        <v>3001</v>
      </c>
      <c r="F1106" s="457" t="s">
        <v>42</v>
      </c>
      <c r="G1106" s="452" t="str">
        <f>VLOOKUP(F1106,★折込地区!$A$1:$B$11,2,FALSE)</f>
        <v>Oka</v>
      </c>
      <c r="H1106" s="453">
        <f>INDEX(★サイズ表記!$I$4:$Q$55, MATCH(E1106,★サイズ表記!$E$4:$E$55,0), MATCH(G1106,★サイズ表記!$I$3:$R$3,0))</f>
        <v>0</v>
      </c>
      <c r="K1106" s="471" t="str">
        <f t="shared" si="120"/>
        <v>S3001Oka</v>
      </c>
      <c r="L1106" s="471" t="str">
        <f t="shared" si="121"/>
        <v>政治B4</v>
      </c>
      <c r="P1106" s="533" t="s">
        <v>1324</v>
      </c>
      <c r="Q1106" s="533" t="s">
        <v>1325</v>
      </c>
      <c r="R1106" s="534" t="str">
        <f t="shared" si="122"/>
        <v>3001</v>
      </c>
      <c r="S1106" s="534" t="str">
        <f t="shared" si="123"/>
        <v>政治B4</v>
      </c>
      <c r="T1106" s="538" t="str">
        <f t="shared" si="124"/>
        <v>30</v>
      </c>
      <c r="U1106" s="538" t="str">
        <f t="shared" si="125"/>
        <v>01</v>
      </c>
      <c r="V1106" s="471" t="s">
        <v>1136</v>
      </c>
      <c r="Y1106" s="472">
        <f t="shared" si="126"/>
        <v>0</v>
      </c>
      <c r="Z1106" s="540">
        <f t="shared" si="127"/>
        <v>0</v>
      </c>
      <c r="AA1106" s="471">
        <v>0</v>
      </c>
    </row>
    <row r="1107" spans="1:27">
      <c r="A1107" s="451" t="str">
        <f>CONCATENATE(VLOOKUP(B1107,★営業所!$A$1:$B$5,2,FALSE),VLOOKUP(D1107,★サイズ表記!$D$4:$E$55,2,FALSE),VLOOKUP(F1107,★折込地区!$A$1:$B$11,2,FALSE))</f>
        <v>S3002Oka</v>
      </c>
      <c r="B1107" s="457" t="s">
        <v>276</v>
      </c>
      <c r="C1107" s="452" t="str">
        <f>VLOOKUP(B1107,★営業所!$A$1:$B$5,2,FALSE)</f>
        <v>S</v>
      </c>
      <c r="D1107" s="465" t="s">
        <v>970</v>
      </c>
      <c r="E1107" s="452" t="str">
        <f>VLOOKUP(D1107,★サイズ表記!$D$4:$E$55,2,FALSE)</f>
        <v>3002</v>
      </c>
      <c r="F1107" s="457" t="s">
        <v>42</v>
      </c>
      <c r="G1107" s="452" t="str">
        <f>VLOOKUP(F1107,★折込地区!$A$1:$B$11,2,FALSE)</f>
        <v>Oka</v>
      </c>
      <c r="H1107" s="453">
        <f>INDEX(★サイズ表記!$I$4:$Q$55, MATCH(E1107,★サイズ表記!$E$4:$E$55,0), MATCH(G1107,★サイズ表記!$I$3:$R$3,0))</f>
        <v>0</v>
      </c>
      <c r="K1107" s="471" t="str">
        <f t="shared" si="120"/>
        <v>S3002Oka</v>
      </c>
      <c r="L1107" s="471" t="str">
        <f t="shared" si="121"/>
        <v>政治B3</v>
      </c>
      <c r="P1107" s="533" t="s">
        <v>1324</v>
      </c>
      <c r="Q1107" s="533" t="s">
        <v>1325</v>
      </c>
      <c r="R1107" s="534" t="str">
        <f t="shared" si="122"/>
        <v>3002</v>
      </c>
      <c r="S1107" s="534" t="str">
        <f t="shared" si="123"/>
        <v>政治B3</v>
      </c>
      <c r="T1107" s="538" t="str">
        <f t="shared" si="124"/>
        <v>30</v>
      </c>
      <c r="U1107" s="538" t="str">
        <f t="shared" si="125"/>
        <v>02</v>
      </c>
      <c r="V1107" s="471" t="s">
        <v>1136</v>
      </c>
      <c r="Y1107" s="472">
        <f t="shared" si="126"/>
        <v>0</v>
      </c>
      <c r="Z1107" s="540">
        <f t="shared" si="127"/>
        <v>0</v>
      </c>
      <c r="AA1107" s="471">
        <v>0</v>
      </c>
    </row>
    <row r="1108" spans="1:27">
      <c r="A1108" s="451" t="str">
        <f>CONCATENATE(VLOOKUP(B1108,★営業所!$A$1:$B$5,2,FALSE),VLOOKUP(D1108,★サイズ表記!$D$4:$E$55,2,FALSE),VLOOKUP(F1108,★折込地区!$A$1:$B$11,2,FALSE))</f>
        <v>S3003Oka</v>
      </c>
      <c r="B1108" s="457" t="s">
        <v>276</v>
      </c>
      <c r="C1108" s="452" t="str">
        <f>VLOOKUP(B1108,★営業所!$A$1:$B$5,2,FALSE)</f>
        <v>S</v>
      </c>
      <c r="D1108" s="465" t="s">
        <v>971</v>
      </c>
      <c r="E1108" s="452" t="str">
        <f>VLOOKUP(D1108,★サイズ表記!$D$4:$E$55,2,FALSE)</f>
        <v>3003</v>
      </c>
      <c r="F1108" s="457" t="s">
        <v>42</v>
      </c>
      <c r="G1108" s="452" t="str">
        <f>VLOOKUP(F1108,★折込地区!$A$1:$B$11,2,FALSE)</f>
        <v>Oka</v>
      </c>
      <c r="H1108" s="453">
        <f>INDEX(★サイズ表記!$I$4:$Q$55, MATCH(E1108,★サイズ表記!$E$4:$E$55,0), MATCH(G1108,★サイズ表記!$I$3:$R$3,0))</f>
        <v>0</v>
      </c>
      <c r="K1108" s="471" t="str">
        <f t="shared" si="120"/>
        <v>S3003Oka</v>
      </c>
      <c r="L1108" s="471" t="str">
        <f t="shared" si="121"/>
        <v>政治B2</v>
      </c>
      <c r="P1108" s="533" t="s">
        <v>1324</v>
      </c>
      <c r="Q1108" s="533" t="s">
        <v>1325</v>
      </c>
      <c r="R1108" s="534" t="str">
        <f t="shared" si="122"/>
        <v>3003</v>
      </c>
      <c r="S1108" s="534" t="str">
        <f t="shared" si="123"/>
        <v>政治B2</v>
      </c>
      <c r="T1108" s="538" t="str">
        <f t="shared" si="124"/>
        <v>30</v>
      </c>
      <c r="U1108" s="538" t="str">
        <f t="shared" si="125"/>
        <v>03</v>
      </c>
      <c r="V1108" s="471" t="s">
        <v>1136</v>
      </c>
      <c r="Y1108" s="472">
        <f t="shared" si="126"/>
        <v>0</v>
      </c>
      <c r="Z1108" s="540">
        <f t="shared" si="127"/>
        <v>0</v>
      </c>
      <c r="AA1108" s="471">
        <v>0</v>
      </c>
    </row>
    <row r="1109" spans="1:27">
      <c r="A1109" s="451" t="str">
        <f>CONCATENATE(VLOOKUP(B1109,★営業所!$A$1:$B$5,2,FALSE),VLOOKUP(D1109,★サイズ表記!$D$4:$E$55,2,FALSE),VLOOKUP(F1109,★折込地区!$A$1:$B$11,2,FALSE))</f>
        <v>S3004Oka</v>
      </c>
      <c r="B1109" s="457" t="s">
        <v>276</v>
      </c>
      <c r="C1109" s="452" t="str">
        <f>VLOOKUP(B1109,★営業所!$A$1:$B$5,2,FALSE)</f>
        <v>S</v>
      </c>
      <c r="D1109" s="465" t="s">
        <v>972</v>
      </c>
      <c r="E1109" s="452" t="str">
        <f>VLOOKUP(D1109,★サイズ表記!$D$4:$E$55,2,FALSE)</f>
        <v>3004</v>
      </c>
      <c r="F1109" s="457" t="s">
        <v>42</v>
      </c>
      <c r="G1109" s="452" t="str">
        <f>VLOOKUP(F1109,★折込地区!$A$1:$B$11,2,FALSE)</f>
        <v>Oka</v>
      </c>
      <c r="H1109" s="453">
        <f>INDEX(★サイズ表記!$I$4:$Q$55, MATCH(E1109,★サイズ表記!$E$4:$E$55,0), MATCH(G1109,★サイズ表記!$I$3:$R$3,0))</f>
        <v>0</v>
      </c>
      <c r="K1109" s="471" t="str">
        <f t="shared" si="120"/>
        <v>S3004Oka</v>
      </c>
      <c r="L1109" s="471" t="str">
        <f t="shared" si="121"/>
        <v>政治3つ折り</v>
      </c>
      <c r="P1109" s="533" t="s">
        <v>1324</v>
      </c>
      <c r="Q1109" s="533" t="s">
        <v>1325</v>
      </c>
      <c r="R1109" s="534" t="str">
        <f t="shared" si="122"/>
        <v>3004</v>
      </c>
      <c r="S1109" s="534" t="str">
        <f t="shared" si="123"/>
        <v>政治3つ折り</v>
      </c>
      <c r="T1109" s="538" t="str">
        <f t="shared" si="124"/>
        <v>30</v>
      </c>
      <c r="U1109" s="538" t="str">
        <f t="shared" si="125"/>
        <v>04</v>
      </c>
      <c r="V1109" s="471" t="s">
        <v>1136</v>
      </c>
      <c r="Y1109" s="472">
        <f t="shared" si="126"/>
        <v>0</v>
      </c>
      <c r="Z1109" s="540">
        <f t="shared" si="127"/>
        <v>0</v>
      </c>
      <c r="AA1109" s="471">
        <v>0</v>
      </c>
    </row>
    <row r="1110" spans="1:27">
      <c r="A1110" s="451" t="str">
        <f>CONCATENATE(VLOOKUP(B1110,★営業所!$A$1:$B$5,2,FALSE),VLOOKUP(D1110,★サイズ表記!$D$4:$E$55,2,FALSE),VLOOKUP(F1110,★折込地区!$A$1:$B$11,2,FALSE))</f>
        <v>S3005Oka</v>
      </c>
      <c r="B1110" s="457" t="s">
        <v>276</v>
      </c>
      <c r="C1110" s="452" t="str">
        <f>VLOOKUP(B1110,★営業所!$A$1:$B$5,2,FALSE)</f>
        <v>S</v>
      </c>
      <c r="D1110" s="465" t="s">
        <v>973</v>
      </c>
      <c r="E1110" s="452" t="str">
        <f>VLOOKUP(D1110,★サイズ表記!$D$4:$E$55,2,FALSE)</f>
        <v>3005</v>
      </c>
      <c r="F1110" s="457" t="s">
        <v>42</v>
      </c>
      <c r="G1110" s="452" t="str">
        <f>VLOOKUP(F1110,★折込地区!$A$1:$B$11,2,FALSE)</f>
        <v>Oka</v>
      </c>
      <c r="H1110" s="453">
        <f>INDEX(★サイズ表記!$I$4:$Q$55, MATCH(E1110,★サイズ表記!$E$4:$E$55,0), MATCH(G1110,★サイズ表記!$I$3:$R$3,0))</f>
        <v>0</v>
      </c>
      <c r="K1110" s="471" t="str">
        <f t="shared" si="120"/>
        <v>S3005Oka</v>
      </c>
      <c r="L1110" s="471" t="str">
        <f t="shared" si="121"/>
        <v>政治2つ折り極小</v>
      </c>
      <c r="P1110" s="533" t="s">
        <v>1324</v>
      </c>
      <c r="Q1110" s="533" t="s">
        <v>1325</v>
      </c>
      <c r="R1110" s="534" t="str">
        <f t="shared" si="122"/>
        <v>3005</v>
      </c>
      <c r="S1110" s="534" t="str">
        <f t="shared" si="123"/>
        <v>政治2つ折り極小</v>
      </c>
      <c r="T1110" s="538" t="str">
        <f t="shared" si="124"/>
        <v>30</v>
      </c>
      <c r="U1110" s="538" t="str">
        <f t="shared" si="125"/>
        <v>05</v>
      </c>
      <c r="V1110" s="471" t="s">
        <v>1136</v>
      </c>
      <c r="Y1110" s="472">
        <f t="shared" si="126"/>
        <v>0</v>
      </c>
      <c r="Z1110" s="540">
        <f t="shared" si="127"/>
        <v>0</v>
      </c>
      <c r="AA1110" s="471">
        <v>0</v>
      </c>
    </row>
    <row r="1111" spans="1:27">
      <c r="A1111" s="451" t="str">
        <f>CONCATENATE(VLOOKUP(B1111,★営業所!$A$1:$B$5,2,FALSE),VLOOKUP(D1111,★サイズ表記!$D$4:$E$55,2,FALSE),VLOOKUP(F1111,★折込地区!$A$1:$B$11,2,FALSE))</f>
        <v>S3006Oka</v>
      </c>
      <c r="B1111" s="457" t="s">
        <v>276</v>
      </c>
      <c r="C1111" s="452" t="str">
        <f>VLOOKUP(B1111,★営業所!$A$1:$B$5,2,FALSE)</f>
        <v>S</v>
      </c>
      <c r="D1111" s="465" t="s">
        <v>974</v>
      </c>
      <c r="E1111" s="452" t="str">
        <f>VLOOKUP(D1111,★サイズ表記!$D$4:$E$55,2,FALSE)</f>
        <v>3006</v>
      </c>
      <c r="F1111" s="457" t="s">
        <v>42</v>
      </c>
      <c r="G1111" s="452" t="str">
        <f>VLOOKUP(F1111,★折込地区!$A$1:$B$11,2,FALSE)</f>
        <v>Oka</v>
      </c>
      <c r="H1111" s="453">
        <f>INDEX(★サイズ表記!$I$4:$Q$55, MATCH(E1111,★サイズ表記!$E$4:$E$55,0), MATCH(G1111,★サイズ表記!$I$3:$R$3,0))</f>
        <v>0</v>
      </c>
      <c r="K1111" s="471" t="str">
        <f t="shared" si="120"/>
        <v>S3006Oka</v>
      </c>
      <c r="L1111" s="471" t="str">
        <f t="shared" si="121"/>
        <v>政治B4厚紙</v>
      </c>
      <c r="P1111" s="533" t="s">
        <v>1324</v>
      </c>
      <c r="Q1111" s="533" t="s">
        <v>1325</v>
      </c>
      <c r="R1111" s="534" t="str">
        <f t="shared" si="122"/>
        <v>3006</v>
      </c>
      <c r="S1111" s="534" t="str">
        <f t="shared" si="123"/>
        <v>政治B4厚紙</v>
      </c>
      <c r="T1111" s="538" t="str">
        <f t="shared" si="124"/>
        <v>30</v>
      </c>
      <c r="U1111" s="538" t="str">
        <f t="shared" si="125"/>
        <v>06</v>
      </c>
      <c r="V1111" s="471" t="s">
        <v>1136</v>
      </c>
      <c r="Y1111" s="472">
        <f t="shared" si="126"/>
        <v>0</v>
      </c>
      <c r="Z1111" s="540">
        <f t="shared" si="127"/>
        <v>0</v>
      </c>
      <c r="AA1111" s="471">
        <v>0</v>
      </c>
    </row>
    <row r="1112" spans="1:27">
      <c r="A1112" s="451" t="str">
        <f>CONCATENATE(VLOOKUP(B1112,★営業所!$A$1:$B$5,2,FALSE),VLOOKUP(D1112,★サイズ表記!$D$4:$E$55,2,FALSE),VLOOKUP(F1112,★折込地区!$A$1:$B$11,2,FALSE))</f>
        <v>S3007Oka</v>
      </c>
      <c r="B1112" s="457" t="s">
        <v>276</v>
      </c>
      <c r="C1112" s="452" t="str">
        <f>VLOOKUP(B1112,★営業所!$A$1:$B$5,2,FALSE)</f>
        <v>S</v>
      </c>
      <c r="D1112" s="465" t="s">
        <v>1362</v>
      </c>
      <c r="E1112" s="452" t="str">
        <f>VLOOKUP(D1112,★サイズ表記!$D$4:$E$55,2,FALSE)</f>
        <v>3007</v>
      </c>
      <c r="F1112" s="457" t="s">
        <v>42</v>
      </c>
      <c r="G1112" s="452" t="str">
        <f>VLOOKUP(F1112,★折込地区!$A$1:$B$11,2,FALSE)</f>
        <v>Oka</v>
      </c>
      <c r="H1112" s="453">
        <f>INDEX(★サイズ表記!$I$4:$Q$55, MATCH(E1112,★サイズ表記!$E$4:$E$55,0), MATCH(G1112,★サイズ表記!$I$3:$R$3,0))</f>
        <v>0</v>
      </c>
      <c r="K1112" s="471" t="str">
        <f t="shared" si="120"/>
        <v>S3007Oka</v>
      </c>
      <c r="L1112" s="471" t="str">
        <f t="shared" si="121"/>
        <v>政治タブ6P</v>
      </c>
      <c r="P1112" s="533" t="s">
        <v>1324</v>
      </c>
      <c r="Q1112" s="533" t="s">
        <v>1325</v>
      </c>
      <c r="R1112" s="534" t="str">
        <f t="shared" si="122"/>
        <v>3007</v>
      </c>
      <c r="S1112" s="534" t="str">
        <f t="shared" si="123"/>
        <v>政治タブ6P</v>
      </c>
      <c r="T1112" s="538" t="str">
        <f t="shared" si="124"/>
        <v>30</v>
      </c>
      <c r="U1112" s="538" t="str">
        <f t="shared" si="125"/>
        <v>07</v>
      </c>
      <c r="V1112" s="471" t="s">
        <v>1136</v>
      </c>
      <c r="Y1112" s="472">
        <f t="shared" si="126"/>
        <v>0</v>
      </c>
      <c r="Z1112" s="540">
        <f t="shared" si="127"/>
        <v>0</v>
      </c>
      <c r="AA1112" s="471">
        <v>0</v>
      </c>
    </row>
    <row r="1113" spans="1:27">
      <c r="A1113" s="451" t="str">
        <f>CONCATENATE(VLOOKUP(B1113,★営業所!$A$1:$B$5,2,FALSE),VLOOKUP(D1113,★サイズ表記!$D$4:$E$55,2,FALSE),VLOOKUP(F1113,★折込地区!$A$1:$B$11,2,FALSE))</f>
        <v>S3008Oka</v>
      </c>
      <c r="B1113" s="457" t="s">
        <v>276</v>
      </c>
      <c r="C1113" s="452" t="str">
        <f>VLOOKUP(B1113,★営業所!$A$1:$B$5,2,FALSE)</f>
        <v>S</v>
      </c>
      <c r="D1113" s="465" t="s">
        <v>1363</v>
      </c>
      <c r="E1113" s="452" t="str">
        <f>VLOOKUP(D1113,★サイズ表記!$D$4:$E$55,2,FALSE)</f>
        <v>3008</v>
      </c>
      <c r="F1113" s="457" t="s">
        <v>42</v>
      </c>
      <c r="G1113" s="452" t="str">
        <f>VLOOKUP(F1113,★折込地区!$A$1:$B$11,2,FALSE)</f>
        <v>Oka</v>
      </c>
      <c r="H1113" s="453">
        <f>INDEX(★サイズ表記!$I$4:$Q$55, MATCH(E1113,★サイズ表記!$E$4:$E$55,0), MATCH(G1113,★サイズ表記!$I$3:$R$3,0))</f>
        <v>0</v>
      </c>
      <c r="K1113" s="471" t="str">
        <f t="shared" si="120"/>
        <v>S3008Oka</v>
      </c>
      <c r="L1113" s="471" t="str">
        <f t="shared" si="121"/>
        <v>政治タブ8P</v>
      </c>
      <c r="P1113" s="533" t="s">
        <v>1324</v>
      </c>
      <c r="Q1113" s="533" t="s">
        <v>1325</v>
      </c>
      <c r="R1113" s="534" t="str">
        <f t="shared" si="122"/>
        <v>3008</v>
      </c>
      <c r="S1113" s="534" t="str">
        <f t="shared" si="123"/>
        <v>政治タブ8P</v>
      </c>
      <c r="T1113" s="538" t="str">
        <f t="shared" si="124"/>
        <v>30</v>
      </c>
      <c r="U1113" s="538" t="str">
        <f t="shared" si="125"/>
        <v>08</v>
      </c>
      <c r="V1113" s="471" t="s">
        <v>1136</v>
      </c>
      <c r="Y1113" s="472">
        <f t="shared" si="126"/>
        <v>0</v>
      </c>
      <c r="Z1113" s="540">
        <f t="shared" si="127"/>
        <v>0</v>
      </c>
      <c r="AA1113" s="471">
        <v>0</v>
      </c>
    </row>
    <row r="1114" spans="1:27">
      <c r="A1114" s="451" t="str">
        <f>CONCATENATE(VLOOKUP(B1114,★営業所!$A$1:$B$5,2,FALSE),VLOOKUP(D1114,★サイズ表記!$D$4:$E$55,2,FALSE),VLOOKUP(F1114,★折込地区!$A$1:$B$11,2,FALSE))</f>
        <v>S3009Oka</v>
      </c>
      <c r="B1114" s="457" t="s">
        <v>276</v>
      </c>
      <c r="C1114" s="452" t="str">
        <f>VLOOKUP(B1114,★営業所!$A$1:$B$5,2,FALSE)</f>
        <v>S</v>
      </c>
      <c r="D1114" s="465" t="s">
        <v>1361</v>
      </c>
      <c r="E1114" s="452" t="str">
        <f>VLOOKUP(D1114,★サイズ表記!$D$4:$E$55,2,FALSE)</f>
        <v>3009</v>
      </c>
      <c r="F1114" s="457" t="s">
        <v>42</v>
      </c>
      <c r="G1114" s="452" t="str">
        <f>VLOOKUP(F1114,★折込地区!$A$1:$B$11,2,FALSE)</f>
        <v>Oka</v>
      </c>
      <c r="H1114" s="453">
        <f>INDEX(★サイズ表記!$I$4:$Q$55, MATCH(E1114,★サイズ表記!$E$4:$E$55,0), MATCH(G1114,★サイズ表記!$I$3:$R$3,0))</f>
        <v>0</v>
      </c>
      <c r="K1114" s="471" t="str">
        <f t="shared" si="120"/>
        <v>S3009Oka</v>
      </c>
      <c r="L1114" s="471" t="str">
        <f t="shared" si="121"/>
        <v>政治タブ12P</v>
      </c>
      <c r="P1114" s="533" t="s">
        <v>1324</v>
      </c>
      <c r="Q1114" s="533" t="s">
        <v>1325</v>
      </c>
      <c r="R1114" s="534" t="str">
        <f t="shared" si="122"/>
        <v>3009</v>
      </c>
      <c r="S1114" s="534" t="str">
        <f t="shared" si="123"/>
        <v>政治タブ12P</v>
      </c>
      <c r="T1114" s="538" t="str">
        <f t="shared" si="124"/>
        <v>30</v>
      </c>
      <c r="U1114" s="538" t="str">
        <f t="shared" si="125"/>
        <v>09</v>
      </c>
      <c r="V1114" s="471" t="s">
        <v>1136</v>
      </c>
      <c r="Y1114" s="472">
        <f t="shared" si="126"/>
        <v>0</v>
      </c>
      <c r="Z1114" s="540">
        <f t="shared" si="127"/>
        <v>0</v>
      </c>
      <c r="AA1114" s="471">
        <v>0</v>
      </c>
    </row>
    <row r="1115" spans="1:27">
      <c r="A1115" s="451" t="str">
        <f>CONCATENATE(VLOOKUP(B1115,★営業所!$A$1:$B$5,2,FALSE),VLOOKUP(D1115,★サイズ表記!$D$4:$E$55,2,FALSE),VLOOKUP(F1115,★折込地区!$A$1:$B$11,2,FALSE))</f>
        <v>S4001Oka</v>
      </c>
      <c r="B1115" s="457" t="s">
        <v>276</v>
      </c>
      <c r="C1115" s="452" t="str">
        <f>VLOOKUP(B1115,★営業所!$A$1:$B$5,2,FALSE)</f>
        <v>S</v>
      </c>
      <c r="D1115" s="465" t="s">
        <v>1358</v>
      </c>
      <c r="E1115" s="452" t="str">
        <f>VLOOKUP(D1115,★サイズ表記!$D$4:$E$55,2,FALSE)</f>
        <v>4001</v>
      </c>
      <c r="F1115" s="457" t="s">
        <v>42</v>
      </c>
      <c r="G1115" s="452" t="str">
        <f>VLOOKUP(F1115,★折込地区!$A$1:$B$11,2,FALSE)</f>
        <v>Oka</v>
      </c>
      <c r="H1115" s="453">
        <f>INDEX(★サイズ表記!$I$4:$Q$55, MATCH(E1115,★サイズ表記!$E$4:$E$55,0), MATCH(G1115,★サイズ表記!$I$3:$R$3,0))</f>
        <v>0</v>
      </c>
      <c r="K1115" s="471" t="str">
        <f t="shared" si="120"/>
        <v>S4001Oka</v>
      </c>
      <c r="L1115" s="471" t="str">
        <f t="shared" si="121"/>
        <v>タブ6P</v>
      </c>
      <c r="P1115" s="533" t="s">
        <v>1324</v>
      </c>
      <c r="Q1115" s="533" t="s">
        <v>1325</v>
      </c>
      <c r="R1115" s="534" t="str">
        <f t="shared" si="122"/>
        <v>4001</v>
      </c>
      <c r="S1115" s="534" t="str">
        <f t="shared" si="123"/>
        <v>タブ6P</v>
      </c>
      <c r="T1115" s="538" t="str">
        <f t="shared" si="124"/>
        <v>40</v>
      </c>
      <c r="U1115" s="538" t="str">
        <f t="shared" si="125"/>
        <v>01</v>
      </c>
      <c r="V1115" s="471" t="s">
        <v>1136</v>
      </c>
      <c r="Y1115" s="472">
        <f t="shared" si="126"/>
        <v>0</v>
      </c>
      <c r="Z1115" s="540">
        <f t="shared" si="127"/>
        <v>0</v>
      </c>
      <c r="AA1115" s="471">
        <v>0</v>
      </c>
    </row>
    <row r="1116" spans="1:27">
      <c r="A1116" s="451" t="str">
        <f>CONCATENATE(VLOOKUP(B1116,★営業所!$A$1:$B$5,2,FALSE),VLOOKUP(D1116,★サイズ表記!$D$4:$E$55,2,FALSE),VLOOKUP(F1116,★折込地区!$A$1:$B$11,2,FALSE))</f>
        <v>S4002Oka</v>
      </c>
      <c r="B1116" s="457" t="s">
        <v>276</v>
      </c>
      <c r="C1116" s="452" t="str">
        <f>VLOOKUP(B1116,★営業所!$A$1:$B$5,2,FALSE)</f>
        <v>S</v>
      </c>
      <c r="D1116" s="465" t="s">
        <v>1359</v>
      </c>
      <c r="E1116" s="452" t="str">
        <f>VLOOKUP(D1116,★サイズ表記!$D$4:$E$55,2,FALSE)</f>
        <v>4002</v>
      </c>
      <c r="F1116" s="457" t="s">
        <v>42</v>
      </c>
      <c r="G1116" s="452" t="str">
        <f>VLOOKUP(F1116,★折込地区!$A$1:$B$11,2,FALSE)</f>
        <v>Oka</v>
      </c>
      <c r="H1116" s="453">
        <f>INDEX(★サイズ表記!$I$4:$Q$55, MATCH(E1116,★サイズ表記!$E$4:$E$55,0), MATCH(G1116,★サイズ表記!$I$3:$R$3,0))</f>
        <v>0</v>
      </c>
      <c r="K1116" s="471" t="str">
        <f t="shared" si="120"/>
        <v>S4002Oka</v>
      </c>
      <c r="L1116" s="471" t="str">
        <f t="shared" si="121"/>
        <v>タブ8P</v>
      </c>
      <c r="P1116" s="533" t="s">
        <v>1324</v>
      </c>
      <c r="Q1116" s="533" t="s">
        <v>1325</v>
      </c>
      <c r="R1116" s="534" t="str">
        <f t="shared" si="122"/>
        <v>4002</v>
      </c>
      <c r="S1116" s="534" t="str">
        <f t="shared" si="123"/>
        <v>タブ8P</v>
      </c>
      <c r="T1116" s="538" t="str">
        <f t="shared" si="124"/>
        <v>40</v>
      </c>
      <c r="U1116" s="538" t="str">
        <f t="shared" si="125"/>
        <v>02</v>
      </c>
      <c r="V1116" s="471" t="s">
        <v>1136</v>
      </c>
      <c r="Y1116" s="472">
        <f t="shared" si="126"/>
        <v>0</v>
      </c>
      <c r="Z1116" s="540">
        <f t="shared" si="127"/>
        <v>0</v>
      </c>
      <c r="AA1116" s="471">
        <v>0</v>
      </c>
    </row>
    <row r="1117" spans="1:27">
      <c r="A1117" s="451" t="str">
        <f>CONCATENATE(VLOOKUP(B1117,★営業所!$A$1:$B$5,2,FALSE),VLOOKUP(D1117,★サイズ表記!$D$4:$E$55,2,FALSE),VLOOKUP(F1117,★折込地区!$A$1:$B$11,2,FALSE))</f>
        <v>S4003Oka</v>
      </c>
      <c r="B1117" s="457" t="s">
        <v>276</v>
      </c>
      <c r="C1117" s="452" t="str">
        <f>VLOOKUP(B1117,★営業所!$A$1:$B$5,2,FALSE)</f>
        <v>S</v>
      </c>
      <c r="D1117" s="465" t="s">
        <v>1360</v>
      </c>
      <c r="E1117" s="452" t="str">
        <f>VLOOKUP(D1117,★サイズ表記!$D$4:$E$55,2,FALSE)</f>
        <v>4003</v>
      </c>
      <c r="F1117" s="457" t="s">
        <v>42</v>
      </c>
      <c r="G1117" s="452" t="str">
        <f>VLOOKUP(F1117,★折込地区!$A$1:$B$11,2,FALSE)</f>
        <v>Oka</v>
      </c>
      <c r="H1117" s="453">
        <f>INDEX(★サイズ表記!$I$4:$Q$55, MATCH(E1117,★サイズ表記!$E$4:$E$55,0), MATCH(G1117,★サイズ表記!$I$3:$R$3,0))</f>
        <v>0</v>
      </c>
      <c r="K1117" s="471" t="str">
        <f t="shared" si="120"/>
        <v>S4003Oka</v>
      </c>
      <c r="L1117" s="471" t="str">
        <f t="shared" si="121"/>
        <v>タブ8Pホチキス止め</v>
      </c>
      <c r="P1117" s="533" t="s">
        <v>1324</v>
      </c>
      <c r="Q1117" s="533" t="s">
        <v>1325</v>
      </c>
      <c r="R1117" s="534" t="str">
        <f t="shared" si="122"/>
        <v>4003</v>
      </c>
      <c r="S1117" s="534" t="str">
        <f t="shared" si="123"/>
        <v>タブ8Pホチキス止め</v>
      </c>
      <c r="T1117" s="538" t="str">
        <f t="shared" si="124"/>
        <v>40</v>
      </c>
      <c r="U1117" s="538" t="str">
        <f t="shared" si="125"/>
        <v>03</v>
      </c>
      <c r="V1117" s="471" t="s">
        <v>1136</v>
      </c>
      <c r="Y1117" s="472">
        <f t="shared" si="126"/>
        <v>0</v>
      </c>
      <c r="Z1117" s="540">
        <f t="shared" si="127"/>
        <v>0</v>
      </c>
      <c r="AA1117" s="471">
        <v>0</v>
      </c>
    </row>
    <row r="1118" spans="1:27">
      <c r="A1118" s="451" t="str">
        <f>CONCATENATE(VLOOKUP(B1118,★営業所!$A$1:$B$5,2,FALSE),VLOOKUP(D1118,★サイズ表記!$D$4:$E$55,2,FALSE),VLOOKUP(F1118,★折込地区!$A$1:$B$11,2,FALSE))</f>
        <v>S4004Oka</v>
      </c>
      <c r="B1118" s="457" t="s">
        <v>276</v>
      </c>
      <c r="C1118" s="452" t="str">
        <f>VLOOKUP(B1118,★営業所!$A$1:$B$5,2,FALSE)</f>
        <v>S</v>
      </c>
      <c r="D1118" s="465" t="s">
        <v>1350</v>
      </c>
      <c r="E1118" s="452" t="str">
        <f>VLOOKUP(D1118,★サイズ表記!$D$4:$E$55,2,FALSE)</f>
        <v>4004</v>
      </c>
      <c r="F1118" s="457" t="s">
        <v>42</v>
      </c>
      <c r="G1118" s="452" t="str">
        <f>VLOOKUP(F1118,★折込地区!$A$1:$B$11,2,FALSE)</f>
        <v>Oka</v>
      </c>
      <c r="H1118" s="453">
        <f>INDEX(★サイズ表記!$I$4:$Q$55, MATCH(E1118,★サイズ表記!$E$4:$E$55,0), MATCH(G1118,★サイズ表記!$I$3:$R$3,0))</f>
        <v>0</v>
      </c>
      <c r="K1118" s="471" t="str">
        <f t="shared" si="120"/>
        <v>S4004Oka</v>
      </c>
      <c r="L1118" s="471" t="str">
        <f t="shared" si="121"/>
        <v>タブ10P</v>
      </c>
      <c r="P1118" s="533" t="s">
        <v>1324</v>
      </c>
      <c r="Q1118" s="533" t="s">
        <v>1325</v>
      </c>
      <c r="R1118" s="534" t="str">
        <f t="shared" si="122"/>
        <v>4004</v>
      </c>
      <c r="S1118" s="534" t="str">
        <f t="shared" si="123"/>
        <v>タブ10P</v>
      </c>
      <c r="T1118" s="538" t="str">
        <f t="shared" si="124"/>
        <v>40</v>
      </c>
      <c r="U1118" s="538" t="str">
        <f t="shared" si="125"/>
        <v>04</v>
      </c>
      <c r="V1118" s="471" t="s">
        <v>1136</v>
      </c>
      <c r="Y1118" s="472">
        <f t="shared" si="126"/>
        <v>0</v>
      </c>
      <c r="Z1118" s="540">
        <f t="shared" si="127"/>
        <v>0</v>
      </c>
      <c r="AA1118" s="471">
        <v>0</v>
      </c>
    </row>
    <row r="1119" spans="1:27">
      <c r="A1119" s="451" t="str">
        <f>CONCATENATE(VLOOKUP(B1119,★営業所!$A$1:$B$5,2,FALSE),VLOOKUP(D1119,★サイズ表記!$D$4:$E$55,2,FALSE),VLOOKUP(F1119,★折込地区!$A$1:$B$11,2,FALSE))</f>
        <v>S4005Oka</v>
      </c>
      <c r="B1119" s="457" t="s">
        <v>276</v>
      </c>
      <c r="C1119" s="452" t="str">
        <f>VLOOKUP(B1119,★営業所!$A$1:$B$5,2,FALSE)</f>
        <v>S</v>
      </c>
      <c r="D1119" s="465" t="s">
        <v>1351</v>
      </c>
      <c r="E1119" s="452" t="str">
        <f>VLOOKUP(D1119,★サイズ表記!$D$4:$E$55,2,FALSE)</f>
        <v>4005</v>
      </c>
      <c r="F1119" s="457" t="s">
        <v>42</v>
      </c>
      <c r="G1119" s="452" t="str">
        <f>VLOOKUP(F1119,★折込地区!$A$1:$B$11,2,FALSE)</f>
        <v>Oka</v>
      </c>
      <c r="H1119" s="453">
        <f>INDEX(★サイズ表記!$I$4:$Q$55, MATCH(E1119,★サイズ表記!$E$4:$E$55,0), MATCH(G1119,★サイズ表記!$I$3:$R$3,0))</f>
        <v>0</v>
      </c>
      <c r="K1119" s="471" t="str">
        <f t="shared" si="120"/>
        <v>S4005Oka</v>
      </c>
      <c r="L1119" s="471" t="str">
        <f t="shared" si="121"/>
        <v>タブ12P</v>
      </c>
      <c r="P1119" s="533" t="s">
        <v>1324</v>
      </c>
      <c r="Q1119" s="533" t="s">
        <v>1325</v>
      </c>
      <c r="R1119" s="534" t="str">
        <f t="shared" si="122"/>
        <v>4005</v>
      </c>
      <c r="S1119" s="534" t="str">
        <f t="shared" si="123"/>
        <v>タブ12P</v>
      </c>
      <c r="T1119" s="538" t="str">
        <f t="shared" si="124"/>
        <v>40</v>
      </c>
      <c r="U1119" s="538" t="str">
        <f t="shared" si="125"/>
        <v>05</v>
      </c>
      <c r="V1119" s="471" t="s">
        <v>1136</v>
      </c>
      <c r="Y1119" s="472">
        <f t="shared" si="126"/>
        <v>0</v>
      </c>
      <c r="Z1119" s="540">
        <f t="shared" si="127"/>
        <v>0</v>
      </c>
      <c r="AA1119" s="471">
        <v>0</v>
      </c>
    </row>
    <row r="1120" spans="1:27">
      <c r="A1120" s="451" t="str">
        <f>CONCATENATE(VLOOKUP(B1120,★営業所!$A$1:$B$5,2,FALSE),VLOOKUP(D1120,★サイズ表記!$D$4:$E$55,2,FALSE),VLOOKUP(F1120,★折込地区!$A$1:$B$11,2,FALSE))</f>
        <v>S4006Oka</v>
      </c>
      <c r="B1120" s="457" t="s">
        <v>276</v>
      </c>
      <c r="C1120" s="452" t="str">
        <f>VLOOKUP(B1120,★営業所!$A$1:$B$5,2,FALSE)</f>
        <v>S</v>
      </c>
      <c r="D1120" s="465" t="s">
        <v>1352</v>
      </c>
      <c r="E1120" s="452" t="str">
        <f>VLOOKUP(D1120,★サイズ表記!$D$4:$E$55,2,FALSE)</f>
        <v>4006</v>
      </c>
      <c r="F1120" s="457" t="s">
        <v>42</v>
      </c>
      <c r="G1120" s="452" t="str">
        <f>VLOOKUP(F1120,★折込地区!$A$1:$B$11,2,FALSE)</f>
        <v>Oka</v>
      </c>
      <c r="H1120" s="453">
        <f>INDEX(★サイズ表記!$I$4:$Q$55, MATCH(E1120,★サイズ表記!$E$4:$E$55,0), MATCH(G1120,★サイズ表記!$I$3:$R$3,0))</f>
        <v>0</v>
      </c>
      <c r="K1120" s="471" t="str">
        <f t="shared" si="120"/>
        <v>S4006Oka</v>
      </c>
      <c r="L1120" s="471" t="str">
        <f t="shared" si="121"/>
        <v>タブ14P</v>
      </c>
      <c r="P1120" s="533" t="s">
        <v>1324</v>
      </c>
      <c r="Q1120" s="533" t="s">
        <v>1325</v>
      </c>
      <c r="R1120" s="534" t="str">
        <f t="shared" si="122"/>
        <v>4006</v>
      </c>
      <c r="S1120" s="534" t="str">
        <f t="shared" si="123"/>
        <v>タブ14P</v>
      </c>
      <c r="T1120" s="538" t="str">
        <f t="shared" si="124"/>
        <v>40</v>
      </c>
      <c r="U1120" s="538" t="str">
        <f t="shared" si="125"/>
        <v>06</v>
      </c>
      <c r="V1120" s="471" t="s">
        <v>1136</v>
      </c>
      <c r="Y1120" s="472">
        <f t="shared" si="126"/>
        <v>0</v>
      </c>
      <c r="Z1120" s="540">
        <f t="shared" si="127"/>
        <v>0</v>
      </c>
      <c r="AA1120" s="471">
        <v>0</v>
      </c>
    </row>
    <row r="1121" spans="1:27">
      <c r="A1121" s="451" t="str">
        <f>CONCATENATE(VLOOKUP(B1121,★営業所!$A$1:$B$5,2,FALSE),VLOOKUP(D1121,★サイズ表記!$D$4:$E$55,2,FALSE),VLOOKUP(F1121,★折込地区!$A$1:$B$11,2,FALSE))</f>
        <v>S4007Oka</v>
      </c>
      <c r="B1121" s="457" t="s">
        <v>276</v>
      </c>
      <c r="C1121" s="452" t="str">
        <f>VLOOKUP(B1121,★営業所!$A$1:$B$5,2,FALSE)</f>
        <v>S</v>
      </c>
      <c r="D1121" s="465" t="s">
        <v>1353</v>
      </c>
      <c r="E1121" s="452" t="str">
        <f>VLOOKUP(D1121,★サイズ表記!$D$4:$E$55,2,FALSE)</f>
        <v>4007</v>
      </c>
      <c r="F1121" s="457" t="s">
        <v>42</v>
      </c>
      <c r="G1121" s="452" t="str">
        <f>VLOOKUP(F1121,★折込地区!$A$1:$B$11,2,FALSE)</f>
        <v>Oka</v>
      </c>
      <c r="H1121" s="453">
        <f>INDEX(★サイズ表記!$I$4:$Q$55, MATCH(E1121,★サイズ表記!$E$4:$E$55,0), MATCH(G1121,★サイズ表記!$I$3:$R$3,0))</f>
        <v>0</v>
      </c>
      <c r="K1121" s="471" t="str">
        <f t="shared" si="120"/>
        <v>S4007Oka</v>
      </c>
      <c r="L1121" s="471" t="str">
        <f t="shared" si="121"/>
        <v>タブ16P</v>
      </c>
      <c r="P1121" s="533" t="s">
        <v>1324</v>
      </c>
      <c r="Q1121" s="533" t="s">
        <v>1325</v>
      </c>
      <c r="R1121" s="534" t="str">
        <f t="shared" si="122"/>
        <v>4007</v>
      </c>
      <c r="S1121" s="534" t="str">
        <f t="shared" si="123"/>
        <v>タブ16P</v>
      </c>
      <c r="T1121" s="538" t="str">
        <f t="shared" si="124"/>
        <v>40</v>
      </c>
      <c r="U1121" s="538" t="str">
        <f t="shared" si="125"/>
        <v>07</v>
      </c>
      <c r="V1121" s="471" t="s">
        <v>1136</v>
      </c>
      <c r="Y1121" s="472">
        <f t="shared" si="126"/>
        <v>0</v>
      </c>
      <c r="Z1121" s="540">
        <f t="shared" si="127"/>
        <v>0</v>
      </c>
      <c r="AA1121" s="471">
        <v>0</v>
      </c>
    </row>
    <row r="1122" spans="1:27">
      <c r="A1122" s="451" t="str">
        <f>CONCATENATE(VLOOKUP(B1122,★営業所!$A$1:$B$5,2,FALSE),VLOOKUP(D1122,★サイズ表記!$D$4:$E$55,2,FALSE),VLOOKUP(F1122,★折込地区!$A$1:$B$11,2,FALSE))</f>
        <v>S4008Oka</v>
      </c>
      <c r="B1122" s="457" t="s">
        <v>276</v>
      </c>
      <c r="C1122" s="452" t="str">
        <f>VLOOKUP(B1122,★営業所!$A$1:$B$5,2,FALSE)</f>
        <v>S</v>
      </c>
      <c r="D1122" s="465" t="s">
        <v>1355</v>
      </c>
      <c r="E1122" s="452" t="str">
        <f>VLOOKUP(D1122,★サイズ表記!$D$4:$E$55,2,FALSE)</f>
        <v>4008</v>
      </c>
      <c r="F1122" s="457" t="s">
        <v>42</v>
      </c>
      <c r="G1122" s="452" t="str">
        <f>VLOOKUP(F1122,★折込地区!$A$1:$B$11,2,FALSE)</f>
        <v>Oka</v>
      </c>
      <c r="H1122" s="453">
        <f>INDEX(★サイズ表記!$I$4:$Q$55, MATCH(E1122,★サイズ表記!$E$4:$E$55,0), MATCH(G1122,★サイズ表記!$I$3:$R$3,0))</f>
        <v>0</v>
      </c>
      <c r="K1122" s="471" t="str">
        <f t="shared" si="120"/>
        <v>S4008Oka</v>
      </c>
      <c r="L1122" s="471" t="str">
        <f t="shared" si="121"/>
        <v>タブ18P</v>
      </c>
      <c r="P1122" s="533" t="s">
        <v>1324</v>
      </c>
      <c r="Q1122" s="533" t="s">
        <v>1325</v>
      </c>
      <c r="R1122" s="534" t="str">
        <f t="shared" si="122"/>
        <v>4008</v>
      </c>
      <c r="S1122" s="534" t="str">
        <f t="shared" si="123"/>
        <v>タブ18P</v>
      </c>
      <c r="T1122" s="538" t="str">
        <f t="shared" si="124"/>
        <v>40</v>
      </c>
      <c r="U1122" s="538" t="str">
        <f t="shared" si="125"/>
        <v>08</v>
      </c>
      <c r="V1122" s="471" t="s">
        <v>1136</v>
      </c>
      <c r="Y1122" s="472">
        <f t="shared" si="126"/>
        <v>0</v>
      </c>
      <c r="Z1122" s="540">
        <f t="shared" si="127"/>
        <v>0</v>
      </c>
      <c r="AA1122" s="471">
        <v>0</v>
      </c>
    </row>
    <row r="1123" spans="1:27">
      <c r="A1123" s="451" t="str">
        <f>CONCATENATE(VLOOKUP(B1123,★営業所!$A$1:$B$5,2,FALSE),VLOOKUP(D1123,★サイズ表記!$D$4:$E$55,2,FALSE),VLOOKUP(F1123,★折込地区!$A$1:$B$11,2,FALSE))</f>
        <v>S4009Oka</v>
      </c>
      <c r="B1123" s="457" t="s">
        <v>276</v>
      </c>
      <c r="C1123" s="452" t="str">
        <f>VLOOKUP(B1123,★営業所!$A$1:$B$5,2,FALSE)</f>
        <v>S</v>
      </c>
      <c r="D1123" s="465" t="s">
        <v>1356</v>
      </c>
      <c r="E1123" s="452" t="str">
        <f>VLOOKUP(D1123,★サイズ表記!$D$4:$E$55,2,FALSE)</f>
        <v>4009</v>
      </c>
      <c r="F1123" s="457" t="s">
        <v>42</v>
      </c>
      <c r="G1123" s="452" t="str">
        <f>VLOOKUP(F1123,★折込地区!$A$1:$B$11,2,FALSE)</f>
        <v>Oka</v>
      </c>
      <c r="H1123" s="453">
        <f>INDEX(★サイズ表記!$I$4:$Q$55, MATCH(E1123,★サイズ表記!$E$4:$E$55,0), MATCH(G1123,★サイズ表記!$I$3:$R$3,0))</f>
        <v>0</v>
      </c>
      <c r="K1123" s="471" t="str">
        <f t="shared" si="120"/>
        <v>S4009Oka</v>
      </c>
      <c r="L1123" s="471" t="str">
        <f t="shared" si="121"/>
        <v>タブ20P</v>
      </c>
      <c r="P1123" s="533" t="s">
        <v>1324</v>
      </c>
      <c r="Q1123" s="533" t="s">
        <v>1325</v>
      </c>
      <c r="R1123" s="534" t="str">
        <f t="shared" si="122"/>
        <v>4009</v>
      </c>
      <c r="S1123" s="534" t="str">
        <f t="shared" si="123"/>
        <v>タブ20P</v>
      </c>
      <c r="T1123" s="538" t="str">
        <f t="shared" si="124"/>
        <v>40</v>
      </c>
      <c r="U1123" s="538" t="str">
        <f t="shared" si="125"/>
        <v>09</v>
      </c>
      <c r="V1123" s="471" t="s">
        <v>1136</v>
      </c>
      <c r="Y1123" s="472">
        <f t="shared" si="126"/>
        <v>0</v>
      </c>
      <c r="Z1123" s="540">
        <f t="shared" si="127"/>
        <v>0</v>
      </c>
      <c r="AA1123" s="471">
        <v>0</v>
      </c>
    </row>
    <row r="1124" spans="1:27">
      <c r="A1124" s="451" t="str">
        <f>CONCATENATE(VLOOKUP(B1124,★営業所!$A$1:$B$5,2,FALSE),VLOOKUP(D1124,★サイズ表記!$D$4:$E$55,2,FALSE),VLOOKUP(F1124,★折込地区!$A$1:$B$11,2,FALSE))</f>
        <v>S4010Oka</v>
      </c>
      <c r="B1124" s="457" t="s">
        <v>276</v>
      </c>
      <c r="C1124" s="452" t="str">
        <f>VLOOKUP(B1124,★営業所!$A$1:$B$5,2,FALSE)</f>
        <v>S</v>
      </c>
      <c r="D1124" s="465" t="s">
        <v>1354</v>
      </c>
      <c r="E1124" s="452" t="str">
        <f>VLOOKUP(D1124,★サイズ表記!$D$4:$E$55,2,FALSE)</f>
        <v>4010</v>
      </c>
      <c r="F1124" s="457" t="s">
        <v>42</v>
      </c>
      <c r="G1124" s="452" t="str">
        <f>VLOOKUP(F1124,★折込地区!$A$1:$B$11,2,FALSE)</f>
        <v>Oka</v>
      </c>
      <c r="H1124" s="453">
        <f>INDEX(★サイズ表記!$I$4:$Q$55, MATCH(E1124,★サイズ表記!$E$4:$E$55,0), MATCH(G1124,★サイズ表記!$I$3:$R$3,0))</f>
        <v>0</v>
      </c>
      <c r="K1124" s="471" t="str">
        <f t="shared" si="120"/>
        <v>S4010Oka</v>
      </c>
      <c r="L1124" s="471" t="str">
        <f t="shared" si="121"/>
        <v>タブ16Pホチキス止め</v>
      </c>
      <c r="P1124" s="533" t="s">
        <v>1324</v>
      </c>
      <c r="Q1124" s="533" t="s">
        <v>1325</v>
      </c>
      <c r="R1124" s="534" t="str">
        <f t="shared" si="122"/>
        <v>4010</v>
      </c>
      <c r="S1124" s="534" t="str">
        <f t="shared" si="123"/>
        <v>タブ16Pホチキス止め</v>
      </c>
      <c r="T1124" s="538" t="str">
        <f t="shared" si="124"/>
        <v>40</v>
      </c>
      <c r="U1124" s="538" t="str">
        <f t="shared" si="125"/>
        <v>10</v>
      </c>
      <c r="V1124" s="471" t="s">
        <v>1136</v>
      </c>
      <c r="Y1124" s="472">
        <f t="shared" si="126"/>
        <v>0</v>
      </c>
      <c r="Z1124" s="540">
        <f t="shared" si="127"/>
        <v>0</v>
      </c>
      <c r="AA1124" s="471">
        <v>0</v>
      </c>
    </row>
    <row r="1125" spans="1:27">
      <c r="A1125" s="451" t="str">
        <f>CONCATENATE(VLOOKUP(B1125,★営業所!$A$1:$B$5,2,FALSE),VLOOKUP(D1125,★サイズ表記!$D$4:$E$55,2,FALSE),VLOOKUP(F1125,★折込地区!$A$1:$B$11,2,FALSE))</f>
        <v>S4011Oka</v>
      </c>
      <c r="B1125" s="457" t="s">
        <v>276</v>
      </c>
      <c r="C1125" s="452" t="str">
        <f>VLOOKUP(B1125,★営業所!$A$1:$B$5,2,FALSE)</f>
        <v>S</v>
      </c>
      <c r="D1125" s="465" t="s">
        <v>1357</v>
      </c>
      <c r="E1125" s="452" t="str">
        <f>VLOOKUP(D1125,★サイズ表記!$D$4:$E$55,2,FALSE)</f>
        <v>4011</v>
      </c>
      <c r="F1125" s="457" t="s">
        <v>42</v>
      </c>
      <c r="G1125" s="452" t="str">
        <f>VLOOKUP(F1125,★折込地区!$A$1:$B$11,2,FALSE)</f>
        <v>Oka</v>
      </c>
      <c r="H1125" s="453">
        <f>INDEX(★サイズ表記!$I$4:$Q$55, MATCH(E1125,★サイズ表記!$E$4:$E$55,0), MATCH(G1125,★サイズ表記!$I$3:$R$3,0))</f>
        <v>0</v>
      </c>
      <c r="K1125" s="471" t="str">
        <f t="shared" si="120"/>
        <v>S4011Oka</v>
      </c>
      <c r="L1125" s="471" t="str">
        <f t="shared" si="121"/>
        <v>タブ40P</v>
      </c>
      <c r="P1125" s="533" t="s">
        <v>1324</v>
      </c>
      <c r="Q1125" s="533" t="s">
        <v>1325</v>
      </c>
      <c r="R1125" s="534" t="str">
        <f t="shared" si="122"/>
        <v>4011</v>
      </c>
      <c r="S1125" s="534" t="str">
        <f t="shared" si="123"/>
        <v>タブ40P</v>
      </c>
      <c r="T1125" s="538" t="str">
        <f t="shared" si="124"/>
        <v>40</v>
      </c>
      <c r="U1125" s="538" t="str">
        <f t="shared" si="125"/>
        <v>11</v>
      </c>
      <c r="V1125" s="471" t="s">
        <v>1136</v>
      </c>
      <c r="Y1125" s="472">
        <f t="shared" si="126"/>
        <v>0</v>
      </c>
      <c r="Z1125" s="540">
        <f t="shared" si="127"/>
        <v>0</v>
      </c>
      <c r="AA1125" s="471">
        <v>0</v>
      </c>
    </row>
    <row r="1126" spans="1:27">
      <c r="A1126" s="451" t="str">
        <f>CONCATENATE(VLOOKUP(B1126,★営業所!$A$1:$B$5,2,FALSE),VLOOKUP(D1126,★サイズ表記!$D$4:$E$55,2,FALSE),VLOOKUP(F1126,★折込地区!$A$1:$B$11,2,FALSE))</f>
        <v>S9001Oka</v>
      </c>
      <c r="B1126" s="457" t="s">
        <v>276</v>
      </c>
      <c r="C1126" s="452" t="str">
        <f>VLOOKUP(B1126,★営業所!$A$1:$B$5,2,FALSE)</f>
        <v>S</v>
      </c>
      <c r="D1126" s="465" t="s">
        <v>975</v>
      </c>
      <c r="E1126" s="452" t="str">
        <f>VLOOKUP(D1126,★サイズ表記!$D$4:$E$55,2,FALSE)</f>
        <v>9001</v>
      </c>
      <c r="F1126" s="457" t="s">
        <v>42</v>
      </c>
      <c r="G1126" s="452" t="str">
        <f>VLOOKUP(F1126,★折込地区!$A$1:$B$11,2,FALSE)</f>
        <v>Oka</v>
      </c>
      <c r="H1126" s="453">
        <f>INDEX(★サイズ表記!$I$4:$Q$55, MATCH(E1126,★サイズ表記!$E$4:$E$55,0), MATCH(G1126,★サイズ表記!$I$3:$R$3,0))</f>
        <v>0</v>
      </c>
      <c r="K1126" s="471" t="str">
        <f t="shared" si="120"/>
        <v>S9001Oka</v>
      </c>
      <c r="L1126" s="471" t="str">
        <f t="shared" si="121"/>
        <v>うさぎの耳</v>
      </c>
      <c r="P1126" s="533" t="s">
        <v>1324</v>
      </c>
      <c r="Q1126" s="533" t="s">
        <v>1325</v>
      </c>
      <c r="R1126" s="534" t="str">
        <f t="shared" si="122"/>
        <v>9001</v>
      </c>
      <c r="S1126" s="534" t="str">
        <f t="shared" si="123"/>
        <v>うさぎの耳</v>
      </c>
      <c r="T1126" s="538" t="str">
        <f t="shared" si="124"/>
        <v>90</v>
      </c>
      <c r="U1126" s="538" t="str">
        <f t="shared" si="125"/>
        <v>01</v>
      </c>
      <c r="V1126" s="471" t="s">
        <v>1136</v>
      </c>
      <c r="Y1126" s="472">
        <f t="shared" si="126"/>
        <v>0</v>
      </c>
      <c r="Z1126" s="540">
        <f t="shared" si="127"/>
        <v>0</v>
      </c>
      <c r="AA1126" s="471">
        <v>0</v>
      </c>
    </row>
    <row r="1127" spans="1:27">
      <c r="A1127" s="451" t="str">
        <f>CONCATENATE(VLOOKUP(B1127,★営業所!$A$1:$B$5,2,FALSE),VLOOKUP(D1127,★サイズ表記!$D$4:$E$55,2,FALSE),VLOOKUP(F1127,★折込地区!$A$1:$B$11,2,FALSE))</f>
        <v>S9002Oka</v>
      </c>
      <c r="B1127" s="457" t="s">
        <v>276</v>
      </c>
      <c r="C1127" s="452" t="str">
        <f>VLOOKUP(B1127,★営業所!$A$1:$B$5,2,FALSE)</f>
        <v>S</v>
      </c>
      <c r="D1127" s="465" t="s">
        <v>976</v>
      </c>
      <c r="E1127" s="452" t="str">
        <f>VLOOKUP(D1127,★サイズ表記!$D$4:$E$55,2,FALSE)</f>
        <v>9002</v>
      </c>
      <c r="F1127" s="457" t="s">
        <v>42</v>
      </c>
      <c r="G1127" s="452" t="str">
        <f>VLOOKUP(F1127,★折込地区!$A$1:$B$11,2,FALSE)</f>
        <v>Oka</v>
      </c>
      <c r="H1127" s="453">
        <f>INDEX(★サイズ表記!$I$4:$Q$55, MATCH(E1127,★サイズ表記!$E$4:$E$55,0), MATCH(G1127,★サイズ表記!$I$3:$R$3,0))</f>
        <v>0</v>
      </c>
      <c r="K1127" s="471" t="str">
        <f t="shared" si="120"/>
        <v>S9002Oka</v>
      </c>
      <c r="L1127" s="471" t="str">
        <f t="shared" si="121"/>
        <v>ユーキャン（題字）</v>
      </c>
      <c r="P1127" s="533" t="s">
        <v>1324</v>
      </c>
      <c r="Q1127" s="533" t="s">
        <v>1325</v>
      </c>
      <c r="R1127" s="534" t="str">
        <f t="shared" si="122"/>
        <v>9002</v>
      </c>
      <c r="S1127" s="534" t="str">
        <f t="shared" si="123"/>
        <v>ユーキャン（題字）</v>
      </c>
      <c r="T1127" s="538" t="str">
        <f t="shared" si="124"/>
        <v>90</v>
      </c>
      <c r="U1127" s="538" t="str">
        <f t="shared" si="125"/>
        <v>02</v>
      </c>
      <c r="V1127" s="471" t="s">
        <v>1136</v>
      </c>
      <c r="Y1127" s="472">
        <f t="shared" si="126"/>
        <v>0</v>
      </c>
      <c r="Z1127" s="540">
        <f t="shared" si="127"/>
        <v>0</v>
      </c>
      <c r="AA1127" s="471">
        <v>0</v>
      </c>
    </row>
    <row r="1128" spans="1:27">
      <c r="A1128" s="451" t="str">
        <f>CONCATENATE(VLOOKUP(B1128,★営業所!$A$1:$B$5,2,FALSE),VLOOKUP(D1128,★サイズ表記!$D$4:$E$55,2,FALSE),VLOOKUP(F1128,★折込地区!$A$1:$B$11,2,FALSE))</f>
        <v>S9003Oka</v>
      </c>
      <c r="B1128" s="457" t="s">
        <v>276</v>
      </c>
      <c r="C1128" s="452" t="str">
        <f>VLOOKUP(B1128,★営業所!$A$1:$B$5,2,FALSE)</f>
        <v>S</v>
      </c>
      <c r="D1128" s="465" t="s">
        <v>977</v>
      </c>
      <c r="E1128" s="452" t="str">
        <f>VLOOKUP(D1128,★サイズ表記!$D$4:$E$55,2,FALSE)</f>
        <v>9003</v>
      </c>
      <c r="F1128" s="457" t="s">
        <v>42</v>
      </c>
      <c r="G1128" s="452" t="str">
        <f>VLOOKUP(F1128,★折込地区!$A$1:$B$11,2,FALSE)</f>
        <v>Oka</v>
      </c>
      <c r="H1128" s="453">
        <f>INDEX(★サイズ表記!$I$4:$Q$55, MATCH(E1128,★サイズ表記!$E$4:$E$55,0), MATCH(G1128,★サイズ表記!$I$3:$R$3,0))</f>
        <v>0</v>
      </c>
      <c r="K1128" s="471" t="str">
        <f t="shared" si="120"/>
        <v>S9003Oka</v>
      </c>
      <c r="L1128" s="471" t="str">
        <f t="shared" si="121"/>
        <v>横長B3</v>
      </c>
      <c r="P1128" s="533" t="s">
        <v>1324</v>
      </c>
      <c r="Q1128" s="533" t="s">
        <v>1325</v>
      </c>
      <c r="R1128" s="534" t="str">
        <f t="shared" si="122"/>
        <v>9003</v>
      </c>
      <c r="S1128" s="534" t="str">
        <f t="shared" si="123"/>
        <v>横長B3</v>
      </c>
      <c r="T1128" s="538" t="str">
        <f t="shared" si="124"/>
        <v>90</v>
      </c>
      <c r="U1128" s="538" t="str">
        <f t="shared" si="125"/>
        <v>03</v>
      </c>
      <c r="V1128" s="471" t="s">
        <v>1136</v>
      </c>
      <c r="Y1128" s="472">
        <f t="shared" si="126"/>
        <v>0</v>
      </c>
      <c r="Z1128" s="540">
        <f t="shared" si="127"/>
        <v>0</v>
      </c>
      <c r="AA1128" s="471">
        <v>0</v>
      </c>
    </row>
    <row r="1129" spans="1:27">
      <c r="A1129" s="451" t="str">
        <f>CONCATENATE(VLOOKUP(B1129,★営業所!$A$1:$B$5,2,FALSE),VLOOKUP(D1129,★サイズ表記!$D$4:$E$55,2,FALSE),VLOOKUP(F1129,★折込地区!$A$1:$B$11,2,FALSE))</f>
        <v>S9004Oka</v>
      </c>
      <c r="B1129" s="457" t="s">
        <v>276</v>
      </c>
      <c r="C1129" s="452" t="str">
        <f>VLOOKUP(B1129,★営業所!$A$1:$B$5,2,FALSE)</f>
        <v>S</v>
      </c>
      <c r="D1129" s="465" t="s">
        <v>978</v>
      </c>
      <c r="E1129" s="452" t="str">
        <f>VLOOKUP(D1129,★サイズ表記!$D$4:$E$55,2,FALSE)</f>
        <v>9004</v>
      </c>
      <c r="F1129" s="457" t="s">
        <v>42</v>
      </c>
      <c r="G1129" s="452" t="str">
        <f>VLOOKUP(F1129,★折込地区!$A$1:$B$11,2,FALSE)</f>
        <v>Oka</v>
      </c>
      <c r="H1129" s="453">
        <f>INDEX(★サイズ表記!$I$4:$Q$55, MATCH(E1129,★サイズ表記!$E$4:$E$55,0), MATCH(G1129,★サイズ表記!$I$3:$R$3,0))</f>
        <v>0</v>
      </c>
      <c r="K1129" s="471" t="str">
        <f t="shared" si="120"/>
        <v>S9004Oka</v>
      </c>
      <c r="L1129" s="471" t="str">
        <f t="shared" si="121"/>
        <v>AD-BAG</v>
      </c>
      <c r="P1129" s="533" t="s">
        <v>1324</v>
      </c>
      <c r="Q1129" s="533" t="s">
        <v>1325</v>
      </c>
      <c r="R1129" s="534" t="str">
        <f t="shared" si="122"/>
        <v>9004</v>
      </c>
      <c r="S1129" s="534" t="str">
        <f t="shared" si="123"/>
        <v>AD-BAG</v>
      </c>
      <c r="T1129" s="538" t="str">
        <f t="shared" si="124"/>
        <v>90</v>
      </c>
      <c r="U1129" s="538" t="str">
        <f t="shared" si="125"/>
        <v>04</v>
      </c>
      <c r="V1129" s="471" t="s">
        <v>1136</v>
      </c>
      <c r="Y1129" s="472">
        <f t="shared" si="126"/>
        <v>0</v>
      </c>
      <c r="Z1129" s="540">
        <f t="shared" si="127"/>
        <v>0</v>
      </c>
      <c r="AA1129" s="471">
        <v>0</v>
      </c>
    </row>
    <row r="1130" spans="1:27">
      <c r="A1130" s="451" t="str">
        <f>CONCATENATE(VLOOKUP(B1130,★営業所!$A$1:$B$5,2,FALSE),VLOOKUP(D1130,★サイズ表記!$D$4:$E$55,2,FALSE),VLOOKUP(F1130,★折込地区!$A$1:$B$11,2,FALSE))</f>
        <v>S9005Oka</v>
      </c>
      <c r="B1130" s="457" t="s">
        <v>276</v>
      </c>
      <c r="C1130" s="452" t="str">
        <f>VLOOKUP(B1130,★営業所!$A$1:$B$5,2,FALSE)</f>
        <v>S</v>
      </c>
      <c r="D1130" s="465" t="s">
        <v>979</v>
      </c>
      <c r="E1130" s="452" t="str">
        <f>VLOOKUP(D1130,★サイズ表記!$D$4:$E$55,2,FALSE)</f>
        <v>9005</v>
      </c>
      <c r="F1130" s="457" t="s">
        <v>42</v>
      </c>
      <c r="G1130" s="452" t="str">
        <f>VLOOKUP(F1130,★折込地区!$A$1:$B$11,2,FALSE)</f>
        <v>Oka</v>
      </c>
      <c r="H1130" s="453">
        <f>INDEX(★サイズ表記!$I$4:$Q$55, MATCH(E1130,★サイズ表記!$E$4:$E$55,0), MATCH(G1130,★サイズ表記!$I$3:$R$3,0))</f>
        <v>0</v>
      </c>
      <c r="K1130" s="471" t="str">
        <f t="shared" si="120"/>
        <v>S9005Oka</v>
      </c>
      <c r="L1130" s="471" t="str">
        <f t="shared" si="121"/>
        <v>封筒</v>
      </c>
      <c r="P1130" s="533" t="s">
        <v>1324</v>
      </c>
      <c r="Q1130" s="533" t="s">
        <v>1325</v>
      </c>
      <c r="R1130" s="534" t="str">
        <f t="shared" si="122"/>
        <v>9005</v>
      </c>
      <c r="S1130" s="534" t="str">
        <f t="shared" si="123"/>
        <v>封筒</v>
      </c>
      <c r="T1130" s="538" t="str">
        <f t="shared" si="124"/>
        <v>90</v>
      </c>
      <c r="U1130" s="538" t="str">
        <f t="shared" si="125"/>
        <v>05</v>
      </c>
      <c r="V1130" s="471" t="s">
        <v>1136</v>
      </c>
      <c r="Y1130" s="472">
        <f t="shared" si="126"/>
        <v>0</v>
      </c>
      <c r="Z1130" s="540">
        <f t="shared" si="127"/>
        <v>0</v>
      </c>
      <c r="AA1130" s="471">
        <v>0</v>
      </c>
    </row>
    <row r="1131" spans="1:27">
      <c r="A1131" s="451" t="str">
        <f>CONCATENATE(VLOOKUP(B1131,★営業所!$A$1:$B$5,2,FALSE),VLOOKUP(D1131,★サイズ表記!$D$4:$E$55,2,FALSE),VLOOKUP(F1131,★折込地区!$A$1:$B$11,2,FALSE))</f>
        <v>S9006Oka</v>
      </c>
      <c r="B1131" s="457" t="s">
        <v>276</v>
      </c>
      <c r="C1131" s="452" t="str">
        <f>VLOOKUP(B1131,★営業所!$A$1:$B$5,2,FALSE)</f>
        <v>S</v>
      </c>
      <c r="D1131" s="465" t="s">
        <v>980</v>
      </c>
      <c r="E1131" s="452" t="str">
        <f>VLOOKUP(D1131,★サイズ表記!$D$4:$E$55,2,FALSE)</f>
        <v>9006</v>
      </c>
      <c r="F1131" s="457" t="s">
        <v>42</v>
      </c>
      <c r="G1131" s="452" t="str">
        <f>VLOOKUP(F1131,★折込地区!$A$1:$B$11,2,FALSE)</f>
        <v>Oka</v>
      </c>
      <c r="H1131" s="453">
        <f>INDEX(★サイズ表記!$I$4:$Q$55, MATCH(E1131,★サイズ表記!$E$4:$E$55,0), MATCH(G1131,★サイズ表記!$I$3:$R$3,0))</f>
        <v>0</v>
      </c>
      <c r="K1131" s="471" t="str">
        <f t="shared" si="120"/>
        <v>S9006Oka</v>
      </c>
      <c r="L1131" s="471" t="str">
        <f t="shared" si="121"/>
        <v>圧着</v>
      </c>
      <c r="P1131" s="533" t="s">
        <v>1324</v>
      </c>
      <c r="Q1131" s="533" t="s">
        <v>1325</v>
      </c>
      <c r="R1131" s="534" t="str">
        <f t="shared" si="122"/>
        <v>9006</v>
      </c>
      <c r="S1131" s="534" t="str">
        <f t="shared" si="123"/>
        <v>圧着</v>
      </c>
      <c r="T1131" s="538" t="str">
        <f t="shared" si="124"/>
        <v>90</v>
      </c>
      <c r="U1131" s="538" t="str">
        <f t="shared" si="125"/>
        <v>06</v>
      </c>
      <c r="V1131" s="471" t="s">
        <v>1136</v>
      </c>
      <c r="Y1131" s="472">
        <f t="shared" si="126"/>
        <v>0</v>
      </c>
      <c r="Z1131" s="540">
        <f t="shared" si="127"/>
        <v>0</v>
      </c>
      <c r="AA1131" s="471">
        <v>0</v>
      </c>
    </row>
    <row r="1132" spans="1:27">
      <c r="A1132" s="451" t="str">
        <f>CONCATENATE(VLOOKUP(B1132,★営業所!$A$1:$B$5,2,FALSE),VLOOKUP(D1132,★サイズ表記!$D$4:$E$55,2,FALSE),VLOOKUP(F1132,★折込地区!$A$1:$B$11,2,FALSE))</f>
        <v>S9007Oka</v>
      </c>
      <c r="B1132" s="457" t="s">
        <v>276</v>
      </c>
      <c r="C1132" s="452" t="str">
        <f>VLOOKUP(B1132,★営業所!$A$1:$B$5,2,FALSE)</f>
        <v>S</v>
      </c>
      <c r="D1132" s="465" t="s">
        <v>981</v>
      </c>
      <c r="E1132" s="452" t="str">
        <f>VLOOKUP(D1132,★サイズ表記!$D$4:$E$55,2,FALSE)</f>
        <v>9007</v>
      </c>
      <c r="F1132" s="457" t="s">
        <v>42</v>
      </c>
      <c r="G1132" s="452" t="str">
        <f>VLOOKUP(F1132,★折込地区!$A$1:$B$11,2,FALSE)</f>
        <v>Oka</v>
      </c>
      <c r="H1132" s="453">
        <f>INDEX(★サイズ表記!$I$4:$Q$55, MATCH(E1132,★サイズ表記!$E$4:$E$55,0), MATCH(G1132,★サイズ表記!$I$3:$R$3,0))</f>
        <v>0</v>
      </c>
      <c r="K1132" s="471" t="str">
        <f t="shared" ref="K1132:K1195" si="128">A1132</f>
        <v>S9007Oka</v>
      </c>
      <c r="L1132" s="471" t="str">
        <f t="shared" ref="L1132:L1195" si="129">D1132</f>
        <v>圧着厚紙</v>
      </c>
      <c r="P1132" s="533" t="s">
        <v>1324</v>
      </c>
      <c r="Q1132" s="533" t="s">
        <v>1325</v>
      </c>
      <c r="R1132" s="534" t="str">
        <f t="shared" si="122"/>
        <v>9007</v>
      </c>
      <c r="S1132" s="534" t="str">
        <f t="shared" si="123"/>
        <v>圧着厚紙</v>
      </c>
      <c r="T1132" s="538" t="str">
        <f t="shared" si="124"/>
        <v>90</v>
      </c>
      <c r="U1132" s="538" t="str">
        <f t="shared" si="125"/>
        <v>07</v>
      </c>
      <c r="V1132" s="471" t="s">
        <v>1136</v>
      </c>
      <c r="Y1132" s="472">
        <f t="shared" si="126"/>
        <v>0</v>
      </c>
      <c r="Z1132" s="540">
        <f t="shared" si="127"/>
        <v>0</v>
      </c>
      <c r="AA1132" s="471">
        <v>0</v>
      </c>
    </row>
    <row r="1133" spans="1:27">
      <c r="A1133" s="451" t="str">
        <f>CONCATENATE(VLOOKUP(B1133,★営業所!$A$1:$B$5,2,FALSE),VLOOKUP(D1133,★サイズ表記!$D$4:$E$55,2,FALSE),VLOOKUP(F1133,★折込地区!$A$1:$B$11,2,FALSE))</f>
        <v>S1001Shi</v>
      </c>
      <c r="B1133" s="457" t="s">
        <v>276</v>
      </c>
      <c r="C1133" s="452" t="str">
        <f>VLOOKUP(B1133,★営業所!$A$1:$B$5,2,FALSE)</f>
        <v>S</v>
      </c>
      <c r="D1133" s="465" t="s">
        <v>948</v>
      </c>
      <c r="E1133" s="452" t="str">
        <f>VLOOKUP(D1133,★サイズ表記!$D$4:$E$55,2,FALSE)</f>
        <v>1001</v>
      </c>
      <c r="F1133" s="457" t="s">
        <v>41</v>
      </c>
      <c r="G1133" s="452" t="str">
        <f>VLOOKUP(F1133,★折込地区!$A$1:$B$11,2,FALSE)</f>
        <v>Shi</v>
      </c>
      <c r="H1133" s="453">
        <f>INDEX(★サイズ表記!$I$4:$Q$55, MATCH(E1133,★サイズ表記!$E$4:$E$55,0), MATCH(G1133,★サイズ表記!$I$3:$R$3,0))</f>
        <v>3</v>
      </c>
      <c r="K1133" s="471" t="str">
        <f t="shared" si="128"/>
        <v>S1001Shi</v>
      </c>
      <c r="L1133" s="471" t="str">
        <f t="shared" si="129"/>
        <v>B4（折り無し）</v>
      </c>
      <c r="P1133" s="533" t="s">
        <v>1324</v>
      </c>
      <c r="Q1133" s="533" t="s">
        <v>1325</v>
      </c>
      <c r="R1133" s="534" t="str">
        <f t="shared" ref="R1133:R1196" si="130">E1133</f>
        <v>1001</v>
      </c>
      <c r="S1133" s="534" t="str">
        <f t="shared" ref="S1133:S1196" si="131">L1133</f>
        <v>B4（折り無し）</v>
      </c>
      <c r="T1133" s="538" t="str">
        <f t="shared" ref="T1133:T1196" si="132">LEFT($E1133,2)</f>
        <v>10</v>
      </c>
      <c r="U1133" s="538" t="str">
        <f t="shared" ref="U1133:U1196" si="133">RIGHT($E1133,2)</f>
        <v>01</v>
      </c>
      <c r="V1133" s="471" t="s">
        <v>1136</v>
      </c>
      <c r="Y1133" s="472">
        <f t="shared" ref="Y1133:Y1196" si="134">$H1133</f>
        <v>3</v>
      </c>
      <c r="Z1133" s="540">
        <f t="shared" ref="Z1133:Z1196" si="135">ROUNDDOWN($H1133*8/100,2)</f>
        <v>0.24</v>
      </c>
      <c r="AA1133" s="471">
        <v>0</v>
      </c>
    </row>
    <row r="1134" spans="1:27">
      <c r="A1134" s="451" t="str">
        <f>CONCATENATE(VLOOKUP(B1134,★営業所!$A$1:$B$5,2,FALSE),VLOOKUP(D1134,★サイズ表記!$D$4:$E$55,2,FALSE),VLOOKUP(F1134,★折込地区!$A$1:$B$11,2,FALSE))</f>
        <v>S1002Shi</v>
      </c>
      <c r="B1134" s="457" t="s">
        <v>276</v>
      </c>
      <c r="C1134" s="452" t="str">
        <f>VLOOKUP(B1134,★営業所!$A$1:$B$5,2,FALSE)</f>
        <v>S</v>
      </c>
      <c r="D1134" s="465" t="s">
        <v>950</v>
      </c>
      <c r="E1134" s="452" t="str">
        <f>VLOOKUP(D1134,★サイズ表記!$D$4:$E$55,2,FALSE)</f>
        <v>1002</v>
      </c>
      <c r="F1134" s="457" t="s">
        <v>41</v>
      </c>
      <c r="G1134" s="452" t="str">
        <f>VLOOKUP(F1134,★折込地区!$A$1:$B$11,2,FALSE)</f>
        <v>Shi</v>
      </c>
      <c r="H1134" s="453">
        <f>INDEX(★サイズ表記!$I$4:$Q$55, MATCH(E1134,★サイズ表記!$E$4:$E$55,0), MATCH(G1134,★サイズ表記!$I$3:$R$3,0))</f>
        <v>4</v>
      </c>
      <c r="K1134" s="471" t="str">
        <f t="shared" si="128"/>
        <v>S1002Shi</v>
      </c>
      <c r="L1134" s="471" t="str">
        <f t="shared" si="129"/>
        <v>B3（2つ折り）</v>
      </c>
      <c r="P1134" s="533" t="s">
        <v>1324</v>
      </c>
      <c r="Q1134" s="533" t="s">
        <v>1325</v>
      </c>
      <c r="R1134" s="534" t="str">
        <f t="shared" si="130"/>
        <v>1002</v>
      </c>
      <c r="S1134" s="534" t="str">
        <f t="shared" si="131"/>
        <v>B3（2つ折り）</v>
      </c>
      <c r="T1134" s="538" t="str">
        <f t="shared" si="132"/>
        <v>10</v>
      </c>
      <c r="U1134" s="538" t="str">
        <f t="shared" si="133"/>
        <v>02</v>
      </c>
      <c r="V1134" s="471" t="s">
        <v>1136</v>
      </c>
      <c r="Y1134" s="472">
        <f t="shared" si="134"/>
        <v>4</v>
      </c>
      <c r="Z1134" s="540">
        <f t="shared" si="135"/>
        <v>0.32</v>
      </c>
      <c r="AA1134" s="471">
        <v>0</v>
      </c>
    </row>
    <row r="1135" spans="1:27">
      <c r="A1135" s="451" t="str">
        <f>CONCATENATE(VLOOKUP(B1135,★営業所!$A$1:$B$5,2,FALSE),VLOOKUP(D1135,★サイズ表記!$D$4:$E$55,2,FALSE),VLOOKUP(F1135,★折込地区!$A$1:$B$11,2,FALSE))</f>
        <v>S1003Shi</v>
      </c>
      <c r="B1135" s="457" t="s">
        <v>276</v>
      </c>
      <c r="C1135" s="452" t="str">
        <f>VLOOKUP(B1135,★営業所!$A$1:$B$5,2,FALSE)</f>
        <v>S</v>
      </c>
      <c r="D1135" s="465" t="s">
        <v>951</v>
      </c>
      <c r="E1135" s="452" t="str">
        <f>VLOOKUP(D1135,★サイズ表記!$D$4:$E$55,2,FALSE)</f>
        <v>1003</v>
      </c>
      <c r="F1135" s="457" t="s">
        <v>41</v>
      </c>
      <c r="G1135" s="452" t="str">
        <f>VLOOKUP(F1135,★折込地区!$A$1:$B$11,2,FALSE)</f>
        <v>Shi</v>
      </c>
      <c r="H1135" s="453">
        <f>INDEX(★サイズ表記!$I$4:$Q$55, MATCH(E1135,★サイズ表記!$E$4:$E$55,0), MATCH(G1135,★サイズ表記!$I$3:$R$3,0))</f>
        <v>0</v>
      </c>
      <c r="K1135" s="471" t="str">
        <f t="shared" si="128"/>
        <v>S1003Shi</v>
      </c>
      <c r="L1135" s="471" t="str">
        <f t="shared" si="129"/>
        <v>3つ折り</v>
      </c>
      <c r="P1135" s="533" t="s">
        <v>1324</v>
      </c>
      <c r="Q1135" s="533" t="s">
        <v>1325</v>
      </c>
      <c r="R1135" s="534" t="str">
        <f t="shared" si="130"/>
        <v>1003</v>
      </c>
      <c r="S1135" s="534" t="str">
        <f t="shared" si="131"/>
        <v>3つ折り</v>
      </c>
      <c r="T1135" s="538" t="str">
        <f t="shared" si="132"/>
        <v>10</v>
      </c>
      <c r="U1135" s="538" t="str">
        <f t="shared" si="133"/>
        <v>03</v>
      </c>
      <c r="V1135" s="471" t="s">
        <v>1136</v>
      </c>
      <c r="Y1135" s="472">
        <f t="shared" si="134"/>
        <v>0</v>
      </c>
      <c r="Z1135" s="540">
        <f t="shared" si="135"/>
        <v>0</v>
      </c>
      <c r="AA1135" s="471">
        <v>0</v>
      </c>
    </row>
    <row r="1136" spans="1:27">
      <c r="A1136" s="451" t="str">
        <f>CONCATENATE(VLOOKUP(B1136,★営業所!$A$1:$B$5,2,FALSE),VLOOKUP(D1136,★サイズ表記!$D$4:$E$55,2,FALSE),VLOOKUP(F1136,★折込地区!$A$1:$B$11,2,FALSE))</f>
        <v>S1004Shi</v>
      </c>
      <c r="B1136" s="457" t="s">
        <v>276</v>
      </c>
      <c r="C1136" s="452" t="str">
        <f>VLOOKUP(B1136,★営業所!$A$1:$B$5,2,FALSE)</f>
        <v>S</v>
      </c>
      <c r="D1136" s="465" t="s">
        <v>947</v>
      </c>
      <c r="E1136" s="452" t="str">
        <f>VLOOKUP(D1136,★サイズ表記!$D$4:$E$55,2,FALSE)</f>
        <v>1004</v>
      </c>
      <c r="F1136" s="457" t="s">
        <v>41</v>
      </c>
      <c r="G1136" s="452" t="str">
        <f>VLOOKUP(F1136,★折込地区!$A$1:$B$11,2,FALSE)</f>
        <v>Shi</v>
      </c>
      <c r="H1136" s="453">
        <f>INDEX(★サイズ表記!$I$4:$Q$55, MATCH(E1136,★サイズ表記!$E$4:$E$55,0), MATCH(G1136,★サイズ表記!$I$3:$R$3,0))</f>
        <v>0</v>
      </c>
      <c r="K1136" s="471" t="str">
        <f t="shared" si="128"/>
        <v>S1004Shi</v>
      </c>
      <c r="L1136" s="471" t="str">
        <f t="shared" si="129"/>
        <v>観音折</v>
      </c>
      <c r="P1136" s="533" t="s">
        <v>1324</v>
      </c>
      <c r="Q1136" s="533" t="s">
        <v>1325</v>
      </c>
      <c r="R1136" s="534" t="str">
        <f t="shared" si="130"/>
        <v>1004</v>
      </c>
      <c r="S1136" s="534" t="str">
        <f t="shared" si="131"/>
        <v>観音折</v>
      </c>
      <c r="T1136" s="538" t="str">
        <f t="shared" si="132"/>
        <v>10</v>
      </c>
      <c r="U1136" s="538" t="str">
        <f t="shared" si="133"/>
        <v>04</v>
      </c>
      <c r="V1136" s="471" t="s">
        <v>1136</v>
      </c>
      <c r="Y1136" s="472">
        <f t="shared" si="134"/>
        <v>0</v>
      </c>
      <c r="Z1136" s="540">
        <f t="shared" si="135"/>
        <v>0</v>
      </c>
      <c r="AA1136" s="471">
        <v>0</v>
      </c>
    </row>
    <row r="1137" spans="1:27">
      <c r="A1137" s="451" t="str">
        <f>CONCATENATE(VLOOKUP(B1137,★営業所!$A$1:$B$5,2,FALSE),VLOOKUP(D1137,★サイズ表記!$D$4:$E$55,2,FALSE),VLOOKUP(F1137,★折込地区!$A$1:$B$11,2,FALSE))</f>
        <v>S1005Shi</v>
      </c>
      <c r="B1137" s="457" t="s">
        <v>276</v>
      </c>
      <c r="C1137" s="452" t="str">
        <f>VLOOKUP(B1137,★営業所!$A$1:$B$5,2,FALSE)</f>
        <v>S</v>
      </c>
      <c r="D1137" s="465" t="s">
        <v>952</v>
      </c>
      <c r="E1137" s="452" t="str">
        <f>VLOOKUP(D1137,★サイズ表記!$D$4:$E$55,2,FALSE)</f>
        <v>1005</v>
      </c>
      <c r="F1137" s="457" t="s">
        <v>41</v>
      </c>
      <c r="G1137" s="452" t="str">
        <f>VLOOKUP(F1137,★折込地区!$A$1:$B$11,2,FALSE)</f>
        <v>Shi</v>
      </c>
      <c r="H1137" s="453">
        <f>INDEX(★サイズ表記!$I$4:$Q$55, MATCH(E1137,★サイズ表記!$E$4:$E$55,0), MATCH(G1137,★サイズ表記!$I$3:$R$3,0))</f>
        <v>7</v>
      </c>
      <c r="K1137" s="471" t="str">
        <f t="shared" si="128"/>
        <v>S1005Shi</v>
      </c>
      <c r="L1137" s="471" t="str">
        <f t="shared" si="129"/>
        <v>B2（4つ折り）</v>
      </c>
      <c r="P1137" s="533" t="s">
        <v>1324</v>
      </c>
      <c r="Q1137" s="533" t="s">
        <v>1325</v>
      </c>
      <c r="R1137" s="534" t="str">
        <f t="shared" si="130"/>
        <v>1005</v>
      </c>
      <c r="S1137" s="534" t="str">
        <f t="shared" si="131"/>
        <v>B2（4つ折り）</v>
      </c>
      <c r="T1137" s="538" t="str">
        <f t="shared" si="132"/>
        <v>10</v>
      </c>
      <c r="U1137" s="538" t="str">
        <f t="shared" si="133"/>
        <v>05</v>
      </c>
      <c r="V1137" s="471" t="s">
        <v>1136</v>
      </c>
      <c r="Y1137" s="472">
        <f t="shared" si="134"/>
        <v>7</v>
      </c>
      <c r="Z1137" s="540">
        <f t="shared" si="135"/>
        <v>0.56000000000000005</v>
      </c>
      <c r="AA1137" s="471">
        <v>0</v>
      </c>
    </row>
    <row r="1138" spans="1:27">
      <c r="A1138" s="451" t="str">
        <f>CONCATENATE(VLOOKUP(B1138,★営業所!$A$1:$B$5,2,FALSE),VLOOKUP(D1138,★サイズ表記!$D$4:$E$55,2,FALSE),VLOOKUP(F1138,★折込地区!$A$1:$B$11,2,FALSE))</f>
        <v>S1006Shi</v>
      </c>
      <c r="B1138" s="457" t="s">
        <v>276</v>
      </c>
      <c r="C1138" s="452" t="str">
        <f>VLOOKUP(B1138,★営業所!$A$1:$B$5,2,FALSE)</f>
        <v>S</v>
      </c>
      <c r="D1138" s="465" t="s">
        <v>955</v>
      </c>
      <c r="E1138" s="452" t="str">
        <f>VLOOKUP(D1138,★サイズ表記!$D$4:$E$55,2,FALSE)</f>
        <v>1006</v>
      </c>
      <c r="F1138" s="457" t="s">
        <v>41</v>
      </c>
      <c r="G1138" s="452" t="str">
        <f>VLOOKUP(F1138,★折込地区!$A$1:$B$11,2,FALSE)</f>
        <v>Shi</v>
      </c>
      <c r="H1138" s="453">
        <f>INDEX(★サイズ表記!$I$4:$Q$55, MATCH(E1138,★サイズ表記!$E$4:$E$55,0), MATCH(G1138,★サイズ表記!$I$3:$R$3,0))</f>
        <v>20</v>
      </c>
      <c r="K1138" s="471" t="str">
        <f t="shared" si="128"/>
        <v>S1006Shi</v>
      </c>
      <c r="L1138" s="471" t="str">
        <f t="shared" si="129"/>
        <v>B1（8折り）</v>
      </c>
      <c r="P1138" s="533" t="s">
        <v>1324</v>
      </c>
      <c r="Q1138" s="533" t="s">
        <v>1325</v>
      </c>
      <c r="R1138" s="534" t="str">
        <f t="shared" si="130"/>
        <v>1006</v>
      </c>
      <c r="S1138" s="534" t="str">
        <f t="shared" si="131"/>
        <v>B1（8折り）</v>
      </c>
      <c r="T1138" s="538" t="str">
        <f t="shared" si="132"/>
        <v>10</v>
      </c>
      <c r="U1138" s="538" t="str">
        <f t="shared" si="133"/>
        <v>06</v>
      </c>
      <c r="V1138" s="471" t="s">
        <v>1136</v>
      </c>
      <c r="Y1138" s="472">
        <f t="shared" si="134"/>
        <v>20</v>
      </c>
      <c r="Z1138" s="540">
        <f t="shared" si="135"/>
        <v>1.6</v>
      </c>
      <c r="AA1138" s="471">
        <v>0</v>
      </c>
    </row>
    <row r="1139" spans="1:27">
      <c r="A1139" s="451" t="str">
        <f>CONCATENATE(VLOOKUP(B1139,★営業所!$A$1:$B$5,2,FALSE),VLOOKUP(D1139,★サイズ表記!$D$4:$E$55,2,FALSE),VLOOKUP(F1139,★折込地区!$A$1:$B$11,2,FALSE))</f>
        <v>S1007Shi</v>
      </c>
      <c r="B1139" s="457" t="s">
        <v>276</v>
      </c>
      <c r="C1139" s="452" t="str">
        <f>VLOOKUP(B1139,★営業所!$A$1:$B$5,2,FALSE)</f>
        <v>S</v>
      </c>
      <c r="D1139" s="465" t="s">
        <v>956</v>
      </c>
      <c r="E1139" s="452" t="str">
        <f>VLOOKUP(D1139,★サイズ表記!$D$4:$E$55,2,FALSE)</f>
        <v>1007</v>
      </c>
      <c r="F1139" s="457" t="s">
        <v>41</v>
      </c>
      <c r="G1139" s="452" t="str">
        <f>VLOOKUP(F1139,★折込地区!$A$1:$B$11,2,FALSE)</f>
        <v>Shi</v>
      </c>
      <c r="H1139" s="453">
        <f>INDEX(★サイズ表記!$I$4:$Q$55, MATCH(E1139,★サイズ表記!$E$4:$E$55,0), MATCH(G1139,★サイズ表記!$I$3:$R$3,0))</f>
        <v>0</v>
      </c>
      <c r="K1139" s="471" t="str">
        <f t="shared" si="128"/>
        <v>S1007Shi</v>
      </c>
      <c r="L1139" s="471" t="str">
        <f t="shared" si="129"/>
        <v>B4厚紙</v>
      </c>
      <c r="P1139" s="533" t="s">
        <v>1324</v>
      </c>
      <c r="Q1139" s="533" t="s">
        <v>1325</v>
      </c>
      <c r="R1139" s="534" t="str">
        <f t="shared" si="130"/>
        <v>1007</v>
      </c>
      <c r="S1139" s="534" t="str">
        <f t="shared" si="131"/>
        <v>B4厚紙</v>
      </c>
      <c r="T1139" s="538" t="str">
        <f t="shared" si="132"/>
        <v>10</v>
      </c>
      <c r="U1139" s="538" t="str">
        <f t="shared" si="133"/>
        <v>07</v>
      </c>
      <c r="V1139" s="471" t="s">
        <v>1136</v>
      </c>
      <c r="Y1139" s="472">
        <f t="shared" si="134"/>
        <v>0</v>
      </c>
      <c r="Z1139" s="540">
        <f t="shared" si="135"/>
        <v>0</v>
      </c>
      <c r="AA1139" s="471">
        <v>0</v>
      </c>
    </row>
    <row r="1140" spans="1:27">
      <c r="A1140" s="451" t="str">
        <f>CONCATENATE(VLOOKUP(B1140,★営業所!$A$1:$B$5,2,FALSE),VLOOKUP(D1140,★サイズ表記!$D$4:$E$55,2,FALSE),VLOOKUP(F1140,★折込地区!$A$1:$B$11,2,FALSE))</f>
        <v>S1008Shi</v>
      </c>
      <c r="B1140" s="457" t="s">
        <v>276</v>
      </c>
      <c r="C1140" s="452" t="str">
        <f>VLOOKUP(B1140,★営業所!$A$1:$B$5,2,FALSE)</f>
        <v>S</v>
      </c>
      <c r="D1140" s="465" t="s">
        <v>957</v>
      </c>
      <c r="E1140" s="452" t="str">
        <f>VLOOKUP(D1140,★サイズ表記!$D$4:$E$55,2,FALSE)</f>
        <v>1008</v>
      </c>
      <c r="F1140" s="457" t="s">
        <v>41</v>
      </c>
      <c r="G1140" s="452" t="str">
        <f>VLOOKUP(F1140,★折込地区!$A$1:$B$11,2,FALSE)</f>
        <v>Shi</v>
      </c>
      <c r="H1140" s="453">
        <f>INDEX(★サイズ表記!$I$4:$Q$55, MATCH(E1140,★サイズ表記!$E$4:$E$55,0), MATCH(G1140,★サイズ表記!$I$3:$R$3,0))</f>
        <v>0</v>
      </c>
      <c r="K1140" s="471" t="str">
        <f t="shared" si="128"/>
        <v>S1008Shi</v>
      </c>
      <c r="L1140" s="471" t="str">
        <f t="shared" si="129"/>
        <v>B3厚紙</v>
      </c>
      <c r="P1140" s="533" t="s">
        <v>1324</v>
      </c>
      <c r="Q1140" s="533" t="s">
        <v>1325</v>
      </c>
      <c r="R1140" s="534" t="str">
        <f t="shared" si="130"/>
        <v>1008</v>
      </c>
      <c r="S1140" s="534" t="str">
        <f t="shared" si="131"/>
        <v>B3厚紙</v>
      </c>
      <c r="T1140" s="538" t="str">
        <f t="shared" si="132"/>
        <v>10</v>
      </c>
      <c r="U1140" s="538" t="str">
        <f t="shared" si="133"/>
        <v>08</v>
      </c>
      <c r="V1140" s="471" t="s">
        <v>1136</v>
      </c>
      <c r="Y1140" s="472">
        <f t="shared" si="134"/>
        <v>0</v>
      </c>
      <c r="Z1140" s="540">
        <f t="shared" si="135"/>
        <v>0</v>
      </c>
      <c r="AA1140" s="471">
        <v>0</v>
      </c>
    </row>
    <row r="1141" spans="1:27">
      <c r="A1141" s="451" t="str">
        <f>CONCATENATE(VLOOKUP(B1141,★営業所!$A$1:$B$5,2,FALSE),VLOOKUP(D1141,★サイズ表記!$D$4:$E$55,2,FALSE),VLOOKUP(F1141,★折込地区!$A$1:$B$11,2,FALSE))</f>
        <v>S1009Shi</v>
      </c>
      <c r="B1141" s="457" t="s">
        <v>276</v>
      </c>
      <c r="C1141" s="452" t="str">
        <f>VLOOKUP(B1141,★営業所!$A$1:$B$5,2,FALSE)</f>
        <v>S</v>
      </c>
      <c r="D1141" s="465" t="s">
        <v>958</v>
      </c>
      <c r="E1141" s="452" t="str">
        <f>VLOOKUP(D1141,★サイズ表記!$D$4:$E$55,2,FALSE)</f>
        <v>1009</v>
      </c>
      <c r="F1141" s="457" t="s">
        <v>41</v>
      </c>
      <c r="G1141" s="452" t="str">
        <f>VLOOKUP(F1141,★折込地区!$A$1:$B$11,2,FALSE)</f>
        <v>Shi</v>
      </c>
      <c r="H1141" s="453">
        <f>INDEX(★サイズ表記!$I$4:$Q$55, MATCH(E1141,★サイズ表記!$E$4:$E$55,0), MATCH(G1141,★サイズ表記!$I$3:$R$3,0))</f>
        <v>0</v>
      </c>
      <c r="K1141" s="471" t="str">
        <f t="shared" si="128"/>
        <v>S1009Shi</v>
      </c>
      <c r="L1141" s="471" t="str">
        <f t="shared" si="129"/>
        <v>B2厚紙</v>
      </c>
      <c r="P1141" s="533" t="s">
        <v>1324</v>
      </c>
      <c r="Q1141" s="533" t="s">
        <v>1325</v>
      </c>
      <c r="R1141" s="534" t="str">
        <f t="shared" si="130"/>
        <v>1009</v>
      </c>
      <c r="S1141" s="534" t="str">
        <f t="shared" si="131"/>
        <v>B2厚紙</v>
      </c>
      <c r="T1141" s="538" t="str">
        <f t="shared" si="132"/>
        <v>10</v>
      </c>
      <c r="U1141" s="538" t="str">
        <f t="shared" si="133"/>
        <v>09</v>
      </c>
      <c r="V1141" s="471" t="s">
        <v>1136</v>
      </c>
      <c r="Y1141" s="472">
        <f t="shared" si="134"/>
        <v>0</v>
      </c>
      <c r="Z1141" s="540">
        <f t="shared" si="135"/>
        <v>0</v>
      </c>
      <c r="AA1141" s="471">
        <v>0</v>
      </c>
    </row>
    <row r="1142" spans="1:27">
      <c r="A1142" s="451" t="str">
        <f>CONCATENATE(VLOOKUP(B1142,★営業所!$A$1:$B$5,2,FALSE),VLOOKUP(D1142,★サイズ表記!$D$4:$E$55,2,FALSE),VLOOKUP(F1142,★折込地区!$A$1:$B$11,2,FALSE))</f>
        <v>S1010Shi</v>
      </c>
      <c r="B1142" s="457" t="s">
        <v>276</v>
      </c>
      <c r="C1142" s="452" t="str">
        <f>VLOOKUP(B1142,★営業所!$A$1:$B$5,2,FALSE)</f>
        <v>S</v>
      </c>
      <c r="D1142" s="465" t="s">
        <v>959</v>
      </c>
      <c r="E1142" s="452" t="str">
        <f>VLOOKUP(D1142,★サイズ表記!$D$4:$E$55,2,FALSE)</f>
        <v>1010</v>
      </c>
      <c r="F1142" s="457" t="s">
        <v>41</v>
      </c>
      <c r="G1142" s="452" t="str">
        <f>VLOOKUP(F1142,★折込地区!$A$1:$B$11,2,FALSE)</f>
        <v>Shi</v>
      </c>
      <c r="H1142" s="453">
        <f>INDEX(★サイズ表記!$I$4:$Q$55, MATCH(E1142,★サイズ表記!$E$4:$E$55,0), MATCH(G1142,★サイズ表記!$I$3:$R$3,0))</f>
        <v>0</v>
      </c>
      <c r="K1142" s="471" t="str">
        <f t="shared" si="128"/>
        <v>S1010Shi</v>
      </c>
      <c r="L1142" s="471" t="str">
        <f t="shared" si="129"/>
        <v>B4以下変形</v>
      </c>
      <c r="P1142" s="533" t="s">
        <v>1324</v>
      </c>
      <c r="Q1142" s="533" t="s">
        <v>1325</v>
      </c>
      <c r="R1142" s="534" t="str">
        <f t="shared" si="130"/>
        <v>1010</v>
      </c>
      <c r="S1142" s="534" t="str">
        <f t="shared" si="131"/>
        <v>B4以下変形</v>
      </c>
      <c r="T1142" s="538" t="str">
        <f t="shared" si="132"/>
        <v>10</v>
      </c>
      <c r="U1142" s="538" t="str">
        <f t="shared" si="133"/>
        <v>10</v>
      </c>
      <c r="V1142" s="471" t="s">
        <v>1136</v>
      </c>
      <c r="Y1142" s="472">
        <f t="shared" si="134"/>
        <v>0</v>
      </c>
      <c r="Z1142" s="540">
        <f t="shared" si="135"/>
        <v>0</v>
      </c>
      <c r="AA1142" s="471">
        <v>0</v>
      </c>
    </row>
    <row r="1143" spans="1:27">
      <c r="A1143" s="451" t="str">
        <f>CONCATENATE(VLOOKUP(B1143,★営業所!$A$1:$B$5,2,FALSE),VLOOKUP(D1143,★サイズ表記!$D$4:$E$55,2,FALSE),VLOOKUP(F1143,★折込地区!$A$1:$B$11,2,FALSE))</f>
        <v>S1011Shi</v>
      </c>
      <c r="B1143" s="457" t="s">
        <v>276</v>
      </c>
      <c r="C1143" s="452" t="str">
        <f>VLOOKUP(B1143,★営業所!$A$1:$B$5,2,FALSE)</f>
        <v>S</v>
      </c>
      <c r="D1143" s="465" t="s">
        <v>960</v>
      </c>
      <c r="E1143" s="452" t="str">
        <f>VLOOKUP(D1143,★サイズ表記!$D$4:$E$55,2,FALSE)</f>
        <v>1011</v>
      </c>
      <c r="F1143" s="457" t="s">
        <v>41</v>
      </c>
      <c r="G1143" s="452" t="str">
        <f>VLOOKUP(F1143,★折込地区!$A$1:$B$11,2,FALSE)</f>
        <v>Shi</v>
      </c>
      <c r="H1143" s="453">
        <f>INDEX(★サイズ表記!$I$4:$Q$55, MATCH(E1143,★サイズ表記!$E$4:$E$55,0), MATCH(G1143,★サイズ表記!$I$3:$R$3,0))</f>
        <v>0</v>
      </c>
      <c r="K1143" s="471" t="str">
        <f t="shared" si="128"/>
        <v>S1011Shi</v>
      </c>
      <c r="L1143" s="471" t="str">
        <f t="shared" si="129"/>
        <v>B4シール付き</v>
      </c>
      <c r="P1143" s="533" t="s">
        <v>1324</v>
      </c>
      <c r="Q1143" s="533" t="s">
        <v>1325</v>
      </c>
      <c r="R1143" s="534" t="str">
        <f t="shared" si="130"/>
        <v>1011</v>
      </c>
      <c r="S1143" s="534" t="str">
        <f t="shared" si="131"/>
        <v>B4シール付き</v>
      </c>
      <c r="T1143" s="538" t="str">
        <f t="shared" si="132"/>
        <v>10</v>
      </c>
      <c r="U1143" s="538" t="str">
        <f t="shared" si="133"/>
        <v>11</v>
      </c>
      <c r="V1143" s="471" t="s">
        <v>1136</v>
      </c>
      <c r="Y1143" s="472">
        <f t="shared" si="134"/>
        <v>0</v>
      </c>
      <c r="Z1143" s="540">
        <f t="shared" si="135"/>
        <v>0</v>
      </c>
      <c r="AA1143" s="471">
        <v>0</v>
      </c>
    </row>
    <row r="1144" spans="1:27">
      <c r="A1144" s="451" t="str">
        <f>CONCATENATE(VLOOKUP(B1144,★営業所!$A$1:$B$5,2,FALSE),VLOOKUP(D1144,★サイズ表記!$D$4:$E$55,2,FALSE),VLOOKUP(F1144,★折込地区!$A$1:$B$11,2,FALSE))</f>
        <v>S1012Shi</v>
      </c>
      <c r="B1144" s="457" t="s">
        <v>276</v>
      </c>
      <c r="C1144" s="452" t="str">
        <f>VLOOKUP(B1144,★営業所!$A$1:$B$5,2,FALSE)</f>
        <v>S</v>
      </c>
      <c r="D1144" s="465" t="s">
        <v>961</v>
      </c>
      <c r="E1144" s="452" t="str">
        <f>VLOOKUP(D1144,★サイズ表記!$D$4:$E$55,2,FALSE)</f>
        <v>1012</v>
      </c>
      <c r="F1144" s="457" t="s">
        <v>41</v>
      </c>
      <c r="G1144" s="452" t="str">
        <f>VLOOKUP(F1144,★折込地区!$A$1:$B$11,2,FALSE)</f>
        <v>Shi</v>
      </c>
      <c r="H1144" s="453">
        <f>INDEX(★サイズ表記!$I$4:$Q$55, MATCH(E1144,★サイズ表記!$E$4:$E$55,0), MATCH(G1144,★サイズ表記!$I$3:$R$3,0))</f>
        <v>0</v>
      </c>
      <c r="K1144" s="471" t="str">
        <f t="shared" si="128"/>
        <v>S1012Shi</v>
      </c>
      <c r="L1144" s="471" t="str">
        <f t="shared" si="129"/>
        <v>B3シール付き</v>
      </c>
      <c r="P1144" s="533" t="s">
        <v>1324</v>
      </c>
      <c r="Q1144" s="533" t="s">
        <v>1325</v>
      </c>
      <c r="R1144" s="534" t="str">
        <f t="shared" si="130"/>
        <v>1012</v>
      </c>
      <c r="S1144" s="534" t="str">
        <f t="shared" si="131"/>
        <v>B3シール付き</v>
      </c>
      <c r="T1144" s="538" t="str">
        <f t="shared" si="132"/>
        <v>10</v>
      </c>
      <c r="U1144" s="538" t="str">
        <f t="shared" si="133"/>
        <v>12</v>
      </c>
      <c r="V1144" s="471" t="s">
        <v>1136</v>
      </c>
      <c r="Y1144" s="472">
        <f t="shared" si="134"/>
        <v>0</v>
      </c>
      <c r="Z1144" s="540">
        <f t="shared" si="135"/>
        <v>0</v>
      </c>
      <c r="AA1144" s="471">
        <v>0</v>
      </c>
    </row>
    <row r="1145" spans="1:27">
      <c r="A1145" s="451" t="str">
        <f>CONCATENATE(VLOOKUP(B1145,★営業所!$A$1:$B$5,2,FALSE),VLOOKUP(D1145,★サイズ表記!$D$4:$E$55,2,FALSE),VLOOKUP(F1145,★折込地区!$A$1:$B$11,2,FALSE))</f>
        <v>S1013Shi</v>
      </c>
      <c r="B1145" s="457" t="s">
        <v>276</v>
      </c>
      <c r="C1145" s="452" t="str">
        <f>VLOOKUP(B1145,★営業所!$A$1:$B$5,2,FALSE)</f>
        <v>S</v>
      </c>
      <c r="D1145" s="465" t="s">
        <v>962</v>
      </c>
      <c r="E1145" s="452" t="str">
        <f>VLOOKUP(D1145,★サイズ表記!$D$4:$E$55,2,FALSE)</f>
        <v>1013</v>
      </c>
      <c r="F1145" s="457" t="s">
        <v>41</v>
      </c>
      <c r="G1145" s="452" t="str">
        <f>VLOOKUP(F1145,★折込地区!$A$1:$B$11,2,FALSE)</f>
        <v>Shi</v>
      </c>
      <c r="H1145" s="453">
        <f>INDEX(★サイズ表記!$I$4:$Q$55, MATCH(E1145,★サイズ表記!$E$4:$E$55,0), MATCH(G1145,★サイズ表記!$I$3:$R$3,0))</f>
        <v>0</v>
      </c>
      <c r="K1145" s="471" t="str">
        <f t="shared" si="128"/>
        <v>S1013Shi</v>
      </c>
      <c r="L1145" s="471" t="str">
        <f t="shared" si="129"/>
        <v>B4スクラッチ付き</v>
      </c>
      <c r="P1145" s="533" t="s">
        <v>1324</v>
      </c>
      <c r="Q1145" s="533" t="s">
        <v>1325</v>
      </c>
      <c r="R1145" s="534" t="str">
        <f t="shared" si="130"/>
        <v>1013</v>
      </c>
      <c r="S1145" s="534" t="str">
        <f t="shared" si="131"/>
        <v>B4スクラッチ付き</v>
      </c>
      <c r="T1145" s="538" t="str">
        <f t="shared" si="132"/>
        <v>10</v>
      </c>
      <c r="U1145" s="538" t="str">
        <f t="shared" si="133"/>
        <v>13</v>
      </c>
      <c r="V1145" s="471" t="s">
        <v>1136</v>
      </c>
      <c r="Y1145" s="472">
        <f t="shared" si="134"/>
        <v>0</v>
      </c>
      <c r="Z1145" s="540">
        <f t="shared" si="135"/>
        <v>0</v>
      </c>
      <c r="AA1145" s="471">
        <v>0</v>
      </c>
    </row>
    <row r="1146" spans="1:27">
      <c r="A1146" s="451" t="str">
        <f>CONCATENATE(VLOOKUP(B1146,★営業所!$A$1:$B$5,2,FALSE),VLOOKUP(D1146,★サイズ表記!$D$4:$E$55,2,FALSE),VLOOKUP(F1146,★折込地区!$A$1:$B$11,2,FALSE))</f>
        <v>S2001Shi</v>
      </c>
      <c r="B1146" s="457" t="s">
        <v>276</v>
      </c>
      <c r="C1146" s="452" t="str">
        <f>VLOOKUP(B1146,★営業所!$A$1:$B$5,2,FALSE)</f>
        <v>S</v>
      </c>
      <c r="D1146" s="465" t="s">
        <v>963</v>
      </c>
      <c r="E1146" s="452" t="str">
        <f>VLOOKUP(D1146,★サイズ表記!$D$4:$E$55,2,FALSE)</f>
        <v>2001</v>
      </c>
      <c r="F1146" s="457" t="s">
        <v>41</v>
      </c>
      <c r="G1146" s="452" t="str">
        <f>VLOOKUP(F1146,★折込地区!$A$1:$B$11,2,FALSE)</f>
        <v>Shi</v>
      </c>
      <c r="H1146" s="453">
        <f>INDEX(★サイズ表記!$I$4:$Q$55, MATCH(E1146,★サイズ表記!$E$4:$E$55,0), MATCH(G1146,★サイズ表記!$I$3:$R$3,0))</f>
        <v>0</v>
      </c>
      <c r="K1146" s="471" t="str">
        <f t="shared" si="128"/>
        <v>S2001Shi</v>
      </c>
      <c r="L1146" s="471" t="str">
        <f t="shared" si="129"/>
        <v>連合B4</v>
      </c>
      <c r="P1146" s="533" t="s">
        <v>1324</v>
      </c>
      <c r="Q1146" s="533" t="s">
        <v>1325</v>
      </c>
      <c r="R1146" s="534" t="str">
        <f t="shared" si="130"/>
        <v>2001</v>
      </c>
      <c r="S1146" s="534" t="str">
        <f t="shared" si="131"/>
        <v>連合B4</v>
      </c>
      <c r="T1146" s="538" t="str">
        <f t="shared" si="132"/>
        <v>20</v>
      </c>
      <c r="U1146" s="538" t="str">
        <f t="shared" si="133"/>
        <v>01</v>
      </c>
      <c r="V1146" s="471" t="s">
        <v>1136</v>
      </c>
      <c r="Y1146" s="472">
        <f t="shared" si="134"/>
        <v>0</v>
      </c>
      <c r="Z1146" s="540">
        <f t="shared" si="135"/>
        <v>0</v>
      </c>
      <c r="AA1146" s="471">
        <v>0</v>
      </c>
    </row>
    <row r="1147" spans="1:27">
      <c r="A1147" s="451" t="str">
        <f>CONCATENATE(VLOOKUP(B1147,★営業所!$A$1:$B$5,2,FALSE),VLOOKUP(D1147,★サイズ表記!$D$4:$E$55,2,FALSE),VLOOKUP(F1147,★折込地区!$A$1:$B$11,2,FALSE))</f>
        <v>S2002Shi</v>
      </c>
      <c r="B1147" s="457" t="s">
        <v>276</v>
      </c>
      <c r="C1147" s="452" t="str">
        <f>VLOOKUP(B1147,★営業所!$A$1:$B$5,2,FALSE)</f>
        <v>S</v>
      </c>
      <c r="D1147" s="465" t="s">
        <v>964</v>
      </c>
      <c r="E1147" s="452" t="str">
        <f>VLOOKUP(D1147,★サイズ表記!$D$4:$E$55,2,FALSE)</f>
        <v>2002</v>
      </c>
      <c r="F1147" s="457" t="s">
        <v>41</v>
      </c>
      <c r="G1147" s="452" t="str">
        <f>VLOOKUP(F1147,★折込地区!$A$1:$B$11,2,FALSE)</f>
        <v>Shi</v>
      </c>
      <c r="H1147" s="453">
        <f>INDEX(★サイズ表記!$I$4:$Q$55, MATCH(E1147,★サイズ表記!$E$4:$E$55,0), MATCH(G1147,★サイズ表記!$I$3:$R$3,0))</f>
        <v>0</v>
      </c>
      <c r="K1147" s="471" t="str">
        <f t="shared" si="128"/>
        <v>S2002Shi</v>
      </c>
      <c r="L1147" s="471" t="str">
        <f t="shared" si="129"/>
        <v>連合B3</v>
      </c>
      <c r="P1147" s="533" t="s">
        <v>1324</v>
      </c>
      <c r="Q1147" s="533" t="s">
        <v>1325</v>
      </c>
      <c r="R1147" s="534" t="str">
        <f t="shared" si="130"/>
        <v>2002</v>
      </c>
      <c r="S1147" s="534" t="str">
        <f t="shared" si="131"/>
        <v>連合B3</v>
      </c>
      <c r="T1147" s="538" t="str">
        <f t="shared" si="132"/>
        <v>20</v>
      </c>
      <c r="U1147" s="538" t="str">
        <f t="shared" si="133"/>
        <v>02</v>
      </c>
      <c r="V1147" s="471" t="s">
        <v>1136</v>
      </c>
      <c r="Y1147" s="472">
        <f t="shared" si="134"/>
        <v>0</v>
      </c>
      <c r="Z1147" s="540">
        <f t="shared" si="135"/>
        <v>0</v>
      </c>
      <c r="AA1147" s="471">
        <v>0</v>
      </c>
    </row>
    <row r="1148" spans="1:27">
      <c r="A1148" s="451" t="str">
        <f>CONCATENATE(VLOOKUP(B1148,★営業所!$A$1:$B$5,2,FALSE),VLOOKUP(D1148,★サイズ表記!$D$4:$E$55,2,FALSE),VLOOKUP(F1148,★折込地区!$A$1:$B$11,2,FALSE))</f>
        <v>S2003Shi</v>
      </c>
      <c r="B1148" s="457" t="s">
        <v>276</v>
      </c>
      <c r="C1148" s="452" t="str">
        <f>VLOOKUP(B1148,★営業所!$A$1:$B$5,2,FALSE)</f>
        <v>S</v>
      </c>
      <c r="D1148" s="465" t="s">
        <v>965</v>
      </c>
      <c r="E1148" s="452" t="str">
        <f>VLOOKUP(D1148,★サイズ表記!$D$4:$E$55,2,FALSE)</f>
        <v>2003</v>
      </c>
      <c r="F1148" s="457" t="s">
        <v>41</v>
      </c>
      <c r="G1148" s="452" t="str">
        <f>VLOOKUP(F1148,★折込地区!$A$1:$B$11,2,FALSE)</f>
        <v>Shi</v>
      </c>
      <c r="H1148" s="453">
        <f>INDEX(★サイズ表記!$I$4:$Q$55, MATCH(E1148,★サイズ表記!$E$4:$E$55,0), MATCH(G1148,★サイズ表記!$I$3:$R$3,0))</f>
        <v>0</v>
      </c>
      <c r="K1148" s="471" t="str">
        <f t="shared" si="128"/>
        <v>S2003Shi</v>
      </c>
      <c r="L1148" s="471" t="str">
        <f t="shared" si="129"/>
        <v>連合B2</v>
      </c>
      <c r="P1148" s="533" t="s">
        <v>1324</v>
      </c>
      <c r="Q1148" s="533" t="s">
        <v>1325</v>
      </c>
      <c r="R1148" s="534" t="str">
        <f t="shared" si="130"/>
        <v>2003</v>
      </c>
      <c r="S1148" s="534" t="str">
        <f t="shared" si="131"/>
        <v>連合B2</v>
      </c>
      <c r="T1148" s="538" t="str">
        <f t="shared" si="132"/>
        <v>20</v>
      </c>
      <c r="U1148" s="538" t="str">
        <f t="shared" si="133"/>
        <v>03</v>
      </c>
      <c r="V1148" s="471" t="s">
        <v>1136</v>
      </c>
      <c r="Y1148" s="472">
        <f t="shared" si="134"/>
        <v>0</v>
      </c>
      <c r="Z1148" s="540">
        <f t="shared" si="135"/>
        <v>0</v>
      </c>
      <c r="AA1148" s="471">
        <v>0</v>
      </c>
    </row>
    <row r="1149" spans="1:27">
      <c r="A1149" s="451" t="str">
        <f>CONCATENATE(VLOOKUP(B1149,★営業所!$A$1:$B$5,2,FALSE),VLOOKUP(D1149,★サイズ表記!$D$4:$E$55,2,FALSE),VLOOKUP(F1149,★折込地区!$A$1:$B$11,2,FALSE))</f>
        <v>S2004Shi</v>
      </c>
      <c r="B1149" s="457" t="s">
        <v>276</v>
      </c>
      <c r="C1149" s="452" t="str">
        <f>VLOOKUP(B1149,★営業所!$A$1:$B$5,2,FALSE)</f>
        <v>S</v>
      </c>
      <c r="D1149" s="465" t="s">
        <v>966</v>
      </c>
      <c r="E1149" s="452" t="str">
        <f>VLOOKUP(D1149,★サイズ表記!$D$4:$E$55,2,FALSE)</f>
        <v>2004</v>
      </c>
      <c r="F1149" s="457" t="s">
        <v>41</v>
      </c>
      <c r="G1149" s="452" t="str">
        <f>VLOOKUP(F1149,★折込地区!$A$1:$B$11,2,FALSE)</f>
        <v>Shi</v>
      </c>
      <c r="H1149" s="453">
        <f>INDEX(★サイズ表記!$I$4:$Q$55, MATCH(E1149,★サイズ表記!$E$4:$E$55,0), MATCH(G1149,★サイズ表記!$I$3:$R$3,0))</f>
        <v>0</v>
      </c>
      <c r="K1149" s="471" t="str">
        <f t="shared" si="128"/>
        <v>S2004Shi</v>
      </c>
      <c r="L1149" s="471" t="str">
        <f t="shared" si="129"/>
        <v>連合3つ折り</v>
      </c>
      <c r="P1149" s="533" t="s">
        <v>1324</v>
      </c>
      <c r="Q1149" s="533" t="s">
        <v>1325</v>
      </c>
      <c r="R1149" s="534" t="str">
        <f t="shared" si="130"/>
        <v>2004</v>
      </c>
      <c r="S1149" s="534" t="str">
        <f t="shared" si="131"/>
        <v>連合3つ折り</v>
      </c>
      <c r="T1149" s="538" t="str">
        <f t="shared" si="132"/>
        <v>20</v>
      </c>
      <c r="U1149" s="538" t="str">
        <f t="shared" si="133"/>
        <v>04</v>
      </c>
      <c r="V1149" s="471" t="s">
        <v>1136</v>
      </c>
      <c r="Y1149" s="472">
        <f t="shared" si="134"/>
        <v>0</v>
      </c>
      <c r="Z1149" s="540">
        <f t="shared" si="135"/>
        <v>0</v>
      </c>
      <c r="AA1149" s="471">
        <v>0</v>
      </c>
    </row>
    <row r="1150" spans="1:27">
      <c r="A1150" s="451" t="str">
        <f>CONCATENATE(VLOOKUP(B1150,★営業所!$A$1:$B$5,2,FALSE),VLOOKUP(D1150,★サイズ表記!$D$4:$E$55,2,FALSE),VLOOKUP(F1150,★折込地区!$A$1:$B$11,2,FALSE))</f>
        <v>S2005Shi</v>
      </c>
      <c r="B1150" s="457" t="s">
        <v>276</v>
      </c>
      <c r="C1150" s="452" t="str">
        <f>VLOOKUP(B1150,★営業所!$A$1:$B$5,2,FALSE)</f>
        <v>S</v>
      </c>
      <c r="D1150" s="465" t="s">
        <v>967</v>
      </c>
      <c r="E1150" s="452" t="str">
        <f>VLOOKUP(D1150,★サイズ表記!$D$4:$E$55,2,FALSE)</f>
        <v>2005</v>
      </c>
      <c r="F1150" s="457" t="s">
        <v>41</v>
      </c>
      <c r="G1150" s="452" t="str">
        <f>VLOOKUP(F1150,★折込地区!$A$1:$B$11,2,FALSE)</f>
        <v>Shi</v>
      </c>
      <c r="H1150" s="453">
        <f>INDEX(★サイズ表記!$I$4:$Q$55, MATCH(E1150,★サイズ表記!$E$4:$E$55,0), MATCH(G1150,★サイズ表記!$I$3:$R$3,0))</f>
        <v>0</v>
      </c>
      <c r="K1150" s="471" t="str">
        <f t="shared" si="128"/>
        <v>S2005Shi</v>
      </c>
      <c r="L1150" s="471" t="str">
        <f t="shared" si="129"/>
        <v>連合B4厚紙</v>
      </c>
      <c r="P1150" s="533" t="s">
        <v>1324</v>
      </c>
      <c r="Q1150" s="533" t="s">
        <v>1325</v>
      </c>
      <c r="R1150" s="534" t="str">
        <f t="shared" si="130"/>
        <v>2005</v>
      </c>
      <c r="S1150" s="534" t="str">
        <f t="shared" si="131"/>
        <v>連合B4厚紙</v>
      </c>
      <c r="T1150" s="538" t="str">
        <f t="shared" si="132"/>
        <v>20</v>
      </c>
      <c r="U1150" s="538" t="str">
        <f t="shared" si="133"/>
        <v>05</v>
      </c>
      <c r="V1150" s="471" t="s">
        <v>1136</v>
      </c>
      <c r="Y1150" s="472">
        <f t="shared" si="134"/>
        <v>0</v>
      </c>
      <c r="Z1150" s="540">
        <f t="shared" si="135"/>
        <v>0</v>
      </c>
      <c r="AA1150" s="471">
        <v>0</v>
      </c>
    </row>
    <row r="1151" spans="1:27">
      <c r="A1151" s="451" t="str">
        <f>CONCATENATE(VLOOKUP(B1151,★営業所!$A$1:$B$5,2,FALSE),VLOOKUP(D1151,★サイズ表記!$D$4:$E$55,2,FALSE),VLOOKUP(F1151,★折込地区!$A$1:$B$11,2,FALSE))</f>
        <v>S2006Shi</v>
      </c>
      <c r="B1151" s="457" t="s">
        <v>276</v>
      </c>
      <c r="C1151" s="452" t="str">
        <f>VLOOKUP(B1151,★営業所!$A$1:$B$5,2,FALSE)</f>
        <v>S</v>
      </c>
      <c r="D1151" s="465" t="s">
        <v>968</v>
      </c>
      <c r="E1151" s="452" t="str">
        <f>VLOOKUP(D1151,★サイズ表記!$D$4:$E$55,2,FALSE)</f>
        <v>2006</v>
      </c>
      <c r="F1151" s="457" t="s">
        <v>41</v>
      </c>
      <c r="G1151" s="452" t="str">
        <f>VLOOKUP(F1151,★折込地区!$A$1:$B$11,2,FALSE)</f>
        <v>Shi</v>
      </c>
      <c r="H1151" s="453">
        <f>INDEX(★サイズ表記!$I$4:$Q$55, MATCH(E1151,★サイズ表記!$E$4:$E$55,0), MATCH(G1151,★サイズ表記!$I$3:$R$3,0))</f>
        <v>0</v>
      </c>
      <c r="K1151" s="471" t="str">
        <f t="shared" si="128"/>
        <v>S2006Shi</v>
      </c>
      <c r="L1151" s="471" t="str">
        <f t="shared" si="129"/>
        <v>連合2つ折り極小</v>
      </c>
      <c r="P1151" s="533" t="s">
        <v>1324</v>
      </c>
      <c r="Q1151" s="533" t="s">
        <v>1325</v>
      </c>
      <c r="R1151" s="534" t="str">
        <f t="shared" si="130"/>
        <v>2006</v>
      </c>
      <c r="S1151" s="534" t="str">
        <f t="shared" si="131"/>
        <v>連合2つ折り極小</v>
      </c>
      <c r="T1151" s="538" t="str">
        <f t="shared" si="132"/>
        <v>20</v>
      </c>
      <c r="U1151" s="538" t="str">
        <f t="shared" si="133"/>
        <v>06</v>
      </c>
      <c r="V1151" s="471" t="s">
        <v>1136</v>
      </c>
      <c r="Y1151" s="472">
        <f t="shared" si="134"/>
        <v>0</v>
      </c>
      <c r="Z1151" s="540">
        <f t="shared" si="135"/>
        <v>0</v>
      </c>
      <c r="AA1151" s="471">
        <v>0</v>
      </c>
    </row>
    <row r="1152" spans="1:27">
      <c r="A1152" s="451" t="str">
        <f>CONCATENATE(VLOOKUP(B1152,★営業所!$A$1:$B$5,2,FALSE),VLOOKUP(D1152,★サイズ表記!$D$4:$E$55,2,FALSE),VLOOKUP(F1152,★折込地区!$A$1:$B$11,2,FALSE))</f>
        <v>S2007Shi</v>
      </c>
      <c r="B1152" s="457" t="s">
        <v>276</v>
      </c>
      <c r="C1152" s="452" t="str">
        <f>VLOOKUP(B1152,★営業所!$A$1:$B$5,2,FALSE)</f>
        <v>S</v>
      </c>
      <c r="D1152" s="465" t="s">
        <v>1365</v>
      </c>
      <c r="E1152" s="452" t="str">
        <f>VLOOKUP(D1152,★サイズ表記!$D$4:$E$55,2,FALSE)</f>
        <v>2007</v>
      </c>
      <c r="F1152" s="457" t="s">
        <v>41</v>
      </c>
      <c r="G1152" s="452" t="str">
        <f>VLOOKUP(F1152,★折込地区!$A$1:$B$11,2,FALSE)</f>
        <v>Shi</v>
      </c>
      <c r="H1152" s="453">
        <f>INDEX(★サイズ表記!$I$4:$Q$55, MATCH(E1152,★サイズ表記!$E$4:$E$55,0), MATCH(G1152,★サイズ表記!$I$3:$R$3,0))</f>
        <v>0</v>
      </c>
      <c r="K1152" s="471" t="str">
        <f t="shared" si="128"/>
        <v>S2007Shi</v>
      </c>
      <c r="L1152" s="471" t="str">
        <f t="shared" si="129"/>
        <v>連合タブ6P</v>
      </c>
      <c r="P1152" s="533" t="s">
        <v>1324</v>
      </c>
      <c r="Q1152" s="533" t="s">
        <v>1325</v>
      </c>
      <c r="R1152" s="534" t="str">
        <f t="shared" si="130"/>
        <v>2007</v>
      </c>
      <c r="S1152" s="534" t="str">
        <f t="shared" si="131"/>
        <v>連合タブ6P</v>
      </c>
      <c r="T1152" s="538" t="str">
        <f t="shared" si="132"/>
        <v>20</v>
      </c>
      <c r="U1152" s="538" t="str">
        <f t="shared" si="133"/>
        <v>07</v>
      </c>
      <c r="V1152" s="471" t="s">
        <v>1136</v>
      </c>
      <c r="Y1152" s="472">
        <f t="shared" si="134"/>
        <v>0</v>
      </c>
      <c r="Z1152" s="540">
        <f t="shared" si="135"/>
        <v>0</v>
      </c>
      <c r="AA1152" s="471">
        <v>0</v>
      </c>
    </row>
    <row r="1153" spans="1:27">
      <c r="A1153" s="451" t="str">
        <f>CONCATENATE(VLOOKUP(B1153,★営業所!$A$1:$B$5,2,FALSE),VLOOKUP(D1153,★サイズ表記!$D$4:$E$55,2,FALSE),VLOOKUP(F1153,★折込地区!$A$1:$B$11,2,FALSE))</f>
        <v>S2008Shi</v>
      </c>
      <c r="B1153" s="457" t="s">
        <v>276</v>
      </c>
      <c r="C1153" s="452" t="str">
        <f>VLOOKUP(B1153,★営業所!$A$1:$B$5,2,FALSE)</f>
        <v>S</v>
      </c>
      <c r="D1153" s="465" t="s">
        <v>1366</v>
      </c>
      <c r="E1153" s="452" t="str">
        <f>VLOOKUP(D1153,★サイズ表記!$D$4:$E$55,2,FALSE)</f>
        <v>2008</v>
      </c>
      <c r="F1153" s="457" t="s">
        <v>41</v>
      </c>
      <c r="G1153" s="452" t="str">
        <f>VLOOKUP(F1153,★折込地区!$A$1:$B$11,2,FALSE)</f>
        <v>Shi</v>
      </c>
      <c r="H1153" s="453">
        <f>INDEX(★サイズ表記!$I$4:$Q$55, MATCH(E1153,★サイズ表記!$E$4:$E$55,0), MATCH(G1153,★サイズ表記!$I$3:$R$3,0))</f>
        <v>0</v>
      </c>
      <c r="K1153" s="471" t="str">
        <f t="shared" si="128"/>
        <v>S2008Shi</v>
      </c>
      <c r="L1153" s="471" t="str">
        <f t="shared" si="129"/>
        <v>連合タブ8P</v>
      </c>
      <c r="P1153" s="533" t="s">
        <v>1324</v>
      </c>
      <c r="Q1153" s="533" t="s">
        <v>1325</v>
      </c>
      <c r="R1153" s="534" t="str">
        <f t="shared" si="130"/>
        <v>2008</v>
      </c>
      <c r="S1153" s="534" t="str">
        <f t="shared" si="131"/>
        <v>連合タブ8P</v>
      </c>
      <c r="T1153" s="538" t="str">
        <f t="shared" si="132"/>
        <v>20</v>
      </c>
      <c r="U1153" s="538" t="str">
        <f t="shared" si="133"/>
        <v>08</v>
      </c>
      <c r="V1153" s="471" t="s">
        <v>1136</v>
      </c>
      <c r="Y1153" s="472">
        <f t="shared" si="134"/>
        <v>0</v>
      </c>
      <c r="Z1153" s="540">
        <f t="shared" si="135"/>
        <v>0</v>
      </c>
      <c r="AA1153" s="471">
        <v>0</v>
      </c>
    </row>
    <row r="1154" spans="1:27">
      <c r="A1154" s="451" t="str">
        <f>CONCATENATE(VLOOKUP(B1154,★営業所!$A$1:$B$5,2,FALSE),VLOOKUP(D1154,★サイズ表記!$D$4:$E$55,2,FALSE),VLOOKUP(F1154,★折込地区!$A$1:$B$11,2,FALSE))</f>
        <v>S2009Shi</v>
      </c>
      <c r="B1154" s="457" t="s">
        <v>276</v>
      </c>
      <c r="C1154" s="452" t="str">
        <f>VLOOKUP(B1154,★営業所!$A$1:$B$5,2,FALSE)</f>
        <v>S</v>
      </c>
      <c r="D1154" s="465" t="s">
        <v>1364</v>
      </c>
      <c r="E1154" s="452" t="str">
        <f>VLOOKUP(D1154,★サイズ表記!$D$4:$E$55,2,FALSE)</f>
        <v>2009</v>
      </c>
      <c r="F1154" s="457" t="s">
        <v>41</v>
      </c>
      <c r="G1154" s="452" t="str">
        <f>VLOOKUP(F1154,★折込地区!$A$1:$B$11,2,FALSE)</f>
        <v>Shi</v>
      </c>
      <c r="H1154" s="453">
        <f>INDEX(★サイズ表記!$I$4:$Q$55, MATCH(E1154,★サイズ表記!$E$4:$E$55,0), MATCH(G1154,★サイズ表記!$I$3:$R$3,0))</f>
        <v>0</v>
      </c>
      <c r="K1154" s="471" t="str">
        <f t="shared" si="128"/>
        <v>S2009Shi</v>
      </c>
      <c r="L1154" s="471" t="str">
        <f t="shared" si="129"/>
        <v>連合タブ12P</v>
      </c>
      <c r="P1154" s="533" t="s">
        <v>1324</v>
      </c>
      <c r="Q1154" s="533" t="s">
        <v>1325</v>
      </c>
      <c r="R1154" s="534" t="str">
        <f t="shared" si="130"/>
        <v>2009</v>
      </c>
      <c r="S1154" s="534" t="str">
        <f t="shared" si="131"/>
        <v>連合タブ12P</v>
      </c>
      <c r="T1154" s="538" t="str">
        <f t="shared" si="132"/>
        <v>20</v>
      </c>
      <c r="U1154" s="538" t="str">
        <f t="shared" si="133"/>
        <v>09</v>
      </c>
      <c r="V1154" s="471" t="s">
        <v>1136</v>
      </c>
      <c r="Y1154" s="472">
        <f t="shared" si="134"/>
        <v>0</v>
      </c>
      <c r="Z1154" s="540">
        <f t="shared" si="135"/>
        <v>0</v>
      </c>
      <c r="AA1154" s="471">
        <v>0</v>
      </c>
    </row>
    <row r="1155" spans="1:27">
      <c r="A1155" s="451" t="str">
        <f>CONCATENATE(VLOOKUP(B1155,★営業所!$A$1:$B$5,2,FALSE),VLOOKUP(D1155,★サイズ表記!$D$4:$E$55,2,FALSE),VLOOKUP(F1155,★折込地区!$A$1:$B$11,2,FALSE))</f>
        <v>S3001Shi</v>
      </c>
      <c r="B1155" s="457" t="s">
        <v>276</v>
      </c>
      <c r="C1155" s="452" t="str">
        <f>VLOOKUP(B1155,★営業所!$A$1:$B$5,2,FALSE)</f>
        <v>S</v>
      </c>
      <c r="D1155" s="465" t="s">
        <v>969</v>
      </c>
      <c r="E1155" s="452" t="str">
        <f>VLOOKUP(D1155,★サイズ表記!$D$4:$E$55,2,FALSE)</f>
        <v>3001</v>
      </c>
      <c r="F1155" s="457" t="s">
        <v>41</v>
      </c>
      <c r="G1155" s="452" t="str">
        <f>VLOOKUP(F1155,★折込地区!$A$1:$B$11,2,FALSE)</f>
        <v>Shi</v>
      </c>
      <c r="H1155" s="453">
        <f>INDEX(★サイズ表記!$I$4:$Q$55, MATCH(E1155,★サイズ表記!$E$4:$E$55,0), MATCH(G1155,★サイズ表記!$I$3:$R$3,0))</f>
        <v>0</v>
      </c>
      <c r="K1155" s="471" t="str">
        <f t="shared" si="128"/>
        <v>S3001Shi</v>
      </c>
      <c r="L1155" s="471" t="str">
        <f t="shared" si="129"/>
        <v>政治B4</v>
      </c>
      <c r="P1155" s="533" t="s">
        <v>1324</v>
      </c>
      <c r="Q1155" s="533" t="s">
        <v>1325</v>
      </c>
      <c r="R1155" s="534" t="str">
        <f t="shared" si="130"/>
        <v>3001</v>
      </c>
      <c r="S1155" s="534" t="str">
        <f t="shared" si="131"/>
        <v>政治B4</v>
      </c>
      <c r="T1155" s="538" t="str">
        <f t="shared" si="132"/>
        <v>30</v>
      </c>
      <c r="U1155" s="538" t="str">
        <f t="shared" si="133"/>
        <v>01</v>
      </c>
      <c r="V1155" s="471" t="s">
        <v>1136</v>
      </c>
      <c r="Y1155" s="472">
        <f t="shared" si="134"/>
        <v>0</v>
      </c>
      <c r="Z1155" s="540">
        <f t="shared" si="135"/>
        <v>0</v>
      </c>
      <c r="AA1155" s="471">
        <v>0</v>
      </c>
    </row>
    <row r="1156" spans="1:27">
      <c r="A1156" s="451" t="str">
        <f>CONCATENATE(VLOOKUP(B1156,★営業所!$A$1:$B$5,2,FALSE),VLOOKUP(D1156,★サイズ表記!$D$4:$E$55,2,FALSE),VLOOKUP(F1156,★折込地区!$A$1:$B$11,2,FALSE))</f>
        <v>S3002Shi</v>
      </c>
      <c r="B1156" s="457" t="s">
        <v>276</v>
      </c>
      <c r="C1156" s="452" t="str">
        <f>VLOOKUP(B1156,★営業所!$A$1:$B$5,2,FALSE)</f>
        <v>S</v>
      </c>
      <c r="D1156" s="465" t="s">
        <v>970</v>
      </c>
      <c r="E1156" s="452" t="str">
        <f>VLOOKUP(D1156,★サイズ表記!$D$4:$E$55,2,FALSE)</f>
        <v>3002</v>
      </c>
      <c r="F1156" s="457" t="s">
        <v>41</v>
      </c>
      <c r="G1156" s="452" t="str">
        <f>VLOOKUP(F1156,★折込地区!$A$1:$B$11,2,FALSE)</f>
        <v>Shi</v>
      </c>
      <c r="H1156" s="453">
        <f>INDEX(★サイズ表記!$I$4:$Q$55, MATCH(E1156,★サイズ表記!$E$4:$E$55,0), MATCH(G1156,★サイズ表記!$I$3:$R$3,0))</f>
        <v>0</v>
      </c>
      <c r="K1156" s="471" t="str">
        <f t="shared" si="128"/>
        <v>S3002Shi</v>
      </c>
      <c r="L1156" s="471" t="str">
        <f t="shared" si="129"/>
        <v>政治B3</v>
      </c>
      <c r="P1156" s="533" t="s">
        <v>1324</v>
      </c>
      <c r="Q1156" s="533" t="s">
        <v>1325</v>
      </c>
      <c r="R1156" s="534" t="str">
        <f t="shared" si="130"/>
        <v>3002</v>
      </c>
      <c r="S1156" s="534" t="str">
        <f t="shared" si="131"/>
        <v>政治B3</v>
      </c>
      <c r="T1156" s="538" t="str">
        <f t="shared" si="132"/>
        <v>30</v>
      </c>
      <c r="U1156" s="538" t="str">
        <f t="shared" si="133"/>
        <v>02</v>
      </c>
      <c r="V1156" s="471" t="s">
        <v>1136</v>
      </c>
      <c r="Y1156" s="472">
        <f t="shared" si="134"/>
        <v>0</v>
      </c>
      <c r="Z1156" s="540">
        <f t="shared" si="135"/>
        <v>0</v>
      </c>
      <c r="AA1156" s="471">
        <v>0</v>
      </c>
    </row>
    <row r="1157" spans="1:27">
      <c r="A1157" s="451" t="str">
        <f>CONCATENATE(VLOOKUP(B1157,★営業所!$A$1:$B$5,2,FALSE),VLOOKUP(D1157,★サイズ表記!$D$4:$E$55,2,FALSE),VLOOKUP(F1157,★折込地区!$A$1:$B$11,2,FALSE))</f>
        <v>S3003Shi</v>
      </c>
      <c r="B1157" s="457" t="s">
        <v>276</v>
      </c>
      <c r="C1157" s="452" t="str">
        <f>VLOOKUP(B1157,★営業所!$A$1:$B$5,2,FALSE)</f>
        <v>S</v>
      </c>
      <c r="D1157" s="465" t="s">
        <v>971</v>
      </c>
      <c r="E1157" s="452" t="str">
        <f>VLOOKUP(D1157,★サイズ表記!$D$4:$E$55,2,FALSE)</f>
        <v>3003</v>
      </c>
      <c r="F1157" s="457" t="s">
        <v>41</v>
      </c>
      <c r="G1157" s="452" t="str">
        <f>VLOOKUP(F1157,★折込地区!$A$1:$B$11,2,FALSE)</f>
        <v>Shi</v>
      </c>
      <c r="H1157" s="453">
        <f>INDEX(★サイズ表記!$I$4:$Q$55, MATCH(E1157,★サイズ表記!$E$4:$E$55,0), MATCH(G1157,★サイズ表記!$I$3:$R$3,0))</f>
        <v>0</v>
      </c>
      <c r="K1157" s="471" t="str">
        <f t="shared" si="128"/>
        <v>S3003Shi</v>
      </c>
      <c r="L1157" s="471" t="str">
        <f t="shared" si="129"/>
        <v>政治B2</v>
      </c>
      <c r="P1157" s="533" t="s">
        <v>1324</v>
      </c>
      <c r="Q1157" s="533" t="s">
        <v>1325</v>
      </c>
      <c r="R1157" s="534" t="str">
        <f t="shared" si="130"/>
        <v>3003</v>
      </c>
      <c r="S1157" s="534" t="str">
        <f t="shared" si="131"/>
        <v>政治B2</v>
      </c>
      <c r="T1157" s="538" t="str">
        <f t="shared" si="132"/>
        <v>30</v>
      </c>
      <c r="U1157" s="538" t="str">
        <f t="shared" si="133"/>
        <v>03</v>
      </c>
      <c r="V1157" s="471" t="s">
        <v>1136</v>
      </c>
      <c r="Y1157" s="472">
        <f t="shared" si="134"/>
        <v>0</v>
      </c>
      <c r="Z1157" s="540">
        <f t="shared" si="135"/>
        <v>0</v>
      </c>
      <c r="AA1157" s="471">
        <v>0</v>
      </c>
    </row>
    <row r="1158" spans="1:27">
      <c r="A1158" s="451" t="str">
        <f>CONCATENATE(VLOOKUP(B1158,★営業所!$A$1:$B$5,2,FALSE),VLOOKUP(D1158,★サイズ表記!$D$4:$E$55,2,FALSE),VLOOKUP(F1158,★折込地区!$A$1:$B$11,2,FALSE))</f>
        <v>S3004Shi</v>
      </c>
      <c r="B1158" s="457" t="s">
        <v>276</v>
      </c>
      <c r="C1158" s="452" t="str">
        <f>VLOOKUP(B1158,★営業所!$A$1:$B$5,2,FALSE)</f>
        <v>S</v>
      </c>
      <c r="D1158" s="465" t="s">
        <v>972</v>
      </c>
      <c r="E1158" s="452" t="str">
        <f>VLOOKUP(D1158,★サイズ表記!$D$4:$E$55,2,FALSE)</f>
        <v>3004</v>
      </c>
      <c r="F1158" s="457" t="s">
        <v>41</v>
      </c>
      <c r="G1158" s="452" t="str">
        <f>VLOOKUP(F1158,★折込地区!$A$1:$B$11,2,FALSE)</f>
        <v>Shi</v>
      </c>
      <c r="H1158" s="453">
        <f>INDEX(★サイズ表記!$I$4:$Q$55, MATCH(E1158,★サイズ表記!$E$4:$E$55,0), MATCH(G1158,★サイズ表記!$I$3:$R$3,0))</f>
        <v>0</v>
      </c>
      <c r="K1158" s="471" t="str">
        <f t="shared" si="128"/>
        <v>S3004Shi</v>
      </c>
      <c r="L1158" s="471" t="str">
        <f t="shared" si="129"/>
        <v>政治3つ折り</v>
      </c>
      <c r="P1158" s="533" t="s">
        <v>1324</v>
      </c>
      <c r="Q1158" s="533" t="s">
        <v>1325</v>
      </c>
      <c r="R1158" s="534" t="str">
        <f t="shared" si="130"/>
        <v>3004</v>
      </c>
      <c r="S1158" s="534" t="str">
        <f t="shared" si="131"/>
        <v>政治3つ折り</v>
      </c>
      <c r="T1158" s="538" t="str">
        <f t="shared" si="132"/>
        <v>30</v>
      </c>
      <c r="U1158" s="538" t="str">
        <f t="shared" si="133"/>
        <v>04</v>
      </c>
      <c r="V1158" s="471" t="s">
        <v>1136</v>
      </c>
      <c r="Y1158" s="472">
        <f t="shared" si="134"/>
        <v>0</v>
      </c>
      <c r="Z1158" s="540">
        <f t="shared" si="135"/>
        <v>0</v>
      </c>
      <c r="AA1158" s="471">
        <v>0</v>
      </c>
    </row>
    <row r="1159" spans="1:27">
      <c r="A1159" s="451" t="str">
        <f>CONCATENATE(VLOOKUP(B1159,★営業所!$A$1:$B$5,2,FALSE),VLOOKUP(D1159,★サイズ表記!$D$4:$E$55,2,FALSE),VLOOKUP(F1159,★折込地区!$A$1:$B$11,2,FALSE))</f>
        <v>S3005Shi</v>
      </c>
      <c r="B1159" s="457" t="s">
        <v>276</v>
      </c>
      <c r="C1159" s="452" t="str">
        <f>VLOOKUP(B1159,★営業所!$A$1:$B$5,2,FALSE)</f>
        <v>S</v>
      </c>
      <c r="D1159" s="465" t="s">
        <v>973</v>
      </c>
      <c r="E1159" s="452" t="str">
        <f>VLOOKUP(D1159,★サイズ表記!$D$4:$E$55,2,FALSE)</f>
        <v>3005</v>
      </c>
      <c r="F1159" s="457" t="s">
        <v>41</v>
      </c>
      <c r="G1159" s="452" t="str">
        <f>VLOOKUP(F1159,★折込地区!$A$1:$B$11,2,FALSE)</f>
        <v>Shi</v>
      </c>
      <c r="H1159" s="453">
        <f>INDEX(★サイズ表記!$I$4:$Q$55, MATCH(E1159,★サイズ表記!$E$4:$E$55,0), MATCH(G1159,★サイズ表記!$I$3:$R$3,0))</f>
        <v>0</v>
      </c>
      <c r="K1159" s="471" t="str">
        <f t="shared" si="128"/>
        <v>S3005Shi</v>
      </c>
      <c r="L1159" s="471" t="str">
        <f t="shared" si="129"/>
        <v>政治2つ折り極小</v>
      </c>
      <c r="P1159" s="533" t="s">
        <v>1324</v>
      </c>
      <c r="Q1159" s="533" t="s">
        <v>1325</v>
      </c>
      <c r="R1159" s="534" t="str">
        <f t="shared" si="130"/>
        <v>3005</v>
      </c>
      <c r="S1159" s="534" t="str">
        <f t="shared" si="131"/>
        <v>政治2つ折り極小</v>
      </c>
      <c r="T1159" s="538" t="str">
        <f t="shared" si="132"/>
        <v>30</v>
      </c>
      <c r="U1159" s="538" t="str">
        <f t="shared" si="133"/>
        <v>05</v>
      </c>
      <c r="V1159" s="471" t="s">
        <v>1136</v>
      </c>
      <c r="Y1159" s="472">
        <f t="shared" si="134"/>
        <v>0</v>
      </c>
      <c r="Z1159" s="540">
        <f t="shared" si="135"/>
        <v>0</v>
      </c>
      <c r="AA1159" s="471">
        <v>0</v>
      </c>
    </row>
    <row r="1160" spans="1:27">
      <c r="A1160" s="451" t="str">
        <f>CONCATENATE(VLOOKUP(B1160,★営業所!$A$1:$B$5,2,FALSE),VLOOKUP(D1160,★サイズ表記!$D$4:$E$55,2,FALSE),VLOOKUP(F1160,★折込地区!$A$1:$B$11,2,FALSE))</f>
        <v>S3006Shi</v>
      </c>
      <c r="B1160" s="457" t="s">
        <v>276</v>
      </c>
      <c r="C1160" s="452" t="str">
        <f>VLOOKUP(B1160,★営業所!$A$1:$B$5,2,FALSE)</f>
        <v>S</v>
      </c>
      <c r="D1160" s="465" t="s">
        <v>974</v>
      </c>
      <c r="E1160" s="452" t="str">
        <f>VLOOKUP(D1160,★サイズ表記!$D$4:$E$55,2,FALSE)</f>
        <v>3006</v>
      </c>
      <c r="F1160" s="457" t="s">
        <v>41</v>
      </c>
      <c r="G1160" s="452" t="str">
        <f>VLOOKUP(F1160,★折込地区!$A$1:$B$11,2,FALSE)</f>
        <v>Shi</v>
      </c>
      <c r="H1160" s="453">
        <f>INDEX(★サイズ表記!$I$4:$Q$55, MATCH(E1160,★サイズ表記!$E$4:$E$55,0), MATCH(G1160,★サイズ表記!$I$3:$R$3,0))</f>
        <v>0</v>
      </c>
      <c r="K1160" s="471" t="str">
        <f t="shared" si="128"/>
        <v>S3006Shi</v>
      </c>
      <c r="L1160" s="471" t="str">
        <f t="shared" si="129"/>
        <v>政治B4厚紙</v>
      </c>
      <c r="P1160" s="533" t="s">
        <v>1324</v>
      </c>
      <c r="Q1160" s="533" t="s">
        <v>1325</v>
      </c>
      <c r="R1160" s="534" t="str">
        <f t="shared" si="130"/>
        <v>3006</v>
      </c>
      <c r="S1160" s="534" t="str">
        <f t="shared" si="131"/>
        <v>政治B4厚紙</v>
      </c>
      <c r="T1160" s="538" t="str">
        <f t="shared" si="132"/>
        <v>30</v>
      </c>
      <c r="U1160" s="538" t="str">
        <f t="shared" si="133"/>
        <v>06</v>
      </c>
      <c r="V1160" s="471" t="s">
        <v>1136</v>
      </c>
      <c r="Y1160" s="472">
        <f t="shared" si="134"/>
        <v>0</v>
      </c>
      <c r="Z1160" s="540">
        <f t="shared" si="135"/>
        <v>0</v>
      </c>
      <c r="AA1160" s="471">
        <v>0</v>
      </c>
    </row>
    <row r="1161" spans="1:27">
      <c r="A1161" s="451" t="str">
        <f>CONCATENATE(VLOOKUP(B1161,★営業所!$A$1:$B$5,2,FALSE),VLOOKUP(D1161,★サイズ表記!$D$4:$E$55,2,FALSE),VLOOKUP(F1161,★折込地区!$A$1:$B$11,2,FALSE))</f>
        <v>S3007Shi</v>
      </c>
      <c r="B1161" s="457" t="s">
        <v>276</v>
      </c>
      <c r="C1161" s="452" t="str">
        <f>VLOOKUP(B1161,★営業所!$A$1:$B$5,2,FALSE)</f>
        <v>S</v>
      </c>
      <c r="D1161" s="465" t="s">
        <v>1362</v>
      </c>
      <c r="E1161" s="452" t="str">
        <f>VLOOKUP(D1161,★サイズ表記!$D$4:$E$55,2,FALSE)</f>
        <v>3007</v>
      </c>
      <c r="F1161" s="457" t="s">
        <v>41</v>
      </c>
      <c r="G1161" s="452" t="str">
        <f>VLOOKUP(F1161,★折込地区!$A$1:$B$11,2,FALSE)</f>
        <v>Shi</v>
      </c>
      <c r="H1161" s="453">
        <f>INDEX(★サイズ表記!$I$4:$Q$55, MATCH(E1161,★サイズ表記!$E$4:$E$55,0), MATCH(G1161,★サイズ表記!$I$3:$R$3,0))</f>
        <v>0</v>
      </c>
      <c r="K1161" s="471" t="str">
        <f t="shared" si="128"/>
        <v>S3007Shi</v>
      </c>
      <c r="L1161" s="471" t="str">
        <f t="shared" si="129"/>
        <v>政治タブ6P</v>
      </c>
      <c r="P1161" s="533" t="s">
        <v>1324</v>
      </c>
      <c r="Q1161" s="533" t="s">
        <v>1325</v>
      </c>
      <c r="R1161" s="534" t="str">
        <f t="shared" si="130"/>
        <v>3007</v>
      </c>
      <c r="S1161" s="534" t="str">
        <f t="shared" si="131"/>
        <v>政治タブ6P</v>
      </c>
      <c r="T1161" s="538" t="str">
        <f t="shared" si="132"/>
        <v>30</v>
      </c>
      <c r="U1161" s="538" t="str">
        <f t="shared" si="133"/>
        <v>07</v>
      </c>
      <c r="V1161" s="471" t="s">
        <v>1136</v>
      </c>
      <c r="Y1161" s="472">
        <f t="shared" si="134"/>
        <v>0</v>
      </c>
      <c r="Z1161" s="540">
        <f t="shared" si="135"/>
        <v>0</v>
      </c>
      <c r="AA1161" s="471">
        <v>0</v>
      </c>
    </row>
    <row r="1162" spans="1:27">
      <c r="A1162" s="451" t="str">
        <f>CONCATENATE(VLOOKUP(B1162,★営業所!$A$1:$B$5,2,FALSE),VLOOKUP(D1162,★サイズ表記!$D$4:$E$55,2,FALSE),VLOOKUP(F1162,★折込地区!$A$1:$B$11,2,FALSE))</f>
        <v>S3008Shi</v>
      </c>
      <c r="B1162" s="457" t="s">
        <v>276</v>
      </c>
      <c r="C1162" s="452" t="str">
        <f>VLOOKUP(B1162,★営業所!$A$1:$B$5,2,FALSE)</f>
        <v>S</v>
      </c>
      <c r="D1162" s="465" t="s">
        <v>1363</v>
      </c>
      <c r="E1162" s="452" t="str">
        <f>VLOOKUP(D1162,★サイズ表記!$D$4:$E$55,2,FALSE)</f>
        <v>3008</v>
      </c>
      <c r="F1162" s="457" t="s">
        <v>41</v>
      </c>
      <c r="G1162" s="452" t="str">
        <f>VLOOKUP(F1162,★折込地区!$A$1:$B$11,2,FALSE)</f>
        <v>Shi</v>
      </c>
      <c r="H1162" s="453">
        <f>INDEX(★サイズ表記!$I$4:$Q$55, MATCH(E1162,★サイズ表記!$E$4:$E$55,0), MATCH(G1162,★サイズ表記!$I$3:$R$3,0))</f>
        <v>0</v>
      </c>
      <c r="K1162" s="471" t="str">
        <f t="shared" si="128"/>
        <v>S3008Shi</v>
      </c>
      <c r="L1162" s="471" t="str">
        <f t="shared" si="129"/>
        <v>政治タブ8P</v>
      </c>
      <c r="P1162" s="533" t="s">
        <v>1324</v>
      </c>
      <c r="Q1162" s="533" t="s">
        <v>1325</v>
      </c>
      <c r="R1162" s="534" t="str">
        <f t="shared" si="130"/>
        <v>3008</v>
      </c>
      <c r="S1162" s="534" t="str">
        <f t="shared" si="131"/>
        <v>政治タブ8P</v>
      </c>
      <c r="T1162" s="538" t="str">
        <f t="shared" si="132"/>
        <v>30</v>
      </c>
      <c r="U1162" s="538" t="str">
        <f t="shared" si="133"/>
        <v>08</v>
      </c>
      <c r="V1162" s="471" t="s">
        <v>1136</v>
      </c>
      <c r="Y1162" s="472">
        <f t="shared" si="134"/>
        <v>0</v>
      </c>
      <c r="Z1162" s="540">
        <f t="shared" si="135"/>
        <v>0</v>
      </c>
      <c r="AA1162" s="471">
        <v>0</v>
      </c>
    </row>
    <row r="1163" spans="1:27">
      <c r="A1163" s="451" t="str">
        <f>CONCATENATE(VLOOKUP(B1163,★営業所!$A$1:$B$5,2,FALSE),VLOOKUP(D1163,★サイズ表記!$D$4:$E$55,2,FALSE),VLOOKUP(F1163,★折込地区!$A$1:$B$11,2,FALSE))</f>
        <v>S3009Shi</v>
      </c>
      <c r="B1163" s="457" t="s">
        <v>276</v>
      </c>
      <c r="C1163" s="452" t="str">
        <f>VLOOKUP(B1163,★営業所!$A$1:$B$5,2,FALSE)</f>
        <v>S</v>
      </c>
      <c r="D1163" s="465" t="s">
        <v>1361</v>
      </c>
      <c r="E1163" s="452" t="str">
        <f>VLOOKUP(D1163,★サイズ表記!$D$4:$E$55,2,FALSE)</f>
        <v>3009</v>
      </c>
      <c r="F1163" s="457" t="s">
        <v>41</v>
      </c>
      <c r="G1163" s="452" t="str">
        <f>VLOOKUP(F1163,★折込地区!$A$1:$B$11,2,FALSE)</f>
        <v>Shi</v>
      </c>
      <c r="H1163" s="453">
        <f>INDEX(★サイズ表記!$I$4:$Q$55, MATCH(E1163,★サイズ表記!$E$4:$E$55,0), MATCH(G1163,★サイズ表記!$I$3:$R$3,0))</f>
        <v>0</v>
      </c>
      <c r="K1163" s="471" t="str">
        <f t="shared" si="128"/>
        <v>S3009Shi</v>
      </c>
      <c r="L1163" s="471" t="str">
        <f t="shared" si="129"/>
        <v>政治タブ12P</v>
      </c>
      <c r="P1163" s="533" t="s">
        <v>1324</v>
      </c>
      <c r="Q1163" s="533" t="s">
        <v>1325</v>
      </c>
      <c r="R1163" s="534" t="str">
        <f t="shared" si="130"/>
        <v>3009</v>
      </c>
      <c r="S1163" s="534" t="str">
        <f t="shared" si="131"/>
        <v>政治タブ12P</v>
      </c>
      <c r="T1163" s="538" t="str">
        <f t="shared" si="132"/>
        <v>30</v>
      </c>
      <c r="U1163" s="538" t="str">
        <f t="shared" si="133"/>
        <v>09</v>
      </c>
      <c r="V1163" s="471" t="s">
        <v>1136</v>
      </c>
      <c r="Y1163" s="472">
        <f t="shared" si="134"/>
        <v>0</v>
      </c>
      <c r="Z1163" s="540">
        <f t="shared" si="135"/>
        <v>0</v>
      </c>
      <c r="AA1163" s="471">
        <v>0</v>
      </c>
    </row>
    <row r="1164" spans="1:27">
      <c r="A1164" s="451" t="str">
        <f>CONCATENATE(VLOOKUP(B1164,★営業所!$A$1:$B$5,2,FALSE),VLOOKUP(D1164,★サイズ表記!$D$4:$E$55,2,FALSE),VLOOKUP(F1164,★折込地区!$A$1:$B$11,2,FALSE))</f>
        <v>S4001Shi</v>
      </c>
      <c r="B1164" s="457" t="s">
        <v>276</v>
      </c>
      <c r="C1164" s="452" t="str">
        <f>VLOOKUP(B1164,★営業所!$A$1:$B$5,2,FALSE)</f>
        <v>S</v>
      </c>
      <c r="D1164" s="465" t="s">
        <v>1358</v>
      </c>
      <c r="E1164" s="452" t="str">
        <f>VLOOKUP(D1164,★サイズ表記!$D$4:$E$55,2,FALSE)</f>
        <v>4001</v>
      </c>
      <c r="F1164" s="457" t="s">
        <v>41</v>
      </c>
      <c r="G1164" s="452" t="str">
        <f>VLOOKUP(F1164,★折込地区!$A$1:$B$11,2,FALSE)</f>
        <v>Shi</v>
      </c>
      <c r="H1164" s="453">
        <f>INDEX(★サイズ表記!$I$4:$Q$55, MATCH(E1164,★サイズ表記!$E$4:$E$55,0), MATCH(G1164,★サイズ表記!$I$3:$R$3,0))</f>
        <v>0</v>
      </c>
      <c r="K1164" s="471" t="str">
        <f t="shared" si="128"/>
        <v>S4001Shi</v>
      </c>
      <c r="L1164" s="471" t="str">
        <f t="shared" si="129"/>
        <v>タブ6P</v>
      </c>
      <c r="P1164" s="533" t="s">
        <v>1324</v>
      </c>
      <c r="Q1164" s="533" t="s">
        <v>1325</v>
      </c>
      <c r="R1164" s="534" t="str">
        <f t="shared" si="130"/>
        <v>4001</v>
      </c>
      <c r="S1164" s="534" t="str">
        <f t="shared" si="131"/>
        <v>タブ6P</v>
      </c>
      <c r="T1164" s="538" t="str">
        <f t="shared" si="132"/>
        <v>40</v>
      </c>
      <c r="U1164" s="538" t="str">
        <f t="shared" si="133"/>
        <v>01</v>
      </c>
      <c r="V1164" s="471" t="s">
        <v>1136</v>
      </c>
      <c r="Y1164" s="472">
        <f t="shared" si="134"/>
        <v>0</v>
      </c>
      <c r="Z1164" s="540">
        <f t="shared" si="135"/>
        <v>0</v>
      </c>
      <c r="AA1164" s="471">
        <v>0</v>
      </c>
    </row>
    <row r="1165" spans="1:27">
      <c r="A1165" s="451" t="str">
        <f>CONCATENATE(VLOOKUP(B1165,★営業所!$A$1:$B$5,2,FALSE),VLOOKUP(D1165,★サイズ表記!$D$4:$E$55,2,FALSE),VLOOKUP(F1165,★折込地区!$A$1:$B$11,2,FALSE))</f>
        <v>S4002Shi</v>
      </c>
      <c r="B1165" s="457" t="s">
        <v>276</v>
      </c>
      <c r="C1165" s="452" t="str">
        <f>VLOOKUP(B1165,★営業所!$A$1:$B$5,2,FALSE)</f>
        <v>S</v>
      </c>
      <c r="D1165" s="465" t="s">
        <v>1359</v>
      </c>
      <c r="E1165" s="452" t="str">
        <f>VLOOKUP(D1165,★サイズ表記!$D$4:$E$55,2,FALSE)</f>
        <v>4002</v>
      </c>
      <c r="F1165" s="457" t="s">
        <v>41</v>
      </c>
      <c r="G1165" s="452" t="str">
        <f>VLOOKUP(F1165,★折込地区!$A$1:$B$11,2,FALSE)</f>
        <v>Shi</v>
      </c>
      <c r="H1165" s="453">
        <f>INDEX(★サイズ表記!$I$4:$Q$55, MATCH(E1165,★サイズ表記!$E$4:$E$55,0), MATCH(G1165,★サイズ表記!$I$3:$R$3,0))</f>
        <v>0</v>
      </c>
      <c r="K1165" s="471" t="str">
        <f t="shared" si="128"/>
        <v>S4002Shi</v>
      </c>
      <c r="L1165" s="471" t="str">
        <f t="shared" si="129"/>
        <v>タブ8P</v>
      </c>
      <c r="P1165" s="533" t="s">
        <v>1324</v>
      </c>
      <c r="Q1165" s="533" t="s">
        <v>1325</v>
      </c>
      <c r="R1165" s="534" t="str">
        <f t="shared" si="130"/>
        <v>4002</v>
      </c>
      <c r="S1165" s="534" t="str">
        <f t="shared" si="131"/>
        <v>タブ8P</v>
      </c>
      <c r="T1165" s="538" t="str">
        <f t="shared" si="132"/>
        <v>40</v>
      </c>
      <c r="U1165" s="538" t="str">
        <f t="shared" si="133"/>
        <v>02</v>
      </c>
      <c r="V1165" s="471" t="s">
        <v>1136</v>
      </c>
      <c r="Y1165" s="472">
        <f t="shared" si="134"/>
        <v>0</v>
      </c>
      <c r="Z1165" s="540">
        <f t="shared" si="135"/>
        <v>0</v>
      </c>
      <c r="AA1165" s="471">
        <v>0</v>
      </c>
    </row>
    <row r="1166" spans="1:27">
      <c r="A1166" s="451" t="str">
        <f>CONCATENATE(VLOOKUP(B1166,★営業所!$A$1:$B$5,2,FALSE),VLOOKUP(D1166,★サイズ表記!$D$4:$E$55,2,FALSE),VLOOKUP(F1166,★折込地区!$A$1:$B$11,2,FALSE))</f>
        <v>S4003Shi</v>
      </c>
      <c r="B1166" s="457" t="s">
        <v>276</v>
      </c>
      <c r="C1166" s="452" t="str">
        <f>VLOOKUP(B1166,★営業所!$A$1:$B$5,2,FALSE)</f>
        <v>S</v>
      </c>
      <c r="D1166" s="465" t="s">
        <v>1360</v>
      </c>
      <c r="E1166" s="452" t="str">
        <f>VLOOKUP(D1166,★サイズ表記!$D$4:$E$55,2,FALSE)</f>
        <v>4003</v>
      </c>
      <c r="F1166" s="457" t="s">
        <v>41</v>
      </c>
      <c r="G1166" s="452" t="str">
        <f>VLOOKUP(F1166,★折込地区!$A$1:$B$11,2,FALSE)</f>
        <v>Shi</v>
      </c>
      <c r="H1166" s="453">
        <f>INDEX(★サイズ表記!$I$4:$Q$55, MATCH(E1166,★サイズ表記!$E$4:$E$55,0), MATCH(G1166,★サイズ表記!$I$3:$R$3,0))</f>
        <v>0</v>
      </c>
      <c r="K1166" s="471" t="str">
        <f t="shared" si="128"/>
        <v>S4003Shi</v>
      </c>
      <c r="L1166" s="471" t="str">
        <f t="shared" si="129"/>
        <v>タブ8Pホチキス止め</v>
      </c>
      <c r="P1166" s="533" t="s">
        <v>1324</v>
      </c>
      <c r="Q1166" s="533" t="s">
        <v>1325</v>
      </c>
      <c r="R1166" s="534" t="str">
        <f t="shared" si="130"/>
        <v>4003</v>
      </c>
      <c r="S1166" s="534" t="str">
        <f t="shared" si="131"/>
        <v>タブ8Pホチキス止め</v>
      </c>
      <c r="T1166" s="538" t="str">
        <f t="shared" si="132"/>
        <v>40</v>
      </c>
      <c r="U1166" s="538" t="str">
        <f t="shared" si="133"/>
        <v>03</v>
      </c>
      <c r="V1166" s="471" t="s">
        <v>1136</v>
      </c>
      <c r="Y1166" s="472">
        <f t="shared" si="134"/>
        <v>0</v>
      </c>
      <c r="Z1166" s="540">
        <f t="shared" si="135"/>
        <v>0</v>
      </c>
      <c r="AA1166" s="471">
        <v>0</v>
      </c>
    </row>
    <row r="1167" spans="1:27">
      <c r="A1167" s="451" t="str">
        <f>CONCATENATE(VLOOKUP(B1167,★営業所!$A$1:$B$5,2,FALSE),VLOOKUP(D1167,★サイズ表記!$D$4:$E$55,2,FALSE),VLOOKUP(F1167,★折込地区!$A$1:$B$11,2,FALSE))</f>
        <v>S4004Shi</v>
      </c>
      <c r="B1167" s="457" t="s">
        <v>276</v>
      </c>
      <c r="C1167" s="452" t="str">
        <f>VLOOKUP(B1167,★営業所!$A$1:$B$5,2,FALSE)</f>
        <v>S</v>
      </c>
      <c r="D1167" s="465" t="s">
        <v>1350</v>
      </c>
      <c r="E1167" s="452" t="str">
        <f>VLOOKUP(D1167,★サイズ表記!$D$4:$E$55,2,FALSE)</f>
        <v>4004</v>
      </c>
      <c r="F1167" s="457" t="s">
        <v>41</v>
      </c>
      <c r="G1167" s="452" t="str">
        <f>VLOOKUP(F1167,★折込地区!$A$1:$B$11,2,FALSE)</f>
        <v>Shi</v>
      </c>
      <c r="H1167" s="453">
        <f>INDEX(★サイズ表記!$I$4:$Q$55, MATCH(E1167,★サイズ表記!$E$4:$E$55,0), MATCH(G1167,★サイズ表記!$I$3:$R$3,0))</f>
        <v>0</v>
      </c>
      <c r="K1167" s="471" t="str">
        <f t="shared" si="128"/>
        <v>S4004Shi</v>
      </c>
      <c r="L1167" s="471" t="str">
        <f t="shared" si="129"/>
        <v>タブ10P</v>
      </c>
      <c r="P1167" s="533" t="s">
        <v>1324</v>
      </c>
      <c r="Q1167" s="533" t="s">
        <v>1325</v>
      </c>
      <c r="R1167" s="534" t="str">
        <f t="shared" si="130"/>
        <v>4004</v>
      </c>
      <c r="S1167" s="534" t="str">
        <f t="shared" si="131"/>
        <v>タブ10P</v>
      </c>
      <c r="T1167" s="538" t="str">
        <f t="shared" si="132"/>
        <v>40</v>
      </c>
      <c r="U1167" s="538" t="str">
        <f t="shared" si="133"/>
        <v>04</v>
      </c>
      <c r="V1167" s="471" t="s">
        <v>1136</v>
      </c>
      <c r="Y1167" s="472">
        <f t="shared" si="134"/>
        <v>0</v>
      </c>
      <c r="Z1167" s="540">
        <f t="shared" si="135"/>
        <v>0</v>
      </c>
      <c r="AA1167" s="471">
        <v>0</v>
      </c>
    </row>
    <row r="1168" spans="1:27">
      <c r="A1168" s="451" t="str">
        <f>CONCATENATE(VLOOKUP(B1168,★営業所!$A$1:$B$5,2,FALSE),VLOOKUP(D1168,★サイズ表記!$D$4:$E$55,2,FALSE),VLOOKUP(F1168,★折込地区!$A$1:$B$11,2,FALSE))</f>
        <v>S4005Shi</v>
      </c>
      <c r="B1168" s="457" t="s">
        <v>276</v>
      </c>
      <c r="C1168" s="452" t="str">
        <f>VLOOKUP(B1168,★営業所!$A$1:$B$5,2,FALSE)</f>
        <v>S</v>
      </c>
      <c r="D1168" s="465" t="s">
        <v>1351</v>
      </c>
      <c r="E1168" s="452" t="str">
        <f>VLOOKUP(D1168,★サイズ表記!$D$4:$E$55,2,FALSE)</f>
        <v>4005</v>
      </c>
      <c r="F1168" s="457" t="s">
        <v>41</v>
      </c>
      <c r="G1168" s="452" t="str">
        <f>VLOOKUP(F1168,★折込地区!$A$1:$B$11,2,FALSE)</f>
        <v>Shi</v>
      </c>
      <c r="H1168" s="453">
        <f>INDEX(★サイズ表記!$I$4:$Q$55, MATCH(E1168,★サイズ表記!$E$4:$E$55,0), MATCH(G1168,★サイズ表記!$I$3:$R$3,0))</f>
        <v>0</v>
      </c>
      <c r="K1168" s="471" t="str">
        <f t="shared" si="128"/>
        <v>S4005Shi</v>
      </c>
      <c r="L1168" s="471" t="str">
        <f t="shared" si="129"/>
        <v>タブ12P</v>
      </c>
      <c r="P1168" s="533" t="s">
        <v>1324</v>
      </c>
      <c r="Q1168" s="533" t="s">
        <v>1325</v>
      </c>
      <c r="R1168" s="534" t="str">
        <f t="shared" si="130"/>
        <v>4005</v>
      </c>
      <c r="S1168" s="534" t="str">
        <f t="shared" si="131"/>
        <v>タブ12P</v>
      </c>
      <c r="T1168" s="538" t="str">
        <f t="shared" si="132"/>
        <v>40</v>
      </c>
      <c r="U1168" s="538" t="str">
        <f t="shared" si="133"/>
        <v>05</v>
      </c>
      <c r="V1168" s="471" t="s">
        <v>1136</v>
      </c>
      <c r="Y1168" s="472">
        <f t="shared" si="134"/>
        <v>0</v>
      </c>
      <c r="Z1168" s="540">
        <f t="shared" si="135"/>
        <v>0</v>
      </c>
      <c r="AA1168" s="471">
        <v>0</v>
      </c>
    </row>
    <row r="1169" spans="1:27">
      <c r="A1169" s="451" t="str">
        <f>CONCATENATE(VLOOKUP(B1169,★営業所!$A$1:$B$5,2,FALSE),VLOOKUP(D1169,★サイズ表記!$D$4:$E$55,2,FALSE),VLOOKUP(F1169,★折込地区!$A$1:$B$11,2,FALSE))</f>
        <v>S4006Shi</v>
      </c>
      <c r="B1169" s="457" t="s">
        <v>276</v>
      </c>
      <c r="C1169" s="452" t="str">
        <f>VLOOKUP(B1169,★営業所!$A$1:$B$5,2,FALSE)</f>
        <v>S</v>
      </c>
      <c r="D1169" s="465" t="s">
        <v>1352</v>
      </c>
      <c r="E1169" s="452" t="str">
        <f>VLOOKUP(D1169,★サイズ表記!$D$4:$E$55,2,FALSE)</f>
        <v>4006</v>
      </c>
      <c r="F1169" s="457" t="s">
        <v>41</v>
      </c>
      <c r="G1169" s="452" t="str">
        <f>VLOOKUP(F1169,★折込地区!$A$1:$B$11,2,FALSE)</f>
        <v>Shi</v>
      </c>
      <c r="H1169" s="453">
        <f>INDEX(★サイズ表記!$I$4:$Q$55, MATCH(E1169,★サイズ表記!$E$4:$E$55,0), MATCH(G1169,★サイズ表記!$I$3:$R$3,0))</f>
        <v>0</v>
      </c>
      <c r="K1169" s="471" t="str">
        <f t="shared" si="128"/>
        <v>S4006Shi</v>
      </c>
      <c r="L1169" s="471" t="str">
        <f t="shared" si="129"/>
        <v>タブ14P</v>
      </c>
      <c r="P1169" s="533" t="s">
        <v>1324</v>
      </c>
      <c r="Q1169" s="533" t="s">
        <v>1325</v>
      </c>
      <c r="R1169" s="534" t="str">
        <f t="shared" si="130"/>
        <v>4006</v>
      </c>
      <c r="S1169" s="534" t="str">
        <f t="shared" si="131"/>
        <v>タブ14P</v>
      </c>
      <c r="T1169" s="538" t="str">
        <f t="shared" si="132"/>
        <v>40</v>
      </c>
      <c r="U1169" s="538" t="str">
        <f t="shared" si="133"/>
        <v>06</v>
      </c>
      <c r="V1169" s="471" t="s">
        <v>1136</v>
      </c>
      <c r="Y1169" s="472">
        <f t="shared" si="134"/>
        <v>0</v>
      </c>
      <c r="Z1169" s="540">
        <f t="shared" si="135"/>
        <v>0</v>
      </c>
      <c r="AA1169" s="471">
        <v>0</v>
      </c>
    </row>
    <row r="1170" spans="1:27">
      <c r="A1170" s="451" t="str">
        <f>CONCATENATE(VLOOKUP(B1170,★営業所!$A$1:$B$5,2,FALSE),VLOOKUP(D1170,★サイズ表記!$D$4:$E$55,2,FALSE),VLOOKUP(F1170,★折込地区!$A$1:$B$11,2,FALSE))</f>
        <v>S4007Shi</v>
      </c>
      <c r="B1170" s="457" t="s">
        <v>276</v>
      </c>
      <c r="C1170" s="452" t="str">
        <f>VLOOKUP(B1170,★営業所!$A$1:$B$5,2,FALSE)</f>
        <v>S</v>
      </c>
      <c r="D1170" s="465" t="s">
        <v>1353</v>
      </c>
      <c r="E1170" s="452" t="str">
        <f>VLOOKUP(D1170,★サイズ表記!$D$4:$E$55,2,FALSE)</f>
        <v>4007</v>
      </c>
      <c r="F1170" s="457" t="s">
        <v>41</v>
      </c>
      <c r="G1170" s="452" t="str">
        <f>VLOOKUP(F1170,★折込地区!$A$1:$B$11,2,FALSE)</f>
        <v>Shi</v>
      </c>
      <c r="H1170" s="453">
        <f>INDEX(★サイズ表記!$I$4:$Q$55, MATCH(E1170,★サイズ表記!$E$4:$E$55,0), MATCH(G1170,★サイズ表記!$I$3:$R$3,0))</f>
        <v>0</v>
      </c>
      <c r="K1170" s="471" t="str">
        <f t="shared" si="128"/>
        <v>S4007Shi</v>
      </c>
      <c r="L1170" s="471" t="str">
        <f t="shared" si="129"/>
        <v>タブ16P</v>
      </c>
      <c r="P1170" s="533" t="s">
        <v>1324</v>
      </c>
      <c r="Q1170" s="533" t="s">
        <v>1325</v>
      </c>
      <c r="R1170" s="534" t="str">
        <f t="shared" si="130"/>
        <v>4007</v>
      </c>
      <c r="S1170" s="534" t="str">
        <f t="shared" si="131"/>
        <v>タブ16P</v>
      </c>
      <c r="T1170" s="538" t="str">
        <f t="shared" si="132"/>
        <v>40</v>
      </c>
      <c r="U1170" s="538" t="str">
        <f t="shared" si="133"/>
        <v>07</v>
      </c>
      <c r="V1170" s="471" t="s">
        <v>1136</v>
      </c>
      <c r="Y1170" s="472">
        <f t="shared" si="134"/>
        <v>0</v>
      </c>
      <c r="Z1170" s="540">
        <f t="shared" si="135"/>
        <v>0</v>
      </c>
      <c r="AA1170" s="471">
        <v>0</v>
      </c>
    </row>
    <row r="1171" spans="1:27">
      <c r="A1171" s="451" t="str">
        <f>CONCATENATE(VLOOKUP(B1171,★営業所!$A$1:$B$5,2,FALSE),VLOOKUP(D1171,★サイズ表記!$D$4:$E$55,2,FALSE),VLOOKUP(F1171,★折込地区!$A$1:$B$11,2,FALSE))</f>
        <v>S4008Shi</v>
      </c>
      <c r="B1171" s="457" t="s">
        <v>276</v>
      </c>
      <c r="C1171" s="452" t="str">
        <f>VLOOKUP(B1171,★営業所!$A$1:$B$5,2,FALSE)</f>
        <v>S</v>
      </c>
      <c r="D1171" s="465" t="s">
        <v>1355</v>
      </c>
      <c r="E1171" s="452" t="str">
        <f>VLOOKUP(D1171,★サイズ表記!$D$4:$E$55,2,FALSE)</f>
        <v>4008</v>
      </c>
      <c r="F1171" s="457" t="s">
        <v>41</v>
      </c>
      <c r="G1171" s="452" t="str">
        <f>VLOOKUP(F1171,★折込地区!$A$1:$B$11,2,FALSE)</f>
        <v>Shi</v>
      </c>
      <c r="H1171" s="453">
        <f>INDEX(★サイズ表記!$I$4:$Q$55, MATCH(E1171,★サイズ表記!$E$4:$E$55,0), MATCH(G1171,★サイズ表記!$I$3:$R$3,0))</f>
        <v>0</v>
      </c>
      <c r="K1171" s="471" t="str">
        <f t="shared" si="128"/>
        <v>S4008Shi</v>
      </c>
      <c r="L1171" s="471" t="str">
        <f t="shared" si="129"/>
        <v>タブ18P</v>
      </c>
      <c r="P1171" s="533" t="s">
        <v>1324</v>
      </c>
      <c r="Q1171" s="533" t="s">
        <v>1325</v>
      </c>
      <c r="R1171" s="534" t="str">
        <f t="shared" si="130"/>
        <v>4008</v>
      </c>
      <c r="S1171" s="534" t="str">
        <f t="shared" si="131"/>
        <v>タブ18P</v>
      </c>
      <c r="T1171" s="538" t="str">
        <f t="shared" si="132"/>
        <v>40</v>
      </c>
      <c r="U1171" s="538" t="str">
        <f t="shared" si="133"/>
        <v>08</v>
      </c>
      <c r="V1171" s="471" t="s">
        <v>1136</v>
      </c>
      <c r="Y1171" s="472">
        <f t="shared" si="134"/>
        <v>0</v>
      </c>
      <c r="Z1171" s="540">
        <f t="shared" si="135"/>
        <v>0</v>
      </c>
      <c r="AA1171" s="471">
        <v>0</v>
      </c>
    </row>
    <row r="1172" spans="1:27">
      <c r="A1172" s="451" t="str">
        <f>CONCATENATE(VLOOKUP(B1172,★営業所!$A$1:$B$5,2,FALSE),VLOOKUP(D1172,★サイズ表記!$D$4:$E$55,2,FALSE),VLOOKUP(F1172,★折込地区!$A$1:$B$11,2,FALSE))</f>
        <v>S4009Shi</v>
      </c>
      <c r="B1172" s="457" t="s">
        <v>276</v>
      </c>
      <c r="C1172" s="452" t="str">
        <f>VLOOKUP(B1172,★営業所!$A$1:$B$5,2,FALSE)</f>
        <v>S</v>
      </c>
      <c r="D1172" s="465" t="s">
        <v>1356</v>
      </c>
      <c r="E1172" s="452" t="str">
        <f>VLOOKUP(D1172,★サイズ表記!$D$4:$E$55,2,FALSE)</f>
        <v>4009</v>
      </c>
      <c r="F1172" s="457" t="s">
        <v>41</v>
      </c>
      <c r="G1172" s="452" t="str">
        <f>VLOOKUP(F1172,★折込地区!$A$1:$B$11,2,FALSE)</f>
        <v>Shi</v>
      </c>
      <c r="H1172" s="453">
        <f>INDEX(★サイズ表記!$I$4:$Q$55, MATCH(E1172,★サイズ表記!$E$4:$E$55,0), MATCH(G1172,★サイズ表記!$I$3:$R$3,0))</f>
        <v>0</v>
      </c>
      <c r="K1172" s="471" t="str">
        <f t="shared" si="128"/>
        <v>S4009Shi</v>
      </c>
      <c r="L1172" s="471" t="str">
        <f t="shared" si="129"/>
        <v>タブ20P</v>
      </c>
      <c r="P1172" s="533" t="s">
        <v>1324</v>
      </c>
      <c r="Q1172" s="533" t="s">
        <v>1325</v>
      </c>
      <c r="R1172" s="534" t="str">
        <f t="shared" si="130"/>
        <v>4009</v>
      </c>
      <c r="S1172" s="534" t="str">
        <f t="shared" si="131"/>
        <v>タブ20P</v>
      </c>
      <c r="T1172" s="538" t="str">
        <f t="shared" si="132"/>
        <v>40</v>
      </c>
      <c r="U1172" s="538" t="str">
        <f t="shared" si="133"/>
        <v>09</v>
      </c>
      <c r="V1172" s="471" t="s">
        <v>1136</v>
      </c>
      <c r="Y1172" s="472">
        <f t="shared" si="134"/>
        <v>0</v>
      </c>
      <c r="Z1172" s="540">
        <f t="shared" si="135"/>
        <v>0</v>
      </c>
      <c r="AA1172" s="471">
        <v>0</v>
      </c>
    </row>
    <row r="1173" spans="1:27">
      <c r="A1173" s="451" t="str">
        <f>CONCATENATE(VLOOKUP(B1173,★営業所!$A$1:$B$5,2,FALSE),VLOOKUP(D1173,★サイズ表記!$D$4:$E$55,2,FALSE),VLOOKUP(F1173,★折込地区!$A$1:$B$11,2,FALSE))</f>
        <v>S4010Shi</v>
      </c>
      <c r="B1173" s="457" t="s">
        <v>276</v>
      </c>
      <c r="C1173" s="452" t="str">
        <f>VLOOKUP(B1173,★営業所!$A$1:$B$5,2,FALSE)</f>
        <v>S</v>
      </c>
      <c r="D1173" s="465" t="s">
        <v>1354</v>
      </c>
      <c r="E1173" s="452" t="str">
        <f>VLOOKUP(D1173,★サイズ表記!$D$4:$E$55,2,FALSE)</f>
        <v>4010</v>
      </c>
      <c r="F1173" s="457" t="s">
        <v>41</v>
      </c>
      <c r="G1173" s="452" t="str">
        <f>VLOOKUP(F1173,★折込地区!$A$1:$B$11,2,FALSE)</f>
        <v>Shi</v>
      </c>
      <c r="H1173" s="453">
        <f>INDEX(★サイズ表記!$I$4:$Q$55, MATCH(E1173,★サイズ表記!$E$4:$E$55,0), MATCH(G1173,★サイズ表記!$I$3:$R$3,0))</f>
        <v>0</v>
      </c>
      <c r="K1173" s="471" t="str">
        <f t="shared" si="128"/>
        <v>S4010Shi</v>
      </c>
      <c r="L1173" s="471" t="str">
        <f t="shared" si="129"/>
        <v>タブ16Pホチキス止め</v>
      </c>
      <c r="P1173" s="533" t="s">
        <v>1324</v>
      </c>
      <c r="Q1173" s="533" t="s">
        <v>1325</v>
      </c>
      <c r="R1173" s="534" t="str">
        <f t="shared" si="130"/>
        <v>4010</v>
      </c>
      <c r="S1173" s="534" t="str">
        <f t="shared" si="131"/>
        <v>タブ16Pホチキス止め</v>
      </c>
      <c r="T1173" s="538" t="str">
        <f t="shared" si="132"/>
        <v>40</v>
      </c>
      <c r="U1173" s="538" t="str">
        <f t="shared" si="133"/>
        <v>10</v>
      </c>
      <c r="V1173" s="471" t="s">
        <v>1136</v>
      </c>
      <c r="Y1173" s="472">
        <f t="shared" si="134"/>
        <v>0</v>
      </c>
      <c r="Z1173" s="540">
        <f t="shared" si="135"/>
        <v>0</v>
      </c>
      <c r="AA1173" s="471">
        <v>0</v>
      </c>
    </row>
    <row r="1174" spans="1:27">
      <c r="A1174" s="451" t="str">
        <f>CONCATENATE(VLOOKUP(B1174,★営業所!$A$1:$B$5,2,FALSE),VLOOKUP(D1174,★サイズ表記!$D$4:$E$55,2,FALSE),VLOOKUP(F1174,★折込地区!$A$1:$B$11,2,FALSE))</f>
        <v>S4011Shi</v>
      </c>
      <c r="B1174" s="457" t="s">
        <v>276</v>
      </c>
      <c r="C1174" s="452" t="str">
        <f>VLOOKUP(B1174,★営業所!$A$1:$B$5,2,FALSE)</f>
        <v>S</v>
      </c>
      <c r="D1174" s="465" t="s">
        <v>1357</v>
      </c>
      <c r="E1174" s="452" t="str">
        <f>VLOOKUP(D1174,★サイズ表記!$D$4:$E$55,2,FALSE)</f>
        <v>4011</v>
      </c>
      <c r="F1174" s="457" t="s">
        <v>41</v>
      </c>
      <c r="G1174" s="452" t="str">
        <f>VLOOKUP(F1174,★折込地区!$A$1:$B$11,2,FALSE)</f>
        <v>Shi</v>
      </c>
      <c r="H1174" s="453">
        <f>INDEX(★サイズ表記!$I$4:$Q$55, MATCH(E1174,★サイズ表記!$E$4:$E$55,0), MATCH(G1174,★サイズ表記!$I$3:$R$3,0))</f>
        <v>0</v>
      </c>
      <c r="K1174" s="471" t="str">
        <f t="shared" si="128"/>
        <v>S4011Shi</v>
      </c>
      <c r="L1174" s="471" t="str">
        <f t="shared" si="129"/>
        <v>タブ40P</v>
      </c>
      <c r="P1174" s="533" t="s">
        <v>1324</v>
      </c>
      <c r="Q1174" s="533" t="s">
        <v>1325</v>
      </c>
      <c r="R1174" s="534" t="str">
        <f t="shared" si="130"/>
        <v>4011</v>
      </c>
      <c r="S1174" s="534" t="str">
        <f t="shared" si="131"/>
        <v>タブ40P</v>
      </c>
      <c r="T1174" s="538" t="str">
        <f t="shared" si="132"/>
        <v>40</v>
      </c>
      <c r="U1174" s="538" t="str">
        <f t="shared" si="133"/>
        <v>11</v>
      </c>
      <c r="V1174" s="471" t="s">
        <v>1136</v>
      </c>
      <c r="Y1174" s="472">
        <f t="shared" si="134"/>
        <v>0</v>
      </c>
      <c r="Z1174" s="540">
        <f t="shared" si="135"/>
        <v>0</v>
      </c>
      <c r="AA1174" s="471">
        <v>0</v>
      </c>
    </row>
    <row r="1175" spans="1:27">
      <c r="A1175" s="451" t="str">
        <f>CONCATENATE(VLOOKUP(B1175,★営業所!$A$1:$B$5,2,FALSE),VLOOKUP(D1175,★サイズ表記!$D$4:$E$55,2,FALSE),VLOOKUP(F1175,★折込地区!$A$1:$B$11,2,FALSE))</f>
        <v>S9001Shi</v>
      </c>
      <c r="B1175" s="457" t="s">
        <v>276</v>
      </c>
      <c r="C1175" s="452" t="str">
        <f>VLOOKUP(B1175,★営業所!$A$1:$B$5,2,FALSE)</f>
        <v>S</v>
      </c>
      <c r="D1175" s="465" t="s">
        <v>975</v>
      </c>
      <c r="E1175" s="452" t="str">
        <f>VLOOKUP(D1175,★サイズ表記!$D$4:$E$55,2,FALSE)</f>
        <v>9001</v>
      </c>
      <c r="F1175" s="457" t="s">
        <v>41</v>
      </c>
      <c r="G1175" s="452" t="str">
        <f>VLOOKUP(F1175,★折込地区!$A$1:$B$11,2,FALSE)</f>
        <v>Shi</v>
      </c>
      <c r="H1175" s="453">
        <f>INDEX(★サイズ表記!$I$4:$Q$55, MATCH(E1175,★サイズ表記!$E$4:$E$55,0), MATCH(G1175,★サイズ表記!$I$3:$R$3,0))</f>
        <v>0</v>
      </c>
      <c r="K1175" s="471" t="str">
        <f t="shared" si="128"/>
        <v>S9001Shi</v>
      </c>
      <c r="L1175" s="471" t="str">
        <f t="shared" si="129"/>
        <v>うさぎの耳</v>
      </c>
      <c r="P1175" s="533" t="s">
        <v>1324</v>
      </c>
      <c r="Q1175" s="533" t="s">
        <v>1325</v>
      </c>
      <c r="R1175" s="534" t="str">
        <f t="shared" si="130"/>
        <v>9001</v>
      </c>
      <c r="S1175" s="534" t="str">
        <f t="shared" si="131"/>
        <v>うさぎの耳</v>
      </c>
      <c r="T1175" s="538" t="str">
        <f t="shared" si="132"/>
        <v>90</v>
      </c>
      <c r="U1175" s="538" t="str">
        <f t="shared" si="133"/>
        <v>01</v>
      </c>
      <c r="V1175" s="471" t="s">
        <v>1136</v>
      </c>
      <c r="Y1175" s="472">
        <f t="shared" si="134"/>
        <v>0</v>
      </c>
      <c r="Z1175" s="540">
        <f t="shared" si="135"/>
        <v>0</v>
      </c>
      <c r="AA1175" s="471">
        <v>0</v>
      </c>
    </row>
    <row r="1176" spans="1:27">
      <c r="A1176" s="451" t="str">
        <f>CONCATENATE(VLOOKUP(B1176,★営業所!$A$1:$B$5,2,FALSE),VLOOKUP(D1176,★サイズ表記!$D$4:$E$55,2,FALSE),VLOOKUP(F1176,★折込地区!$A$1:$B$11,2,FALSE))</f>
        <v>S9002Shi</v>
      </c>
      <c r="B1176" s="457" t="s">
        <v>276</v>
      </c>
      <c r="C1176" s="452" t="str">
        <f>VLOOKUP(B1176,★営業所!$A$1:$B$5,2,FALSE)</f>
        <v>S</v>
      </c>
      <c r="D1176" s="465" t="s">
        <v>976</v>
      </c>
      <c r="E1176" s="452" t="str">
        <f>VLOOKUP(D1176,★サイズ表記!$D$4:$E$55,2,FALSE)</f>
        <v>9002</v>
      </c>
      <c r="F1176" s="457" t="s">
        <v>41</v>
      </c>
      <c r="G1176" s="452" t="str">
        <f>VLOOKUP(F1176,★折込地区!$A$1:$B$11,2,FALSE)</f>
        <v>Shi</v>
      </c>
      <c r="H1176" s="453">
        <f>INDEX(★サイズ表記!$I$4:$Q$55, MATCH(E1176,★サイズ表記!$E$4:$E$55,0), MATCH(G1176,★サイズ表記!$I$3:$R$3,0))</f>
        <v>0</v>
      </c>
      <c r="K1176" s="471" t="str">
        <f t="shared" si="128"/>
        <v>S9002Shi</v>
      </c>
      <c r="L1176" s="471" t="str">
        <f t="shared" si="129"/>
        <v>ユーキャン（題字）</v>
      </c>
      <c r="P1176" s="533" t="s">
        <v>1324</v>
      </c>
      <c r="Q1176" s="533" t="s">
        <v>1325</v>
      </c>
      <c r="R1176" s="534" t="str">
        <f t="shared" si="130"/>
        <v>9002</v>
      </c>
      <c r="S1176" s="534" t="str">
        <f t="shared" si="131"/>
        <v>ユーキャン（題字）</v>
      </c>
      <c r="T1176" s="538" t="str">
        <f t="shared" si="132"/>
        <v>90</v>
      </c>
      <c r="U1176" s="538" t="str">
        <f t="shared" si="133"/>
        <v>02</v>
      </c>
      <c r="V1176" s="471" t="s">
        <v>1136</v>
      </c>
      <c r="Y1176" s="472">
        <f t="shared" si="134"/>
        <v>0</v>
      </c>
      <c r="Z1176" s="540">
        <f t="shared" si="135"/>
        <v>0</v>
      </c>
      <c r="AA1176" s="471">
        <v>0</v>
      </c>
    </row>
    <row r="1177" spans="1:27">
      <c r="A1177" s="451" t="str">
        <f>CONCATENATE(VLOOKUP(B1177,★営業所!$A$1:$B$5,2,FALSE),VLOOKUP(D1177,★サイズ表記!$D$4:$E$55,2,FALSE),VLOOKUP(F1177,★折込地区!$A$1:$B$11,2,FALSE))</f>
        <v>S9003Shi</v>
      </c>
      <c r="B1177" s="457" t="s">
        <v>276</v>
      </c>
      <c r="C1177" s="452" t="str">
        <f>VLOOKUP(B1177,★営業所!$A$1:$B$5,2,FALSE)</f>
        <v>S</v>
      </c>
      <c r="D1177" s="465" t="s">
        <v>977</v>
      </c>
      <c r="E1177" s="452" t="str">
        <f>VLOOKUP(D1177,★サイズ表記!$D$4:$E$55,2,FALSE)</f>
        <v>9003</v>
      </c>
      <c r="F1177" s="457" t="s">
        <v>41</v>
      </c>
      <c r="G1177" s="452" t="str">
        <f>VLOOKUP(F1177,★折込地区!$A$1:$B$11,2,FALSE)</f>
        <v>Shi</v>
      </c>
      <c r="H1177" s="453">
        <f>INDEX(★サイズ表記!$I$4:$Q$55, MATCH(E1177,★サイズ表記!$E$4:$E$55,0), MATCH(G1177,★サイズ表記!$I$3:$R$3,0))</f>
        <v>0</v>
      </c>
      <c r="K1177" s="471" t="str">
        <f t="shared" si="128"/>
        <v>S9003Shi</v>
      </c>
      <c r="L1177" s="471" t="str">
        <f t="shared" si="129"/>
        <v>横長B3</v>
      </c>
      <c r="P1177" s="533" t="s">
        <v>1324</v>
      </c>
      <c r="Q1177" s="533" t="s">
        <v>1325</v>
      </c>
      <c r="R1177" s="534" t="str">
        <f t="shared" si="130"/>
        <v>9003</v>
      </c>
      <c r="S1177" s="534" t="str">
        <f t="shared" si="131"/>
        <v>横長B3</v>
      </c>
      <c r="T1177" s="538" t="str">
        <f t="shared" si="132"/>
        <v>90</v>
      </c>
      <c r="U1177" s="538" t="str">
        <f t="shared" si="133"/>
        <v>03</v>
      </c>
      <c r="V1177" s="471" t="s">
        <v>1136</v>
      </c>
      <c r="Y1177" s="472">
        <f t="shared" si="134"/>
        <v>0</v>
      </c>
      <c r="Z1177" s="540">
        <f t="shared" si="135"/>
        <v>0</v>
      </c>
      <c r="AA1177" s="471">
        <v>0</v>
      </c>
    </row>
    <row r="1178" spans="1:27">
      <c r="A1178" s="451" t="str">
        <f>CONCATENATE(VLOOKUP(B1178,★営業所!$A$1:$B$5,2,FALSE),VLOOKUP(D1178,★サイズ表記!$D$4:$E$55,2,FALSE),VLOOKUP(F1178,★折込地区!$A$1:$B$11,2,FALSE))</f>
        <v>S9004Shi</v>
      </c>
      <c r="B1178" s="457" t="s">
        <v>276</v>
      </c>
      <c r="C1178" s="452" t="str">
        <f>VLOOKUP(B1178,★営業所!$A$1:$B$5,2,FALSE)</f>
        <v>S</v>
      </c>
      <c r="D1178" s="465" t="s">
        <v>978</v>
      </c>
      <c r="E1178" s="452" t="str">
        <f>VLOOKUP(D1178,★サイズ表記!$D$4:$E$55,2,FALSE)</f>
        <v>9004</v>
      </c>
      <c r="F1178" s="457" t="s">
        <v>41</v>
      </c>
      <c r="G1178" s="452" t="str">
        <f>VLOOKUP(F1178,★折込地区!$A$1:$B$11,2,FALSE)</f>
        <v>Shi</v>
      </c>
      <c r="H1178" s="453">
        <f>INDEX(★サイズ表記!$I$4:$Q$55, MATCH(E1178,★サイズ表記!$E$4:$E$55,0), MATCH(G1178,★サイズ表記!$I$3:$R$3,0))</f>
        <v>0</v>
      </c>
      <c r="K1178" s="471" t="str">
        <f t="shared" si="128"/>
        <v>S9004Shi</v>
      </c>
      <c r="L1178" s="471" t="str">
        <f t="shared" si="129"/>
        <v>AD-BAG</v>
      </c>
      <c r="P1178" s="533" t="s">
        <v>1324</v>
      </c>
      <c r="Q1178" s="533" t="s">
        <v>1325</v>
      </c>
      <c r="R1178" s="534" t="str">
        <f t="shared" si="130"/>
        <v>9004</v>
      </c>
      <c r="S1178" s="534" t="str">
        <f t="shared" si="131"/>
        <v>AD-BAG</v>
      </c>
      <c r="T1178" s="538" t="str">
        <f t="shared" si="132"/>
        <v>90</v>
      </c>
      <c r="U1178" s="538" t="str">
        <f t="shared" si="133"/>
        <v>04</v>
      </c>
      <c r="V1178" s="471" t="s">
        <v>1136</v>
      </c>
      <c r="Y1178" s="472">
        <f t="shared" si="134"/>
        <v>0</v>
      </c>
      <c r="Z1178" s="540">
        <f t="shared" si="135"/>
        <v>0</v>
      </c>
      <c r="AA1178" s="471">
        <v>0</v>
      </c>
    </row>
    <row r="1179" spans="1:27">
      <c r="A1179" s="451" t="str">
        <f>CONCATENATE(VLOOKUP(B1179,★営業所!$A$1:$B$5,2,FALSE),VLOOKUP(D1179,★サイズ表記!$D$4:$E$55,2,FALSE),VLOOKUP(F1179,★折込地区!$A$1:$B$11,2,FALSE))</f>
        <v>S9005Shi</v>
      </c>
      <c r="B1179" s="457" t="s">
        <v>276</v>
      </c>
      <c r="C1179" s="452" t="str">
        <f>VLOOKUP(B1179,★営業所!$A$1:$B$5,2,FALSE)</f>
        <v>S</v>
      </c>
      <c r="D1179" s="465" t="s">
        <v>979</v>
      </c>
      <c r="E1179" s="452" t="str">
        <f>VLOOKUP(D1179,★サイズ表記!$D$4:$E$55,2,FALSE)</f>
        <v>9005</v>
      </c>
      <c r="F1179" s="457" t="s">
        <v>41</v>
      </c>
      <c r="G1179" s="452" t="str">
        <f>VLOOKUP(F1179,★折込地区!$A$1:$B$11,2,FALSE)</f>
        <v>Shi</v>
      </c>
      <c r="H1179" s="453">
        <f>INDEX(★サイズ表記!$I$4:$Q$55, MATCH(E1179,★サイズ表記!$E$4:$E$55,0), MATCH(G1179,★サイズ表記!$I$3:$R$3,0))</f>
        <v>0</v>
      </c>
      <c r="K1179" s="471" t="str">
        <f t="shared" si="128"/>
        <v>S9005Shi</v>
      </c>
      <c r="L1179" s="471" t="str">
        <f t="shared" si="129"/>
        <v>封筒</v>
      </c>
      <c r="P1179" s="533" t="s">
        <v>1324</v>
      </c>
      <c r="Q1179" s="533" t="s">
        <v>1325</v>
      </c>
      <c r="R1179" s="534" t="str">
        <f t="shared" si="130"/>
        <v>9005</v>
      </c>
      <c r="S1179" s="534" t="str">
        <f t="shared" si="131"/>
        <v>封筒</v>
      </c>
      <c r="T1179" s="538" t="str">
        <f t="shared" si="132"/>
        <v>90</v>
      </c>
      <c r="U1179" s="538" t="str">
        <f t="shared" si="133"/>
        <v>05</v>
      </c>
      <c r="V1179" s="471" t="s">
        <v>1136</v>
      </c>
      <c r="Y1179" s="472">
        <f t="shared" si="134"/>
        <v>0</v>
      </c>
      <c r="Z1179" s="540">
        <f t="shared" si="135"/>
        <v>0</v>
      </c>
      <c r="AA1179" s="471">
        <v>0</v>
      </c>
    </row>
    <row r="1180" spans="1:27">
      <c r="A1180" s="451" t="str">
        <f>CONCATENATE(VLOOKUP(B1180,★営業所!$A$1:$B$5,2,FALSE),VLOOKUP(D1180,★サイズ表記!$D$4:$E$55,2,FALSE),VLOOKUP(F1180,★折込地区!$A$1:$B$11,2,FALSE))</f>
        <v>S9006Shi</v>
      </c>
      <c r="B1180" s="457" t="s">
        <v>276</v>
      </c>
      <c r="C1180" s="452" t="str">
        <f>VLOOKUP(B1180,★営業所!$A$1:$B$5,2,FALSE)</f>
        <v>S</v>
      </c>
      <c r="D1180" s="465" t="s">
        <v>980</v>
      </c>
      <c r="E1180" s="452" t="str">
        <f>VLOOKUP(D1180,★サイズ表記!$D$4:$E$55,2,FALSE)</f>
        <v>9006</v>
      </c>
      <c r="F1180" s="457" t="s">
        <v>41</v>
      </c>
      <c r="G1180" s="452" t="str">
        <f>VLOOKUP(F1180,★折込地区!$A$1:$B$11,2,FALSE)</f>
        <v>Shi</v>
      </c>
      <c r="H1180" s="453">
        <f>INDEX(★サイズ表記!$I$4:$Q$55, MATCH(E1180,★サイズ表記!$E$4:$E$55,0), MATCH(G1180,★サイズ表記!$I$3:$R$3,0))</f>
        <v>0</v>
      </c>
      <c r="K1180" s="471" t="str">
        <f t="shared" si="128"/>
        <v>S9006Shi</v>
      </c>
      <c r="L1180" s="471" t="str">
        <f t="shared" si="129"/>
        <v>圧着</v>
      </c>
      <c r="P1180" s="533" t="s">
        <v>1324</v>
      </c>
      <c r="Q1180" s="533" t="s">
        <v>1325</v>
      </c>
      <c r="R1180" s="534" t="str">
        <f t="shared" si="130"/>
        <v>9006</v>
      </c>
      <c r="S1180" s="534" t="str">
        <f t="shared" si="131"/>
        <v>圧着</v>
      </c>
      <c r="T1180" s="538" t="str">
        <f t="shared" si="132"/>
        <v>90</v>
      </c>
      <c r="U1180" s="538" t="str">
        <f t="shared" si="133"/>
        <v>06</v>
      </c>
      <c r="V1180" s="471" t="s">
        <v>1136</v>
      </c>
      <c r="Y1180" s="472">
        <f t="shared" si="134"/>
        <v>0</v>
      </c>
      <c r="Z1180" s="540">
        <f t="shared" si="135"/>
        <v>0</v>
      </c>
      <c r="AA1180" s="471">
        <v>0</v>
      </c>
    </row>
    <row r="1181" spans="1:27">
      <c r="A1181" s="451" t="str">
        <f>CONCATENATE(VLOOKUP(B1181,★営業所!$A$1:$B$5,2,FALSE),VLOOKUP(D1181,★サイズ表記!$D$4:$E$55,2,FALSE),VLOOKUP(F1181,★折込地区!$A$1:$B$11,2,FALSE))</f>
        <v>S9007Shi</v>
      </c>
      <c r="B1181" s="457" t="s">
        <v>276</v>
      </c>
      <c r="C1181" s="452" t="str">
        <f>VLOOKUP(B1181,★営業所!$A$1:$B$5,2,FALSE)</f>
        <v>S</v>
      </c>
      <c r="D1181" s="465" t="s">
        <v>981</v>
      </c>
      <c r="E1181" s="452" t="str">
        <f>VLOOKUP(D1181,★サイズ表記!$D$4:$E$55,2,FALSE)</f>
        <v>9007</v>
      </c>
      <c r="F1181" s="457" t="s">
        <v>41</v>
      </c>
      <c r="G1181" s="452" t="str">
        <f>VLOOKUP(F1181,★折込地区!$A$1:$B$11,2,FALSE)</f>
        <v>Shi</v>
      </c>
      <c r="H1181" s="453">
        <f>INDEX(★サイズ表記!$I$4:$Q$55, MATCH(E1181,★サイズ表記!$E$4:$E$55,0), MATCH(G1181,★サイズ表記!$I$3:$R$3,0))</f>
        <v>0</v>
      </c>
      <c r="K1181" s="471" t="str">
        <f t="shared" si="128"/>
        <v>S9007Shi</v>
      </c>
      <c r="L1181" s="471" t="str">
        <f t="shared" si="129"/>
        <v>圧着厚紙</v>
      </c>
      <c r="P1181" s="533" t="s">
        <v>1324</v>
      </c>
      <c r="Q1181" s="533" t="s">
        <v>1325</v>
      </c>
      <c r="R1181" s="534" t="str">
        <f t="shared" si="130"/>
        <v>9007</v>
      </c>
      <c r="S1181" s="534" t="str">
        <f t="shared" si="131"/>
        <v>圧着厚紙</v>
      </c>
      <c r="T1181" s="538" t="str">
        <f t="shared" si="132"/>
        <v>90</v>
      </c>
      <c r="U1181" s="538" t="str">
        <f t="shared" si="133"/>
        <v>07</v>
      </c>
      <c r="V1181" s="471" t="s">
        <v>1136</v>
      </c>
      <c r="Y1181" s="472">
        <f t="shared" si="134"/>
        <v>0</v>
      </c>
      <c r="Z1181" s="540">
        <f t="shared" si="135"/>
        <v>0</v>
      </c>
      <c r="AA1181" s="471">
        <v>0</v>
      </c>
    </row>
    <row r="1182" spans="1:27">
      <c r="A1182" s="451" t="e">
        <f>CONCATENATE(VLOOKUP(B1182,★営業所!$A$1:$B$5,2,FALSE),VLOOKUP(D1182,★サイズ表記!$D$4:$E$55,2,FALSE),VLOOKUP(F1182,★折込地区!$A$1:$B$11,2,FALSE))</f>
        <v>#N/A</v>
      </c>
      <c r="B1182" s="457" t="s">
        <v>1242</v>
      </c>
      <c r="C1182" s="452" t="e">
        <f>VLOOKUP(B1182,★営業所!$A$1:$B$5,2,FALSE)</f>
        <v>#N/A</v>
      </c>
      <c r="D1182" s="465" t="s">
        <v>948</v>
      </c>
      <c r="E1182" s="452" t="str">
        <f>VLOOKUP(D1182,★サイズ表記!$D$4:$E$55,2,FALSE)</f>
        <v>1001</v>
      </c>
      <c r="F1182" s="457" t="s">
        <v>1242</v>
      </c>
      <c r="G1182" s="452" t="str">
        <f>VLOOKUP(F1182,★折込地区!$A$1:$B$11,2,FALSE)</f>
        <v>Osk</v>
      </c>
      <c r="H1182" s="453">
        <f>INDEX(★サイズ表記!$I$4:$Q$55, MATCH(E1182,★サイズ表記!$E$4:$E$55,0), MATCH(G1182,★サイズ表記!$I$3:$R$3,0))</f>
        <v>2.8</v>
      </c>
      <c r="K1182" s="471" t="e">
        <f t="shared" si="128"/>
        <v>#N/A</v>
      </c>
      <c r="L1182" s="471" t="str">
        <f t="shared" si="129"/>
        <v>B4（折り無し）</v>
      </c>
      <c r="P1182" s="533" t="s">
        <v>1324</v>
      </c>
      <c r="Q1182" s="533" t="s">
        <v>1325</v>
      </c>
      <c r="R1182" s="534" t="str">
        <f t="shared" si="130"/>
        <v>1001</v>
      </c>
      <c r="S1182" s="534" t="str">
        <f t="shared" si="131"/>
        <v>B4（折り無し）</v>
      </c>
      <c r="T1182" s="538" t="str">
        <f t="shared" si="132"/>
        <v>10</v>
      </c>
      <c r="U1182" s="538" t="str">
        <f t="shared" si="133"/>
        <v>01</v>
      </c>
      <c r="V1182" s="471" t="s">
        <v>1136</v>
      </c>
      <c r="Y1182" s="472">
        <f t="shared" si="134"/>
        <v>2.8</v>
      </c>
      <c r="Z1182" s="540">
        <f t="shared" si="135"/>
        <v>0.22</v>
      </c>
      <c r="AA1182" s="471">
        <v>0</v>
      </c>
    </row>
    <row r="1183" spans="1:27">
      <c r="A1183" s="451" t="e">
        <f>CONCATENATE(VLOOKUP(B1183,★営業所!$A$1:$B$5,2,FALSE),VLOOKUP(D1183,★サイズ表記!$D$4:$E$55,2,FALSE),VLOOKUP(F1183,★折込地区!$A$1:$B$11,2,FALSE))</f>
        <v>#N/A</v>
      </c>
      <c r="B1183" s="457" t="s">
        <v>1242</v>
      </c>
      <c r="C1183" s="452" t="e">
        <f>VLOOKUP(B1183,★営業所!$A$1:$B$5,2,FALSE)</f>
        <v>#N/A</v>
      </c>
      <c r="D1183" s="465" t="s">
        <v>950</v>
      </c>
      <c r="E1183" s="452" t="str">
        <f>VLOOKUP(D1183,★サイズ表記!$D$4:$E$55,2,FALSE)</f>
        <v>1002</v>
      </c>
      <c r="F1183" s="457" t="s">
        <v>1242</v>
      </c>
      <c r="G1183" s="452" t="str">
        <f>VLOOKUP(F1183,★折込地区!$A$1:$B$11,2,FALSE)</f>
        <v>Osk</v>
      </c>
      <c r="H1183" s="453">
        <f>INDEX(★サイズ表記!$I$4:$Q$55, MATCH(E1183,★サイズ表記!$E$4:$E$55,0), MATCH(G1183,★サイズ表記!$I$3:$R$3,0))</f>
        <v>4.2</v>
      </c>
      <c r="K1183" s="471" t="e">
        <f t="shared" si="128"/>
        <v>#N/A</v>
      </c>
      <c r="L1183" s="471" t="str">
        <f t="shared" si="129"/>
        <v>B3（2つ折り）</v>
      </c>
      <c r="P1183" s="533" t="s">
        <v>1324</v>
      </c>
      <c r="Q1183" s="533" t="s">
        <v>1325</v>
      </c>
      <c r="R1183" s="534" t="str">
        <f t="shared" si="130"/>
        <v>1002</v>
      </c>
      <c r="S1183" s="534" t="str">
        <f t="shared" si="131"/>
        <v>B3（2つ折り）</v>
      </c>
      <c r="T1183" s="538" t="str">
        <f t="shared" si="132"/>
        <v>10</v>
      </c>
      <c r="U1183" s="538" t="str">
        <f t="shared" si="133"/>
        <v>02</v>
      </c>
      <c r="V1183" s="471" t="s">
        <v>1136</v>
      </c>
      <c r="Y1183" s="472">
        <f t="shared" si="134"/>
        <v>4.2</v>
      </c>
      <c r="Z1183" s="540">
        <f t="shared" si="135"/>
        <v>0.33</v>
      </c>
      <c r="AA1183" s="471">
        <v>0</v>
      </c>
    </row>
    <row r="1184" spans="1:27">
      <c r="A1184" s="451" t="e">
        <f>CONCATENATE(VLOOKUP(B1184,★営業所!$A$1:$B$5,2,FALSE),VLOOKUP(D1184,★サイズ表記!$D$4:$E$55,2,FALSE),VLOOKUP(F1184,★折込地区!$A$1:$B$11,2,FALSE))</f>
        <v>#N/A</v>
      </c>
      <c r="B1184" s="457" t="s">
        <v>1242</v>
      </c>
      <c r="C1184" s="452" t="e">
        <f>VLOOKUP(B1184,★営業所!$A$1:$B$5,2,FALSE)</f>
        <v>#N/A</v>
      </c>
      <c r="D1184" s="465" t="s">
        <v>951</v>
      </c>
      <c r="E1184" s="452" t="str">
        <f>VLOOKUP(D1184,★サイズ表記!$D$4:$E$55,2,FALSE)</f>
        <v>1003</v>
      </c>
      <c r="F1184" s="457" t="s">
        <v>1242</v>
      </c>
      <c r="G1184" s="452" t="str">
        <f>VLOOKUP(F1184,★折込地区!$A$1:$B$11,2,FALSE)</f>
        <v>Osk</v>
      </c>
      <c r="H1184" s="453">
        <f>INDEX(★サイズ表記!$I$4:$Q$55, MATCH(E1184,★サイズ表記!$E$4:$E$55,0), MATCH(G1184,★サイズ表記!$I$3:$R$3,0))</f>
        <v>0</v>
      </c>
      <c r="K1184" s="471" t="e">
        <f t="shared" si="128"/>
        <v>#N/A</v>
      </c>
      <c r="L1184" s="471" t="str">
        <f t="shared" si="129"/>
        <v>3つ折り</v>
      </c>
      <c r="P1184" s="533" t="s">
        <v>1324</v>
      </c>
      <c r="Q1184" s="533" t="s">
        <v>1325</v>
      </c>
      <c r="R1184" s="534" t="str">
        <f t="shared" si="130"/>
        <v>1003</v>
      </c>
      <c r="S1184" s="534" t="str">
        <f t="shared" si="131"/>
        <v>3つ折り</v>
      </c>
      <c r="T1184" s="538" t="str">
        <f t="shared" si="132"/>
        <v>10</v>
      </c>
      <c r="U1184" s="538" t="str">
        <f t="shared" si="133"/>
        <v>03</v>
      </c>
      <c r="V1184" s="471" t="s">
        <v>1136</v>
      </c>
      <c r="Y1184" s="472">
        <f t="shared" si="134"/>
        <v>0</v>
      </c>
      <c r="Z1184" s="540">
        <f t="shared" si="135"/>
        <v>0</v>
      </c>
      <c r="AA1184" s="471">
        <v>0</v>
      </c>
    </row>
    <row r="1185" spans="1:27">
      <c r="A1185" s="451" t="e">
        <f>CONCATENATE(VLOOKUP(B1185,★営業所!$A$1:$B$5,2,FALSE),VLOOKUP(D1185,★サイズ表記!$D$4:$E$55,2,FALSE),VLOOKUP(F1185,★折込地区!$A$1:$B$11,2,FALSE))</f>
        <v>#N/A</v>
      </c>
      <c r="B1185" s="457" t="s">
        <v>1242</v>
      </c>
      <c r="C1185" s="452" t="e">
        <f>VLOOKUP(B1185,★営業所!$A$1:$B$5,2,FALSE)</f>
        <v>#N/A</v>
      </c>
      <c r="D1185" s="465" t="s">
        <v>947</v>
      </c>
      <c r="E1185" s="452" t="str">
        <f>VLOOKUP(D1185,★サイズ表記!$D$4:$E$55,2,FALSE)</f>
        <v>1004</v>
      </c>
      <c r="F1185" s="457" t="s">
        <v>1242</v>
      </c>
      <c r="G1185" s="452" t="str">
        <f>VLOOKUP(F1185,★折込地区!$A$1:$B$11,2,FALSE)</f>
        <v>Osk</v>
      </c>
      <c r="H1185" s="453">
        <f>INDEX(★サイズ表記!$I$4:$Q$55, MATCH(E1185,★サイズ表記!$E$4:$E$55,0), MATCH(G1185,★サイズ表記!$I$3:$R$3,0))</f>
        <v>0</v>
      </c>
      <c r="K1185" s="471" t="e">
        <f t="shared" si="128"/>
        <v>#N/A</v>
      </c>
      <c r="L1185" s="471" t="str">
        <f t="shared" si="129"/>
        <v>観音折</v>
      </c>
      <c r="P1185" s="533" t="s">
        <v>1324</v>
      </c>
      <c r="Q1185" s="533" t="s">
        <v>1325</v>
      </c>
      <c r="R1185" s="534" t="str">
        <f t="shared" si="130"/>
        <v>1004</v>
      </c>
      <c r="S1185" s="534" t="str">
        <f t="shared" si="131"/>
        <v>観音折</v>
      </c>
      <c r="T1185" s="538" t="str">
        <f t="shared" si="132"/>
        <v>10</v>
      </c>
      <c r="U1185" s="538" t="str">
        <f t="shared" si="133"/>
        <v>04</v>
      </c>
      <c r="V1185" s="471" t="s">
        <v>1136</v>
      </c>
      <c r="Y1185" s="472">
        <f t="shared" si="134"/>
        <v>0</v>
      </c>
      <c r="Z1185" s="540">
        <f t="shared" si="135"/>
        <v>0</v>
      </c>
      <c r="AA1185" s="471">
        <v>0</v>
      </c>
    </row>
    <row r="1186" spans="1:27">
      <c r="A1186" s="451" t="e">
        <f>CONCATENATE(VLOOKUP(B1186,★営業所!$A$1:$B$5,2,FALSE),VLOOKUP(D1186,★サイズ表記!$D$4:$E$55,2,FALSE),VLOOKUP(F1186,★折込地区!$A$1:$B$11,2,FALSE))</f>
        <v>#N/A</v>
      </c>
      <c r="B1186" s="457" t="s">
        <v>1242</v>
      </c>
      <c r="C1186" s="452" t="e">
        <f>VLOOKUP(B1186,★営業所!$A$1:$B$5,2,FALSE)</f>
        <v>#N/A</v>
      </c>
      <c r="D1186" s="465" t="s">
        <v>952</v>
      </c>
      <c r="E1186" s="452" t="str">
        <f>VLOOKUP(D1186,★サイズ表記!$D$4:$E$55,2,FALSE)</f>
        <v>1005</v>
      </c>
      <c r="F1186" s="457" t="s">
        <v>1242</v>
      </c>
      <c r="G1186" s="452" t="str">
        <f>VLOOKUP(F1186,★折込地区!$A$1:$B$11,2,FALSE)</f>
        <v>Osk</v>
      </c>
      <c r="H1186" s="453">
        <f>INDEX(★サイズ表記!$I$4:$Q$55, MATCH(E1186,★サイズ表記!$E$4:$E$55,0), MATCH(G1186,★サイズ表記!$I$3:$R$3,0))</f>
        <v>7</v>
      </c>
      <c r="K1186" s="471" t="e">
        <f t="shared" si="128"/>
        <v>#N/A</v>
      </c>
      <c r="L1186" s="471" t="str">
        <f t="shared" si="129"/>
        <v>B2（4つ折り）</v>
      </c>
      <c r="P1186" s="533" t="s">
        <v>1324</v>
      </c>
      <c r="Q1186" s="533" t="s">
        <v>1325</v>
      </c>
      <c r="R1186" s="534" t="str">
        <f t="shared" si="130"/>
        <v>1005</v>
      </c>
      <c r="S1186" s="534" t="str">
        <f t="shared" si="131"/>
        <v>B2（4つ折り）</v>
      </c>
      <c r="T1186" s="538" t="str">
        <f t="shared" si="132"/>
        <v>10</v>
      </c>
      <c r="U1186" s="538" t="str">
        <f t="shared" si="133"/>
        <v>05</v>
      </c>
      <c r="V1186" s="471" t="s">
        <v>1136</v>
      </c>
      <c r="Y1186" s="472">
        <f t="shared" si="134"/>
        <v>7</v>
      </c>
      <c r="Z1186" s="540">
        <f t="shared" si="135"/>
        <v>0.56000000000000005</v>
      </c>
      <c r="AA1186" s="471">
        <v>0</v>
      </c>
    </row>
    <row r="1187" spans="1:27">
      <c r="A1187" s="451" t="e">
        <f>CONCATENATE(VLOOKUP(B1187,★営業所!$A$1:$B$5,2,FALSE),VLOOKUP(D1187,★サイズ表記!$D$4:$E$55,2,FALSE),VLOOKUP(F1187,★折込地区!$A$1:$B$11,2,FALSE))</f>
        <v>#N/A</v>
      </c>
      <c r="B1187" s="457" t="s">
        <v>1242</v>
      </c>
      <c r="C1187" s="452" t="e">
        <f>VLOOKUP(B1187,★営業所!$A$1:$B$5,2,FALSE)</f>
        <v>#N/A</v>
      </c>
      <c r="D1187" s="465" t="s">
        <v>955</v>
      </c>
      <c r="E1187" s="452" t="str">
        <f>VLOOKUP(D1187,★サイズ表記!$D$4:$E$55,2,FALSE)</f>
        <v>1006</v>
      </c>
      <c r="F1187" s="457" t="s">
        <v>1242</v>
      </c>
      <c r="G1187" s="452" t="str">
        <f>VLOOKUP(F1187,★折込地区!$A$1:$B$11,2,FALSE)</f>
        <v>Osk</v>
      </c>
      <c r="H1187" s="453">
        <f>INDEX(★サイズ表記!$I$4:$Q$55, MATCH(E1187,★サイズ表記!$E$4:$E$55,0), MATCH(G1187,★サイズ表記!$I$3:$R$3,0))</f>
        <v>0</v>
      </c>
      <c r="K1187" s="471" t="e">
        <f t="shared" si="128"/>
        <v>#N/A</v>
      </c>
      <c r="L1187" s="471" t="str">
        <f t="shared" si="129"/>
        <v>B1（8折り）</v>
      </c>
      <c r="P1187" s="533" t="s">
        <v>1324</v>
      </c>
      <c r="Q1187" s="533" t="s">
        <v>1325</v>
      </c>
      <c r="R1187" s="534" t="str">
        <f t="shared" si="130"/>
        <v>1006</v>
      </c>
      <c r="S1187" s="534" t="str">
        <f t="shared" si="131"/>
        <v>B1（8折り）</v>
      </c>
      <c r="T1187" s="538" t="str">
        <f t="shared" si="132"/>
        <v>10</v>
      </c>
      <c r="U1187" s="538" t="str">
        <f t="shared" si="133"/>
        <v>06</v>
      </c>
      <c r="V1187" s="471" t="s">
        <v>1136</v>
      </c>
      <c r="Y1187" s="472">
        <f t="shared" si="134"/>
        <v>0</v>
      </c>
      <c r="Z1187" s="540">
        <f t="shared" si="135"/>
        <v>0</v>
      </c>
      <c r="AA1187" s="471">
        <v>0</v>
      </c>
    </row>
    <row r="1188" spans="1:27">
      <c r="A1188" s="451" t="e">
        <f>CONCATENATE(VLOOKUP(B1188,★営業所!$A$1:$B$5,2,FALSE),VLOOKUP(D1188,★サイズ表記!$D$4:$E$55,2,FALSE),VLOOKUP(F1188,★折込地区!$A$1:$B$11,2,FALSE))</f>
        <v>#N/A</v>
      </c>
      <c r="B1188" s="457" t="s">
        <v>1242</v>
      </c>
      <c r="C1188" s="452" t="e">
        <f>VLOOKUP(B1188,★営業所!$A$1:$B$5,2,FALSE)</f>
        <v>#N/A</v>
      </c>
      <c r="D1188" s="465" t="s">
        <v>956</v>
      </c>
      <c r="E1188" s="452" t="str">
        <f>VLOOKUP(D1188,★サイズ表記!$D$4:$E$55,2,FALSE)</f>
        <v>1007</v>
      </c>
      <c r="F1188" s="457" t="s">
        <v>1242</v>
      </c>
      <c r="G1188" s="452" t="str">
        <f>VLOOKUP(F1188,★折込地区!$A$1:$B$11,2,FALSE)</f>
        <v>Osk</v>
      </c>
      <c r="H1188" s="453">
        <f>INDEX(★サイズ表記!$I$4:$Q$55, MATCH(E1188,★サイズ表記!$E$4:$E$55,0), MATCH(G1188,★サイズ表記!$I$3:$R$3,0))</f>
        <v>0</v>
      </c>
      <c r="K1188" s="471" t="e">
        <f t="shared" si="128"/>
        <v>#N/A</v>
      </c>
      <c r="L1188" s="471" t="str">
        <f t="shared" si="129"/>
        <v>B4厚紙</v>
      </c>
      <c r="P1188" s="533" t="s">
        <v>1324</v>
      </c>
      <c r="Q1188" s="533" t="s">
        <v>1325</v>
      </c>
      <c r="R1188" s="534" t="str">
        <f t="shared" si="130"/>
        <v>1007</v>
      </c>
      <c r="S1188" s="534" t="str">
        <f t="shared" si="131"/>
        <v>B4厚紙</v>
      </c>
      <c r="T1188" s="538" t="str">
        <f t="shared" si="132"/>
        <v>10</v>
      </c>
      <c r="U1188" s="538" t="str">
        <f t="shared" si="133"/>
        <v>07</v>
      </c>
      <c r="V1188" s="471" t="s">
        <v>1136</v>
      </c>
      <c r="Y1188" s="472">
        <f t="shared" si="134"/>
        <v>0</v>
      </c>
      <c r="Z1188" s="540">
        <f t="shared" si="135"/>
        <v>0</v>
      </c>
      <c r="AA1188" s="471">
        <v>0</v>
      </c>
    </row>
    <row r="1189" spans="1:27">
      <c r="A1189" s="451" t="e">
        <f>CONCATENATE(VLOOKUP(B1189,★営業所!$A$1:$B$5,2,FALSE),VLOOKUP(D1189,★サイズ表記!$D$4:$E$55,2,FALSE),VLOOKUP(F1189,★折込地区!$A$1:$B$11,2,FALSE))</f>
        <v>#N/A</v>
      </c>
      <c r="B1189" s="457" t="s">
        <v>1242</v>
      </c>
      <c r="C1189" s="452" t="e">
        <f>VLOOKUP(B1189,★営業所!$A$1:$B$5,2,FALSE)</f>
        <v>#N/A</v>
      </c>
      <c r="D1189" s="465" t="s">
        <v>957</v>
      </c>
      <c r="E1189" s="452" t="str">
        <f>VLOOKUP(D1189,★サイズ表記!$D$4:$E$55,2,FALSE)</f>
        <v>1008</v>
      </c>
      <c r="F1189" s="457" t="s">
        <v>1242</v>
      </c>
      <c r="G1189" s="452" t="str">
        <f>VLOOKUP(F1189,★折込地区!$A$1:$B$11,2,FALSE)</f>
        <v>Osk</v>
      </c>
      <c r="H1189" s="453">
        <f>INDEX(★サイズ表記!$I$4:$Q$55, MATCH(E1189,★サイズ表記!$E$4:$E$55,0), MATCH(G1189,★サイズ表記!$I$3:$R$3,0))</f>
        <v>0</v>
      </c>
      <c r="K1189" s="471" t="e">
        <f t="shared" si="128"/>
        <v>#N/A</v>
      </c>
      <c r="L1189" s="471" t="str">
        <f t="shared" si="129"/>
        <v>B3厚紙</v>
      </c>
      <c r="P1189" s="533" t="s">
        <v>1324</v>
      </c>
      <c r="Q1189" s="533" t="s">
        <v>1325</v>
      </c>
      <c r="R1189" s="534" t="str">
        <f t="shared" si="130"/>
        <v>1008</v>
      </c>
      <c r="S1189" s="534" t="str">
        <f t="shared" si="131"/>
        <v>B3厚紙</v>
      </c>
      <c r="T1189" s="538" t="str">
        <f t="shared" si="132"/>
        <v>10</v>
      </c>
      <c r="U1189" s="538" t="str">
        <f t="shared" si="133"/>
        <v>08</v>
      </c>
      <c r="V1189" s="471" t="s">
        <v>1136</v>
      </c>
      <c r="Y1189" s="472">
        <f t="shared" si="134"/>
        <v>0</v>
      </c>
      <c r="Z1189" s="540">
        <f t="shared" si="135"/>
        <v>0</v>
      </c>
      <c r="AA1189" s="471">
        <v>0</v>
      </c>
    </row>
    <row r="1190" spans="1:27">
      <c r="A1190" s="451" t="e">
        <f>CONCATENATE(VLOOKUP(B1190,★営業所!$A$1:$B$5,2,FALSE),VLOOKUP(D1190,★サイズ表記!$D$4:$E$55,2,FALSE),VLOOKUP(F1190,★折込地区!$A$1:$B$11,2,FALSE))</f>
        <v>#N/A</v>
      </c>
      <c r="B1190" s="457" t="s">
        <v>1242</v>
      </c>
      <c r="C1190" s="452" t="e">
        <f>VLOOKUP(B1190,★営業所!$A$1:$B$5,2,FALSE)</f>
        <v>#N/A</v>
      </c>
      <c r="D1190" s="465" t="s">
        <v>958</v>
      </c>
      <c r="E1190" s="452" t="str">
        <f>VLOOKUP(D1190,★サイズ表記!$D$4:$E$55,2,FALSE)</f>
        <v>1009</v>
      </c>
      <c r="F1190" s="457" t="s">
        <v>1242</v>
      </c>
      <c r="G1190" s="452" t="str">
        <f>VLOOKUP(F1190,★折込地区!$A$1:$B$11,2,FALSE)</f>
        <v>Osk</v>
      </c>
      <c r="H1190" s="453">
        <f>INDEX(★サイズ表記!$I$4:$Q$55, MATCH(E1190,★サイズ表記!$E$4:$E$55,0), MATCH(G1190,★サイズ表記!$I$3:$R$3,0))</f>
        <v>0</v>
      </c>
      <c r="K1190" s="471" t="e">
        <f t="shared" si="128"/>
        <v>#N/A</v>
      </c>
      <c r="L1190" s="471" t="str">
        <f t="shared" si="129"/>
        <v>B2厚紙</v>
      </c>
      <c r="P1190" s="533" t="s">
        <v>1324</v>
      </c>
      <c r="Q1190" s="533" t="s">
        <v>1325</v>
      </c>
      <c r="R1190" s="534" t="str">
        <f t="shared" si="130"/>
        <v>1009</v>
      </c>
      <c r="S1190" s="534" t="str">
        <f t="shared" si="131"/>
        <v>B2厚紙</v>
      </c>
      <c r="T1190" s="538" t="str">
        <f t="shared" si="132"/>
        <v>10</v>
      </c>
      <c r="U1190" s="538" t="str">
        <f t="shared" si="133"/>
        <v>09</v>
      </c>
      <c r="V1190" s="471" t="s">
        <v>1136</v>
      </c>
      <c r="Y1190" s="472">
        <f t="shared" si="134"/>
        <v>0</v>
      </c>
      <c r="Z1190" s="540">
        <f t="shared" si="135"/>
        <v>0</v>
      </c>
      <c r="AA1190" s="471">
        <v>0</v>
      </c>
    </row>
    <row r="1191" spans="1:27">
      <c r="A1191" s="451" t="e">
        <f>CONCATENATE(VLOOKUP(B1191,★営業所!$A$1:$B$5,2,FALSE),VLOOKUP(D1191,★サイズ表記!$D$4:$E$55,2,FALSE),VLOOKUP(F1191,★折込地区!$A$1:$B$11,2,FALSE))</f>
        <v>#N/A</v>
      </c>
      <c r="B1191" s="457" t="s">
        <v>1242</v>
      </c>
      <c r="C1191" s="452" t="e">
        <f>VLOOKUP(B1191,★営業所!$A$1:$B$5,2,FALSE)</f>
        <v>#N/A</v>
      </c>
      <c r="D1191" s="465" t="s">
        <v>959</v>
      </c>
      <c r="E1191" s="452" t="str">
        <f>VLOOKUP(D1191,★サイズ表記!$D$4:$E$55,2,FALSE)</f>
        <v>1010</v>
      </c>
      <c r="F1191" s="457" t="s">
        <v>1242</v>
      </c>
      <c r="G1191" s="452" t="str">
        <f>VLOOKUP(F1191,★折込地区!$A$1:$B$11,2,FALSE)</f>
        <v>Osk</v>
      </c>
      <c r="H1191" s="453">
        <f>INDEX(★サイズ表記!$I$4:$Q$55, MATCH(E1191,★サイズ表記!$E$4:$E$55,0), MATCH(G1191,★サイズ表記!$I$3:$R$3,0))</f>
        <v>0</v>
      </c>
      <c r="K1191" s="471" t="e">
        <f t="shared" si="128"/>
        <v>#N/A</v>
      </c>
      <c r="L1191" s="471" t="str">
        <f t="shared" si="129"/>
        <v>B4以下変形</v>
      </c>
      <c r="P1191" s="533" t="s">
        <v>1324</v>
      </c>
      <c r="Q1191" s="533" t="s">
        <v>1325</v>
      </c>
      <c r="R1191" s="534" t="str">
        <f t="shared" si="130"/>
        <v>1010</v>
      </c>
      <c r="S1191" s="534" t="str">
        <f t="shared" si="131"/>
        <v>B4以下変形</v>
      </c>
      <c r="T1191" s="538" t="str">
        <f t="shared" si="132"/>
        <v>10</v>
      </c>
      <c r="U1191" s="538" t="str">
        <f t="shared" si="133"/>
        <v>10</v>
      </c>
      <c r="V1191" s="471" t="s">
        <v>1136</v>
      </c>
      <c r="Y1191" s="472">
        <f t="shared" si="134"/>
        <v>0</v>
      </c>
      <c r="Z1191" s="540">
        <f t="shared" si="135"/>
        <v>0</v>
      </c>
      <c r="AA1191" s="471">
        <v>0</v>
      </c>
    </row>
    <row r="1192" spans="1:27">
      <c r="A1192" s="451" t="e">
        <f>CONCATENATE(VLOOKUP(B1192,★営業所!$A$1:$B$5,2,FALSE),VLOOKUP(D1192,★サイズ表記!$D$4:$E$55,2,FALSE),VLOOKUP(F1192,★折込地区!$A$1:$B$11,2,FALSE))</f>
        <v>#N/A</v>
      </c>
      <c r="B1192" s="457" t="s">
        <v>1242</v>
      </c>
      <c r="C1192" s="452" t="e">
        <f>VLOOKUP(B1192,★営業所!$A$1:$B$5,2,FALSE)</f>
        <v>#N/A</v>
      </c>
      <c r="D1192" s="465" t="s">
        <v>960</v>
      </c>
      <c r="E1192" s="452" t="str">
        <f>VLOOKUP(D1192,★サイズ表記!$D$4:$E$55,2,FALSE)</f>
        <v>1011</v>
      </c>
      <c r="F1192" s="457" t="s">
        <v>1242</v>
      </c>
      <c r="G1192" s="452" t="str">
        <f>VLOOKUP(F1192,★折込地区!$A$1:$B$11,2,FALSE)</f>
        <v>Osk</v>
      </c>
      <c r="H1192" s="453">
        <f>INDEX(★サイズ表記!$I$4:$Q$55, MATCH(E1192,★サイズ表記!$E$4:$E$55,0), MATCH(G1192,★サイズ表記!$I$3:$R$3,0))</f>
        <v>0</v>
      </c>
      <c r="K1192" s="471" t="e">
        <f t="shared" si="128"/>
        <v>#N/A</v>
      </c>
      <c r="L1192" s="471" t="str">
        <f t="shared" si="129"/>
        <v>B4シール付き</v>
      </c>
      <c r="P1192" s="533" t="s">
        <v>1324</v>
      </c>
      <c r="Q1192" s="533" t="s">
        <v>1325</v>
      </c>
      <c r="R1192" s="534" t="str">
        <f t="shared" si="130"/>
        <v>1011</v>
      </c>
      <c r="S1192" s="534" t="str">
        <f t="shared" si="131"/>
        <v>B4シール付き</v>
      </c>
      <c r="T1192" s="538" t="str">
        <f t="shared" si="132"/>
        <v>10</v>
      </c>
      <c r="U1192" s="538" t="str">
        <f t="shared" si="133"/>
        <v>11</v>
      </c>
      <c r="V1192" s="471" t="s">
        <v>1136</v>
      </c>
      <c r="Y1192" s="472">
        <f t="shared" si="134"/>
        <v>0</v>
      </c>
      <c r="Z1192" s="540">
        <f t="shared" si="135"/>
        <v>0</v>
      </c>
      <c r="AA1192" s="471">
        <v>0</v>
      </c>
    </row>
    <row r="1193" spans="1:27">
      <c r="A1193" s="451" t="e">
        <f>CONCATENATE(VLOOKUP(B1193,★営業所!$A$1:$B$5,2,FALSE),VLOOKUP(D1193,★サイズ表記!$D$4:$E$55,2,FALSE),VLOOKUP(F1193,★折込地区!$A$1:$B$11,2,FALSE))</f>
        <v>#N/A</v>
      </c>
      <c r="B1193" s="457" t="s">
        <v>1242</v>
      </c>
      <c r="C1193" s="452" t="e">
        <f>VLOOKUP(B1193,★営業所!$A$1:$B$5,2,FALSE)</f>
        <v>#N/A</v>
      </c>
      <c r="D1193" s="465" t="s">
        <v>961</v>
      </c>
      <c r="E1193" s="452" t="str">
        <f>VLOOKUP(D1193,★サイズ表記!$D$4:$E$55,2,FALSE)</f>
        <v>1012</v>
      </c>
      <c r="F1193" s="457" t="s">
        <v>1242</v>
      </c>
      <c r="G1193" s="452" t="str">
        <f>VLOOKUP(F1193,★折込地区!$A$1:$B$11,2,FALSE)</f>
        <v>Osk</v>
      </c>
      <c r="H1193" s="453">
        <f>INDEX(★サイズ表記!$I$4:$Q$55, MATCH(E1193,★サイズ表記!$E$4:$E$55,0), MATCH(G1193,★サイズ表記!$I$3:$R$3,0))</f>
        <v>0</v>
      </c>
      <c r="K1193" s="471" t="e">
        <f t="shared" si="128"/>
        <v>#N/A</v>
      </c>
      <c r="L1193" s="471" t="str">
        <f t="shared" si="129"/>
        <v>B3シール付き</v>
      </c>
      <c r="P1193" s="533" t="s">
        <v>1324</v>
      </c>
      <c r="Q1193" s="533" t="s">
        <v>1325</v>
      </c>
      <c r="R1193" s="534" t="str">
        <f t="shared" si="130"/>
        <v>1012</v>
      </c>
      <c r="S1193" s="534" t="str">
        <f t="shared" si="131"/>
        <v>B3シール付き</v>
      </c>
      <c r="T1193" s="538" t="str">
        <f t="shared" si="132"/>
        <v>10</v>
      </c>
      <c r="U1193" s="538" t="str">
        <f t="shared" si="133"/>
        <v>12</v>
      </c>
      <c r="V1193" s="471" t="s">
        <v>1136</v>
      </c>
      <c r="Y1193" s="472">
        <f t="shared" si="134"/>
        <v>0</v>
      </c>
      <c r="Z1193" s="540">
        <f t="shared" si="135"/>
        <v>0</v>
      </c>
      <c r="AA1193" s="471">
        <v>0</v>
      </c>
    </row>
    <row r="1194" spans="1:27">
      <c r="A1194" s="451" t="e">
        <f>CONCATENATE(VLOOKUP(B1194,★営業所!$A$1:$B$5,2,FALSE),VLOOKUP(D1194,★サイズ表記!$D$4:$E$55,2,FALSE),VLOOKUP(F1194,★折込地区!$A$1:$B$11,2,FALSE))</f>
        <v>#N/A</v>
      </c>
      <c r="B1194" s="457" t="s">
        <v>1242</v>
      </c>
      <c r="C1194" s="452" t="e">
        <f>VLOOKUP(B1194,★営業所!$A$1:$B$5,2,FALSE)</f>
        <v>#N/A</v>
      </c>
      <c r="D1194" s="465" t="s">
        <v>962</v>
      </c>
      <c r="E1194" s="452" t="str">
        <f>VLOOKUP(D1194,★サイズ表記!$D$4:$E$55,2,FALSE)</f>
        <v>1013</v>
      </c>
      <c r="F1194" s="457" t="s">
        <v>1242</v>
      </c>
      <c r="G1194" s="452" t="str">
        <f>VLOOKUP(F1194,★折込地区!$A$1:$B$11,2,FALSE)</f>
        <v>Osk</v>
      </c>
      <c r="H1194" s="453">
        <f>INDEX(★サイズ表記!$I$4:$Q$55, MATCH(E1194,★サイズ表記!$E$4:$E$55,0), MATCH(G1194,★サイズ表記!$I$3:$R$3,0))</f>
        <v>0</v>
      </c>
      <c r="K1194" s="471" t="e">
        <f t="shared" si="128"/>
        <v>#N/A</v>
      </c>
      <c r="L1194" s="471" t="str">
        <f t="shared" si="129"/>
        <v>B4スクラッチ付き</v>
      </c>
      <c r="P1194" s="533" t="s">
        <v>1324</v>
      </c>
      <c r="Q1194" s="533" t="s">
        <v>1325</v>
      </c>
      <c r="R1194" s="534" t="str">
        <f t="shared" si="130"/>
        <v>1013</v>
      </c>
      <c r="S1194" s="534" t="str">
        <f t="shared" si="131"/>
        <v>B4スクラッチ付き</v>
      </c>
      <c r="T1194" s="538" t="str">
        <f t="shared" si="132"/>
        <v>10</v>
      </c>
      <c r="U1194" s="538" t="str">
        <f t="shared" si="133"/>
        <v>13</v>
      </c>
      <c r="V1194" s="471" t="s">
        <v>1136</v>
      </c>
      <c r="Y1194" s="472">
        <f t="shared" si="134"/>
        <v>0</v>
      </c>
      <c r="Z1194" s="540">
        <f t="shared" si="135"/>
        <v>0</v>
      </c>
      <c r="AA1194" s="471">
        <v>0</v>
      </c>
    </row>
    <row r="1195" spans="1:27">
      <c r="A1195" s="451" t="e">
        <f>CONCATENATE(VLOOKUP(B1195,★営業所!$A$1:$B$5,2,FALSE),VLOOKUP(D1195,★サイズ表記!$D$4:$E$55,2,FALSE),VLOOKUP(F1195,★折込地区!$A$1:$B$11,2,FALSE))</f>
        <v>#N/A</v>
      </c>
      <c r="B1195" s="457" t="s">
        <v>1242</v>
      </c>
      <c r="C1195" s="452" t="e">
        <f>VLOOKUP(B1195,★営業所!$A$1:$B$5,2,FALSE)</f>
        <v>#N/A</v>
      </c>
      <c r="D1195" s="465" t="s">
        <v>963</v>
      </c>
      <c r="E1195" s="452" t="str">
        <f>VLOOKUP(D1195,★サイズ表記!$D$4:$E$55,2,FALSE)</f>
        <v>2001</v>
      </c>
      <c r="F1195" s="457" t="s">
        <v>1242</v>
      </c>
      <c r="G1195" s="452" t="str">
        <f>VLOOKUP(F1195,★折込地区!$A$1:$B$11,2,FALSE)</f>
        <v>Osk</v>
      </c>
      <c r="H1195" s="453">
        <f>INDEX(★サイズ表記!$I$4:$Q$55, MATCH(E1195,★サイズ表記!$E$4:$E$55,0), MATCH(G1195,★サイズ表記!$I$3:$R$3,0))</f>
        <v>0</v>
      </c>
      <c r="K1195" s="471" t="e">
        <f t="shared" si="128"/>
        <v>#N/A</v>
      </c>
      <c r="L1195" s="471" t="str">
        <f t="shared" si="129"/>
        <v>連合B4</v>
      </c>
      <c r="P1195" s="533" t="s">
        <v>1324</v>
      </c>
      <c r="Q1195" s="533" t="s">
        <v>1325</v>
      </c>
      <c r="R1195" s="534" t="str">
        <f t="shared" si="130"/>
        <v>2001</v>
      </c>
      <c r="S1195" s="534" t="str">
        <f t="shared" si="131"/>
        <v>連合B4</v>
      </c>
      <c r="T1195" s="538" t="str">
        <f t="shared" si="132"/>
        <v>20</v>
      </c>
      <c r="U1195" s="538" t="str">
        <f t="shared" si="133"/>
        <v>01</v>
      </c>
      <c r="V1195" s="471" t="s">
        <v>1136</v>
      </c>
      <c r="Y1195" s="472">
        <f t="shared" si="134"/>
        <v>0</v>
      </c>
      <c r="Z1195" s="540">
        <f t="shared" si="135"/>
        <v>0</v>
      </c>
      <c r="AA1195" s="471">
        <v>0</v>
      </c>
    </row>
    <row r="1196" spans="1:27">
      <c r="A1196" s="451" t="e">
        <f>CONCATENATE(VLOOKUP(B1196,★営業所!$A$1:$B$5,2,FALSE),VLOOKUP(D1196,★サイズ表記!$D$4:$E$55,2,FALSE),VLOOKUP(F1196,★折込地区!$A$1:$B$11,2,FALSE))</f>
        <v>#N/A</v>
      </c>
      <c r="B1196" s="457" t="s">
        <v>1242</v>
      </c>
      <c r="C1196" s="452" t="e">
        <f>VLOOKUP(B1196,★営業所!$A$1:$B$5,2,FALSE)</f>
        <v>#N/A</v>
      </c>
      <c r="D1196" s="465" t="s">
        <v>964</v>
      </c>
      <c r="E1196" s="452" t="str">
        <f>VLOOKUP(D1196,★サイズ表記!$D$4:$E$55,2,FALSE)</f>
        <v>2002</v>
      </c>
      <c r="F1196" s="457" t="s">
        <v>1242</v>
      </c>
      <c r="G1196" s="452" t="str">
        <f>VLOOKUP(F1196,★折込地区!$A$1:$B$11,2,FALSE)</f>
        <v>Osk</v>
      </c>
      <c r="H1196" s="453">
        <f>INDEX(★サイズ表記!$I$4:$Q$55, MATCH(E1196,★サイズ表記!$E$4:$E$55,0), MATCH(G1196,★サイズ表記!$I$3:$R$3,0))</f>
        <v>0</v>
      </c>
      <c r="K1196" s="471" t="e">
        <f t="shared" ref="K1196:K1230" si="136">A1196</f>
        <v>#N/A</v>
      </c>
      <c r="L1196" s="471" t="str">
        <f t="shared" ref="L1196:L1230" si="137">D1196</f>
        <v>連合B3</v>
      </c>
      <c r="P1196" s="533" t="s">
        <v>1324</v>
      </c>
      <c r="Q1196" s="533" t="s">
        <v>1325</v>
      </c>
      <c r="R1196" s="534" t="str">
        <f t="shared" si="130"/>
        <v>2002</v>
      </c>
      <c r="S1196" s="534" t="str">
        <f t="shared" si="131"/>
        <v>連合B3</v>
      </c>
      <c r="T1196" s="538" t="str">
        <f t="shared" si="132"/>
        <v>20</v>
      </c>
      <c r="U1196" s="538" t="str">
        <f t="shared" si="133"/>
        <v>02</v>
      </c>
      <c r="V1196" s="471" t="s">
        <v>1136</v>
      </c>
      <c r="Y1196" s="472">
        <f t="shared" si="134"/>
        <v>0</v>
      </c>
      <c r="Z1196" s="540">
        <f t="shared" si="135"/>
        <v>0</v>
      </c>
      <c r="AA1196" s="471">
        <v>0</v>
      </c>
    </row>
    <row r="1197" spans="1:27">
      <c r="A1197" s="451" t="e">
        <f>CONCATENATE(VLOOKUP(B1197,★営業所!$A$1:$B$5,2,FALSE),VLOOKUP(D1197,★サイズ表記!$D$4:$E$55,2,FALSE),VLOOKUP(F1197,★折込地区!$A$1:$B$11,2,FALSE))</f>
        <v>#N/A</v>
      </c>
      <c r="B1197" s="457" t="s">
        <v>1242</v>
      </c>
      <c r="C1197" s="452" t="e">
        <f>VLOOKUP(B1197,★営業所!$A$1:$B$5,2,FALSE)</f>
        <v>#N/A</v>
      </c>
      <c r="D1197" s="465" t="s">
        <v>965</v>
      </c>
      <c r="E1197" s="452" t="str">
        <f>VLOOKUP(D1197,★サイズ表記!$D$4:$E$55,2,FALSE)</f>
        <v>2003</v>
      </c>
      <c r="F1197" s="457" t="s">
        <v>1242</v>
      </c>
      <c r="G1197" s="452" t="str">
        <f>VLOOKUP(F1197,★折込地区!$A$1:$B$11,2,FALSE)</f>
        <v>Osk</v>
      </c>
      <c r="H1197" s="453">
        <f>INDEX(★サイズ表記!$I$4:$Q$55, MATCH(E1197,★サイズ表記!$E$4:$E$55,0), MATCH(G1197,★サイズ表記!$I$3:$R$3,0))</f>
        <v>0</v>
      </c>
      <c r="K1197" s="471" t="e">
        <f t="shared" si="136"/>
        <v>#N/A</v>
      </c>
      <c r="L1197" s="471" t="str">
        <f t="shared" si="137"/>
        <v>連合B2</v>
      </c>
      <c r="P1197" s="533" t="s">
        <v>1324</v>
      </c>
      <c r="Q1197" s="533" t="s">
        <v>1325</v>
      </c>
      <c r="R1197" s="534" t="str">
        <f t="shared" ref="R1197:R1230" si="138">E1197</f>
        <v>2003</v>
      </c>
      <c r="S1197" s="534" t="str">
        <f t="shared" ref="S1197:S1230" si="139">L1197</f>
        <v>連合B2</v>
      </c>
      <c r="T1197" s="538" t="str">
        <f t="shared" ref="T1197:T1230" si="140">LEFT($E1197,2)</f>
        <v>20</v>
      </c>
      <c r="U1197" s="538" t="str">
        <f t="shared" ref="U1197:U1230" si="141">RIGHT($E1197,2)</f>
        <v>03</v>
      </c>
      <c r="V1197" s="471" t="s">
        <v>1136</v>
      </c>
      <c r="Y1197" s="472">
        <f t="shared" ref="Y1197:Y1230" si="142">$H1197</f>
        <v>0</v>
      </c>
      <c r="Z1197" s="540">
        <f t="shared" ref="Z1197:Z1230" si="143">ROUNDDOWN($H1197*8/100,2)</f>
        <v>0</v>
      </c>
      <c r="AA1197" s="471">
        <v>0</v>
      </c>
    </row>
    <row r="1198" spans="1:27">
      <c r="A1198" s="451" t="e">
        <f>CONCATENATE(VLOOKUP(B1198,★営業所!$A$1:$B$5,2,FALSE),VLOOKUP(D1198,★サイズ表記!$D$4:$E$55,2,FALSE),VLOOKUP(F1198,★折込地区!$A$1:$B$11,2,FALSE))</f>
        <v>#N/A</v>
      </c>
      <c r="B1198" s="457" t="s">
        <v>1242</v>
      </c>
      <c r="C1198" s="452" t="e">
        <f>VLOOKUP(B1198,★営業所!$A$1:$B$5,2,FALSE)</f>
        <v>#N/A</v>
      </c>
      <c r="D1198" s="465" t="s">
        <v>966</v>
      </c>
      <c r="E1198" s="452" t="str">
        <f>VLOOKUP(D1198,★サイズ表記!$D$4:$E$55,2,FALSE)</f>
        <v>2004</v>
      </c>
      <c r="F1198" s="457" t="s">
        <v>1242</v>
      </c>
      <c r="G1198" s="452" t="str">
        <f>VLOOKUP(F1198,★折込地区!$A$1:$B$11,2,FALSE)</f>
        <v>Osk</v>
      </c>
      <c r="H1198" s="453">
        <f>INDEX(★サイズ表記!$I$4:$Q$55, MATCH(E1198,★サイズ表記!$E$4:$E$55,0), MATCH(G1198,★サイズ表記!$I$3:$R$3,0))</f>
        <v>0</v>
      </c>
      <c r="K1198" s="471" t="e">
        <f t="shared" si="136"/>
        <v>#N/A</v>
      </c>
      <c r="L1198" s="471" t="str">
        <f t="shared" si="137"/>
        <v>連合3つ折り</v>
      </c>
      <c r="P1198" s="533" t="s">
        <v>1324</v>
      </c>
      <c r="Q1198" s="533" t="s">
        <v>1325</v>
      </c>
      <c r="R1198" s="534" t="str">
        <f t="shared" si="138"/>
        <v>2004</v>
      </c>
      <c r="S1198" s="534" t="str">
        <f t="shared" si="139"/>
        <v>連合3つ折り</v>
      </c>
      <c r="T1198" s="538" t="str">
        <f t="shared" si="140"/>
        <v>20</v>
      </c>
      <c r="U1198" s="538" t="str">
        <f t="shared" si="141"/>
        <v>04</v>
      </c>
      <c r="V1198" s="471" t="s">
        <v>1136</v>
      </c>
      <c r="Y1198" s="472">
        <f t="shared" si="142"/>
        <v>0</v>
      </c>
      <c r="Z1198" s="540">
        <f t="shared" si="143"/>
        <v>0</v>
      </c>
      <c r="AA1198" s="471">
        <v>0</v>
      </c>
    </row>
    <row r="1199" spans="1:27">
      <c r="A1199" s="451" t="e">
        <f>CONCATENATE(VLOOKUP(B1199,★営業所!$A$1:$B$5,2,FALSE),VLOOKUP(D1199,★サイズ表記!$D$4:$E$55,2,FALSE),VLOOKUP(F1199,★折込地区!$A$1:$B$11,2,FALSE))</f>
        <v>#N/A</v>
      </c>
      <c r="B1199" s="457" t="s">
        <v>1242</v>
      </c>
      <c r="C1199" s="452" t="e">
        <f>VLOOKUP(B1199,★営業所!$A$1:$B$5,2,FALSE)</f>
        <v>#N/A</v>
      </c>
      <c r="D1199" s="465" t="s">
        <v>967</v>
      </c>
      <c r="E1199" s="452" t="str">
        <f>VLOOKUP(D1199,★サイズ表記!$D$4:$E$55,2,FALSE)</f>
        <v>2005</v>
      </c>
      <c r="F1199" s="457" t="s">
        <v>1242</v>
      </c>
      <c r="G1199" s="452" t="str">
        <f>VLOOKUP(F1199,★折込地区!$A$1:$B$11,2,FALSE)</f>
        <v>Osk</v>
      </c>
      <c r="H1199" s="453">
        <f>INDEX(★サイズ表記!$I$4:$Q$55, MATCH(E1199,★サイズ表記!$E$4:$E$55,0), MATCH(G1199,★サイズ表記!$I$3:$R$3,0))</f>
        <v>0</v>
      </c>
      <c r="K1199" s="471" t="e">
        <f t="shared" si="136"/>
        <v>#N/A</v>
      </c>
      <c r="L1199" s="471" t="str">
        <f t="shared" si="137"/>
        <v>連合B4厚紙</v>
      </c>
      <c r="P1199" s="533" t="s">
        <v>1324</v>
      </c>
      <c r="Q1199" s="533" t="s">
        <v>1325</v>
      </c>
      <c r="R1199" s="534" t="str">
        <f t="shared" si="138"/>
        <v>2005</v>
      </c>
      <c r="S1199" s="534" t="str">
        <f t="shared" si="139"/>
        <v>連合B4厚紙</v>
      </c>
      <c r="T1199" s="538" t="str">
        <f t="shared" si="140"/>
        <v>20</v>
      </c>
      <c r="U1199" s="538" t="str">
        <f t="shared" si="141"/>
        <v>05</v>
      </c>
      <c r="V1199" s="471" t="s">
        <v>1136</v>
      </c>
      <c r="Y1199" s="472">
        <f t="shared" si="142"/>
        <v>0</v>
      </c>
      <c r="Z1199" s="540">
        <f t="shared" si="143"/>
        <v>0</v>
      </c>
      <c r="AA1199" s="471">
        <v>0</v>
      </c>
    </row>
    <row r="1200" spans="1:27">
      <c r="A1200" s="451" t="e">
        <f>CONCATENATE(VLOOKUP(B1200,★営業所!$A$1:$B$5,2,FALSE),VLOOKUP(D1200,★サイズ表記!$D$4:$E$55,2,FALSE),VLOOKUP(F1200,★折込地区!$A$1:$B$11,2,FALSE))</f>
        <v>#N/A</v>
      </c>
      <c r="B1200" s="457" t="s">
        <v>1242</v>
      </c>
      <c r="C1200" s="452" t="e">
        <f>VLOOKUP(B1200,★営業所!$A$1:$B$5,2,FALSE)</f>
        <v>#N/A</v>
      </c>
      <c r="D1200" s="465" t="s">
        <v>968</v>
      </c>
      <c r="E1200" s="452" t="str">
        <f>VLOOKUP(D1200,★サイズ表記!$D$4:$E$55,2,FALSE)</f>
        <v>2006</v>
      </c>
      <c r="F1200" s="457" t="s">
        <v>1242</v>
      </c>
      <c r="G1200" s="452" t="str">
        <f>VLOOKUP(F1200,★折込地区!$A$1:$B$11,2,FALSE)</f>
        <v>Osk</v>
      </c>
      <c r="H1200" s="453">
        <f>INDEX(★サイズ表記!$I$4:$Q$55, MATCH(E1200,★サイズ表記!$E$4:$E$55,0), MATCH(G1200,★サイズ表記!$I$3:$R$3,0))</f>
        <v>0</v>
      </c>
      <c r="K1200" s="471" t="e">
        <f t="shared" si="136"/>
        <v>#N/A</v>
      </c>
      <c r="L1200" s="471" t="str">
        <f t="shared" si="137"/>
        <v>連合2つ折り極小</v>
      </c>
      <c r="P1200" s="533" t="s">
        <v>1324</v>
      </c>
      <c r="Q1200" s="533" t="s">
        <v>1325</v>
      </c>
      <c r="R1200" s="534" t="str">
        <f t="shared" si="138"/>
        <v>2006</v>
      </c>
      <c r="S1200" s="534" t="str">
        <f t="shared" si="139"/>
        <v>連合2つ折り極小</v>
      </c>
      <c r="T1200" s="538" t="str">
        <f t="shared" si="140"/>
        <v>20</v>
      </c>
      <c r="U1200" s="538" t="str">
        <f t="shared" si="141"/>
        <v>06</v>
      </c>
      <c r="V1200" s="471" t="s">
        <v>1136</v>
      </c>
      <c r="Y1200" s="472">
        <f t="shared" si="142"/>
        <v>0</v>
      </c>
      <c r="Z1200" s="540">
        <f t="shared" si="143"/>
        <v>0</v>
      </c>
      <c r="AA1200" s="471">
        <v>0</v>
      </c>
    </row>
    <row r="1201" spans="1:27">
      <c r="A1201" s="451" t="e">
        <f>CONCATENATE(VLOOKUP(B1201,★営業所!$A$1:$B$5,2,FALSE),VLOOKUP(D1201,★サイズ表記!$D$4:$E$55,2,FALSE),VLOOKUP(F1201,★折込地区!$A$1:$B$11,2,FALSE))</f>
        <v>#N/A</v>
      </c>
      <c r="B1201" s="457" t="s">
        <v>1242</v>
      </c>
      <c r="C1201" s="452" t="e">
        <f>VLOOKUP(B1201,★営業所!$A$1:$B$5,2,FALSE)</f>
        <v>#N/A</v>
      </c>
      <c r="D1201" s="465" t="s">
        <v>1365</v>
      </c>
      <c r="E1201" s="452" t="str">
        <f>VLOOKUP(D1201,★サイズ表記!$D$4:$E$55,2,FALSE)</f>
        <v>2007</v>
      </c>
      <c r="F1201" s="457" t="s">
        <v>1242</v>
      </c>
      <c r="G1201" s="452" t="str">
        <f>VLOOKUP(F1201,★折込地区!$A$1:$B$11,2,FALSE)</f>
        <v>Osk</v>
      </c>
      <c r="H1201" s="453">
        <f>INDEX(★サイズ表記!$I$4:$Q$55, MATCH(E1201,★サイズ表記!$E$4:$E$55,0), MATCH(G1201,★サイズ表記!$I$3:$R$3,0))</f>
        <v>0</v>
      </c>
      <c r="K1201" s="471" t="e">
        <f t="shared" si="136"/>
        <v>#N/A</v>
      </c>
      <c r="L1201" s="471" t="str">
        <f t="shared" si="137"/>
        <v>連合タブ6P</v>
      </c>
      <c r="P1201" s="533" t="s">
        <v>1324</v>
      </c>
      <c r="Q1201" s="533" t="s">
        <v>1325</v>
      </c>
      <c r="R1201" s="534" t="str">
        <f t="shared" si="138"/>
        <v>2007</v>
      </c>
      <c r="S1201" s="534" t="str">
        <f t="shared" si="139"/>
        <v>連合タブ6P</v>
      </c>
      <c r="T1201" s="538" t="str">
        <f t="shared" si="140"/>
        <v>20</v>
      </c>
      <c r="U1201" s="538" t="str">
        <f t="shared" si="141"/>
        <v>07</v>
      </c>
      <c r="V1201" s="471" t="s">
        <v>1136</v>
      </c>
      <c r="Y1201" s="472">
        <f t="shared" si="142"/>
        <v>0</v>
      </c>
      <c r="Z1201" s="540">
        <f t="shared" si="143"/>
        <v>0</v>
      </c>
      <c r="AA1201" s="471">
        <v>0</v>
      </c>
    </row>
    <row r="1202" spans="1:27">
      <c r="A1202" s="451" t="e">
        <f>CONCATENATE(VLOOKUP(B1202,★営業所!$A$1:$B$5,2,FALSE),VLOOKUP(D1202,★サイズ表記!$D$4:$E$55,2,FALSE),VLOOKUP(F1202,★折込地区!$A$1:$B$11,2,FALSE))</f>
        <v>#N/A</v>
      </c>
      <c r="B1202" s="457" t="s">
        <v>1242</v>
      </c>
      <c r="C1202" s="452" t="e">
        <f>VLOOKUP(B1202,★営業所!$A$1:$B$5,2,FALSE)</f>
        <v>#N/A</v>
      </c>
      <c r="D1202" s="465" t="s">
        <v>1366</v>
      </c>
      <c r="E1202" s="452" t="str">
        <f>VLOOKUP(D1202,★サイズ表記!$D$4:$E$55,2,FALSE)</f>
        <v>2008</v>
      </c>
      <c r="F1202" s="457" t="s">
        <v>1242</v>
      </c>
      <c r="G1202" s="452" t="str">
        <f>VLOOKUP(F1202,★折込地区!$A$1:$B$11,2,FALSE)</f>
        <v>Osk</v>
      </c>
      <c r="H1202" s="453">
        <f>INDEX(★サイズ表記!$I$4:$Q$55, MATCH(E1202,★サイズ表記!$E$4:$E$55,0), MATCH(G1202,★サイズ表記!$I$3:$R$3,0))</f>
        <v>0</v>
      </c>
      <c r="K1202" s="471" t="e">
        <f t="shared" si="136"/>
        <v>#N/A</v>
      </c>
      <c r="L1202" s="471" t="str">
        <f t="shared" si="137"/>
        <v>連合タブ8P</v>
      </c>
      <c r="P1202" s="533" t="s">
        <v>1324</v>
      </c>
      <c r="Q1202" s="533" t="s">
        <v>1325</v>
      </c>
      <c r="R1202" s="534" t="str">
        <f t="shared" si="138"/>
        <v>2008</v>
      </c>
      <c r="S1202" s="534" t="str">
        <f t="shared" si="139"/>
        <v>連合タブ8P</v>
      </c>
      <c r="T1202" s="538" t="str">
        <f t="shared" si="140"/>
        <v>20</v>
      </c>
      <c r="U1202" s="538" t="str">
        <f t="shared" si="141"/>
        <v>08</v>
      </c>
      <c r="V1202" s="471" t="s">
        <v>1136</v>
      </c>
      <c r="Y1202" s="472">
        <f t="shared" si="142"/>
        <v>0</v>
      </c>
      <c r="Z1202" s="540">
        <f t="shared" si="143"/>
        <v>0</v>
      </c>
      <c r="AA1202" s="471">
        <v>0</v>
      </c>
    </row>
    <row r="1203" spans="1:27">
      <c r="A1203" s="451" t="e">
        <f>CONCATENATE(VLOOKUP(B1203,★営業所!$A$1:$B$5,2,FALSE),VLOOKUP(D1203,★サイズ表記!$D$4:$E$55,2,FALSE),VLOOKUP(F1203,★折込地区!$A$1:$B$11,2,FALSE))</f>
        <v>#N/A</v>
      </c>
      <c r="B1203" s="457" t="s">
        <v>1242</v>
      </c>
      <c r="C1203" s="452" t="e">
        <f>VLOOKUP(B1203,★営業所!$A$1:$B$5,2,FALSE)</f>
        <v>#N/A</v>
      </c>
      <c r="D1203" s="465" t="s">
        <v>1364</v>
      </c>
      <c r="E1203" s="452" t="str">
        <f>VLOOKUP(D1203,★サイズ表記!$D$4:$E$55,2,FALSE)</f>
        <v>2009</v>
      </c>
      <c r="F1203" s="457" t="s">
        <v>1242</v>
      </c>
      <c r="G1203" s="452" t="str">
        <f>VLOOKUP(F1203,★折込地区!$A$1:$B$11,2,FALSE)</f>
        <v>Osk</v>
      </c>
      <c r="H1203" s="453">
        <f>INDEX(★サイズ表記!$I$4:$Q$55, MATCH(E1203,★サイズ表記!$E$4:$E$55,0), MATCH(G1203,★サイズ表記!$I$3:$R$3,0))</f>
        <v>0</v>
      </c>
      <c r="K1203" s="471" t="e">
        <f t="shared" si="136"/>
        <v>#N/A</v>
      </c>
      <c r="L1203" s="471" t="str">
        <f t="shared" si="137"/>
        <v>連合タブ12P</v>
      </c>
      <c r="P1203" s="533" t="s">
        <v>1324</v>
      </c>
      <c r="Q1203" s="533" t="s">
        <v>1325</v>
      </c>
      <c r="R1203" s="534" t="str">
        <f t="shared" si="138"/>
        <v>2009</v>
      </c>
      <c r="S1203" s="534" t="str">
        <f t="shared" si="139"/>
        <v>連合タブ12P</v>
      </c>
      <c r="T1203" s="538" t="str">
        <f t="shared" si="140"/>
        <v>20</v>
      </c>
      <c r="U1203" s="538" t="str">
        <f t="shared" si="141"/>
        <v>09</v>
      </c>
      <c r="V1203" s="471" t="s">
        <v>1136</v>
      </c>
      <c r="Y1203" s="472">
        <f t="shared" si="142"/>
        <v>0</v>
      </c>
      <c r="Z1203" s="540">
        <f t="shared" si="143"/>
        <v>0</v>
      </c>
      <c r="AA1203" s="471">
        <v>0</v>
      </c>
    </row>
    <row r="1204" spans="1:27">
      <c r="A1204" s="451" t="e">
        <f>CONCATENATE(VLOOKUP(B1204,★営業所!$A$1:$B$5,2,FALSE),VLOOKUP(D1204,★サイズ表記!$D$4:$E$55,2,FALSE),VLOOKUP(F1204,★折込地区!$A$1:$B$11,2,FALSE))</f>
        <v>#N/A</v>
      </c>
      <c r="B1204" s="457" t="s">
        <v>1242</v>
      </c>
      <c r="C1204" s="452" t="e">
        <f>VLOOKUP(B1204,★営業所!$A$1:$B$5,2,FALSE)</f>
        <v>#N/A</v>
      </c>
      <c r="D1204" s="465" t="s">
        <v>969</v>
      </c>
      <c r="E1204" s="452" t="str">
        <f>VLOOKUP(D1204,★サイズ表記!$D$4:$E$55,2,FALSE)</f>
        <v>3001</v>
      </c>
      <c r="F1204" s="457" t="s">
        <v>1242</v>
      </c>
      <c r="G1204" s="452" t="str">
        <f>VLOOKUP(F1204,★折込地区!$A$1:$B$11,2,FALSE)</f>
        <v>Osk</v>
      </c>
      <c r="H1204" s="453">
        <f>INDEX(★サイズ表記!$I$4:$Q$55, MATCH(E1204,★サイズ表記!$E$4:$E$55,0), MATCH(G1204,★サイズ表記!$I$3:$R$3,0))</f>
        <v>0</v>
      </c>
      <c r="K1204" s="471" t="e">
        <f t="shared" si="136"/>
        <v>#N/A</v>
      </c>
      <c r="L1204" s="471" t="str">
        <f t="shared" si="137"/>
        <v>政治B4</v>
      </c>
      <c r="P1204" s="533" t="s">
        <v>1324</v>
      </c>
      <c r="Q1204" s="533" t="s">
        <v>1325</v>
      </c>
      <c r="R1204" s="534" t="str">
        <f t="shared" si="138"/>
        <v>3001</v>
      </c>
      <c r="S1204" s="534" t="str">
        <f t="shared" si="139"/>
        <v>政治B4</v>
      </c>
      <c r="T1204" s="538" t="str">
        <f t="shared" si="140"/>
        <v>30</v>
      </c>
      <c r="U1204" s="538" t="str">
        <f t="shared" si="141"/>
        <v>01</v>
      </c>
      <c r="V1204" s="471" t="s">
        <v>1136</v>
      </c>
      <c r="Y1204" s="472">
        <f t="shared" si="142"/>
        <v>0</v>
      </c>
      <c r="Z1204" s="540">
        <f t="shared" si="143"/>
        <v>0</v>
      </c>
      <c r="AA1204" s="471">
        <v>0</v>
      </c>
    </row>
    <row r="1205" spans="1:27">
      <c r="A1205" s="451" t="e">
        <f>CONCATENATE(VLOOKUP(B1205,★営業所!$A$1:$B$5,2,FALSE),VLOOKUP(D1205,★サイズ表記!$D$4:$E$55,2,FALSE),VLOOKUP(F1205,★折込地区!$A$1:$B$11,2,FALSE))</f>
        <v>#N/A</v>
      </c>
      <c r="B1205" s="457" t="s">
        <v>1242</v>
      </c>
      <c r="C1205" s="452" t="e">
        <f>VLOOKUP(B1205,★営業所!$A$1:$B$5,2,FALSE)</f>
        <v>#N/A</v>
      </c>
      <c r="D1205" s="465" t="s">
        <v>970</v>
      </c>
      <c r="E1205" s="452" t="str">
        <f>VLOOKUP(D1205,★サイズ表記!$D$4:$E$55,2,FALSE)</f>
        <v>3002</v>
      </c>
      <c r="F1205" s="457" t="s">
        <v>1242</v>
      </c>
      <c r="G1205" s="452" t="str">
        <f>VLOOKUP(F1205,★折込地区!$A$1:$B$11,2,FALSE)</f>
        <v>Osk</v>
      </c>
      <c r="H1205" s="453">
        <f>INDEX(★サイズ表記!$I$4:$Q$55, MATCH(E1205,★サイズ表記!$E$4:$E$55,0), MATCH(G1205,★サイズ表記!$I$3:$R$3,0))</f>
        <v>0</v>
      </c>
      <c r="K1205" s="471" t="e">
        <f t="shared" si="136"/>
        <v>#N/A</v>
      </c>
      <c r="L1205" s="471" t="str">
        <f t="shared" si="137"/>
        <v>政治B3</v>
      </c>
      <c r="P1205" s="533" t="s">
        <v>1324</v>
      </c>
      <c r="Q1205" s="533" t="s">
        <v>1325</v>
      </c>
      <c r="R1205" s="534" t="str">
        <f t="shared" si="138"/>
        <v>3002</v>
      </c>
      <c r="S1205" s="534" t="str">
        <f t="shared" si="139"/>
        <v>政治B3</v>
      </c>
      <c r="T1205" s="538" t="str">
        <f t="shared" si="140"/>
        <v>30</v>
      </c>
      <c r="U1205" s="538" t="str">
        <f t="shared" si="141"/>
        <v>02</v>
      </c>
      <c r="V1205" s="471" t="s">
        <v>1136</v>
      </c>
      <c r="Y1205" s="472">
        <f t="shared" si="142"/>
        <v>0</v>
      </c>
      <c r="Z1205" s="540">
        <f t="shared" si="143"/>
        <v>0</v>
      </c>
      <c r="AA1205" s="471">
        <v>0</v>
      </c>
    </row>
    <row r="1206" spans="1:27">
      <c r="A1206" s="451" t="e">
        <f>CONCATENATE(VLOOKUP(B1206,★営業所!$A$1:$B$5,2,FALSE),VLOOKUP(D1206,★サイズ表記!$D$4:$E$55,2,FALSE),VLOOKUP(F1206,★折込地区!$A$1:$B$11,2,FALSE))</f>
        <v>#N/A</v>
      </c>
      <c r="B1206" s="457" t="s">
        <v>1242</v>
      </c>
      <c r="C1206" s="452" t="e">
        <f>VLOOKUP(B1206,★営業所!$A$1:$B$5,2,FALSE)</f>
        <v>#N/A</v>
      </c>
      <c r="D1206" s="465" t="s">
        <v>971</v>
      </c>
      <c r="E1206" s="452" t="str">
        <f>VLOOKUP(D1206,★サイズ表記!$D$4:$E$55,2,FALSE)</f>
        <v>3003</v>
      </c>
      <c r="F1206" s="457" t="s">
        <v>1242</v>
      </c>
      <c r="G1206" s="452" t="str">
        <f>VLOOKUP(F1206,★折込地区!$A$1:$B$11,2,FALSE)</f>
        <v>Osk</v>
      </c>
      <c r="H1206" s="453">
        <f>INDEX(★サイズ表記!$I$4:$Q$55, MATCH(E1206,★サイズ表記!$E$4:$E$55,0), MATCH(G1206,★サイズ表記!$I$3:$R$3,0))</f>
        <v>0</v>
      </c>
      <c r="K1206" s="471" t="e">
        <f t="shared" si="136"/>
        <v>#N/A</v>
      </c>
      <c r="L1206" s="471" t="str">
        <f t="shared" si="137"/>
        <v>政治B2</v>
      </c>
      <c r="P1206" s="533" t="s">
        <v>1324</v>
      </c>
      <c r="Q1206" s="533" t="s">
        <v>1325</v>
      </c>
      <c r="R1206" s="534" t="str">
        <f t="shared" si="138"/>
        <v>3003</v>
      </c>
      <c r="S1206" s="534" t="str">
        <f t="shared" si="139"/>
        <v>政治B2</v>
      </c>
      <c r="T1206" s="538" t="str">
        <f t="shared" si="140"/>
        <v>30</v>
      </c>
      <c r="U1206" s="538" t="str">
        <f t="shared" si="141"/>
        <v>03</v>
      </c>
      <c r="V1206" s="471" t="s">
        <v>1136</v>
      </c>
      <c r="Y1206" s="472">
        <f t="shared" si="142"/>
        <v>0</v>
      </c>
      <c r="Z1206" s="540">
        <f t="shared" si="143"/>
        <v>0</v>
      </c>
      <c r="AA1206" s="471">
        <v>0</v>
      </c>
    </row>
    <row r="1207" spans="1:27">
      <c r="A1207" s="451" t="e">
        <f>CONCATENATE(VLOOKUP(B1207,★営業所!$A$1:$B$5,2,FALSE),VLOOKUP(D1207,★サイズ表記!$D$4:$E$55,2,FALSE),VLOOKUP(F1207,★折込地区!$A$1:$B$11,2,FALSE))</f>
        <v>#N/A</v>
      </c>
      <c r="B1207" s="457" t="s">
        <v>1242</v>
      </c>
      <c r="C1207" s="452" t="e">
        <f>VLOOKUP(B1207,★営業所!$A$1:$B$5,2,FALSE)</f>
        <v>#N/A</v>
      </c>
      <c r="D1207" s="465" t="s">
        <v>972</v>
      </c>
      <c r="E1207" s="452" t="str">
        <f>VLOOKUP(D1207,★サイズ表記!$D$4:$E$55,2,FALSE)</f>
        <v>3004</v>
      </c>
      <c r="F1207" s="457" t="s">
        <v>1242</v>
      </c>
      <c r="G1207" s="452" t="str">
        <f>VLOOKUP(F1207,★折込地区!$A$1:$B$11,2,FALSE)</f>
        <v>Osk</v>
      </c>
      <c r="H1207" s="453">
        <f>INDEX(★サイズ表記!$I$4:$Q$55, MATCH(E1207,★サイズ表記!$E$4:$E$55,0), MATCH(G1207,★サイズ表記!$I$3:$R$3,0))</f>
        <v>0</v>
      </c>
      <c r="K1207" s="471" t="e">
        <f t="shared" si="136"/>
        <v>#N/A</v>
      </c>
      <c r="L1207" s="471" t="str">
        <f t="shared" si="137"/>
        <v>政治3つ折り</v>
      </c>
      <c r="P1207" s="533" t="s">
        <v>1324</v>
      </c>
      <c r="Q1207" s="533" t="s">
        <v>1325</v>
      </c>
      <c r="R1207" s="534" t="str">
        <f t="shared" si="138"/>
        <v>3004</v>
      </c>
      <c r="S1207" s="534" t="str">
        <f t="shared" si="139"/>
        <v>政治3つ折り</v>
      </c>
      <c r="T1207" s="538" t="str">
        <f t="shared" si="140"/>
        <v>30</v>
      </c>
      <c r="U1207" s="538" t="str">
        <f t="shared" si="141"/>
        <v>04</v>
      </c>
      <c r="V1207" s="471" t="s">
        <v>1136</v>
      </c>
      <c r="Y1207" s="472">
        <f t="shared" si="142"/>
        <v>0</v>
      </c>
      <c r="Z1207" s="540">
        <f t="shared" si="143"/>
        <v>0</v>
      </c>
      <c r="AA1207" s="471">
        <v>0</v>
      </c>
    </row>
    <row r="1208" spans="1:27">
      <c r="A1208" s="451" t="e">
        <f>CONCATENATE(VLOOKUP(B1208,★営業所!$A$1:$B$5,2,FALSE),VLOOKUP(D1208,★サイズ表記!$D$4:$E$55,2,FALSE),VLOOKUP(F1208,★折込地区!$A$1:$B$11,2,FALSE))</f>
        <v>#N/A</v>
      </c>
      <c r="B1208" s="457" t="s">
        <v>1242</v>
      </c>
      <c r="C1208" s="452" t="e">
        <f>VLOOKUP(B1208,★営業所!$A$1:$B$5,2,FALSE)</f>
        <v>#N/A</v>
      </c>
      <c r="D1208" s="465" t="s">
        <v>973</v>
      </c>
      <c r="E1208" s="452" t="str">
        <f>VLOOKUP(D1208,★サイズ表記!$D$4:$E$55,2,FALSE)</f>
        <v>3005</v>
      </c>
      <c r="F1208" s="457" t="s">
        <v>1242</v>
      </c>
      <c r="G1208" s="452" t="str">
        <f>VLOOKUP(F1208,★折込地区!$A$1:$B$11,2,FALSE)</f>
        <v>Osk</v>
      </c>
      <c r="H1208" s="453">
        <f>INDEX(★サイズ表記!$I$4:$Q$55, MATCH(E1208,★サイズ表記!$E$4:$E$55,0), MATCH(G1208,★サイズ表記!$I$3:$R$3,0))</f>
        <v>0</v>
      </c>
      <c r="K1208" s="471" t="e">
        <f t="shared" si="136"/>
        <v>#N/A</v>
      </c>
      <c r="L1208" s="471" t="str">
        <f t="shared" si="137"/>
        <v>政治2つ折り極小</v>
      </c>
      <c r="P1208" s="533" t="s">
        <v>1324</v>
      </c>
      <c r="Q1208" s="533" t="s">
        <v>1325</v>
      </c>
      <c r="R1208" s="534" t="str">
        <f t="shared" si="138"/>
        <v>3005</v>
      </c>
      <c r="S1208" s="534" t="str">
        <f t="shared" si="139"/>
        <v>政治2つ折り極小</v>
      </c>
      <c r="T1208" s="538" t="str">
        <f t="shared" si="140"/>
        <v>30</v>
      </c>
      <c r="U1208" s="538" t="str">
        <f t="shared" si="141"/>
        <v>05</v>
      </c>
      <c r="V1208" s="471" t="s">
        <v>1136</v>
      </c>
      <c r="Y1208" s="472">
        <f t="shared" si="142"/>
        <v>0</v>
      </c>
      <c r="Z1208" s="540">
        <f t="shared" si="143"/>
        <v>0</v>
      </c>
      <c r="AA1208" s="471">
        <v>0</v>
      </c>
    </row>
    <row r="1209" spans="1:27">
      <c r="A1209" s="451" t="e">
        <f>CONCATENATE(VLOOKUP(B1209,★営業所!$A$1:$B$5,2,FALSE),VLOOKUP(D1209,★サイズ表記!$D$4:$E$55,2,FALSE),VLOOKUP(F1209,★折込地区!$A$1:$B$11,2,FALSE))</f>
        <v>#N/A</v>
      </c>
      <c r="B1209" s="457" t="s">
        <v>1242</v>
      </c>
      <c r="C1209" s="452" t="e">
        <f>VLOOKUP(B1209,★営業所!$A$1:$B$5,2,FALSE)</f>
        <v>#N/A</v>
      </c>
      <c r="D1209" s="465" t="s">
        <v>974</v>
      </c>
      <c r="E1209" s="452" t="str">
        <f>VLOOKUP(D1209,★サイズ表記!$D$4:$E$55,2,FALSE)</f>
        <v>3006</v>
      </c>
      <c r="F1209" s="457" t="s">
        <v>1242</v>
      </c>
      <c r="G1209" s="452" t="str">
        <f>VLOOKUP(F1209,★折込地区!$A$1:$B$11,2,FALSE)</f>
        <v>Osk</v>
      </c>
      <c r="H1209" s="453">
        <f>INDEX(★サイズ表記!$I$4:$Q$55, MATCH(E1209,★サイズ表記!$E$4:$E$55,0), MATCH(G1209,★サイズ表記!$I$3:$R$3,0))</f>
        <v>0</v>
      </c>
      <c r="K1209" s="471" t="e">
        <f t="shared" si="136"/>
        <v>#N/A</v>
      </c>
      <c r="L1209" s="471" t="str">
        <f t="shared" si="137"/>
        <v>政治B4厚紙</v>
      </c>
      <c r="P1209" s="533" t="s">
        <v>1324</v>
      </c>
      <c r="Q1209" s="533" t="s">
        <v>1325</v>
      </c>
      <c r="R1209" s="534" t="str">
        <f t="shared" si="138"/>
        <v>3006</v>
      </c>
      <c r="S1209" s="534" t="str">
        <f t="shared" si="139"/>
        <v>政治B4厚紙</v>
      </c>
      <c r="T1209" s="538" t="str">
        <f t="shared" si="140"/>
        <v>30</v>
      </c>
      <c r="U1209" s="538" t="str">
        <f t="shared" si="141"/>
        <v>06</v>
      </c>
      <c r="V1209" s="471" t="s">
        <v>1136</v>
      </c>
      <c r="Y1209" s="472">
        <f t="shared" si="142"/>
        <v>0</v>
      </c>
      <c r="Z1209" s="540">
        <f t="shared" si="143"/>
        <v>0</v>
      </c>
      <c r="AA1209" s="471">
        <v>0</v>
      </c>
    </row>
    <row r="1210" spans="1:27">
      <c r="A1210" s="451" t="e">
        <f>CONCATENATE(VLOOKUP(B1210,★営業所!$A$1:$B$5,2,FALSE),VLOOKUP(D1210,★サイズ表記!$D$4:$E$55,2,FALSE),VLOOKUP(F1210,★折込地区!$A$1:$B$11,2,FALSE))</f>
        <v>#N/A</v>
      </c>
      <c r="B1210" s="457" t="s">
        <v>1242</v>
      </c>
      <c r="C1210" s="452" t="e">
        <f>VLOOKUP(B1210,★営業所!$A$1:$B$5,2,FALSE)</f>
        <v>#N/A</v>
      </c>
      <c r="D1210" s="465" t="s">
        <v>1362</v>
      </c>
      <c r="E1210" s="452" t="str">
        <f>VLOOKUP(D1210,★サイズ表記!$D$4:$E$55,2,FALSE)</f>
        <v>3007</v>
      </c>
      <c r="F1210" s="457" t="s">
        <v>1242</v>
      </c>
      <c r="G1210" s="452" t="str">
        <f>VLOOKUP(F1210,★折込地区!$A$1:$B$11,2,FALSE)</f>
        <v>Osk</v>
      </c>
      <c r="H1210" s="453">
        <f>INDEX(★サイズ表記!$I$4:$Q$55, MATCH(E1210,★サイズ表記!$E$4:$E$55,0), MATCH(G1210,★サイズ表記!$I$3:$R$3,0))</f>
        <v>0</v>
      </c>
      <c r="K1210" s="471" t="e">
        <f t="shared" si="136"/>
        <v>#N/A</v>
      </c>
      <c r="L1210" s="471" t="str">
        <f t="shared" si="137"/>
        <v>政治タブ6P</v>
      </c>
      <c r="P1210" s="533" t="s">
        <v>1324</v>
      </c>
      <c r="Q1210" s="533" t="s">
        <v>1325</v>
      </c>
      <c r="R1210" s="534" t="str">
        <f t="shared" si="138"/>
        <v>3007</v>
      </c>
      <c r="S1210" s="534" t="str">
        <f t="shared" si="139"/>
        <v>政治タブ6P</v>
      </c>
      <c r="T1210" s="538" t="str">
        <f t="shared" si="140"/>
        <v>30</v>
      </c>
      <c r="U1210" s="538" t="str">
        <f t="shared" si="141"/>
        <v>07</v>
      </c>
      <c r="V1210" s="471" t="s">
        <v>1136</v>
      </c>
      <c r="Y1210" s="472">
        <f t="shared" si="142"/>
        <v>0</v>
      </c>
      <c r="Z1210" s="540">
        <f t="shared" si="143"/>
        <v>0</v>
      </c>
      <c r="AA1210" s="471">
        <v>0</v>
      </c>
    </row>
    <row r="1211" spans="1:27">
      <c r="A1211" s="451" t="e">
        <f>CONCATENATE(VLOOKUP(B1211,★営業所!$A$1:$B$5,2,FALSE),VLOOKUP(D1211,★サイズ表記!$D$4:$E$55,2,FALSE),VLOOKUP(F1211,★折込地区!$A$1:$B$11,2,FALSE))</f>
        <v>#N/A</v>
      </c>
      <c r="B1211" s="457" t="s">
        <v>1242</v>
      </c>
      <c r="C1211" s="452" t="e">
        <f>VLOOKUP(B1211,★営業所!$A$1:$B$5,2,FALSE)</f>
        <v>#N/A</v>
      </c>
      <c r="D1211" s="465" t="s">
        <v>1363</v>
      </c>
      <c r="E1211" s="452" t="str">
        <f>VLOOKUP(D1211,★サイズ表記!$D$4:$E$55,2,FALSE)</f>
        <v>3008</v>
      </c>
      <c r="F1211" s="457" t="s">
        <v>1242</v>
      </c>
      <c r="G1211" s="452" t="str">
        <f>VLOOKUP(F1211,★折込地区!$A$1:$B$11,2,FALSE)</f>
        <v>Osk</v>
      </c>
      <c r="H1211" s="453">
        <f>INDEX(★サイズ表記!$I$4:$Q$55, MATCH(E1211,★サイズ表記!$E$4:$E$55,0), MATCH(G1211,★サイズ表記!$I$3:$R$3,0))</f>
        <v>0</v>
      </c>
      <c r="K1211" s="471" t="e">
        <f t="shared" si="136"/>
        <v>#N/A</v>
      </c>
      <c r="L1211" s="471" t="str">
        <f t="shared" si="137"/>
        <v>政治タブ8P</v>
      </c>
      <c r="P1211" s="533" t="s">
        <v>1324</v>
      </c>
      <c r="Q1211" s="533" t="s">
        <v>1325</v>
      </c>
      <c r="R1211" s="534" t="str">
        <f t="shared" si="138"/>
        <v>3008</v>
      </c>
      <c r="S1211" s="534" t="str">
        <f t="shared" si="139"/>
        <v>政治タブ8P</v>
      </c>
      <c r="T1211" s="538" t="str">
        <f t="shared" si="140"/>
        <v>30</v>
      </c>
      <c r="U1211" s="538" t="str">
        <f t="shared" si="141"/>
        <v>08</v>
      </c>
      <c r="V1211" s="471" t="s">
        <v>1136</v>
      </c>
      <c r="Y1211" s="472">
        <f t="shared" si="142"/>
        <v>0</v>
      </c>
      <c r="Z1211" s="540">
        <f t="shared" si="143"/>
        <v>0</v>
      </c>
      <c r="AA1211" s="471">
        <v>0</v>
      </c>
    </row>
    <row r="1212" spans="1:27">
      <c r="A1212" s="451" t="e">
        <f>CONCATENATE(VLOOKUP(B1212,★営業所!$A$1:$B$5,2,FALSE),VLOOKUP(D1212,★サイズ表記!$D$4:$E$55,2,FALSE),VLOOKUP(F1212,★折込地区!$A$1:$B$11,2,FALSE))</f>
        <v>#N/A</v>
      </c>
      <c r="B1212" s="457" t="s">
        <v>1242</v>
      </c>
      <c r="C1212" s="452" t="e">
        <f>VLOOKUP(B1212,★営業所!$A$1:$B$5,2,FALSE)</f>
        <v>#N/A</v>
      </c>
      <c r="D1212" s="465" t="s">
        <v>1361</v>
      </c>
      <c r="E1212" s="452" t="str">
        <f>VLOOKUP(D1212,★サイズ表記!$D$4:$E$55,2,FALSE)</f>
        <v>3009</v>
      </c>
      <c r="F1212" s="457" t="s">
        <v>1242</v>
      </c>
      <c r="G1212" s="452" t="str">
        <f>VLOOKUP(F1212,★折込地区!$A$1:$B$11,2,FALSE)</f>
        <v>Osk</v>
      </c>
      <c r="H1212" s="453">
        <f>INDEX(★サイズ表記!$I$4:$Q$55, MATCH(E1212,★サイズ表記!$E$4:$E$55,0), MATCH(G1212,★サイズ表記!$I$3:$R$3,0))</f>
        <v>0</v>
      </c>
      <c r="K1212" s="471" t="e">
        <f t="shared" si="136"/>
        <v>#N/A</v>
      </c>
      <c r="L1212" s="471" t="str">
        <f t="shared" si="137"/>
        <v>政治タブ12P</v>
      </c>
      <c r="P1212" s="533" t="s">
        <v>1324</v>
      </c>
      <c r="Q1212" s="533" t="s">
        <v>1325</v>
      </c>
      <c r="R1212" s="534" t="str">
        <f t="shared" si="138"/>
        <v>3009</v>
      </c>
      <c r="S1212" s="534" t="str">
        <f t="shared" si="139"/>
        <v>政治タブ12P</v>
      </c>
      <c r="T1212" s="538" t="str">
        <f t="shared" si="140"/>
        <v>30</v>
      </c>
      <c r="U1212" s="538" t="str">
        <f t="shared" si="141"/>
        <v>09</v>
      </c>
      <c r="V1212" s="471" t="s">
        <v>1136</v>
      </c>
      <c r="Y1212" s="472">
        <f t="shared" si="142"/>
        <v>0</v>
      </c>
      <c r="Z1212" s="540">
        <f t="shared" si="143"/>
        <v>0</v>
      </c>
      <c r="AA1212" s="471">
        <v>0</v>
      </c>
    </row>
    <row r="1213" spans="1:27">
      <c r="A1213" s="451" t="e">
        <f>CONCATENATE(VLOOKUP(B1213,★営業所!$A$1:$B$5,2,FALSE),VLOOKUP(D1213,★サイズ表記!$D$4:$E$55,2,FALSE),VLOOKUP(F1213,★折込地区!$A$1:$B$11,2,FALSE))</f>
        <v>#N/A</v>
      </c>
      <c r="B1213" s="457" t="s">
        <v>1242</v>
      </c>
      <c r="C1213" s="452" t="e">
        <f>VLOOKUP(B1213,★営業所!$A$1:$B$5,2,FALSE)</f>
        <v>#N/A</v>
      </c>
      <c r="D1213" s="465" t="s">
        <v>1358</v>
      </c>
      <c r="E1213" s="452" t="str">
        <f>VLOOKUP(D1213,★サイズ表記!$D$4:$E$55,2,FALSE)</f>
        <v>4001</v>
      </c>
      <c r="F1213" s="457" t="s">
        <v>1242</v>
      </c>
      <c r="G1213" s="452" t="str">
        <f>VLOOKUP(F1213,★折込地区!$A$1:$B$11,2,FALSE)</f>
        <v>Osk</v>
      </c>
      <c r="H1213" s="453">
        <f>INDEX(★サイズ表記!$I$4:$Q$55, MATCH(E1213,★サイズ表記!$E$4:$E$55,0), MATCH(G1213,★サイズ表記!$I$3:$R$3,0))</f>
        <v>0</v>
      </c>
      <c r="K1213" s="471" t="e">
        <f t="shared" si="136"/>
        <v>#N/A</v>
      </c>
      <c r="L1213" s="471" t="str">
        <f t="shared" si="137"/>
        <v>タブ6P</v>
      </c>
      <c r="P1213" s="533" t="s">
        <v>1324</v>
      </c>
      <c r="Q1213" s="533" t="s">
        <v>1325</v>
      </c>
      <c r="R1213" s="534" t="str">
        <f t="shared" si="138"/>
        <v>4001</v>
      </c>
      <c r="S1213" s="534" t="str">
        <f t="shared" si="139"/>
        <v>タブ6P</v>
      </c>
      <c r="T1213" s="538" t="str">
        <f t="shared" si="140"/>
        <v>40</v>
      </c>
      <c r="U1213" s="538" t="str">
        <f t="shared" si="141"/>
        <v>01</v>
      </c>
      <c r="V1213" s="471" t="s">
        <v>1136</v>
      </c>
      <c r="Y1213" s="472">
        <f t="shared" si="142"/>
        <v>0</v>
      </c>
      <c r="Z1213" s="540">
        <f t="shared" si="143"/>
        <v>0</v>
      </c>
      <c r="AA1213" s="471">
        <v>0</v>
      </c>
    </row>
    <row r="1214" spans="1:27">
      <c r="A1214" s="451" t="e">
        <f>CONCATENATE(VLOOKUP(B1214,★営業所!$A$1:$B$5,2,FALSE),VLOOKUP(D1214,★サイズ表記!$D$4:$E$55,2,FALSE),VLOOKUP(F1214,★折込地区!$A$1:$B$11,2,FALSE))</f>
        <v>#N/A</v>
      </c>
      <c r="B1214" s="457" t="s">
        <v>1242</v>
      </c>
      <c r="C1214" s="452" t="e">
        <f>VLOOKUP(B1214,★営業所!$A$1:$B$5,2,FALSE)</f>
        <v>#N/A</v>
      </c>
      <c r="D1214" s="465" t="s">
        <v>1359</v>
      </c>
      <c r="E1214" s="452" t="str">
        <f>VLOOKUP(D1214,★サイズ表記!$D$4:$E$55,2,FALSE)</f>
        <v>4002</v>
      </c>
      <c r="F1214" s="457" t="s">
        <v>1242</v>
      </c>
      <c r="G1214" s="452" t="str">
        <f>VLOOKUP(F1214,★折込地区!$A$1:$B$11,2,FALSE)</f>
        <v>Osk</v>
      </c>
      <c r="H1214" s="453">
        <f>INDEX(★サイズ表記!$I$4:$Q$55, MATCH(E1214,★サイズ表記!$E$4:$E$55,0), MATCH(G1214,★サイズ表記!$I$3:$R$3,0))</f>
        <v>0</v>
      </c>
      <c r="K1214" s="471" t="e">
        <f t="shared" si="136"/>
        <v>#N/A</v>
      </c>
      <c r="L1214" s="471" t="str">
        <f t="shared" si="137"/>
        <v>タブ8P</v>
      </c>
      <c r="P1214" s="533" t="s">
        <v>1324</v>
      </c>
      <c r="Q1214" s="533" t="s">
        <v>1325</v>
      </c>
      <c r="R1214" s="534" t="str">
        <f t="shared" si="138"/>
        <v>4002</v>
      </c>
      <c r="S1214" s="534" t="str">
        <f t="shared" si="139"/>
        <v>タブ8P</v>
      </c>
      <c r="T1214" s="538" t="str">
        <f t="shared" si="140"/>
        <v>40</v>
      </c>
      <c r="U1214" s="538" t="str">
        <f t="shared" si="141"/>
        <v>02</v>
      </c>
      <c r="V1214" s="471" t="s">
        <v>1136</v>
      </c>
      <c r="Y1214" s="472">
        <f t="shared" si="142"/>
        <v>0</v>
      </c>
      <c r="Z1214" s="540">
        <f t="shared" si="143"/>
        <v>0</v>
      </c>
      <c r="AA1214" s="471">
        <v>0</v>
      </c>
    </row>
    <row r="1215" spans="1:27">
      <c r="A1215" s="451" t="e">
        <f>CONCATENATE(VLOOKUP(B1215,★営業所!$A$1:$B$5,2,FALSE),VLOOKUP(D1215,★サイズ表記!$D$4:$E$55,2,FALSE),VLOOKUP(F1215,★折込地区!$A$1:$B$11,2,FALSE))</f>
        <v>#N/A</v>
      </c>
      <c r="B1215" s="457" t="s">
        <v>1242</v>
      </c>
      <c r="C1215" s="452" t="e">
        <f>VLOOKUP(B1215,★営業所!$A$1:$B$5,2,FALSE)</f>
        <v>#N/A</v>
      </c>
      <c r="D1215" s="465" t="s">
        <v>1360</v>
      </c>
      <c r="E1215" s="452" t="str">
        <f>VLOOKUP(D1215,★サイズ表記!$D$4:$E$55,2,FALSE)</f>
        <v>4003</v>
      </c>
      <c r="F1215" s="457" t="s">
        <v>1242</v>
      </c>
      <c r="G1215" s="452" t="str">
        <f>VLOOKUP(F1215,★折込地区!$A$1:$B$11,2,FALSE)</f>
        <v>Osk</v>
      </c>
      <c r="H1215" s="453">
        <f>INDEX(★サイズ表記!$I$4:$Q$55, MATCH(E1215,★サイズ表記!$E$4:$E$55,0), MATCH(G1215,★サイズ表記!$I$3:$R$3,0))</f>
        <v>0</v>
      </c>
      <c r="K1215" s="471" t="e">
        <f t="shared" si="136"/>
        <v>#N/A</v>
      </c>
      <c r="L1215" s="471" t="str">
        <f t="shared" si="137"/>
        <v>タブ8Pホチキス止め</v>
      </c>
      <c r="P1215" s="533" t="s">
        <v>1324</v>
      </c>
      <c r="Q1215" s="533" t="s">
        <v>1325</v>
      </c>
      <c r="R1215" s="534" t="str">
        <f t="shared" si="138"/>
        <v>4003</v>
      </c>
      <c r="S1215" s="534" t="str">
        <f t="shared" si="139"/>
        <v>タブ8Pホチキス止め</v>
      </c>
      <c r="T1215" s="538" t="str">
        <f t="shared" si="140"/>
        <v>40</v>
      </c>
      <c r="U1215" s="538" t="str">
        <f t="shared" si="141"/>
        <v>03</v>
      </c>
      <c r="V1215" s="471" t="s">
        <v>1136</v>
      </c>
      <c r="Y1215" s="472">
        <f t="shared" si="142"/>
        <v>0</v>
      </c>
      <c r="Z1215" s="540">
        <f t="shared" si="143"/>
        <v>0</v>
      </c>
      <c r="AA1215" s="471">
        <v>0</v>
      </c>
    </row>
    <row r="1216" spans="1:27">
      <c r="A1216" s="451" t="e">
        <f>CONCATENATE(VLOOKUP(B1216,★営業所!$A$1:$B$5,2,FALSE),VLOOKUP(D1216,★サイズ表記!$D$4:$E$55,2,FALSE),VLOOKUP(F1216,★折込地区!$A$1:$B$11,2,FALSE))</f>
        <v>#N/A</v>
      </c>
      <c r="B1216" s="457" t="s">
        <v>1242</v>
      </c>
      <c r="C1216" s="452" t="e">
        <f>VLOOKUP(B1216,★営業所!$A$1:$B$5,2,FALSE)</f>
        <v>#N/A</v>
      </c>
      <c r="D1216" s="465" t="s">
        <v>1350</v>
      </c>
      <c r="E1216" s="452" t="str">
        <f>VLOOKUP(D1216,★サイズ表記!$D$4:$E$55,2,FALSE)</f>
        <v>4004</v>
      </c>
      <c r="F1216" s="457" t="s">
        <v>1242</v>
      </c>
      <c r="G1216" s="452" t="str">
        <f>VLOOKUP(F1216,★折込地区!$A$1:$B$11,2,FALSE)</f>
        <v>Osk</v>
      </c>
      <c r="H1216" s="453">
        <f>INDEX(★サイズ表記!$I$4:$Q$55, MATCH(E1216,★サイズ表記!$E$4:$E$55,0), MATCH(G1216,★サイズ表記!$I$3:$R$3,0))</f>
        <v>0</v>
      </c>
      <c r="K1216" s="471" t="e">
        <f t="shared" si="136"/>
        <v>#N/A</v>
      </c>
      <c r="L1216" s="471" t="str">
        <f t="shared" si="137"/>
        <v>タブ10P</v>
      </c>
      <c r="P1216" s="533" t="s">
        <v>1324</v>
      </c>
      <c r="Q1216" s="533" t="s">
        <v>1325</v>
      </c>
      <c r="R1216" s="534" t="str">
        <f t="shared" si="138"/>
        <v>4004</v>
      </c>
      <c r="S1216" s="534" t="str">
        <f t="shared" si="139"/>
        <v>タブ10P</v>
      </c>
      <c r="T1216" s="538" t="str">
        <f t="shared" si="140"/>
        <v>40</v>
      </c>
      <c r="U1216" s="538" t="str">
        <f t="shared" si="141"/>
        <v>04</v>
      </c>
      <c r="V1216" s="471" t="s">
        <v>1136</v>
      </c>
      <c r="Y1216" s="472">
        <f t="shared" si="142"/>
        <v>0</v>
      </c>
      <c r="Z1216" s="540">
        <f t="shared" si="143"/>
        <v>0</v>
      </c>
      <c r="AA1216" s="471">
        <v>0</v>
      </c>
    </row>
    <row r="1217" spans="1:27">
      <c r="A1217" s="451" t="e">
        <f>CONCATENATE(VLOOKUP(B1217,★営業所!$A$1:$B$5,2,FALSE),VLOOKUP(D1217,★サイズ表記!$D$4:$E$55,2,FALSE),VLOOKUP(F1217,★折込地区!$A$1:$B$11,2,FALSE))</f>
        <v>#N/A</v>
      </c>
      <c r="B1217" s="457" t="s">
        <v>1242</v>
      </c>
      <c r="C1217" s="452" t="e">
        <f>VLOOKUP(B1217,★営業所!$A$1:$B$5,2,FALSE)</f>
        <v>#N/A</v>
      </c>
      <c r="D1217" s="465" t="s">
        <v>1351</v>
      </c>
      <c r="E1217" s="452" t="str">
        <f>VLOOKUP(D1217,★サイズ表記!$D$4:$E$55,2,FALSE)</f>
        <v>4005</v>
      </c>
      <c r="F1217" s="457" t="s">
        <v>1242</v>
      </c>
      <c r="G1217" s="452" t="str">
        <f>VLOOKUP(F1217,★折込地区!$A$1:$B$11,2,FALSE)</f>
        <v>Osk</v>
      </c>
      <c r="H1217" s="453">
        <f>INDEX(★サイズ表記!$I$4:$Q$55, MATCH(E1217,★サイズ表記!$E$4:$E$55,0), MATCH(G1217,★サイズ表記!$I$3:$R$3,0))</f>
        <v>0</v>
      </c>
      <c r="K1217" s="471" t="e">
        <f t="shared" si="136"/>
        <v>#N/A</v>
      </c>
      <c r="L1217" s="471" t="str">
        <f t="shared" si="137"/>
        <v>タブ12P</v>
      </c>
      <c r="P1217" s="533" t="s">
        <v>1324</v>
      </c>
      <c r="Q1217" s="533" t="s">
        <v>1325</v>
      </c>
      <c r="R1217" s="534" t="str">
        <f t="shared" si="138"/>
        <v>4005</v>
      </c>
      <c r="S1217" s="534" t="str">
        <f t="shared" si="139"/>
        <v>タブ12P</v>
      </c>
      <c r="T1217" s="538" t="str">
        <f t="shared" si="140"/>
        <v>40</v>
      </c>
      <c r="U1217" s="538" t="str">
        <f t="shared" si="141"/>
        <v>05</v>
      </c>
      <c r="V1217" s="471" t="s">
        <v>1136</v>
      </c>
      <c r="Y1217" s="472">
        <f t="shared" si="142"/>
        <v>0</v>
      </c>
      <c r="Z1217" s="540">
        <f t="shared" si="143"/>
        <v>0</v>
      </c>
      <c r="AA1217" s="471">
        <v>0</v>
      </c>
    </row>
    <row r="1218" spans="1:27">
      <c r="A1218" s="451" t="e">
        <f>CONCATENATE(VLOOKUP(B1218,★営業所!$A$1:$B$5,2,FALSE),VLOOKUP(D1218,★サイズ表記!$D$4:$E$55,2,FALSE),VLOOKUP(F1218,★折込地区!$A$1:$B$11,2,FALSE))</f>
        <v>#N/A</v>
      </c>
      <c r="B1218" s="457" t="s">
        <v>1242</v>
      </c>
      <c r="C1218" s="452" t="e">
        <f>VLOOKUP(B1218,★営業所!$A$1:$B$5,2,FALSE)</f>
        <v>#N/A</v>
      </c>
      <c r="D1218" s="465" t="s">
        <v>1352</v>
      </c>
      <c r="E1218" s="452" t="str">
        <f>VLOOKUP(D1218,★サイズ表記!$D$4:$E$55,2,FALSE)</f>
        <v>4006</v>
      </c>
      <c r="F1218" s="457" t="s">
        <v>1242</v>
      </c>
      <c r="G1218" s="452" t="str">
        <f>VLOOKUP(F1218,★折込地区!$A$1:$B$11,2,FALSE)</f>
        <v>Osk</v>
      </c>
      <c r="H1218" s="453">
        <f>INDEX(★サイズ表記!$I$4:$Q$55, MATCH(E1218,★サイズ表記!$E$4:$E$55,0), MATCH(G1218,★サイズ表記!$I$3:$R$3,0))</f>
        <v>0</v>
      </c>
      <c r="K1218" s="471" t="e">
        <f t="shared" si="136"/>
        <v>#N/A</v>
      </c>
      <c r="L1218" s="471" t="str">
        <f t="shared" si="137"/>
        <v>タブ14P</v>
      </c>
      <c r="P1218" s="533" t="s">
        <v>1324</v>
      </c>
      <c r="Q1218" s="533" t="s">
        <v>1325</v>
      </c>
      <c r="R1218" s="534" t="str">
        <f t="shared" si="138"/>
        <v>4006</v>
      </c>
      <c r="S1218" s="534" t="str">
        <f t="shared" si="139"/>
        <v>タブ14P</v>
      </c>
      <c r="T1218" s="538" t="str">
        <f t="shared" si="140"/>
        <v>40</v>
      </c>
      <c r="U1218" s="538" t="str">
        <f t="shared" si="141"/>
        <v>06</v>
      </c>
      <c r="V1218" s="471" t="s">
        <v>1136</v>
      </c>
      <c r="Y1218" s="472">
        <f t="shared" si="142"/>
        <v>0</v>
      </c>
      <c r="Z1218" s="540">
        <f t="shared" si="143"/>
        <v>0</v>
      </c>
      <c r="AA1218" s="471">
        <v>0</v>
      </c>
    </row>
    <row r="1219" spans="1:27">
      <c r="A1219" s="451" t="e">
        <f>CONCATENATE(VLOOKUP(B1219,★営業所!$A$1:$B$5,2,FALSE),VLOOKUP(D1219,★サイズ表記!$D$4:$E$55,2,FALSE),VLOOKUP(F1219,★折込地区!$A$1:$B$11,2,FALSE))</f>
        <v>#N/A</v>
      </c>
      <c r="B1219" s="457" t="s">
        <v>1242</v>
      </c>
      <c r="C1219" s="452" t="e">
        <f>VLOOKUP(B1219,★営業所!$A$1:$B$5,2,FALSE)</f>
        <v>#N/A</v>
      </c>
      <c r="D1219" s="465" t="s">
        <v>1353</v>
      </c>
      <c r="E1219" s="452" t="str">
        <f>VLOOKUP(D1219,★サイズ表記!$D$4:$E$55,2,FALSE)</f>
        <v>4007</v>
      </c>
      <c r="F1219" s="457" t="s">
        <v>1242</v>
      </c>
      <c r="G1219" s="452" t="str">
        <f>VLOOKUP(F1219,★折込地区!$A$1:$B$11,2,FALSE)</f>
        <v>Osk</v>
      </c>
      <c r="H1219" s="453">
        <f>INDEX(★サイズ表記!$I$4:$Q$55, MATCH(E1219,★サイズ表記!$E$4:$E$55,0), MATCH(G1219,★サイズ表記!$I$3:$R$3,0))</f>
        <v>0</v>
      </c>
      <c r="K1219" s="471" t="e">
        <f t="shared" si="136"/>
        <v>#N/A</v>
      </c>
      <c r="L1219" s="471" t="str">
        <f t="shared" si="137"/>
        <v>タブ16P</v>
      </c>
      <c r="P1219" s="533" t="s">
        <v>1324</v>
      </c>
      <c r="Q1219" s="533" t="s">
        <v>1325</v>
      </c>
      <c r="R1219" s="534" t="str">
        <f t="shared" si="138"/>
        <v>4007</v>
      </c>
      <c r="S1219" s="534" t="str">
        <f t="shared" si="139"/>
        <v>タブ16P</v>
      </c>
      <c r="T1219" s="538" t="str">
        <f t="shared" si="140"/>
        <v>40</v>
      </c>
      <c r="U1219" s="538" t="str">
        <f t="shared" si="141"/>
        <v>07</v>
      </c>
      <c r="V1219" s="471" t="s">
        <v>1136</v>
      </c>
      <c r="Y1219" s="472">
        <f t="shared" si="142"/>
        <v>0</v>
      </c>
      <c r="Z1219" s="540">
        <f t="shared" si="143"/>
        <v>0</v>
      </c>
      <c r="AA1219" s="471">
        <v>0</v>
      </c>
    </row>
    <row r="1220" spans="1:27">
      <c r="A1220" s="451" t="e">
        <f>CONCATENATE(VLOOKUP(B1220,★営業所!$A$1:$B$5,2,FALSE),VLOOKUP(D1220,★サイズ表記!$D$4:$E$55,2,FALSE),VLOOKUP(F1220,★折込地区!$A$1:$B$11,2,FALSE))</f>
        <v>#N/A</v>
      </c>
      <c r="B1220" s="457" t="s">
        <v>1242</v>
      </c>
      <c r="C1220" s="452" t="e">
        <f>VLOOKUP(B1220,★営業所!$A$1:$B$5,2,FALSE)</f>
        <v>#N/A</v>
      </c>
      <c r="D1220" s="465" t="s">
        <v>1355</v>
      </c>
      <c r="E1220" s="452" t="str">
        <f>VLOOKUP(D1220,★サイズ表記!$D$4:$E$55,2,FALSE)</f>
        <v>4008</v>
      </c>
      <c r="F1220" s="457" t="s">
        <v>1242</v>
      </c>
      <c r="G1220" s="452" t="str">
        <f>VLOOKUP(F1220,★折込地区!$A$1:$B$11,2,FALSE)</f>
        <v>Osk</v>
      </c>
      <c r="H1220" s="453">
        <f>INDEX(★サイズ表記!$I$4:$Q$55, MATCH(E1220,★サイズ表記!$E$4:$E$55,0), MATCH(G1220,★サイズ表記!$I$3:$R$3,0))</f>
        <v>0</v>
      </c>
      <c r="K1220" s="471" t="e">
        <f t="shared" si="136"/>
        <v>#N/A</v>
      </c>
      <c r="L1220" s="471" t="str">
        <f t="shared" si="137"/>
        <v>タブ18P</v>
      </c>
      <c r="P1220" s="533" t="s">
        <v>1324</v>
      </c>
      <c r="Q1220" s="533" t="s">
        <v>1325</v>
      </c>
      <c r="R1220" s="534" t="str">
        <f t="shared" si="138"/>
        <v>4008</v>
      </c>
      <c r="S1220" s="534" t="str">
        <f t="shared" si="139"/>
        <v>タブ18P</v>
      </c>
      <c r="T1220" s="538" t="str">
        <f t="shared" si="140"/>
        <v>40</v>
      </c>
      <c r="U1220" s="538" t="str">
        <f t="shared" si="141"/>
        <v>08</v>
      </c>
      <c r="V1220" s="471" t="s">
        <v>1136</v>
      </c>
      <c r="Y1220" s="472">
        <f t="shared" si="142"/>
        <v>0</v>
      </c>
      <c r="Z1220" s="540">
        <f t="shared" si="143"/>
        <v>0</v>
      </c>
      <c r="AA1220" s="471">
        <v>0</v>
      </c>
    </row>
    <row r="1221" spans="1:27">
      <c r="A1221" s="451" t="e">
        <f>CONCATENATE(VLOOKUP(B1221,★営業所!$A$1:$B$5,2,FALSE),VLOOKUP(D1221,★サイズ表記!$D$4:$E$55,2,FALSE),VLOOKUP(F1221,★折込地区!$A$1:$B$11,2,FALSE))</f>
        <v>#N/A</v>
      </c>
      <c r="B1221" s="457" t="s">
        <v>1242</v>
      </c>
      <c r="C1221" s="452" t="e">
        <f>VLOOKUP(B1221,★営業所!$A$1:$B$5,2,FALSE)</f>
        <v>#N/A</v>
      </c>
      <c r="D1221" s="465" t="s">
        <v>1356</v>
      </c>
      <c r="E1221" s="452" t="str">
        <f>VLOOKUP(D1221,★サイズ表記!$D$4:$E$55,2,FALSE)</f>
        <v>4009</v>
      </c>
      <c r="F1221" s="457" t="s">
        <v>1242</v>
      </c>
      <c r="G1221" s="452" t="str">
        <f>VLOOKUP(F1221,★折込地区!$A$1:$B$11,2,FALSE)</f>
        <v>Osk</v>
      </c>
      <c r="H1221" s="453">
        <f>INDEX(★サイズ表記!$I$4:$Q$55, MATCH(E1221,★サイズ表記!$E$4:$E$55,0), MATCH(G1221,★サイズ表記!$I$3:$R$3,0))</f>
        <v>0</v>
      </c>
      <c r="K1221" s="471" t="e">
        <f t="shared" si="136"/>
        <v>#N/A</v>
      </c>
      <c r="L1221" s="471" t="str">
        <f t="shared" si="137"/>
        <v>タブ20P</v>
      </c>
      <c r="P1221" s="533" t="s">
        <v>1324</v>
      </c>
      <c r="Q1221" s="533" t="s">
        <v>1325</v>
      </c>
      <c r="R1221" s="534" t="str">
        <f t="shared" si="138"/>
        <v>4009</v>
      </c>
      <c r="S1221" s="534" t="str">
        <f t="shared" si="139"/>
        <v>タブ20P</v>
      </c>
      <c r="T1221" s="538" t="str">
        <f t="shared" si="140"/>
        <v>40</v>
      </c>
      <c r="U1221" s="538" t="str">
        <f t="shared" si="141"/>
        <v>09</v>
      </c>
      <c r="V1221" s="471" t="s">
        <v>1136</v>
      </c>
      <c r="Y1221" s="472">
        <f t="shared" si="142"/>
        <v>0</v>
      </c>
      <c r="Z1221" s="540">
        <f t="shared" si="143"/>
        <v>0</v>
      </c>
      <c r="AA1221" s="471">
        <v>0</v>
      </c>
    </row>
    <row r="1222" spans="1:27">
      <c r="A1222" s="451" t="e">
        <f>CONCATENATE(VLOOKUP(B1222,★営業所!$A$1:$B$5,2,FALSE),VLOOKUP(D1222,★サイズ表記!$D$4:$E$55,2,FALSE),VLOOKUP(F1222,★折込地区!$A$1:$B$11,2,FALSE))</f>
        <v>#N/A</v>
      </c>
      <c r="B1222" s="457" t="s">
        <v>1242</v>
      </c>
      <c r="C1222" s="452" t="e">
        <f>VLOOKUP(B1222,★営業所!$A$1:$B$5,2,FALSE)</f>
        <v>#N/A</v>
      </c>
      <c r="D1222" s="465" t="s">
        <v>1354</v>
      </c>
      <c r="E1222" s="452" t="str">
        <f>VLOOKUP(D1222,★サイズ表記!$D$4:$E$55,2,FALSE)</f>
        <v>4010</v>
      </c>
      <c r="F1222" s="457" t="s">
        <v>1242</v>
      </c>
      <c r="G1222" s="452" t="str">
        <f>VLOOKUP(F1222,★折込地区!$A$1:$B$11,2,FALSE)</f>
        <v>Osk</v>
      </c>
      <c r="H1222" s="453">
        <f>INDEX(★サイズ表記!$I$4:$Q$55, MATCH(E1222,★サイズ表記!$E$4:$E$55,0), MATCH(G1222,★サイズ表記!$I$3:$R$3,0))</f>
        <v>0</v>
      </c>
      <c r="K1222" s="471" t="e">
        <f t="shared" si="136"/>
        <v>#N/A</v>
      </c>
      <c r="L1222" s="471" t="str">
        <f t="shared" si="137"/>
        <v>タブ16Pホチキス止め</v>
      </c>
      <c r="P1222" s="533" t="s">
        <v>1324</v>
      </c>
      <c r="Q1222" s="533" t="s">
        <v>1325</v>
      </c>
      <c r="R1222" s="534" t="str">
        <f t="shared" si="138"/>
        <v>4010</v>
      </c>
      <c r="S1222" s="534" t="str">
        <f t="shared" si="139"/>
        <v>タブ16Pホチキス止め</v>
      </c>
      <c r="T1222" s="538" t="str">
        <f t="shared" si="140"/>
        <v>40</v>
      </c>
      <c r="U1222" s="538" t="str">
        <f t="shared" si="141"/>
        <v>10</v>
      </c>
      <c r="V1222" s="471" t="s">
        <v>1136</v>
      </c>
      <c r="Y1222" s="472">
        <f t="shared" si="142"/>
        <v>0</v>
      </c>
      <c r="Z1222" s="540">
        <f t="shared" si="143"/>
        <v>0</v>
      </c>
      <c r="AA1222" s="471">
        <v>0</v>
      </c>
    </row>
    <row r="1223" spans="1:27">
      <c r="A1223" s="451" t="e">
        <f>CONCATENATE(VLOOKUP(B1223,★営業所!$A$1:$B$5,2,FALSE),VLOOKUP(D1223,★サイズ表記!$D$4:$E$55,2,FALSE),VLOOKUP(F1223,★折込地区!$A$1:$B$11,2,FALSE))</f>
        <v>#N/A</v>
      </c>
      <c r="B1223" s="457" t="s">
        <v>1242</v>
      </c>
      <c r="C1223" s="452" t="e">
        <f>VLOOKUP(B1223,★営業所!$A$1:$B$5,2,FALSE)</f>
        <v>#N/A</v>
      </c>
      <c r="D1223" s="465" t="s">
        <v>1357</v>
      </c>
      <c r="E1223" s="452" t="str">
        <f>VLOOKUP(D1223,★サイズ表記!$D$4:$E$55,2,FALSE)</f>
        <v>4011</v>
      </c>
      <c r="F1223" s="457" t="s">
        <v>1242</v>
      </c>
      <c r="G1223" s="452" t="str">
        <f>VLOOKUP(F1223,★折込地区!$A$1:$B$11,2,FALSE)</f>
        <v>Osk</v>
      </c>
      <c r="H1223" s="453">
        <f>INDEX(★サイズ表記!$I$4:$Q$55, MATCH(E1223,★サイズ表記!$E$4:$E$55,0), MATCH(G1223,★サイズ表記!$I$3:$R$3,0))</f>
        <v>0</v>
      </c>
      <c r="K1223" s="471" t="e">
        <f t="shared" si="136"/>
        <v>#N/A</v>
      </c>
      <c r="L1223" s="471" t="str">
        <f t="shared" si="137"/>
        <v>タブ40P</v>
      </c>
      <c r="P1223" s="533" t="s">
        <v>1324</v>
      </c>
      <c r="Q1223" s="533" t="s">
        <v>1325</v>
      </c>
      <c r="R1223" s="534" t="str">
        <f t="shared" si="138"/>
        <v>4011</v>
      </c>
      <c r="S1223" s="534" t="str">
        <f t="shared" si="139"/>
        <v>タブ40P</v>
      </c>
      <c r="T1223" s="538" t="str">
        <f t="shared" si="140"/>
        <v>40</v>
      </c>
      <c r="U1223" s="538" t="str">
        <f t="shared" si="141"/>
        <v>11</v>
      </c>
      <c r="V1223" s="471" t="s">
        <v>1136</v>
      </c>
      <c r="Y1223" s="472">
        <f t="shared" si="142"/>
        <v>0</v>
      </c>
      <c r="Z1223" s="540">
        <f t="shared" si="143"/>
        <v>0</v>
      </c>
      <c r="AA1223" s="471">
        <v>0</v>
      </c>
    </row>
    <row r="1224" spans="1:27">
      <c r="A1224" s="451" t="e">
        <f>CONCATENATE(VLOOKUP(B1224,★営業所!$A$1:$B$5,2,FALSE),VLOOKUP(D1224,★サイズ表記!$D$4:$E$55,2,FALSE),VLOOKUP(F1224,★折込地区!$A$1:$B$11,2,FALSE))</f>
        <v>#N/A</v>
      </c>
      <c r="B1224" s="457" t="s">
        <v>1242</v>
      </c>
      <c r="C1224" s="452" t="e">
        <f>VLOOKUP(B1224,★営業所!$A$1:$B$5,2,FALSE)</f>
        <v>#N/A</v>
      </c>
      <c r="D1224" s="465" t="s">
        <v>975</v>
      </c>
      <c r="E1224" s="452" t="str">
        <f>VLOOKUP(D1224,★サイズ表記!$D$4:$E$55,2,FALSE)</f>
        <v>9001</v>
      </c>
      <c r="F1224" s="457" t="s">
        <v>1242</v>
      </c>
      <c r="G1224" s="452" t="str">
        <f>VLOOKUP(F1224,★折込地区!$A$1:$B$11,2,FALSE)</f>
        <v>Osk</v>
      </c>
      <c r="H1224" s="453">
        <f>INDEX(★サイズ表記!$I$4:$Q$55, MATCH(E1224,★サイズ表記!$E$4:$E$55,0), MATCH(G1224,★サイズ表記!$I$3:$R$3,0))</f>
        <v>0</v>
      </c>
      <c r="K1224" s="471" t="e">
        <f t="shared" si="136"/>
        <v>#N/A</v>
      </c>
      <c r="L1224" s="471" t="str">
        <f t="shared" si="137"/>
        <v>うさぎの耳</v>
      </c>
      <c r="P1224" s="533" t="s">
        <v>1324</v>
      </c>
      <c r="Q1224" s="533" t="s">
        <v>1325</v>
      </c>
      <c r="R1224" s="534" t="str">
        <f t="shared" si="138"/>
        <v>9001</v>
      </c>
      <c r="S1224" s="534" t="str">
        <f t="shared" si="139"/>
        <v>うさぎの耳</v>
      </c>
      <c r="T1224" s="538" t="str">
        <f t="shared" si="140"/>
        <v>90</v>
      </c>
      <c r="U1224" s="538" t="str">
        <f t="shared" si="141"/>
        <v>01</v>
      </c>
      <c r="V1224" s="471" t="s">
        <v>1136</v>
      </c>
      <c r="Y1224" s="472">
        <f t="shared" si="142"/>
        <v>0</v>
      </c>
      <c r="Z1224" s="540">
        <f t="shared" si="143"/>
        <v>0</v>
      </c>
      <c r="AA1224" s="471">
        <v>0</v>
      </c>
    </row>
    <row r="1225" spans="1:27">
      <c r="A1225" s="451" t="e">
        <f>CONCATENATE(VLOOKUP(B1225,★営業所!$A$1:$B$5,2,FALSE),VLOOKUP(D1225,★サイズ表記!$D$4:$E$55,2,FALSE),VLOOKUP(F1225,★折込地区!$A$1:$B$11,2,FALSE))</f>
        <v>#N/A</v>
      </c>
      <c r="B1225" s="457" t="s">
        <v>1242</v>
      </c>
      <c r="C1225" s="452" t="e">
        <f>VLOOKUP(B1225,★営業所!$A$1:$B$5,2,FALSE)</f>
        <v>#N/A</v>
      </c>
      <c r="D1225" s="465" t="s">
        <v>976</v>
      </c>
      <c r="E1225" s="452" t="str">
        <f>VLOOKUP(D1225,★サイズ表記!$D$4:$E$55,2,FALSE)</f>
        <v>9002</v>
      </c>
      <c r="F1225" s="457" t="s">
        <v>1242</v>
      </c>
      <c r="G1225" s="452" t="str">
        <f>VLOOKUP(F1225,★折込地区!$A$1:$B$11,2,FALSE)</f>
        <v>Osk</v>
      </c>
      <c r="H1225" s="453">
        <f>INDEX(★サイズ表記!$I$4:$Q$55, MATCH(E1225,★サイズ表記!$E$4:$E$55,0), MATCH(G1225,★サイズ表記!$I$3:$R$3,0))</f>
        <v>0</v>
      </c>
      <c r="K1225" s="471" t="e">
        <f t="shared" si="136"/>
        <v>#N/A</v>
      </c>
      <c r="L1225" s="471" t="str">
        <f t="shared" si="137"/>
        <v>ユーキャン（題字）</v>
      </c>
      <c r="P1225" s="533" t="s">
        <v>1324</v>
      </c>
      <c r="Q1225" s="533" t="s">
        <v>1325</v>
      </c>
      <c r="R1225" s="534" t="str">
        <f t="shared" si="138"/>
        <v>9002</v>
      </c>
      <c r="S1225" s="534" t="str">
        <f t="shared" si="139"/>
        <v>ユーキャン（題字）</v>
      </c>
      <c r="T1225" s="538" t="str">
        <f t="shared" si="140"/>
        <v>90</v>
      </c>
      <c r="U1225" s="538" t="str">
        <f t="shared" si="141"/>
        <v>02</v>
      </c>
      <c r="V1225" s="471" t="s">
        <v>1136</v>
      </c>
      <c r="Y1225" s="472">
        <f t="shared" si="142"/>
        <v>0</v>
      </c>
      <c r="Z1225" s="540">
        <f t="shared" si="143"/>
        <v>0</v>
      </c>
      <c r="AA1225" s="471">
        <v>0</v>
      </c>
    </row>
    <row r="1226" spans="1:27">
      <c r="A1226" s="451" t="e">
        <f>CONCATENATE(VLOOKUP(B1226,★営業所!$A$1:$B$5,2,FALSE),VLOOKUP(D1226,★サイズ表記!$D$4:$E$55,2,FALSE),VLOOKUP(F1226,★折込地区!$A$1:$B$11,2,FALSE))</f>
        <v>#N/A</v>
      </c>
      <c r="B1226" s="457" t="s">
        <v>1242</v>
      </c>
      <c r="C1226" s="452" t="e">
        <f>VLOOKUP(B1226,★営業所!$A$1:$B$5,2,FALSE)</f>
        <v>#N/A</v>
      </c>
      <c r="D1226" s="465" t="s">
        <v>977</v>
      </c>
      <c r="E1226" s="452" t="str">
        <f>VLOOKUP(D1226,★サイズ表記!$D$4:$E$55,2,FALSE)</f>
        <v>9003</v>
      </c>
      <c r="F1226" s="457" t="s">
        <v>1242</v>
      </c>
      <c r="G1226" s="452" t="str">
        <f>VLOOKUP(F1226,★折込地区!$A$1:$B$11,2,FALSE)</f>
        <v>Osk</v>
      </c>
      <c r="H1226" s="453">
        <f>INDEX(★サイズ表記!$I$4:$Q$55, MATCH(E1226,★サイズ表記!$E$4:$E$55,0), MATCH(G1226,★サイズ表記!$I$3:$R$3,0))</f>
        <v>0</v>
      </c>
      <c r="K1226" s="471" t="e">
        <f t="shared" si="136"/>
        <v>#N/A</v>
      </c>
      <c r="L1226" s="471" t="str">
        <f t="shared" si="137"/>
        <v>横長B3</v>
      </c>
      <c r="P1226" s="533" t="s">
        <v>1324</v>
      </c>
      <c r="Q1226" s="533" t="s">
        <v>1325</v>
      </c>
      <c r="R1226" s="534" t="str">
        <f t="shared" si="138"/>
        <v>9003</v>
      </c>
      <c r="S1226" s="534" t="str">
        <f t="shared" si="139"/>
        <v>横長B3</v>
      </c>
      <c r="T1226" s="538" t="str">
        <f t="shared" si="140"/>
        <v>90</v>
      </c>
      <c r="U1226" s="538" t="str">
        <f t="shared" si="141"/>
        <v>03</v>
      </c>
      <c r="V1226" s="471" t="s">
        <v>1136</v>
      </c>
      <c r="Y1226" s="472">
        <f t="shared" si="142"/>
        <v>0</v>
      </c>
      <c r="Z1226" s="540">
        <f t="shared" si="143"/>
        <v>0</v>
      </c>
      <c r="AA1226" s="471">
        <v>0</v>
      </c>
    </row>
    <row r="1227" spans="1:27">
      <c r="A1227" s="451" t="e">
        <f>CONCATENATE(VLOOKUP(B1227,★営業所!$A$1:$B$5,2,FALSE),VLOOKUP(D1227,★サイズ表記!$D$4:$E$55,2,FALSE),VLOOKUP(F1227,★折込地区!$A$1:$B$11,2,FALSE))</f>
        <v>#N/A</v>
      </c>
      <c r="B1227" s="457" t="s">
        <v>1242</v>
      </c>
      <c r="C1227" s="452" t="e">
        <f>VLOOKUP(B1227,★営業所!$A$1:$B$5,2,FALSE)</f>
        <v>#N/A</v>
      </c>
      <c r="D1227" s="465" t="s">
        <v>978</v>
      </c>
      <c r="E1227" s="452" t="str">
        <f>VLOOKUP(D1227,★サイズ表記!$D$4:$E$55,2,FALSE)</f>
        <v>9004</v>
      </c>
      <c r="F1227" s="457" t="s">
        <v>1242</v>
      </c>
      <c r="G1227" s="452" t="str">
        <f>VLOOKUP(F1227,★折込地区!$A$1:$B$11,2,FALSE)</f>
        <v>Osk</v>
      </c>
      <c r="H1227" s="453">
        <f>INDEX(★サイズ表記!$I$4:$Q$55, MATCH(E1227,★サイズ表記!$E$4:$E$55,0), MATCH(G1227,★サイズ表記!$I$3:$R$3,0))</f>
        <v>0</v>
      </c>
      <c r="K1227" s="471" t="e">
        <f t="shared" si="136"/>
        <v>#N/A</v>
      </c>
      <c r="L1227" s="471" t="str">
        <f t="shared" si="137"/>
        <v>AD-BAG</v>
      </c>
      <c r="P1227" s="533" t="s">
        <v>1324</v>
      </c>
      <c r="Q1227" s="533" t="s">
        <v>1325</v>
      </c>
      <c r="R1227" s="534" t="str">
        <f t="shared" si="138"/>
        <v>9004</v>
      </c>
      <c r="S1227" s="534" t="str">
        <f t="shared" si="139"/>
        <v>AD-BAG</v>
      </c>
      <c r="T1227" s="538" t="str">
        <f t="shared" si="140"/>
        <v>90</v>
      </c>
      <c r="U1227" s="538" t="str">
        <f t="shared" si="141"/>
        <v>04</v>
      </c>
      <c r="V1227" s="471" t="s">
        <v>1136</v>
      </c>
      <c r="Y1227" s="472">
        <f t="shared" si="142"/>
        <v>0</v>
      </c>
      <c r="Z1227" s="540">
        <f t="shared" si="143"/>
        <v>0</v>
      </c>
      <c r="AA1227" s="471">
        <v>0</v>
      </c>
    </row>
    <row r="1228" spans="1:27">
      <c r="A1228" s="451" t="e">
        <f>CONCATENATE(VLOOKUP(B1228,★営業所!$A$1:$B$5,2,FALSE),VLOOKUP(D1228,★サイズ表記!$D$4:$E$55,2,FALSE),VLOOKUP(F1228,★折込地区!$A$1:$B$11,2,FALSE))</f>
        <v>#N/A</v>
      </c>
      <c r="B1228" s="457" t="s">
        <v>1242</v>
      </c>
      <c r="C1228" s="452" t="e">
        <f>VLOOKUP(B1228,★営業所!$A$1:$B$5,2,FALSE)</f>
        <v>#N/A</v>
      </c>
      <c r="D1228" s="465" t="s">
        <v>979</v>
      </c>
      <c r="E1228" s="452" t="str">
        <f>VLOOKUP(D1228,★サイズ表記!$D$4:$E$55,2,FALSE)</f>
        <v>9005</v>
      </c>
      <c r="F1228" s="457" t="s">
        <v>1242</v>
      </c>
      <c r="G1228" s="452" t="str">
        <f>VLOOKUP(F1228,★折込地区!$A$1:$B$11,2,FALSE)</f>
        <v>Osk</v>
      </c>
      <c r="H1228" s="453">
        <f>INDEX(★サイズ表記!$I$4:$Q$55, MATCH(E1228,★サイズ表記!$E$4:$E$55,0), MATCH(G1228,★サイズ表記!$I$3:$R$3,0))</f>
        <v>0</v>
      </c>
      <c r="K1228" s="471" t="e">
        <f t="shared" si="136"/>
        <v>#N/A</v>
      </c>
      <c r="L1228" s="471" t="str">
        <f t="shared" si="137"/>
        <v>封筒</v>
      </c>
      <c r="P1228" s="533" t="s">
        <v>1324</v>
      </c>
      <c r="Q1228" s="533" t="s">
        <v>1325</v>
      </c>
      <c r="R1228" s="534" t="str">
        <f t="shared" si="138"/>
        <v>9005</v>
      </c>
      <c r="S1228" s="534" t="str">
        <f t="shared" si="139"/>
        <v>封筒</v>
      </c>
      <c r="T1228" s="538" t="str">
        <f t="shared" si="140"/>
        <v>90</v>
      </c>
      <c r="U1228" s="538" t="str">
        <f t="shared" si="141"/>
        <v>05</v>
      </c>
      <c r="V1228" s="471" t="s">
        <v>1136</v>
      </c>
      <c r="Y1228" s="472">
        <f t="shared" si="142"/>
        <v>0</v>
      </c>
      <c r="Z1228" s="540">
        <f t="shared" si="143"/>
        <v>0</v>
      </c>
      <c r="AA1228" s="471">
        <v>0</v>
      </c>
    </row>
    <row r="1229" spans="1:27">
      <c r="A1229" s="451" t="e">
        <f>CONCATENATE(VLOOKUP(B1229,★営業所!$A$1:$B$5,2,FALSE),VLOOKUP(D1229,★サイズ表記!$D$4:$E$55,2,FALSE),VLOOKUP(F1229,★折込地区!$A$1:$B$11,2,FALSE))</f>
        <v>#N/A</v>
      </c>
      <c r="B1229" s="457" t="s">
        <v>1242</v>
      </c>
      <c r="C1229" s="452" t="e">
        <f>VLOOKUP(B1229,★営業所!$A$1:$B$5,2,FALSE)</f>
        <v>#N/A</v>
      </c>
      <c r="D1229" s="465" t="s">
        <v>980</v>
      </c>
      <c r="E1229" s="452" t="str">
        <f>VLOOKUP(D1229,★サイズ表記!$D$4:$E$55,2,FALSE)</f>
        <v>9006</v>
      </c>
      <c r="F1229" s="457" t="s">
        <v>1242</v>
      </c>
      <c r="G1229" s="452" t="str">
        <f>VLOOKUP(F1229,★折込地区!$A$1:$B$11,2,FALSE)</f>
        <v>Osk</v>
      </c>
      <c r="H1229" s="453">
        <f>INDEX(★サイズ表記!$I$4:$Q$55, MATCH(E1229,★サイズ表記!$E$4:$E$55,0), MATCH(G1229,★サイズ表記!$I$3:$R$3,0))</f>
        <v>0</v>
      </c>
      <c r="K1229" s="471" t="e">
        <f t="shared" si="136"/>
        <v>#N/A</v>
      </c>
      <c r="L1229" s="471" t="str">
        <f t="shared" si="137"/>
        <v>圧着</v>
      </c>
      <c r="P1229" s="533" t="s">
        <v>1324</v>
      </c>
      <c r="Q1229" s="533" t="s">
        <v>1325</v>
      </c>
      <c r="R1229" s="534" t="str">
        <f t="shared" si="138"/>
        <v>9006</v>
      </c>
      <c r="S1229" s="534" t="str">
        <f t="shared" si="139"/>
        <v>圧着</v>
      </c>
      <c r="T1229" s="538" t="str">
        <f t="shared" si="140"/>
        <v>90</v>
      </c>
      <c r="U1229" s="538" t="str">
        <f t="shared" si="141"/>
        <v>06</v>
      </c>
      <c r="V1229" s="471" t="s">
        <v>1136</v>
      </c>
      <c r="Y1229" s="472">
        <f t="shared" si="142"/>
        <v>0</v>
      </c>
      <c r="Z1229" s="540">
        <f t="shared" si="143"/>
        <v>0</v>
      </c>
      <c r="AA1229" s="471">
        <v>0</v>
      </c>
    </row>
    <row r="1230" spans="1:27">
      <c r="A1230" s="451" t="e">
        <f>CONCATENATE(VLOOKUP(B1230,★営業所!$A$1:$B$5,2,FALSE),VLOOKUP(D1230,★サイズ表記!$D$4:$E$55,2,FALSE),VLOOKUP(F1230,★折込地区!$A$1:$B$11,2,FALSE))</f>
        <v>#N/A</v>
      </c>
      <c r="B1230" s="457" t="s">
        <v>1242</v>
      </c>
      <c r="C1230" s="452" t="e">
        <f>VLOOKUP(B1230,★営業所!$A$1:$B$5,2,FALSE)</f>
        <v>#N/A</v>
      </c>
      <c r="D1230" s="465" t="s">
        <v>981</v>
      </c>
      <c r="E1230" s="452" t="str">
        <f>VLOOKUP(D1230,★サイズ表記!$D$4:$E$55,2,FALSE)</f>
        <v>9007</v>
      </c>
      <c r="F1230" s="457" t="s">
        <v>1242</v>
      </c>
      <c r="G1230" s="452" t="str">
        <f>VLOOKUP(F1230,★折込地区!$A$1:$B$11,2,FALSE)</f>
        <v>Osk</v>
      </c>
      <c r="H1230" s="453">
        <f>INDEX(★サイズ表記!$I$4:$Q$55, MATCH(E1230,★サイズ表記!$E$4:$E$55,0), MATCH(G1230,★サイズ表記!$I$3:$R$3,0))</f>
        <v>0</v>
      </c>
      <c r="K1230" s="471" t="e">
        <f t="shared" si="136"/>
        <v>#N/A</v>
      </c>
      <c r="L1230" s="471" t="str">
        <f t="shared" si="137"/>
        <v>圧着厚紙</v>
      </c>
      <c r="P1230" s="533" t="s">
        <v>1324</v>
      </c>
      <c r="Q1230" s="533" t="s">
        <v>1325</v>
      </c>
      <c r="R1230" s="534" t="str">
        <f t="shared" si="138"/>
        <v>9007</v>
      </c>
      <c r="S1230" s="534" t="str">
        <f t="shared" si="139"/>
        <v>圧着厚紙</v>
      </c>
      <c r="T1230" s="538" t="str">
        <f t="shared" si="140"/>
        <v>90</v>
      </c>
      <c r="U1230" s="538" t="str">
        <f t="shared" si="141"/>
        <v>07</v>
      </c>
      <c r="V1230" s="471" t="s">
        <v>1136</v>
      </c>
      <c r="Y1230" s="472">
        <f t="shared" si="142"/>
        <v>0</v>
      </c>
      <c r="Z1230" s="540">
        <f t="shared" si="143"/>
        <v>0</v>
      </c>
      <c r="AA1230" s="471">
        <v>0</v>
      </c>
    </row>
    <row r="1231" spans="1:27">
      <c r="A1231" s="451"/>
      <c r="B1231" s="457"/>
      <c r="C1231" s="452"/>
      <c r="D1231" s="465"/>
      <c r="E1231" s="452"/>
      <c r="F1231" s="457"/>
      <c r="G1231" s="452"/>
      <c r="H1231" s="453"/>
      <c r="I1231" s="483" t="s">
        <v>1118</v>
      </c>
    </row>
  </sheetData>
  <sheetProtection algorithmName="SHA-512" hashValue="xKknExKG5bDzw0bYk7iw/yl5o4Gx7SHUBUs7OEH/u1YDanY0sZlH8SG8dTrLnTG4cyxJANg1lET8ES8UZArI6g==" saltValue="w0TmEKxLjfBtGverIFsU4w==" spinCount="100000" sheet="1" objects="1" scenarios="1"/>
  <autoFilter ref="A5:BB1231" xr:uid="{9A2B90F6-2471-41D9-BFC8-DF9973A501A8}">
    <filterColumn colId="1" showButton="0"/>
    <filterColumn colId="3" showButton="0"/>
    <filterColumn colId="5" showButton="0"/>
  </autoFilter>
  <mergeCells count="5">
    <mergeCell ref="H1:H5"/>
    <mergeCell ref="A1:A5"/>
    <mergeCell ref="B1:C5"/>
    <mergeCell ref="D1:E5"/>
    <mergeCell ref="F1:G5"/>
  </mergeCells>
  <phoneticPr fontId="15"/>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CB7890D-8F97-4C96-A099-67DCC035C872}">
          <x14:formula1>
            <xm:f>★サイズ表記!$D$4:$D$55</xm:f>
          </x14:formula1>
          <xm:sqref>D6:D1231</xm:sqref>
        </x14:dataValidation>
        <x14:dataValidation type="list" allowBlank="1" showInputMessage="1" showErrorMessage="1" xr:uid="{485F6E51-AA42-4207-B618-681433A72231}">
          <x14:formula1>
            <xm:f>★折込地区!$A$2:$A$11</xm:f>
          </x14:formula1>
          <xm:sqref>F6:F1231</xm:sqref>
        </x14:dataValidation>
        <x14:dataValidation type="list" allowBlank="1" showInputMessage="1" showErrorMessage="1" xr:uid="{B5833910-9D52-4E27-B57D-9766A7AD0144}">
          <x14:formula1>
            <xm:f>★営業所!$A$2:$A$5</xm:f>
          </x14:formula1>
          <xm:sqref>B6:B1231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3B41-59C4-462D-9910-A986F5147818}">
  <sheetPr codeName="Sheet25">
    <tabColor rgb="FF0070C0"/>
  </sheetPr>
  <dimension ref="A1:AZ349"/>
  <sheetViews>
    <sheetView zoomScale="60" zoomScaleNormal="60" workbookViewId="0">
      <pane xSplit="7" ySplit="5" topLeftCell="H6" activePane="bottomRight" state="frozen"/>
      <selection pane="topRight" activeCell="H1" sqref="H1"/>
      <selection pane="bottomLeft" activeCell="A6" sqref="A6"/>
      <selection pane="bottomRight" activeCell="H5" sqref="H5"/>
    </sheetView>
  </sheetViews>
  <sheetFormatPr defaultColWidth="8.875" defaultRowHeight="18.75"/>
  <cols>
    <col min="1" max="1" width="10.375" style="466" bestFit="1" customWidth="1"/>
    <col min="2" max="2" width="4" style="454" bestFit="1" customWidth="1"/>
    <col min="3" max="3" width="38.25" style="466" bestFit="1" customWidth="1"/>
    <col min="4" max="4" width="6.5" style="454" customWidth="1"/>
    <col min="5" max="5" width="8.5" style="454" customWidth="1"/>
    <col min="6" max="6" width="48.625" style="454" bestFit="1" customWidth="1"/>
    <col min="7" max="7" width="45.125" style="483" bestFit="1" customWidth="1"/>
    <col min="8" max="8" width="38.125" style="471" customWidth="1"/>
    <col min="9" max="9" width="12.625" style="471" bestFit="1" customWidth="1"/>
    <col min="10" max="10" width="46.5" style="471" bestFit="1" customWidth="1"/>
    <col min="11" max="11" width="8.5" style="471" bestFit="1" customWidth="1"/>
    <col min="12" max="12" width="10.25" style="471" bestFit="1" customWidth="1"/>
    <col min="13" max="13" width="5.5" style="538" bestFit="1" customWidth="1"/>
    <col min="14" max="14" width="11.5" style="471" customWidth="1"/>
    <col min="15" max="15" width="17.375" style="471" bestFit="1" customWidth="1"/>
    <col min="16" max="17" width="17.375" style="471" customWidth="1"/>
    <col min="18" max="19" width="12.75" style="538" bestFit="1" customWidth="1"/>
    <col min="20" max="20" width="5.5" style="471" bestFit="1" customWidth="1"/>
    <col min="21" max="22" width="9.5" style="538" bestFit="1" customWidth="1"/>
    <col min="23" max="23" width="9.5" style="471" bestFit="1" customWidth="1"/>
    <col min="24" max="24" width="13.875" style="538" bestFit="1" customWidth="1"/>
    <col min="25" max="25" width="9.5" style="471" bestFit="1" customWidth="1"/>
    <col min="26" max="26" width="13.875" style="538" bestFit="1" customWidth="1"/>
    <col min="27" max="27" width="17.5" style="538" bestFit="1" customWidth="1"/>
    <col min="28" max="28" width="19.75" style="538" bestFit="1" customWidth="1"/>
    <col min="29" max="29" width="26.5" style="538" bestFit="1" customWidth="1"/>
    <col min="30" max="30" width="11.625" style="538" bestFit="1" customWidth="1"/>
    <col min="31" max="31" width="10.875" style="538" bestFit="1" customWidth="1"/>
    <col min="32" max="33" width="33.625" style="538" bestFit="1" customWidth="1"/>
    <col min="34" max="34" width="38.625" style="538" bestFit="1" customWidth="1"/>
    <col min="35" max="35" width="33.625" style="538" customWidth="1"/>
    <col min="36" max="36" width="11.625" style="538" bestFit="1" customWidth="1"/>
    <col min="37" max="37" width="13.875" style="538" bestFit="1" customWidth="1"/>
    <col min="38" max="38" width="19.25" style="538" bestFit="1" customWidth="1"/>
    <col min="39" max="41" width="11.625" style="538" bestFit="1" customWidth="1"/>
    <col min="42" max="42" width="16.125" style="538" bestFit="1" customWidth="1"/>
    <col min="43" max="43" width="66.875" style="538" bestFit="1" customWidth="1"/>
    <col min="44" max="44" width="13.875" style="538" bestFit="1" customWidth="1"/>
    <col min="45" max="45" width="11.625" style="538" bestFit="1" customWidth="1"/>
    <col min="46" max="47" width="7.5" style="538" bestFit="1" customWidth="1"/>
    <col min="48" max="52" width="17.625" style="538" bestFit="1" customWidth="1"/>
    <col min="53" max="16384" width="8.875" style="454"/>
  </cols>
  <sheetData>
    <row r="1" spans="1:52">
      <c r="A1" s="867" t="s">
        <v>535</v>
      </c>
      <c r="B1" s="868"/>
      <c r="C1" s="867" t="s">
        <v>949</v>
      </c>
      <c r="D1" s="868"/>
      <c r="E1" s="873" t="s">
        <v>1137</v>
      </c>
      <c r="F1" s="873" t="s">
        <v>1138</v>
      </c>
      <c r="G1" s="481"/>
      <c r="H1" s="468" t="s">
        <v>1024</v>
      </c>
      <c r="I1" s="529" t="s">
        <v>372</v>
      </c>
      <c r="J1" s="530" t="s">
        <v>1025</v>
      </c>
      <c r="K1" s="531" t="s">
        <v>1026</v>
      </c>
      <c r="L1" s="530" t="s">
        <v>1027</v>
      </c>
      <c r="M1" s="536" t="s">
        <v>1028</v>
      </c>
      <c r="N1" s="532" t="s">
        <v>1323</v>
      </c>
      <c r="O1" s="468" t="s">
        <v>1029</v>
      </c>
      <c r="P1" s="535" t="s">
        <v>1326</v>
      </c>
      <c r="Q1" s="535" t="s">
        <v>1327</v>
      </c>
      <c r="R1" s="536" t="s">
        <v>1030</v>
      </c>
      <c r="S1" s="536" t="s">
        <v>1031</v>
      </c>
      <c r="T1" s="468" t="s">
        <v>1032</v>
      </c>
      <c r="U1" s="536" t="s">
        <v>1033</v>
      </c>
      <c r="V1" s="536" t="s">
        <v>1034</v>
      </c>
      <c r="W1" s="468" t="s">
        <v>1035</v>
      </c>
      <c r="X1" s="536" t="s">
        <v>1036</v>
      </c>
      <c r="Y1" s="468" t="s">
        <v>1037</v>
      </c>
      <c r="Z1" s="536" t="s">
        <v>1038</v>
      </c>
      <c r="AA1" s="539" t="s">
        <v>1039</v>
      </c>
      <c r="AB1" s="539" t="s">
        <v>1040</v>
      </c>
      <c r="AC1" s="537" t="s">
        <v>1041</v>
      </c>
      <c r="AD1" s="537" t="s">
        <v>1042</v>
      </c>
      <c r="AE1" s="537" t="s">
        <v>1043</v>
      </c>
      <c r="AF1" s="537" t="s">
        <v>1044</v>
      </c>
      <c r="AG1" s="537" t="s">
        <v>1045</v>
      </c>
      <c r="AH1" s="537" t="s">
        <v>1046</v>
      </c>
      <c r="AI1" s="537" t="s">
        <v>1047</v>
      </c>
      <c r="AJ1" s="537" t="s">
        <v>1048</v>
      </c>
      <c r="AK1" s="537" t="s">
        <v>1049</v>
      </c>
      <c r="AL1" s="537" t="s">
        <v>1050</v>
      </c>
      <c r="AM1" s="536" t="s">
        <v>1051</v>
      </c>
      <c r="AN1" s="536" t="s">
        <v>1052</v>
      </c>
      <c r="AO1" s="536" t="s">
        <v>1053</v>
      </c>
      <c r="AP1" s="536" t="s">
        <v>1054</v>
      </c>
      <c r="AQ1" s="536" t="s">
        <v>1055</v>
      </c>
      <c r="AR1" s="536" t="s">
        <v>1056</v>
      </c>
      <c r="AS1" s="536" t="s">
        <v>1057</v>
      </c>
      <c r="AT1" s="536" t="s">
        <v>1058</v>
      </c>
      <c r="AU1" s="536" t="s">
        <v>1059</v>
      </c>
      <c r="AV1" s="538" t="s">
        <v>1060</v>
      </c>
      <c r="AW1" s="538" t="s">
        <v>1061</v>
      </c>
      <c r="AX1" s="538" t="s">
        <v>1062</v>
      </c>
      <c r="AY1" s="538" t="s">
        <v>1063</v>
      </c>
      <c r="AZ1" s="538" t="s">
        <v>1064</v>
      </c>
    </row>
    <row r="2" spans="1:52">
      <c r="A2" s="869"/>
      <c r="B2" s="870"/>
      <c r="C2" s="869"/>
      <c r="D2" s="870"/>
      <c r="E2" s="874"/>
      <c r="F2" s="874"/>
      <c r="G2" s="481"/>
      <c r="H2" s="468" t="s">
        <v>1065</v>
      </c>
      <c r="I2" s="469" t="s">
        <v>1066</v>
      </c>
      <c r="J2" s="470" t="s">
        <v>1067</v>
      </c>
      <c r="K2" s="468" t="s">
        <v>1066</v>
      </c>
      <c r="L2" s="470" t="s">
        <v>1066</v>
      </c>
      <c r="M2" s="536" t="s">
        <v>1068</v>
      </c>
      <c r="N2" s="468"/>
      <c r="O2" s="468" t="s">
        <v>1066</v>
      </c>
      <c r="P2" s="468"/>
      <c r="Q2" s="468"/>
      <c r="R2" s="536" t="s">
        <v>1068</v>
      </c>
      <c r="S2" s="536" t="s">
        <v>1068</v>
      </c>
      <c r="T2" s="468" t="s">
        <v>1066</v>
      </c>
      <c r="U2" s="536" t="s">
        <v>1068</v>
      </c>
      <c r="V2" s="536" t="s">
        <v>1068</v>
      </c>
      <c r="W2" s="468" t="s">
        <v>1068</v>
      </c>
      <c r="X2" s="536" t="s">
        <v>1068</v>
      </c>
      <c r="Y2" s="468" t="s">
        <v>1068</v>
      </c>
      <c r="Z2" s="536" t="s">
        <v>1068</v>
      </c>
      <c r="AA2" s="539" t="s">
        <v>1066</v>
      </c>
      <c r="AB2" s="539" t="s">
        <v>1066</v>
      </c>
      <c r="AC2" s="537" t="s">
        <v>1066</v>
      </c>
      <c r="AD2" s="536" t="s">
        <v>1066</v>
      </c>
      <c r="AE2" s="536" t="s">
        <v>1066</v>
      </c>
      <c r="AF2" s="536" t="s">
        <v>1066</v>
      </c>
      <c r="AG2" s="536" t="s">
        <v>1066</v>
      </c>
      <c r="AH2" s="536" t="s">
        <v>1066</v>
      </c>
      <c r="AI2" s="536" t="s">
        <v>1066</v>
      </c>
      <c r="AJ2" s="536" t="s">
        <v>1066</v>
      </c>
      <c r="AK2" s="536" t="s">
        <v>1066</v>
      </c>
      <c r="AL2" s="536" t="s">
        <v>1068</v>
      </c>
      <c r="AM2" s="536" t="s">
        <v>1068</v>
      </c>
      <c r="AN2" s="536" t="s">
        <v>1068</v>
      </c>
      <c r="AO2" s="536" t="s">
        <v>1068</v>
      </c>
      <c r="AP2" s="536" t="s">
        <v>1068</v>
      </c>
      <c r="AQ2" s="536" t="s">
        <v>1066</v>
      </c>
      <c r="AR2" s="536" t="s">
        <v>1068</v>
      </c>
      <c r="AS2" s="536" t="s">
        <v>1068</v>
      </c>
      <c r="AT2" s="536" t="s">
        <v>1066</v>
      </c>
      <c r="AU2" s="536" t="s">
        <v>1066</v>
      </c>
      <c r="AV2" s="536" t="s">
        <v>1068</v>
      </c>
      <c r="AW2" s="536" t="s">
        <v>1068</v>
      </c>
      <c r="AX2" s="536" t="s">
        <v>1068</v>
      </c>
      <c r="AY2" s="536" t="s">
        <v>1068</v>
      </c>
      <c r="AZ2" s="536" t="s">
        <v>1068</v>
      </c>
    </row>
    <row r="3" spans="1:52">
      <c r="A3" s="869"/>
      <c r="B3" s="870"/>
      <c r="C3" s="869"/>
      <c r="D3" s="870"/>
      <c r="E3" s="874"/>
      <c r="F3" s="874"/>
      <c r="G3" s="481"/>
      <c r="H3" s="468" t="s">
        <v>1069</v>
      </c>
      <c r="I3" s="469">
        <v>15</v>
      </c>
      <c r="J3" s="470">
        <v>50</v>
      </c>
      <c r="K3" s="468">
        <v>50</v>
      </c>
      <c r="L3" s="470">
        <v>10</v>
      </c>
      <c r="M3" s="536">
        <v>8</v>
      </c>
      <c r="N3" s="468"/>
      <c r="O3" s="468">
        <v>6</v>
      </c>
      <c r="P3" s="468"/>
      <c r="Q3" s="468"/>
      <c r="R3" s="536">
        <v>4</v>
      </c>
      <c r="S3" s="536">
        <v>4</v>
      </c>
      <c r="T3" s="468">
        <v>6</v>
      </c>
      <c r="U3" s="536" t="s">
        <v>1070</v>
      </c>
      <c r="V3" s="536">
        <v>9</v>
      </c>
      <c r="W3" s="468" t="s">
        <v>1070</v>
      </c>
      <c r="X3" s="536">
        <v>9</v>
      </c>
      <c r="Y3" s="468" t="s">
        <v>1070</v>
      </c>
      <c r="Z3" s="536">
        <v>9</v>
      </c>
      <c r="AA3" s="539">
        <v>4</v>
      </c>
      <c r="AB3" s="539">
        <v>4</v>
      </c>
      <c r="AC3" s="537">
        <v>10</v>
      </c>
      <c r="AD3" s="536">
        <v>4</v>
      </c>
      <c r="AE3" s="536">
        <v>6</v>
      </c>
      <c r="AF3" s="536">
        <v>16</v>
      </c>
      <c r="AG3" s="536">
        <v>16</v>
      </c>
      <c r="AH3" s="536">
        <v>18</v>
      </c>
      <c r="AI3" s="536">
        <v>14</v>
      </c>
      <c r="AJ3" s="536">
        <v>6</v>
      </c>
      <c r="AK3" s="536">
        <v>6</v>
      </c>
      <c r="AL3" s="536">
        <v>9</v>
      </c>
      <c r="AM3" s="536">
        <v>9</v>
      </c>
      <c r="AN3" s="536">
        <v>9</v>
      </c>
      <c r="AO3" s="536">
        <v>2</v>
      </c>
      <c r="AP3" s="536">
        <v>3</v>
      </c>
      <c r="AQ3" s="536">
        <v>16</v>
      </c>
      <c r="AR3" s="536">
        <v>9</v>
      </c>
      <c r="AS3" s="536">
        <v>3</v>
      </c>
      <c r="AT3" s="536">
        <v>40</v>
      </c>
      <c r="AU3" s="536">
        <v>40</v>
      </c>
      <c r="AV3" s="536">
        <v>4</v>
      </c>
      <c r="AW3" s="536">
        <v>4</v>
      </c>
      <c r="AX3" s="536">
        <v>4</v>
      </c>
      <c r="AY3" s="536">
        <v>4</v>
      </c>
      <c r="AZ3" s="536">
        <v>4</v>
      </c>
    </row>
    <row r="4" spans="1:52">
      <c r="A4" s="869"/>
      <c r="B4" s="870"/>
      <c r="C4" s="869"/>
      <c r="D4" s="870"/>
      <c r="E4" s="874"/>
      <c r="F4" s="874"/>
      <c r="G4" s="482"/>
      <c r="H4" s="454" t="s">
        <v>1071</v>
      </c>
      <c r="I4" s="470"/>
      <c r="J4" s="470"/>
      <c r="K4" s="454"/>
      <c r="L4" s="470"/>
      <c r="M4" s="537"/>
      <c r="N4" s="454"/>
      <c r="O4" s="454" t="s">
        <v>1072</v>
      </c>
      <c r="P4" s="454"/>
      <c r="Q4" s="454"/>
      <c r="R4" s="537"/>
      <c r="S4" s="537"/>
      <c r="T4" s="454"/>
      <c r="U4" s="537"/>
      <c r="V4" s="537"/>
      <c r="W4" s="454"/>
      <c r="X4" s="537"/>
      <c r="Y4" s="454"/>
      <c r="Z4" s="537"/>
      <c r="AA4" s="539" t="s">
        <v>1073</v>
      </c>
      <c r="AB4" s="539" t="s">
        <v>1073</v>
      </c>
      <c r="AC4" s="537" t="s">
        <v>1074</v>
      </c>
      <c r="AD4" s="537" t="s">
        <v>1075</v>
      </c>
      <c r="AE4" s="537" t="s">
        <v>1076</v>
      </c>
      <c r="AF4" s="537" t="s">
        <v>1077</v>
      </c>
      <c r="AG4" s="537" t="s">
        <v>1077</v>
      </c>
      <c r="AH4" s="537" t="s">
        <v>1078</v>
      </c>
      <c r="AI4" s="537" t="s">
        <v>1079</v>
      </c>
      <c r="AJ4" s="537" t="s">
        <v>1076</v>
      </c>
      <c r="AK4" s="537" t="s">
        <v>1076</v>
      </c>
      <c r="AL4" s="537" t="s">
        <v>1080</v>
      </c>
      <c r="AM4" s="537"/>
      <c r="AN4" s="537"/>
      <c r="AO4" s="537"/>
      <c r="AP4" s="537"/>
      <c r="AQ4" s="537" t="s">
        <v>1081</v>
      </c>
      <c r="AR4" s="537"/>
      <c r="AS4" s="537"/>
      <c r="AT4" s="537"/>
      <c r="AU4" s="537"/>
      <c r="AV4" s="537"/>
      <c r="AW4" s="537"/>
      <c r="AX4" s="537"/>
      <c r="AY4" s="537"/>
      <c r="AZ4" s="537"/>
    </row>
    <row r="5" spans="1:52">
      <c r="A5" s="871"/>
      <c r="B5" s="872"/>
      <c r="C5" s="871"/>
      <c r="D5" s="872"/>
      <c r="E5" s="874"/>
      <c r="F5" s="874"/>
      <c r="G5" s="482"/>
      <c r="H5" s="454" t="s">
        <v>1082</v>
      </c>
      <c r="I5" s="454" t="s">
        <v>1083</v>
      </c>
      <c r="J5" s="454" t="s">
        <v>1084</v>
      </c>
      <c r="K5" s="454"/>
      <c r="L5" s="454" t="s">
        <v>1085</v>
      </c>
      <c r="M5" s="537"/>
      <c r="N5" s="454"/>
      <c r="O5" s="454" t="s">
        <v>1086</v>
      </c>
      <c r="P5" s="454"/>
      <c r="Q5" s="454"/>
      <c r="R5" s="537"/>
      <c r="S5" s="537"/>
      <c r="T5" s="454" t="s">
        <v>1087</v>
      </c>
      <c r="U5" s="537">
        <v>10000</v>
      </c>
      <c r="V5" s="537">
        <v>800</v>
      </c>
      <c r="W5" s="454">
        <v>8000</v>
      </c>
      <c r="X5" s="537">
        <v>640</v>
      </c>
      <c r="Y5" s="454">
        <v>6000</v>
      </c>
      <c r="Z5" s="537">
        <v>480</v>
      </c>
      <c r="AA5" s="537" t="s">
        <v>1088</v>
      </c>
      <c r="AB5" s="537" t="s">
        <v>1089</v>
      </c>
      <c r="AC5" s="537" t="s">
        <v>1090</v>
      </c>
      <c r="AD5" s="537" t="s">
        <v>308</v>
      </c>
      <c r="AE5" s="537" t="s">
        <v>1091</v>
      </c>
      <c r="AF5" s="537" t="s">
        <v>1092</v>
      </c>
      <c r="AG5" s="537" t="s">
        <v>1092</v>
      </c>
      <c r="AH5" s="537" t="s">
        <v>1093</v>
      </c>
      <c r="AI5" s="537" t="s">
        <v>1094</v>
      </c>
      <c r="AJ5" s="537" t="s">
        <v>1095</v>
      </c>
      <c r="AK5" s="537" t="s">
        <v>1095</v>
      </c>
      <c r="AL5" s="537"/>
      <c r="AM5" s="537"/>
      <c r="AN5" s="537"/>
      <c r="AO5" s="537"/>
      <c r="AP5" s="537"/>
      <c r="AQ5" s="537" t="s">
        <v>1096</v>
      </c>
      <c r="AR5" s="537"/>
      <c r="AS5" s="537"/>
      <c r="AT5" s="537"/>
      <c r="AU5" s="537"/>
      <c r="AV5" s="537"/>
      <c r="AW5" s="537"/>
      <c r="AX5" s="537"/>
      <c r="AY5" s="537"/>
      <c r="AZ5" s="537"/>
    </row>
    <row r="6" spans="1:52">
      <c r="A6" s="465" t="s">
        <v>6</v>
      </c>
      <c r="B6" s="452" t="str">
        <f>VLOOKUP(A6,★新聞!$C$4:$D$12,2,FALSE)</f>
        <v>D</v>
      </c>
      <c r="C6" s="465" t="s">
        <v>948</v>
      </c>
      <c r="D6" s="452" t="str">
        <f>VLOOKUP(C6,★サイズ表記!$D$4:$E$55,2,FALSE)</f>
        <v>1001</v>
      </c>
      <c r="E6" s="484" t="str">
        <f t="shared" ref="E6:E69" si="0">CONCATENATE(B6,D6)</f>
        <v>D1001</v>
      </c>
      <c r="F6" s="484" t="str">
        <f>CONCATENATE($A6,"/",$C6)</f>
        <v>日本海/B4（折り無し）</v>
      </c>
      <c r="I6" s="471" t="str">
        <f>E6</f>
        <v>D1001</v>
      </c>
      <c r="J6" s="471" t="str">
        <f>F6</f>
        <v>日本海/B4（折り無し）</v>
      </c>
      <c r="N6" s="533" t="s">
        <v>1324</v>
      </c>
      <c r="O6" s="533" t="s">
        <v>1325</v>
      </c>
      <c r="P6" s="534" t="str">
        <f>D6</f>
        <v>1001</v>
      </c>
      <c r="Q6" s="534" t="str">
        <f>C6</f>
        <v>B4（折り無し）</v>
      </c>
      <c r="R6" s="538" t="str">
        <f>LEFT($D6,2)</f>
        <v>10</v>
      </c>
      <c r="S6" s="538" t="str">
        <f>RIGHT($D6,2)</f>
        <v>01</v>
      </c>
      <c r="T6" s="471" t="s">
        <v>1136</v>
      </c>
      <c r="W6" s="471">
        <v>0</v>
      </c>
      <c r="X6" s="540"/>
      <c r="Y6" s="471">
        <v>0</v>
      </c>
    </row>
    <row r="7" spans="1:52">
      <c r="A7" s="465" t="s">
        <v>6</v>
      </c>
      <c r="B7" s="452" t="str">
        <f>VLOOKUP(A7,★新聞!$C$4:$D$12,2,FALSE)</f>
        <v>D</v>
      </c>
      <c r="C7" s="465" t="s">
        <v>950</v>
      </c>
      <c r="D7" s="452" t="str">
        <f>VLOOKUP(C7,★サイズ表記!$D$4:$E$55,2,FALSE)</f>
        <v>1002</v>
      </c>
      <c r="E7" s="484" t="str">
        <f t="shared" si="0"/>
        <v>D1002</v>
      </c>
      <c r="F7" s="484" t="str">
        <f t="shared" ref="F7:F70" si="1">CONCATENATE($A7,"/",$C7)</f>
        <v>日本海/B3（2つ折り）</v>
      </c>
      <c r="I7" s="471" t="str">
        <f t="shared" ref="I7:I54" si="2">E7</f>
        <v>D1002</v>
      </c>
      <c r="J7" s="471" t="str">
        <f t="shared" ref="J7:J70" si="3">F7</f>
        <v>日本海/B3（2つ折り）</v>
      </c>
      <c r="N7" s="533" t="s">
        <v>1324</v>
      </c>
      <c r="O7" s="533" t="s">
        <v>1325</v>
      </c>
      <c r="P7" s="534" t="str">
        <f t="shared" ref="P7:P70" si="4">D7</f>
        <v>1002</v>
      </c>
      <c r="Q7" s="534" t="str">
        <f t="shared" ref="Q7:Q70" si="5">C7</f>
        <v>B3（2つ折り）</v>
      </c>
      <c r="R7" s="538" t="str">
        <f t="shared" ref="R7:R70" si="6">LEFT($D7,2)</f>
        <v>10</v>
      </c>
      <c r="S7" s="538" t="str">
        <f t="shared" ref="S7:S70" si="7">RIGHT($D7,2)</f>
        <v>02</v>
      </c>
      <c r="T7" s="471" t="s">
        <v>1136</v>
      </c>
      <c r="W7" s="471">
        <v>0</v>
      </c>
      <c r="X7" s="540"/>
      <c r="Y7" s="471">
        <v>0</v>
      </c>
    </row>
    <row r="8" spans="1:52">
      <c r="A8" s="465" t="s">
        <v>6</v>
      </c>
      <c r="B8" s="452" t="str">
        <f>VLOOKUP(A8,★新聞!$C$4:$D$12,2,FALSE)</f>
        <v>D</v>
      </c>
      <c r="C8" s="465" t="s">
        <v>951</v>
      </c>
      <c r="D8" s="452" t="str">
        <f>VLOOKUP(C8,★サイズ表記!$D$4:$E$55,2,FALSE)</f>
        <v>1003</v>
      </c>
      <c r="E8" s="484" t="str">
        <f t="shared" si="0"/>
        <v>D1003</v>
      </c>
      <c r="F8" s="484" t="str">
        <f t="shared" si="1"/>
        <v>日本海/3つ折り</v>
      </c>
      <c r="I8" s="471" t="str">
        <f t="shared" si="2"/>
        <v>D1003</v>
      </c>
      <c r="J8" s="471" t="str">
        <f t="shared" si="3"/>
        <v>日本海/3つ折り</v>
      </c>
      <c r="N8" s="533" t="s">
        <v>1324</v>
      </c>
      <c r="O8" s="533" t="s">
        <v>1325</v>
      </c>
      <c r="P8" s="534" t="str">
        <f t="shared" si="4"/>
        <v>1003</v>
      </c>
      <c r="Q8" s="534" t="str">
        <f t="shared" si="5"/>
        <v>3つ折り</v>
      </c>
      <c r="R8" s="538" t="str">
        <f t="shared" si="6"/>
        <v>10</v>
      </c>
      <c r="S8" s="538" t="str">
        <f t="shared" si="7"/>
        <v>03</v>
      </c>
      <c r="T8" s="471" t="s">
        <v>1136</v>
      </c>
      <c r="W8" s="471">
        <v>0</v>
      </c>
      <c r="X8" s="540"/>
      <c r="Y8" s="471">
        <v>0</v>
      </c>
    </row>
    <row r="9" spans="1:52">
      <c r="A9" s="465" t="s">
        <v>6</v>
      </c>
      <c r="B9" s="452" t="str">
        <f>VLOOKUP(A9,★新聞!$C$4:$D$12,2,FALSE)</f>
        <v>D</v>
      </c>
      <c r="C9" s="465" t="s">
        <v>947</v>
      </c>
      <c r="D9" s="452" t="str">
        <f>VLOOKUP(C9,★サイズ表記!$D$4:$E$55,2,FALSE)</f>
        <v>1004</v>
      </c>
      <c r="E9" s="484" t="str">
        <f t="shared" si="0"/>
        <v>D1004</v>
      </c>
      <c r="F9" s="484" t="str">
        <f t="shared" si="1"/>
        <v>日本海/観音折</v>
      </c>
      <c r="I9" s="471" t="str">
        <f t="shared" si="2"/>
        <v>D1004</v>
      </c>
      <c r="J9" s="471" t="str">
        <f t="shared" si="3"/>
        <v>日本海/観音折</v>
      </c>
      <c r="N9" s="533" t="s">
        <v>1324</v>
      </c>
      <c r="O9" s="533" t="s">
        <v>1325</v>
      </c>
      <c r="P9" s="534" t="str">
        <f t="shared" si="4"/>
        <v>1004</v>
      </c>
      <c r="Q9" s="534" t="str">
        <f t="shared" si="5"/>
        <v>観音折</v>
      </c>
      <c r="R9" s="538" t="str">
        <f t="shared" si="6"/>
        <v>10</v>
      </c>
      <c r="S9" s="538" t="str">
        <f t="shared" si="7"/>
        <v>04</v>
      </c>
      <c r="T9" s="471" t="s">
        <v>1136</v>
      </c>
      <c r="W9" s="471">
        <v>0</v>
      </c>
      <c r="X9" s="540"/>
      <c r="Y9" s="471">
        <v>0</v>
      </c>
    </row>
    <row r="10" spans="1:52">
      <c r="A10" s="465" t="s">
        <v>6</v>
      </c>
      <c r="B10" s="452" t="str">
        <f>VLOOKUP(A10,★新聞!$C$4:$D$12,2,FALSE)</f>
        <v>D</v>
      </c>
      <c r="C10" s="465" t="s">
        <v>952</v>
      </c>
      <c r="D10" s="452" t="str">
        <f>VLOOKUP(C10,★サイズ表記!$D$4:$E$55,2,FALSE)</f>
        <v>1005</v>
      </c>
      <c r="E10" s="484" t="str">
        <f t="shared" si="0"/>
        <v>D1005</v>
      </c>
      <c r="F10" s="484" t="str">
        <f t="shared" si="1"/>
        <v>日本海/B2（4つ折り）</v>
      </c>
      <c r="I10" s="471" t="str">
        <f t="shared" si="2"/>
        <v>D1005</v>
      </c>
      <c r="J10" s="471" t="str">
        <f t="shared" si="3"/>
        <v>日本海/B2（4つ折り）</v>
      </c>
      <c r="N10" s="533" t="s">
        <v>1324</v>
      </c>
      <c r="O10" s="533" t="s">
        <v>1325</v>
      </c>
      <c r="P10" s="534" t="str">
        <f t="shared" si="4"/>
        <v>1005</v>
      </c>
      <c r="Q10" s="534" t="str">
        <f t="shared" si="5"/>
        <v>B2（4つ折り）</v>
      </c>
      <c r="R10" s="538" t="str">
        <f t="shared" si="6"/>
        <v>10</v>
      </c>
      <c r="S10" s="538" t="str">
        <f t="shared" si="7"/>
        <v>05</v>
      </c>
      <c r="T10" s="471" t="s">
        <v>1136</v>
      </c>
      <c r="W10" s="471">
        <v>0</v>
      </c>
      <c r="X10" s="540"/>
      <c r="Y10" s="471">
        <v>0</v>
      </c>
    </row>
    <row r="11" spans="1:52">
      <c r="A11" s="465" t="s">
        <v>6</v>
      </c>
      <c r="B11" s="452" t="str">
        <f>VLOOKUP(A11,★新聞!$C$4:$D$12,2,FALSE)</f>
        <v>D</v>
      </c>
      <c r="C11" s="465" t="s">
        <v>955</v>
      </c>
      <c r="D11" s="452" t="str">
        <f>VLOOKUP(C11,★サイズ表記!$D$4:$E$55,2,FALSE)</f>
        <v>1006</v>
      </c>
      <c r="E11" s="484" t="str">
        <f t="shared" si="0"/>
        <v>D1006</v>
      </c>
      <c r="F11" s="484" t="str">
        <f t="shared" si="1"/>
        <v>日本海/B1（8折り）</v>
      </c>
      <c r="I11" s="471" t="str">
        <f t="shared" si="2"/>
        <v>D1006</v>
      </c>
      <c r="J11" s="471" t="str">
        <f t="shared" si="3"/>
        <v>日本海/B1（8折り）</v>
      </c>
      <c r="N11" s="533" t="s">
        <v>1324</v>
      </c>
      <c r="O11" s="533" t="s">
        <v>1325</v>
      </c>
      <c r="P11" s="534" t="str">
        <f t="shared" si="4"/>
        <v>1006</v>
      </c>
      <c r="Q11" s="534" t="str">
        <f t="shared" si="5"/>
        <v>B1（8折り）</v>
      </c>
      <c r="R11" s="538" t="str">
        <f t="shared" si="6"/>
        <v>10</v>
      </c>
      <c r="S11" s="538" t="str">
        <f t="shared" si="7"/>
        <v>06</v>
      </c>
      <c r="T11" s="471" t="s">
        <v>1136</v>
      </c>
      <c r="W11" s="471">
        <v>0</v>
      </c>
      <c r="X11" s="540"/>
      <c r="Y11" s="471">
        <v>0</v>
      </c>
    </row>
    <row r="12" spans="1:52">
      <c r="A12" s="465" t="s">
        <v>6</v>
      </c>
      <c r="B12" s="452" t="str">
        <f>VLOOKUP(A12,★新聞!$C$4:$D$12,2,FALSE)</f>
        <v>D</v>
      </c>
      <c r="C12" s="465" t="s">
        <v>956</v>
      </c>
      <c r="D12" s="452" t="str">
        <f>VLOOKUP(C12,★サイズ表記!$D$4:$E$55,2,FALSE)</f>
        <v>1007</v>
      </c>
      <c r="E12" s="484" t="str">
        <f t="shared" si="0"/>
        <v>D1007</v>
      </c>
      <c r="F12" s="484" t="str">
        <f t="shared" si="1"/>
        <v>日本海/B4厚紙</v>
      </c>
      <c r="I12" s="471" t="str">
        <f t="shared" si="2"/>
        <v>D1007</v>
      </c>
      <c r="J12" s="471" t="str">
        <f t="shared" si="3"/>
        <v>日本海/B4厚紙</v>
      </c>
      <c r="N12" s="533" t="s">
        <v>1324</v>
      </c>
      <c r="O12" s="533" t="s">
        <v>1325</v>
      </c>
      <c r="P12" s="534" t="str">
        <f t="shared" si="4"/>
        <v>1007</v>
      </c>
      <c r="Q12" s="534" t="str">
        <f t="shared" si="5"/>
        <v>B4厚紙</v>
      </c>
      <c r="R12" s="538" t="str">
        <f t="shared" si="6"/>
        <v>10</v>
      </c>
      <c r="S12" s="538" t="str">
        <f t="shared" si="7"/>
        <v>07</v>
      </c>
      <c r="T12" s="471" t="s">
        <v>1136</v>
      </c>
      <c r="W12" s="471">
        <v>0</v>
      </c>
      <c r="X12" s="540"/>
      <c r="Y12" s="471">
        <v>0</v>
      </c>
    </row>
    <row r="13" spans="1:52">
      <c r="A13" s="465" t="s">
        <v>6</v>
      </c>
      <c r="B13" s="452" t="str">
        <f>VLOOKUP(A13,★新聞!$C$4:$D$12,2,FALSE)</f>
        <v>D</v>
      </c>
      <c r="C13" s="465" t="s">
        <v>957</v>
      </c>
      <c r="D13" s="452" t="str">
        <f>VLOOKUP(C13,★サイズ表記!$D$4:$E$55,2,FALSE)</f>
        <v>1008</v>
      </c>
      <c r="E13" s="484" t="str">
        <f t="shared" si="0"/>
        <v>D1008</v>
      </c>
      <c r="F13" s="484" t="str">
        <f t="shared" si="1"/>
        <v>日本海/B3厚紙</v>
      </c>
      <c r="I13" s="471" t="str">
        <f t="shared" si="2"/>
        <v>D1008</v>
      </c>
      <c r="J13" s="471" t="str">
        <f t="shared" si="3"/>
        <v>日本海/B3厚紙</v>
      </c>
      <c r="N13" s="533" t="s">
        <v>1324</v>
      </c>
      <c r="O13" s="533" t="s">
        <v>1325</v>
      </c>
      <c r="P13" s="534" t="str">
        <f t="shared" si="4"/>
        <v>1008</v>
      </c>
      <c r="Q13" s="534" t="str">
        <f t="shared" si="5"/>
        <v>B3厚紙</v>
      </c>
      <c r="R13" s="538" t="str">
        <f t="shared" si="6"/>
        <v>10</v>
      </c>
      <c r="S13" s="538" t="str">
        <f t="shared" si="7"/>
        <v>08</v>
      </c>
      <c r="T13" s="471" t="s">
        <v>1136</v>
      </c>
      <c r="W13" s="471">
        <v>0</v>
      </c>
      <c r="X13" s="540"/>
      <c r="Y13" s="471">
        <v>0</v>
      </c>
    </row>
    <row r="14" spans="1:52">
      <c r="A14" s="465" t="s">
        <v>6</v>
      </c>
      <c r="B14" s="452" t="str">
        <f>VLOOKUP(A14,★新聞!$C$4:$D$12,2,FALSE)</f>
        <v>D</v>
      </c>
      <c r="C14" s="465" t="s">
        <v>958</v>
      </c>
      <c r="D14" s="452" t="str">
        <f>VLOOKUP(C14,★サイズ表記!$D$4:$E$55,2,FALSE)</f>
        <v>1009</v>
      </c>
      <c r="E14" s="484" t="str">
        <f t="shared" si="0"/>
        <v>D1009</v>
      </c>
      <c r="F14" s="484" t="str">
        <f t="shared" si="1"/>
        <v>日本海/B2厚紙</v>
      </c>
      <c r="I14" s="471" t="str">
        <f t="shared" si="2"/>
        <v>D1009</v>
      </c>
      <c r="J14" s="471" t="str">
        <f t="shared" si="3"/>
        <v>日本海/B2厚紙</v>
      </c>
      <c r="N14" s="533" t="s">
        <v>1324</v>
      </c>
      <c r="O14" s="533" t="s">
        <v>1325</v>
      </c>
      <c r="P14" s="534" t="str">
        <f t="shared" si="4"/>
        <v>1009</v>
      </c>
      <c r="Q14" s="534" t="str">
        <f t="shared" si="5"/>
        <v>B2厚紙</v>
      </c>
      <c r="R14" s="538" t="str">
        <f t="shared" si="6"/>
        <v>10</v>
      </c>
      <c r="S14" s="538" t="str">
        <f t="shared" si="7"/>
        <v>09</v>
      </c>
      <c r="T14" s="471" t="s">
        <v>1136</v>
      </c>
      <c r="W14" s="471">
        <v>0</v>
      </c>
      <c r="X14" s="540"/>
      <c r="Y14" s="471">
        <v>0</v>
      </c>
    </row>
    <row r="15" spans="1:52">
      <c r="A15" s="465" t="s">
        <v>6</v>
      </c>
      <c r="B15" s="452" t="str">
        <f>VLOOKUP(A15,★新聞!$C$4:$D$12,2,FALSE)</f>
        <v>D</v>
      </c>
      <c r="C15" s="465" t="s">
        <v>959</v>
      </c>
      <c r="D15" s="452" t="str">
        <f>VLOOKUP(C15,★サイズ表記!$D$4:$E$55,2,FALSE)</f>
        <v>1010</v>
      </c>
      <c r="E15" s="484" t="str">
        <f t="shared" si="0"/>
        <v>D1010</v>
      </c>
      <c r="F15" s="484" t="str">
        <f t="shared" si="1"/>
        <v>日本海/B4以下変形</v>
      </c>
      <c r="I15" s="471" t="str">
        <f t="shared" si="2"/>
        <v>D1010</v>
      </c>
      <c r="J15" s="471" t="str">
        <f t="shared" si="3"/>
        <v>日本海/B4以下変形</v>
      </c>
      <c r="N15" s="533" t="s">
        <v>1324</v>
      </c>
      <c r="O15" s="533" t="s">
        <v>1325</v>
      </c>
      <c r="P15" s="534" t="str">
        <f t="shared" si="4"/>
        <v>1010</v>
      </c>
      <c r="Q15" s="534" t="str">
        <f t="shared" si="5"/>
        <v>B4以下変形</v>
      </c>
      <c r="R15" s="538" t="str">
        <f t="shared" si="6"/>
        <v>10</v>
      </c>
      <c r="S15" s="538" t="str">
        <f t="shared" si="7"/>
        <v>10</v>
      </c>
      <c r="T15" s="471" t="s">
        <v>1136</v>
      </c>
      <c r="W15" s="471">
        <v>0</v>
      </c>
      <c r="X15" s="540"/>
      <c r="Y15" s="471">
        <v>0</v>
      </c>
    </row>
    <row r="16" spans="1:52">
      <c r="A16" s="465" t="s">
        <v>6</v>
      </c>
      <c r="B16" s="452" t="str">
        <f>VLOOKUP(A16,★新聞!$C$4:$D$12,2,FALSE)</f>
        <v>D</v>
      </c>
      <c r="C16" s="465" t="s">
        <v>960</v>
      </c>
      <c r="D16" s="452" t="str">
        <f>VLOOKUP(C16,★サイズ表記!$D$4:$E$55,2,FALSE)</f>
        <v>1011</v>
      </c>
      <c r="E16" s="484" t="str">
        <f t="shared" si="0"/>
        <v>D1011</v>
      </c>
      <c r="F16" s="484" t="str">
        <f t="shared" si="1"/>
        <v>日本海/B4シール付き</v>
      </c>
      <c r="I16" s="471" t="str">
        <f t="shared" si="2"/>
        <v>D1011</v>
      </c>
      <c r="J16" s="471" t="str">
        <f t="shared" si="3"/>
        <v>日本海/B4シール付き</v>
      </c>
      <c r="N16" s="533" t="s">
        <v>1324</v>
      </c>
      <c r="O16" s="533" t="s">
        <v>1325</v>
      </c>
      <c r="P16" s="534" t="str">
        <f t="shared" si="4"/>
        <v>1011</v>
      </c>
      <c r="Q16" s="534" t="str">
        <f t="shared" si="5"/>
        <v>B4シール付き</v>
      </c>
      <c r="R16" s="538" t="str">
        <f t="shared" si="6"/>
        <v>10</v>
      </c>
      <c r="S16" s="538" t="str">
        <f t="shared" si="7"/>
        <v>11</v>
      </c>
      <c r="T16" s="471" t="s">
        <v>1136</v>
      </c>
      <c r="W16" s="471">
        <v>0</v>
      </c>
      <c r="X16" s="540"/>
      <c r="Y16" s="471">
        <v>0</v>
      </c>
    </row>
    <row r="17" spans="1:52" s="471" customFormat="1">
      <c r="A17" s="465" t="s">
        <v>6</v>
      </c>
      <c r="B17" s="452" t="str">
        <f>VLOOKUP(A17,★新聞!$C$4:$D$12,2,FALSE)</f>
        <v>D</v>
      </c>
      <c r="C17" s="465" t="s">
        <v>961</v>
      </c>
      <c r="D17" s="452" t="str">
        <f>VLOOKUP(C17,★サイズ表記!$D$4:$E$55,2,FALSE)</f>
        <v>1012</v>
      </c>
      <c r="E17" s="484" t="str">
        <f t="shared" si="0"/>
        <v>D1012</v>
      </c>
      <c r="F17" s="484" t="str">
        <f t="shared" si="1"/>
        <v>日本海/B3シール付き</v>
      </c>
      <c r="G17" s="483"/>
      <c r="I17" s="471" t="str">
        <f t="shared" si="2"/>
        <v>D1012</v>
      </c>
      <c r="J17" s="471" t="str">
        <f t="shared" si="3"/>
        <v>日本海/B3シール付き</v>
      </c>
      <c r="M17" s="538"/>
      <c r="N17" s="533" t="s">
        <v>1324</v>
      </c>
      <c r="O17" s="533" t="s">
        <v>1325</v>
      </c>
      <c r="P17" s="534" t="str">
        <f t="shared" si="4"/>
        <v>1012</v>
      </c>
      <c r="Q17" s="534" t="str">
        <f t="shared" si="5"/>
        <v>B3シール付き</v>
      </c>
      <c r="R17" s="538" t="str">
        <f t="shared" si="6"/>
        <v>10</v>
      </c>
      <c r="S17" s="538" t="str">
        <f t="shared" si="7"/>
        <v>12</v>
      </c>
      <c r="T17" s="471" t="s">
        <v>1136</v>
      </c>
      <c r="U17" s="538"/>
      <c r="V17" s="538"/>
      <c r="W17" s="471">
        <v>0</v>
      </c>
      <c r="X17" s="540"/>
      <c r="Y17" s="471">
        <v>0</v>
      </c>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row>
    <row r="18" spans="1:52" s="471" customFormat="1">
      <c r="A18" s="465" t="s">
        <v>6</v>
      </c>
      <c r="B18" s="452" t="str">
        <f>VLOOKUP(A18,★新聞!$C$4:$D$12,2,FALSE)</f>
        <v>D</v>
      </c>
      <c r="C18" s="465" t="s">
        <v>962</v>
      </c>
      <c r="D18" s="452" t="str">
        <f>VLOOKUP(C18,★サイズ表記!$D$4:$E$55,2,FALSE)</f>
        <v>1013</v>
      </c>
      <c r="E18" s="484" t="str">
        <f t="shared" si="0"/>
        <v>D1013</v>
      </c>
      <c r="F18" s="484" t="str">
        <f t="shared" si="1"/>
        <v>日本海/B4スクラッチ付き</v>
      </c>
      <c r="G18" s="483"/>
      <c r="I18" s="471" t="str">
        <f t="shared" si="2"/>
        <v>D1013</v>
      </c>
      <c r="J18" s="471" t="str">
        <f t="shared" si="3"/>
        <v>日本海/B4スクラッチ付き</v>
      </c>
      <c r="M18" s="538"/>
      <c r="N18" s="533" t="s">
        <v>1324</v>
      </c>
      <c r="O18" s="533" t="s">
        <v>1325</v>
      </c>
      <c r="P18" s="534" t="str">
        <f t="shared" si="4"/>
        <v>1013</v>
      </c>
      <c r="Q18" s="534" t="str">
        <f t="shared" si="5"/>
        <v>B4スクラッチ付き</v>
      </c>
      <c r="R18" s="538" t="str">
        <f t="shared" si="6"/>
        <v>10</v>
      </c>
      <c r="S18" s="538" t="str">
        <f t="shared" si="7"/>
        <v>13</v>
      </c>
      <c r="T18" s="471" t="s">
        <v>1136</v>
      </c>
      <c r="U18" s="538"/>
      <c r="V18" s="538"/>
      <c r="W18" s="471">
        <v>0</v>
      </c>
      <c r="X18" s="540"/>
      <c r="Y18" s="471">
        <v>0</v>
      </c>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row>
    <row r="19" spans="1:52" s="471" customFormat="1">
      <c r="A19" s="465" t="s">
        <v>6</v>
      </c>
      <c r="B19" s="452" t="str">
        <f>VLOOKUP(A19,★新聞!$C$4:$D$12,2,FALSE)</f>
        <v>D</v>
      </c>
      <c r="C19" s="465" t="s">
        <v>963</v>
      </c>
      <c r="D19" s="452" t="str">
        <f>VLOOKUP(C19,★サイズ表記!$D$4:$E$55,2,FALSE)</f>
        <v>2001</v>
      </c>
      <c r="E19" s="484" t="str">
        <f t="shared" si="0"/>
        <v>D2001</v>
      </c>
      <c r="F19" s="484" t="str">
        <f t="shared" si="1"/>
        <v>日本海/連合B4</v>
      </c>
      <c r="G19" s="483"/>
      <c r="I19" s="471" t="str">
        <f t="shared" si="2"/>
        <v>D2001</v>
      </c>
      <c r="J19" s="471" t="str">
        <f t="shared" si="3"/>
        <v>日本海/連合B4</v>
      </c>
      <c r="M19" s="538"/>
      <c r="N19" s="533" t="s">
        <v>1324</v>
      </c>
      <c r="O19" s="533" t="s">
        <v>1325</v>
      </c>
      <c r="P19" s="534" t="str">
        <f t="shared" si="4"/>
        <v>2001</v>
      </c>
      <c r="Q19" s="534" t="str">
        <f t="shared" si="5"/>
        <v>連合B4</v>
      </c>
      <c r="R19" s="538" t="str">
        <f t="shared" si="6"/>
        <v>20</v>
      </c>
      <c r="S19" s="538" t="str">
        <f t="shared" si="7"/>
        <v>01</v>
      </c>
      <c r="T19" s="471" t="s">
        <v>1136</v>
      </c>
      <c r="U19" s="538"/>
      <c r="V19" s="538"/>
      <c r="W19" s="471">
        <v>0</v>
      </c>
      <c r="X19" s="540"/>
      <c r="Y19" s="471">
        <v>0</v>
      </c>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row>
    <row r="20" spans="1:52" s="471" customFormat="1">
      <c r="A20" s="465" t="s">
        <v>6</v>
      </c>
      <c r="B20" s="452" t="str">
        <f>VLOOKUP(A20,★新聞!$C$4:$D$12,2,FALSE)</f>
        <v>D</v>
      </c>
      <c r="C20" s="465" t="s">
        <v>964</v>
      </c>
      <c r="D20" s="452" t="str">
        <f>VLOOKUP(C20,★サイズ表記!$D$4:$E$55,2,FALSE)</f>
        <v>2002</v>
      </c>
      <c r="E20" s="484" t="str">
        <f t="shared" si="0"/>
        <v>D2002</v>
      </c>
      <c r="F20" s="484" t="str">
        <f t="shared" si="1"/>
        <v>日本海/連合B3</v>
      </c>
      <c r="G20" s="483"/>
      <c r="I20" s="471" t="str">
        <f t="shared" si="2"/>
        <v>D2002</v>
      </c>
      <c r="J20" s="471" t="str">
        <f t="shared" si="3"/>
        <v>日本海/連合B3</v>
      </c>
      <c r="M20" s="538"/>
      <c r="N20" s="533" t="s">
        <v>1324</v>
      </c>
      <c r="O20" s="533" t="s">
        <v>1325</v>
      </c>
      <c r="P20" s="534" t="str">
        <f t="shared" si="4"/>
        <v>2002</v>
      </c>
      <c r="Q20" s="534" t="str">
        <f t="shared" si="5"/>
        <v>連合B3</v>
      </c>
      <c r="R20" s="538" t="str">
        <f t="shared" si="6"/>
        <v>20</v>
      </c>
      <c r="S20" s="538" t="str">
        <f t="shared" si="7"/>
        <v>02</v>
      </c>
      <c r="T20" s="471" t="s">
        <v>1136</v>
      </c>
      <c r="U20" s="538"/>
      <c r="V20" s="538"/>
      <c r="W20" s="471">
        <v>0</v>
      </c>
      <c r="X20" s="540"/>
      <c r="Y20" s="471">
        <v>0</v>
      </c>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row>
    <row r="21" spans="1:52" s="471" customFormat="1">
      <c r="A21" s="465" t="s">
        <v>6</v>
      </c>
      <c r="B21" s="452" t="str">
        <f>VLOOKUP(A21,★新聞!$C$4:$D$12,2,FALSE)</f>
        <v>D</v>
      </c>
      <c r="C21" s="465" t="s">
        <v>965</v>
      </c>
      <c r="D21" s="452" t="str">
        <f>VLOOKUP(C21,★サイズ表記!$D$4:$E$55,2,FALSE)</f>
        <v>2003</v>
      </c>
      <c r="E21" s="484" t="str">
        <f t="shared" si="0"/>
        <v>D2003</v>
      </c>
      <c r="F21" s="484" t="str">
        <f t="shared" si="1"/>
        <v>日本海/連合B2</v>
      </c>
      <c r="G21" s="483"/>
      <c r="I21" s="471" t="str">
        <f t="shared" si="2"/>
        <v>D2003</v>
      </c>
      <c r="J21" s="471" t="str">
        <f t="shared" si="3"/>
        <v>日本海/連合B2</v>
      </c>
      <c r="M21" s="538"/>
      <c r="N21" s="533" t="s">
        <v>1324</v>
      </c>
      <c r="O21" s="533" t="s">
        <v>1325</v>
      </c>
      <c r="P21" s="534" t="str">
        <f t="shared" si="4"/>
        <v>2003</v>
      </c>
      <c r="Q21" s="534" t="str">
        <f t="shared" si="5"/>
        <v>連合B2</v>
      </c>
      <c r="R21" s="538" t="str">
        <f t="shared" si="6"/>
        <v>20</v>
      </c>
      <c r="S21" s="538" t="str">
        <f t="shared" si="7"/>
        <v>03</v>
      </c>
      <c r="T21" s="471" t="s">
        <v>1136</v>
      </c>
      <c r="U21" s="538"/>
      <c r="V21" s="538"/>
      <c r="W21" s="471">
        <v>0</v>
      </c>
      <c r="X21" s="540"/>
      <c r="Y21" s="471">
        <v>0</v>
      </c>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row>
    <row r="22" spans="1:52" s="471" customFormat="1">
      <c r="A22" s="465" t="s">
        <v>6</v>
      </c>
      <c r="B22" s="452" t="str">
        <f>VLOOKUP(A22,★新聞!$C$4:$D$12,2,FALSE)</f>
        <v>D</v>
      </c>
      <c r="C22" s="465" t="s">
        <v>966</v>
      </c>
      <c r="D22" s="452" t="str">
        <f>VLOOKUP(C22,★サイズ表記!$D$4:$E$55,2,FALSE)</f>
        <v>2004</v>
      </c>
      <c r="E22" s="484" t="str">
        <f t="shared" si="0"/>
        <v>D2004</v>
      </c>
      <c r="F22" s="484" t="str">
        <f t="shared" si="1"/>
        <v>日本海/連合3つ折り</v>
      </c>
      <c r="G22" s="483"/>
      <c r="I22" s="471" t="str">
        <f t="shared" si="2"/>
        <v>D2004</v>
      </c>
      <c r="J22" s="471" t="str">
        <f t="shared" si="3"/>
        <v>日本海/連合3つ折り</v>
      </c>
      <c r="M22" s="538"/>
      <c r="N22" s="533" t="s">
        <v>1324</v>
      </c>
      <c r="O22" s="533" t="s">
        <v>1325</v>
      </c>
      <c r="P22" s="534" t="str">
        <f t="shared" si="4"/>
        <v>2004</v>
      </c>
      <c r="Q22" s="534" t="str">
        <f t="shared" si="5"/>
        <v>連合3つ折り</v>
      </c>
      <c r="R22" s="538" t="str">
        <f t="shared" si="6"/>
        <v>20</v>
      </c>
      <c r="S22" s="538" t="str">
        <f t="shared" si="7"/>
        <v>04</v>
      </c>
      <c r="T22" s="471" t="s">
        <v>1136</v>
      </c>
      <c r="U22" s="538"/>
      <c r="V22" s="538"/>
      <c r="W22" s="471">
        <v>0</v>
      </c>
      <c r="X22" s="540"/>
      <c r="Y22" s="471">
        <v>0</v>
      </c>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row>
    <row r="23" spans="1:52" s="471" customFormat="1">
      <c r="A23" s="465" t="s">
        <v>6</v>
      </c>
      <c r="B23" s="452" t="str">
        <f>VLOOKUP(A23,★新聞!$C$4:$D$12,2,FALSE)</f>
        <v>D</v>
      </c>
      <c r="C23" s="465" t="s">
        <v>967</v>
      </c>
      <c r="D23" s="452" t="str">
        <f>VLOOKUP(C23,★サイズ表記!$D$4:$E$55,2,FALSE)</f>
        <v>2005</v>
      </c>
      <c r="E23" s="484" t="str">
        <f t="shared" si="0"/>
        <v>D2005</v>
      </c>
      <c r="F23" s="484" t="str">
        <f t="shared" si="1"/>
        <v>日本海/連合B4厚紙</v>
      </c>
      <c r="G23" s="483"/>
      <c r="I23" s="471" t="str">
        <f t="shared" si="2"/>
        <v>D2005</v>
      </c>
      <c r="J23" s="471" t="str">
        <f t="shared" si="3"/>
        <v>日本海/連合B4厚紙</v>
      </c>
      <c r="M23" s="538"/>
      <c r="N23" s="533" t="s">
        <v>1324</v>
      </c>
      <c r="O23" s="533" t="s">
        <v>1325</v>
      </c>
      <c r="P23" s="534" t="str">
        <f t="shared" si="4"/>
        <v>2005</v>
      </c>
      <c r="Q23" s="534" t="str">
        <f t="shared" si="5"/>
        <v>連合B4厚紙</v>
      </c>
      <c r="R23" s="538" t="str">
        <f t="shared" si="6"/>
        <v>20</v>
      </c>
      <c r="S23" s="538" t="str">
        <f t="shared" si="7"/>
        <v>05</v>
      </c>
      <c r="T23" s="471" t="s">
        <v>1136</v>
      </c>
      <c r="U23" s="538"/>
      <c r="V23" s="538"/>
      <c r="W23" s="471">
        <v>0</v>
      </c>
      <c r="X23" s="540"/>
      <c r="Y23" s="471">
        <v>0</v>
      </c>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row>
    <row r="24" spans="1:52" s="471" customFormat="1">
      <c r="A24" s="465" t="s">
        <v>6</v>
      </c>
      <c r="B24" s="452" t="str">
        <f>VLOOKUP(A24,★新聞!$C$4:$D$12,2,FALSE)</f>
        <v>D</v>
      </c>
      <c r="C24" s="465" t="s">
        <v>968</v>
      </c>
      <c r="D24" s="452" t="str">
        <f>VLOOKUP(C24,★サイズ表記!$D$4:$E$55,2,FALSE)</f>
        <v>2006</v>
      </c>
      <c r="E24" s="484" t="str">
        <f t="shared" si="0"/>
        <v>D2006</v>
      </c>
      <c r="F24" s="484" t="str">
        <f t="shared" si="1"/>
        <v>日本海/連合2つ折り極小</v>
      </c>
      <c r="G24" s="483"/>
      <c r="I24" s="471" t="str">
        <f t="shared" si="2"/>
        <v>D2006</v>
      </c>
      <c r="J24" s="471" t="str">
        <f t="shared" si="3"/>
        <v>日本海/連合2つ折り極小</v>
      </c>
      <c r="M24" s="538"/>
      <c r="N24" s="533" t="s">
        <v>1324</v>
      </c>
      <c r="O24" s="533" t="s">
        <v>1325</v>
      </c>
      <c r="P24" s="534" t="str">
        <f t="shared" si="4"/>
        <v>2006</v>
      </c>
      <c r="Q24" s="534" t="str">
        <f t="shared" si="5"/>
        <v>連合2つ折り極小</v>
      </c>
      <c r="R24" s="538" t="str">
        <f t="shared" si="6"/>
        <v>20</v>
      </c>
      <c r="S24" s="538" t="str">
        <f t="shared" si="7"/>
        <v>06</v>
      </c>
      <c r="T24" s="471" t="s">
        <v>1136</v>
      </c>
      <c r="U24" s="538"/>
      <c r="V24" s="538"/>
      <c r="W24" s="471">
        <v>0</v>
      </c>
      <c r="X24" s="540"/>
      <c r="Y24" s="471">
        <v>0</v>
      </c>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row>
    <row r="25" spans="1:52" s="471" customFormat="1">
      <c r="A25" s="465" t="s">
        <v>6</v>
      </c>
      <c r="B25" s="452" t="str">
        <f>VLOOKUP(A25,★新聞!$C$4:$D$12,2,FALSE)</f>
        <v>D</v>
      </c>
      <c r="C25" s="465" t="s">
        <v>1365</v>
      </c>
      <c r="D25" s="452" t="str">
        <f>VLOOKUP(C25,★サイズ表記!$D$4:$E$55,2,FALSE)</f>
        <v>2007</v>
      </c>
      <c r="E25" s="484" t="str">
        <f t="shared" si="0"/>
        <v>D2007</v>
      </c>
      <c r="F25" s="484" t="str">
        <f t="shared" si="1"/>
        <v>日本海/連合タブ6P</v>
      </c>
      <c r="G25" s="483"/>
      <c r="I25" s="471" t="str">
        <f t="shared" si="2"/>
        <v>D2007</v>
      </c>
      <c r="J25" s="471" t="str">
        <f t="shared" si="3"/>
        <v>日本海/連合タブ6P</v>
      </c>
      <c r="M25" s="538"/>
      <c r="N25" s="533" t="s">
        <v>1324</v>
      </c>
      <c r="O25" s="533" t="s">
        <v>1325</v>
      </c>
      <c r="P25" s="534" t="str">
        <f t="shared" si="4"/>
        <v>2007</v>
      </c>
      <c r="Q25" s="534" t="str">
        <f t="shared" si="5"/>
        <v>連合タブ6P</v>
      </c>
      <c r="R25" s="538" t="str">
        <f t="shared" si="6"/>
        <v>20</v>
      </c>
      <c r="S25" s="538" t="str">
        <f t="shared" si="7"/>
        <v>07</v>
      </c>
      <c r="T25" s="471" t="s">
        <v>1136</v>
      </c>
      <c r="U25" s="538"/>
      <c r="V25" s="538"/>
      <c r="W25" s="471">
        <v>0</v>
      </c>
      <c r="X25" s="540"/>
      <c r="Y25" s="471">
        <v>0</v>
      </c>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row>
    <row r="26" spans="1:52" s="471" customFormat="1">
      <c r="A26" s="465" t="s">
        <v>6</v>
      </c>
      <c r="B26" s="452" t="str">
        <f>VLOOKUP(A26,★新聞!$C$4:$D$12,2,FALSE)</f>
        <v>D</v>
      </c>
      <c r="C26" s="465" t="s">
        <v>1366</v>
      </c>
      <c r="D26" s="452" t="str">
        <f>VLOOKUP(C26,★サイズ表記!$D$4:$E$55,2,FALSE)</f>
        <v>2008</v>
      </c>
      <c r="E26" s="484" t="str">
        <f t="shared" si="0"/>
        <v>D2008</v>
      </c>
      <c r="F26" s="484" t="str">
        <f t="shared" si="1"/>
        <v>日本海/連合タブ8P</v>
      </c>
      <c r="G26" s="483"/>
      <c r="I26" s="471" t="str">
        <f t="shared" si="2"/>
        <v>D2008</v>
      </c>
      <c r="J26" s="471" t="str">
        <f t="shared" si="3"/>
        <v>日本海/連合タブ8P</v>
      </c>
      <c r="M26" s="538"/>
      <c r="N26" s="533" t="s">
        <v>1324</v>
      </c>
      <c r="O26" s="533" t="s">
        <v>1325</v>
      </c>
      <c r="P26" s="534" t="str">
        <f t="shared" si="4"/>
        <v>2008</v>
      </c>
      <c r="Q26" s="534" t="str">
        <f t="shared" si="5"/>
        <v>連合タブ8P</v>
      </c>
      <c r="R26" s="538" t="str">
        <f t="shared" si="6"/>
        <v>20</v>
      </c>
      <c r="S26" s="538" t="str">
        <f t="shared" si="7"/>
        <v>08</v>
      </c>
      <c r="T26" s="471" t="s">
        <v>1136</v>
      </c>
      <c r="U26" s="538"/>
      <c r="V26" s="538"/>
      <c r="W26" s="471">
        <v>0</v>
      </c>
      <c r="X26" s="540"/>
      <c r="Y26" s="471">
        <v>0</v>
      </c>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row>
    <row r="27" spans="1:52" s="471" customFormat="1">
      <c r="A27" s="465" t="s">
        <v>6</v>
      </c>
      <c r="B27" s="452" t="str">
        <f>VLOOKUP(A27,★新聞!$C$4:$D$12,2,FALSE)</f>
        <v>D</v>
      </c>
      <c r="C27" s="465" t="s">
        <v>1364</v>
      </c>
      <c r="D27" s="452" t="str">
        <f>VLOOKUP(C27,★サイズ表記!$D$4:$E$55,2,FALSE)</f>
        <v>2009</v>
      </c>
      <c r="E27" s="484" t="str">
        <f t="shared" si="0"/>
        <v>D2009</v>
      </c>
      <c r="F27" s="484" t="str">
        <f t="shared" si="1"/>
        <v>日本海/連合タブ12P</v>
      </c>
      <c r="G27" s="483"/>
      <c r="I27" s="471" t="str">
        <f t="shared" si="2"/>
        <v>D2009</v>
      </c>
      <c r="J27" s="471" t="str">
        <f t="shared" si="3"/>
        <v>日本海/連合タブ12P</v>
      </c>
      <c r="M27" s="538"/>
      <c r="N27" s="533" t="s">
        <v>1324</v>
      </c>
      <c r="O27" s="533" t="s">
        <v>1325</v>
      </c>
      <c r="P27" s="534" t="str">
        <f t="shared" si="4"/>
        <v>2009</v>
      </c>
      <c r="Q27" s="534" t="str">
        <f t="shared" si="5"/>
        <v>連合タブ12P</v>
      </c>
      <c r="R27" s="538" t="str">
        <f t="shared" si="6"/>
        <v>20</v>
      </c>
      <c r="S27" s="538" t="str">
        <f t="shared" si="7"/>
        <v>09</v>
      </c>
      <c r="T27" s="471" t="s">
        <v>1136</v>
      </c>
      <c r="U27" s="538"/>
      <c r="V27" s="538"/>
      <c r="W27" s="471">
        <v>0</v>
      </c>
      <c r="X27" s="540"/>
      <c r="Y27" s="471">
        <v>0</v>
      </c>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row>
    <row r="28" spans="1:52" s="471" customFormat="1">
      <c r="A28" s="465" t="s">
        <v>6</v>
      </c>
      <c r="B28" s="452" t="str">
        <f>VLOOKUP(A28,★新聞!$C$4:$D$12,2,FALSE)</f>
        <v>D</v>
      </c>
      <c r="C28" s="465" t="s">
        <v>969</v>
      </c>
      <c r="D28" s="452" t="str">
        <f>VLOOKUP(C28,★サイズ表記!$D$4:$E$55,2,FALSE)</f>
        <v>3001</v>
      </c>
      <c r="E28" s="484" t="str">
        <f t="shared" si="0"/>
        <v>D3001</v>
      </c>
      <c r="F28" s="484" t="str">
        <f t="shared" si="1"/>
        <v>日本海/政治B4</v>
      </c>
      <c r="G28" s="483"/>
      <c r="I28" s="471" t="str">
        <f t="shared" si="2"/>
        <v>D3001</v>
      </c>
      <c r="J28" s="471" t="str">
        <f t="shared" si="3"/>
        <v>日本海/政治B4</v>
      </c>
      <c r="M28" s="538"/>
      <c r="N28" s="533" t="s">
        <v>1324</v>
      </c>
      <c r="O28" s="533" t="s">
        <v>1325</v>
      </c>
      <c r="P28" s="534" t="str">
        <f t="shared" si="4"/>
        <v>3001</v>
      </c>
      <c r="Q28" s="534" t="str">
        <f t="shared" si="5"/>
        <v>政治B4</v>
      </c>
      <c r="R28" s="538" t="str">
        <f t="shared" si="6"/>
        <v>30</v>
      </c>
      <c r="S28" s="538" t="str">
        <f t="shared" si="7"/>
        <v>01</v>
      </c>
      <c r="T28" s="471" t="s">
        <v>1136</v>
      </c>
      <c r="U28" s="538"/>
      <c r="V28" s="538"/>
      <c r="W28" s="471">
        <v>0</v>
      </c>
      <c r="X28" s="540"/>
      <c r="Y28" s="471">
        <v>0</v>
      </c>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row>
    <row r="29" spans="1:52" s="471" customFormat="1">
      <c r="A29" s="465" t="s">
        <v>6</v>
      </c>
      <c r="B29" s="452" t="str">
        <f>VLOOKUP(A29,★新聞!$C$4:$D$12,2,FALSE)</f>
        <v>D</v>
      </c>
      <c r="C29" s="465" t="s">
        <v>970</v>
      </c>
      <c r="D29" s="452" t="str">
        <f>VLOOKUP(C29,★サイズ表記!$D$4:$E$55,2,FALSE)</f>
        <v>3002</v>
      </c>
      <c r="E29" s="484" t="str">
        <f t="shared" si="0"/>
        <v>D3002</v>
      </c>
      <c r="F29" s="484" t="str">
        <f t="shared" si="1"/>
        <v>日本海/政治B3</v>
      </c>
      <c r="G29" s="483"/>
      <c r="I29" s="471" t="str">
        <f t="shared" si="2"/>
        <v>D3002</v>
      </c>
      <c r="J29" s="471" t="str">
        <f t="shared" si="3"/>
        <v>日本海/政治B3</v>
      </c>
      <c r="M29" s="538"/>
      <c r="N29" s="533" t="s">
        <v>1324</v>
      </c>
      <c r="O29" s="533" t="s">
        <v>1325</v>
      </c>
      <c r="P29" s="534" t="str">
        <f t="shared" si="4"/>
        <v>3002</v>
      </c>
      <c r="Q29" s="534" t="str">
        <f t="shared" si="5"/>
        <v>政治B3</v>
      </c>
      <c r="R29" s="538" t="str">
        <f t="shared" si="6"/>
        <v>30</v>
      </c>
      <c r="S29" s="538" t="str">
        <f t="shared" si="7"/>
        <v>02</v>
      </c>
      <c r="T29" s="471" t="s">
        <v>1136</v>
      </c>
      <c r="U29" s="538"/>
      <c r="V29" s="538"/>
      <c r="W29" s="471">
        <v>0</v>
      </c>
      <c r="X29" s="540"/>
      <c r="Y29" s="471">
        <v>0</v>
      </c>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row>
    <row r="30" spans="1:52" s="471" customFormat="1">
      <c r="A30" s="465" t="s">
        <v>6</v>
      </c>
      <c r="B30" s="452" t="str">
        <f>VLOOKUP(A30,★新聞!$C$4:$D$12,2,FALSE)</f>
        <v>D</v>
      </c>
      <c r="C30" s="465" t="s">
        <v>971</v>
      </c>
      <c r="D30" s="452" t="str">
        <f>VLOOKUP(C30,★サイズ表記!$D$4:$E$55,2,FALSE)</f>
        <v>3003</v>
      </c>
      <c r="E30" s="484" t="str">
        <f t="shared" si="0"/>
        <v>D3003</v>
      </c>
      <c r="F30" s="484" t="str">
        <f t="shared" si="1"/>
        <v>日本海/政治B2</v>
      </c>
      <c r="G30" s="483"/>
      <c r="I30" s="471" t="str">
        <f t="shared" si="2"/>
        <v>D3003</v>
      </c>
      <c r="J30" s="471" t="str">
        <f t="shared" si="3"/>
        <v>日本海/政治B2</v>
      </c>
      <c r="M30" s="538"/>
      <c r="N30" s="533" t="s">
        <v>1324</v>
      </c>
      <c r="O30" s="533" t="s">
        <v>1325</v>
      </c>
      <c r="P30" s="534" t="str">
        <f t="shared" si="4"/>
        <v>3003</v>
      </c>
      <c r="Q30" s="534" t="str">
        <f t="shared" si="5"/>
        <v>政治B2</v>
      </c>
      <c r="R30" s="538" t="str">
        <f t="shared" si="6"/>
        <v>30</v>
      </c>
      <c r="S30" s="538" t="str">
        <f t="shared" si="7"/>
        <v>03</v>
      </c>
      <c r="T30" s="471" t="s">
        <v>1136</v>
      </c>
      <c r="U30" s="538"/>
      <c r="V30" s="538"/>
      <c r="W30" s="471">
        <v>0</v>
      </c>
      <c r="X30" s="540"/>
      <c r="Y30" s="471">
        <v>0</v>
      </c>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row>
    <row r="31" spans="1:52" s="471" customFormat="1">
      <c r="A31" s="465" t="s">
        <v>6</v>
      </c>
      <c r="B31" s="452" t="str">
        <f>VLOOKUP(A31,★新聞!$C$4:$D$12,2,FALSE)</f>
        <v>D</v>
      </c>
      <c r="C31" s="465" t="s">
        <v>972</v>
      </c>
      <c r="D31" s="452" t="str">
        <f>VLOOKUP(C31,★サイズ表記!$D$4:$E$55,2,FALSE)</f>
        <v>3004</v>
      </c>
      <c r="E31" s="484" t="str">
        <f t="shared" si="0"/>
        <v>D3004</v>
      </c>
      <c r="F31" s="484" t="str">
        <f t="shared" si="1"/>
        <v>日本海/政治3つ折り</v>
      </c>
      <c r="G31" s="483"/>
      <c r="I31" s="471" t="str">
        <f t="shared" si="2"/>
        <v>D3004</v>
      </c>
      <c r="J31" s="471" t="str">
        <f t="shared" si="3"/>
        <v>日本海/政治3つ折り</v>
      </c>
      <c r="M31" s="538"/>
      <c r="N31" s="533" t="s">
        <v>1324</v>
      </c>
      <c r="O31" s="533" t="s">
        <v>1325</v>
      </c>
      <c r="P31" s="534" t="str">
        <f t="shared" si="4"/>
        <v>3004</v>
      </c>
      <c r="Q31" s="534" t="str">
        <f t="shared" si="5"/>
        <v>政治3つ折り</v>
      </c>
      <c r="R31" s="538" t="str">
        <f t="shared" si="6"/>
        <v>30</v>
      </c>
      <c r="S31" s="538" t="str">
        <f t="shared" si="7"/>
        <v>04</v>
      </c>
      <c r="T31" s="471" t="s">
        <v>1136</v>
      </c>
      <c r="U31" s="538"/>
      <c r="V31" s="538"/>
      <c r="W31" s="471">
        <v>0</v>
      </c>
      <c r="X31" s="540"/>
      <c r="Y31" s="471">
        <v>0</v>
      </c>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row>
    <row r="32" spans="1:52" s="471" customFormat="1">
      <c r="A32" s="465" t="s">
        <v>6</v>
      </c>
      <c r="B32" s="452" t="str">
        <f>VLOOKUP(A32,★新聞!$C$4:$D$12,2,FALSE)</f>
        <v>D</v>
      </c>
      <c r="C32" s="465" t="s">
        <v>973</v>
      </c>
      <c r="D32" s="452" t="str">
        <f>VLOOKUP(C32,★サイズ表記!$D$4:$E$55,2,FALSE)</f>
        <v>3005</v>
      </c>
      <c r="E32" s="484" t="str">
        <f t="shared" si="0"/>
        <v>D3005</v>
      </c>
      <c r="F32" s="484" t="str">
        <f t="shared" si="1"/>
        <v>日本海/政治2つ折り極小</v>
      </c>
      <c r="G32" s="483"/>
      <c r="I32" s="471" t="str">
        <f t="shared" si="2"/>
        <v>D3005</v>
      </c>
      <c r="J32" s="471" t="str">
        <f t="shared" si="3"/>
        <v>日本海/政治2つ折り極小</v>
      </c>
      <c r="M32" s="538"/>
      <c r="N32" s="533" t="s">
        <v>1324</v>
      </c>
      <c r="O32" s="533" t="s">
        <v>1325</v>
      </c>
      <c r="P32" s="534" t="str">
        <f t="shared" si="4"/>
        <v>3005</v>
      </c>
      <c r="Q32" s="534" t="str">
        <f t="shared" si="5"/>
        <v>政治2つ折り極小</v>
      </c>
      <c r="R32" s="538" t="str">
        <f t="shared" si="6"/>
        <v>30</v>
      </c>
      <c r="S32" s="538" t="str">
        <f t="shared" si="7"/>
        <v>05</v>
      </c>
      <c r="T32" s="471" t="s">
        <v>1136</v>
      </c>
      <c r="U32" s="538"/>
      <c r="V32" s="538"/>
      <c r="W32" s="471">
        <v>0</v>
      </c>
      <c r="X32" s="540"/>
      <c r="Y32" s="471">
        <v>0</v>
      </c>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row>
    <row r="33" spans="1:52" s="471" customFormat="1">
      <c r="A33" s="465" t="s">
        <v>6</v>
      </c>
      <c r="B33" s="452" t="str">
        <f>VLOOKUP(A33,★新聞!$C$4:$D$12,2,FALSE)</f>
        <v>D</v>
      </c>
      <c r="C33" s="465" t="s">
        <v>974</v>
      </c>
      <c r="D33" s="452" t="str">
        <f>VLOOKUP(C33,★サイズ表記!$D$4:$E$55,2,FALSE)</f>
        <v>3006</v>
      </c>
      <c r="E33" s="484" t="str">
        <f t="shared" si="0"/>
        <v>D3006</v>
      </c>
      <c r="F33" s="484" t="str">
        <f t="shared" si="1"/>
        <v>日本海/政治B4厚紙</v>
      </c>
      <c r="G33" s="483"/>
      <c r="I33" s="471" t="str">
        <f t="shared" si="2"/>
        <v>D3006</v>
      </c>
      <c r="J33" s="471" t="str">
        <f t="shared" si="3"/>
        <v>日本海/政治B4厚紙</v>
      </c>
      <c r="M33" s="538"/>
      <c r="N33" s="533" t="s">
        <v>1324</v>
      </c>
      <c r="O33" s="533" t="s">
        <v>1325</v>
      </c>
      <c r="P33" s="534" t="str">
        <f t="shared" si="4"/>
        <v>3006</v>
      </c>
      <c r="Q33" s="534" t="str">
        <f t="shared" si="5"/>
        <v>政治B4厚紙</v>
      </c>
      <c r="R33" s="538" t="str">
        <f t="shared" si="6"/>
        <v>30</v>
      </c>
      <c r="S33" s="538" t="str">
        <f t="shared" si="7"/>
        <v>06</v>
      </c>
      <c r="T33" s="471" t="s">
        <v>1136</v>
      </c>
      <c r="U33" s="538"/>
      <c r="V33" s="538"/>
      <c r="W33" s="471">
        <v>0</v>
      </c>
      <c r="X33" s="540"/>
      <c r="Y33" s="471">
        <v>0</v>
      </c>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row>
    <row r="34" spans="1:52" s="471" customFormat="1">
      <c r="A34" s="465" t="s">
        <v>6</v>
      </c>
      <c r="B34" s="452" t="str">
        <f>VLOOKUP(A34,★新聞!$C$4:$D$12,2,FALSE)</f>
        <v>D</v>
      </c>
      <c r="C34" s="465" t="s">
        <v>1362</v>
      </c>
      <c r="D34" s="452" t="str">
        <f>VLOOKUP(C34,★サイズ表記!$D$4:$E$55,2,FALSE)</f>
        <v>3007</v>
      </c>
      <c r="E34" s="484" t="str">
        <f t="shared" si="0"/>
        <v>D3007</v>
      </c>
      <c r="F34" s="484" t="str">
        <f t="shared" si="1"/>
        <v>日本海/政治タブ6P</v>
      </c>
      <c r="G34" s="483"/>
      <c r="I34" s="471" t="str">
        <f t="shared" si="2"/>
        <v>D3007</v>
      </c>
      <c r="J34" s="471" t="str">
        <f t="shared" si="3"/>
        <v>日本海/政治タブ6P</v>
      </c>
      <c r="M34" s="538"/>
      <c r="N34" s="533" t="s">
        <v>1324</v>
      </c>
      <c r="O34" s="533" t="s">
        <v>1325</v>
      </c>
      <c r="P34" s="534" t="str">
        <f t="shared" si="4"/>
        <v>3007</v>
      </c>
      <c r="Q34" s="534" t="str">
        <f t="shared" si="5"/>
        <v>政治タブ6P</v>
      </c>
      <c r="R34" s="538" t="str">
        <f t="shared" si="6"/>
        <v>30</v>
      </c>
      <c r="S34" s="538" t="str">
        <f t="shared" si="7"/>
        <v>07</v>
      </c>
      <c r="T34" s="471" t="s">
        <v>1136</v>
      </c>
      <c r="U34" s="538"/>
      <c r="V34" s="538"/>
      <c r="W34" s="471">
        <v>0</v>
      </c>
      <c r="X34" s="540"/>
      <c r="Y34" s="471">
        <v>0</v>
      </c>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row>
    <row r="35" spans="1:52" s="471" customFormat="1">
      <c r="A35" s="465" t="s">
        <v>6</v>
      </c>
      <c r="B35" s="452" t="str">
        <f>VLOOKUP(A35,★新聞!$C$4:$D$12,2,FALSE)</f>
        <v>D</v>
      </c>
      <c r="C35" s="465" t="s">
        <v>1363</v>
      </c>
      <c r="D35" s="452" t="str">
        <f>VLOOKUP(C35,★サイズ表記!$D$4:$E$55,2,FALSE)</f>
        <v>3008</v>
      </c>
      <c r="E35" s="484" t="str">
        <f t="shared" si="0"/>
        <v>D3008</v>
      </c>
      <c r="F35" s="484" t="str">
        <f t="shared" si="1"/>
        <v>日本海/政治タブ8P</v>
      </c>
      <c r="G35" s="483"/>
      <c r="I35" s="471" t="str">
        <f t="shared" si="2"/>
        <v>D3008</v>
      </c>
      <c r="J35" s="471" t="str">
        <f t="shared" si="3"/>
        <v>日本海/政治タブ8P</v>
      </c>
      <c r="M35" s="538"/>
      <c r="N35" s="533" t="s">
        <v>1324</v>
      </c>
      <c r="O35" s="533" t="s">
        <v>1325</v>
      </c>
      <c r="P35" s="534" t="str">
        <f t="shared" si="4"/>
        <v>3008</v>
      </c>
      <c r="Q35" s="534" t="str">
        <f t="shared" si="5"/>
        <v>政治タブ8P</v>
      </c>
      <c r="R35" s="538" t="str">
        <f t="shared" si="6"/>
        <v>30</v>
      </c>
      <c r="S35" s="538" t="str">
        <f t="shared" si="7"/>
        <v>08</v>
      </c>
      <c r="T35" s="471" t="s">
        <v>1136</v>
      </c>
      <c r="U35" s="538"/>
      <c r="V35" s="538"/>
      <c r="W35" s="471">
        <v>0</v>
      </c>
      <c r="X35" s="540"/>
      <c r="Y35" s="471">
        <v>0</v>
      </c>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row>
    <row r="36" spans="1:52" s="471" customFormat="1">
      <c r="A36" s="465" t="s">
        <v>6</v>
      </c>
      <c r="B36" s="452" t="str">
        <f>VLOOKUP(A36,★新聞!$C$4:$D$12,2,FALSE)</f>
        <v>D</v>
      </c>
      <c r="C36" s="465" t="s">
        <v>1361</v>
      </c>
      <c r="D36" s="452" t="str">
        <f>VLOOKUP(C36,★サイズ表記!$D$4:$E$55,2,FALSE)</f>
        <v>3009</v>
      </c>
      <c r="E36" s="484" t="str">
        <f t="shared" si="0"/>
        <v>D3009</v>
      </c>
      <c r="F36" s="484" t="str">
        <f t="shared" si="1"/>
        <v>日本海/政治タブ12P</v>
      </c>
      <c r="G36" s="483"/>
      <c r="I36" s="471" t="str">
        <f t="shared" si="2"/>
        <v>D3009</v>
      </c>
      <c r="J36" s="471" t="str">
        <f t="shared" si="3"/>
        <v>日本海/政治タブ12P</v>
      </c>
      <c r="M36" s="538"/>
      <c r="N36" s="533" t="s">
        <v>1324</v>
      </c>
      <c r="O36" s="533" t="s">
        <v>1325</v>
      </c>
      <c r="P36" s="534" t="str">
        <f t="shared" si="4"/>
        <v>3009</v>
      </c>
      <c r="Q36" s="534" t="str">
        <f t="shared" si="5"/>
        <v>政治タブ12P</v>
      </c>
      <c r="R36" s="538" t="str">
        <f t="shared" si="6"/>
        <v>30</v>
      </c>
      <c r="S36" s="538" t="str">
        <f t="shared" si="7"/>
        <v>09</v>
      </c>
      <c r="T36" s="471" t="s">
        <v>1136</v>
      </c>
      <c r="U36" s="538"/>
      <c r="V36" s="538"/>
      <c r="W36" s="471">
        <v>0</v>
      </c>
      <c r="X36" s="540"/>
      <c r="Y36" s="471">
        <v>0</v>
      </c>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row>
    <row r="37" spans="1:52" s="471" customFormat="1">
      <c r="A37" s="465" t="s">
        <v>6</v>
      </c>
      <c r="B37" s="452" t="str">
        <f>VLOOKUP(A37,★新聞!$C$4:$D$12,2,FALSE)</f>
        <v>D</v>
      </c>
      <c r="C37" s="465" t="s">
        <v>1358</v>
      </c>
      <c r="D37" s="452" t="str">
        <f>VLOOKUP(C37,★サイズ表記!$D$4:$E$55,2,FALSE)</f>
        <v>4001</v>
      </c>
      <c r="E37" s="484" t="str">
        <f t="shared" si="0"/>
        <v>D4001</v>
      </c>
      <c r="F37" s="484" t="str">
        <f t="shared" si="1"/>
        <v>日本海/タブ6P</v>
      </c>
      <c r="G37" s="483"/>
      <c r="I37" s="471" t="str">
        <f t="shared" si="2"/>
        <v>D4001</v>
      </c>
      <c r="J37" s="471" t="str">
        <f t="shared" si="3"/>
        <v>日本海/タブ6P</v>
      </c>
      <c r="M37" s="538"/>
      <c r="N37" s="533" t="s">
        <v>1324</v>
      </c>
      <c r="O37" s="533" t="s">
        <v>1325</v>
      </c>
      <c r="P37" s="534" t="str">
        <f t="shared" si="4"/>
        <v>4001</v>
      </c>
      <c r="Q37" s="534" t="str">
        <f t="shared" si="5"/>
        <v>タブ6P</v>
      </c>
      <c r="R37" s="538" t="str">
        <f t="shared" si="6"/>
        <v>40</v>
      </c>
      <c r="S37" s="538" t="str">
        <f t="shared" si="7"/>
        <v>01</v>
      </c>
      <c r="T37" s="471" t="s">
        <v>1136</v>
      </c>
      <c r="U37" s="538"/>
      <c r="V37" s="538"/>
      <c r="W37" s="471">
        <v>0</v>
      </c>
      <c r="X37" s="540"/>
      <c r="Y37" s="471">
        <v>0</v>
      </c>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row>
    <row r="38" spans="1:52" s="471" customFormat="1">
      <c r="A38" s="465" t="s">
        <v>6</v>
      </c>
      <c r="B38" s="452" t="str">
        <f>VLOOKUP(A38,★新聞!$C$4:$D$12,2,FALSE)</f>
        <v>D</v>
      </c>
      <c r="C38" s="465" t="s">
        <v>1359</v>
      </c>
      <c r="D38" s="452" t="str">
        <f>VLOOKUP(C38,★サイズ表記!$D$4:$E$55,2,FALSE)</f>
        <v>4002</v>
      </c>
      <c r="E38" s="484" t="str">
        <f t="shared" si="0"/>
        <v>D4002</v>
      </c>
      <c r="F38" s="484" t="str">
        <f t="shared" si="1"/>
        <v>日本海/タブ8P</v>
      </c>
      <c r="G38" s="483"/>
      <c r="I38" s="471" t="str">
        <f t="shared" si="2"/>
        <v>D4002</v>
      </c>
      <c r="J38" s="471" t="str">
        <f t="shared" si="3"/>
        <v>日本海/タブ8P</v>
      </c>
      <c r="M38" s="538"/>
      <c r="N38" s="533" t="s">
        <v>1324</v>
      </c>
      <c r="O38" s="533" t="s">
        <v>1325</v>
      </c>
      <c r="P38" s="534" t="str">
        <f t="shared" si="4"/>
        <v>4002</v>
      </c>
      <c r="Q38" s="534" t="str">
        <f t="shared" si="5"/>
        <v>タブ8P</v>
      </c>
      <c r="R38" s="538" t="str">
        <f t="shared" si="6"/>
        <v>40</v>
      </c>
      <c r="S38" s="538" t="str">
        <f t="shared" si="7"/>
        <v>02</v>
      </c>
      <c r="T38" s="471" t="s">
        <v>1136</v>
      </c>
      <c r="U38" s="538"/>
      <c r="V38" s="538"/>
      <c r="W38" s="471">
        <v>0</v>
      </c>
      <c r="X38" s="540"/>
      <c r="Y38" s="471">
        <v>0</v>
      </c>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row>
    <row r="39" spans="1:52" s="471" customFormat="1">
      <c r="A39" s="465" t="s">
        <v>6</v>
      </c>
      <c r="B39" s="452" t="str">
        <f>VLOOKUP(A39,★新聞!$C$4:$D$12,2,FALSE)</f>
        <v>D</v>
      </c>
      <c r="C39" s="465" t="s">
        <v>1360</v>
      </c>
      <c r="D39" s="452" t="str">
        <f>VLOOKUP(C39,★サイズ表記!$D$4:$E$55,2,FALSE)</f>
        <v>4003</v>
      </c>
      <c r="E39" s="484" t="str">
        <f t="shared" si="0"/>
        <v>D4003</v>
      </c>
      <c r="F39" s="484" t="str">
        <f t="shared" si="1"/>
        <v>日本海/タブ8Pホチキス止め</v>
      </c>
      <c r="G39" s="483"/>
      <c r="I39" s="471" t="str">
        <f t="shared" si="2"/>
        <v>D4003</v>
      </c>
      <c r="J39" s="471" t="str">
        <f t="shared" si="3"/>
        <v>日本海/タブ8Pホチキス止め</v>
      </c>
      <c r="M39" s="538"/>
      <c r="N39" s="533" t="s">
        <v>1324</v>
      </c>
      <c r="O39" s="533" t="s">
        <v>1325</v>
      </c>
      <c r="P39" s="534" t="str">
        <f t="shared" si="4"/>
        <v>4003</v>
      </c>
      <c r="Q39" s="534" t="str">
        <f t="shared" si="5"/>
        <v>タブ8Pホチキス止め</v>
      </c>
      <c r="R39" s="538" t="str">
        <f t="shared" si="6"/>
        <v>40</v>
      </c>
      <c r="S39" s="538" t="str">
        <f t="shared" si="7"/>
        <v>03</v>
      </c>
      <c r="T39" s="471" t="s">
        <v>1136</v>
      </c>
      <c r="U39" s="538"/>
      <c r="V39" s="538"/>
      <c r="W39" s="471">
        <v>0</v>
      </c>
      <c r="X39" s="540"/>
      <c r="Y39" s="471">
        <v>0</v>
      </c>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row>
    <row r="40" spans="1:52" s="471" customFormat="1">
      <c r="A40" s="465" t="s">
        <v>6</v>
      </c>
      <c r="B40" s="452" t="str">
        <f>VLOOKUP(A40,★新聞!$C$4:$D$12,2,FALSE)</f>
        <v>D</v>
      </c>
      <c r="C40" s="465" t="s">
        <v>1350</v>
      </c>
      <c r="D40" s="452" t="str">
        <f>VLOOKUP(C40,★サイズ表記!$D$4:$E$55,2,FALSE)</f>
        <v>4004</v>
      </c>
      <c r="E40" s="484" t="str">
        <f t="shared" si="0"/>
        <v>D4004</v>
      </c>
      <c r="F40" s="484" t="str">
        <f t="shared" si="1"/>
        <v>日本海/タブ10P</v>
      </c>
      <c r="G40" s="483"/>
      <c r="I40" s="471" t="str">
        <f t="shared" si="2"/>
        <v>D4004</v>
      </c>
      <c r="J40" s="471" t="str">
        <f t="shared" si="3"/>
        <v>日本海/タブ10P</v>
      </c>
      <c r="M40" s="538"/>
      <c r="N40" s="533" t="s">
        <v>1324</v>
      </c>
      <c r="O40" s="533" t="s">
        <v>1325</v>
      </c>
      <c r="P40" s="534" t="str">
        <f t="shared" si="4"/>
        <v>4004</v>
      </c>
      <c r="Q40" s="534" t="str">
        <f t="shared" si="5"/>
        <v>タブ10P</v>
      </c>
      <c r="R40" s="538" t="str">
        <f t="shared" si="6"/>
        <v>40</v>
      </c>
      <c r="S40" s="538" t="str">
        <f t="shared" si="7"/>
        <v>04</v>
      </c>
      <c r="T40" s="471" t="s">
        <v>1136</v>
      </c>
      <c r="U40" s="538"/>
      <c r="V40" s="538"/>
      <c r="W40" s="471">
        <v>0</v>
      </c>
      <c r="X40" s="540"/>
      <c r="Y40" s="471">
        <v>0</v>
      </c>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row>
    <row r="41" spans="1:52" s="471" customFormat="1">
      <c r="A41" s="465" t="s">
        <v>6</v>
      </c>
      <c r="B41" s="452" t="str">
        <f>VLOOKUP(A41,★新聞!$C$4:$D$12,2,FALSE)</f>
        <v>D</v>
      </c>
      <c r="C41" s="465" t="s">
        <v>1351</v>
      </c>
      <c r="D41" s="452" t="str">
        <f>VLOOKUP(C41,★サイズ表記!$D$4:$E$55,2,FALSE)</f>
        <v>4005</v>
      </c>
      <c r="E41" s="484" t="str">
        <f t="shared" si="0"/>
        <v>D4005</v>
      </c>
      <c r="F41" s="484" t="str">
        <f t="shared" si="1"/>
        <v>日本海/タブ12P</v>
      </c>
      <c r="G41" s="483"/>
      <c r="I41" s="471" t="str">
        <f t="shared" si="2"/>
        <v>D4005</v>
      </c>
      <c r="J41" s="471" t="str">
        <f t="shared" si="3"/>
        <v>日本海/タブ12P</v>
      </c>
      <c r="M41" s="538"/>
      <c r="N41" s="533" t="s">
        <v>1324</v>
      </c>
      <c r="O41" s="533" t="s">
        <v>1325</v>
      </c>
      <c r="P41" s="534" t="str">
        <f t="shared" si="4"/>
        <v>4005</v>
      </c>
      <c r="Q41" s="534" t="str">
        <f t="shared" si="5"/>
        <v>タブ12P</v>
      </c>
      <c r="R41" s="538" t="str">
        <f t="shared" si="6"/>
        <v>40</v>
      </c>
      <c r="S41" s="538" t="str">
        <f t="shared" si="7"/>
        <v>05</v>
      </c>
      <c r="T41" s="471" t="s">
        <v>1136</v>
      </c>
      <c r="U41" s="538"/>
      <c r="V41" s="538"/>
      <c r="W41" s="471">
        <v>0</v>
      </c>
      <c r="X41" s="540"/>
      <c r="Y41" s="471">
        <v>0</v>
      </c>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row>
    <row r="42" spans="1:52" s="471" customFormat="1">
      <c r="A42" s="465" t="s">
        <v>6</v>
      </c>
      <c r="B42" s="452" t="str">
        <f>VLOOKUP(A42,★新聞!$C$4:$D$12,2,FALSE)</f>
        <v>D</v>
      </c>
      <c r="C42" s="465" t="s">
        <v>1352</v>
      </c>
      <c r="D42" s="452" t="str">
        <f>VLOOKUP(C42,★サイズ表記!$D$4:$E$55,2,FALSE)</f>
        <v>4006</v>
      </c>
      <c r="E42" s="484" t="str">
        <f t="shared" si="0"/>
        <v>D4006</v>
      </c>
      <c r="F42" s="484" t="str">
        <f t="shared" si="1"/>
        <v>日本海/タブ14P</v>
      </c>
      <c r="G42" s="483"/>
      <c r="I42" s="471" t="str">
        <f t="shared" si="2"/>
        <v>D4006</v>
      </c>
      <c r="J42" s="471" t="str">
        <f t="shared" si="3"/>
        <v>日本海/タブ14P</v>
      </c>
      <c r="M42" s="538"/>
      <c r="N42" s="533" t="s">
        <v>1324</v>
      </c>
      <c r="O42" s="533" t="s">
        <v>1325</v>
      </c>
      <c r="P42" s="534" t="str">
        <f t="shared" si="4"/>
        <v>4006</v>
      </c>
      <c r="Q42" s="534" t="str">
        <f t="shared" si="5"/>
        <v>タブ14P</v>
      </c>
      <c r="R42" s="538" t="str">
        <f t="shared" si="6"/>
        <v>40</v>
      </c>
      <c r="S42" s="538" t="str">
        <f t="shared" si="7"/>
        <v>06</v>
      </c>
      <c r="T42" s="471" t="s">
        <v>1136</v>
      </c>
      <c r="U42" s="538"/>
      <c r="V42" s="538"/>
      <c r="W42" s="471">
        <v>0</v>
      </c>
      <c r="X42" s="540"/>
      <c r="Y42" s="471">
        <v>0</v>
      </c>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row>
    <row r="43" spans="1:52" s="471" customFormat="1">
      <c r="A43" s="465" t="s">
        <v>6</v>
      </c>
      <c r="B43" s="452" t="str">
        <f>VLOOKUP(A43,★新聞!$C$4:$D$12,2,FALSE)</f>
        <v>D</v>
      </c>
      <c r="C43" s="465" t="s">
        <v>1353</v>
      </c>
      <c r="D43" s="452" t="str">
        <f>VLOOKUP(C43,★サイズ表記!$D$4:$E$55,2,FALSE)</f>
        <v>4007</v>
      </c>
      <c r="E43" s="484" t="str">
        <f t="shared" si="0"/>
        <v>D4007</v>
      </c>
      <c r="F43" s="484" t="str">
        <f t="shared" si="1"/>
        <v>日本海/タブ16P</v>
      </c>
      <c r="G43" s="483"/>
      <c r="I43" s="471" t="str">
        <f t="shared" si="2"/>
        <v>D4007</v>
      </c>
      <c r="J43" s="471" t="str">
        <f t="shared" si="3"/>
        <v>日本海/タブ16P</v>
      </c>
      <c r="M43" s="538"/>
      <c r="N43" s="533" t="s">
        <v>1324</v>
      </c>
      <c r="O43" s="533" t="s">
        <v>1325</v>
      </c>
      <c r="P43" s="534" t="str">
        <f t="shared" si="4"/>
        <v>4007</v>
      </c>
      <c r="Q43" s="534" t="str">
        <f t="shared" si="5"/>
        <v>タブ16P</v>
      </c>
      <c r="R43" s="538" t="str">
        <f t="shared" si="6"/>
        <v>40</v>
      </c>
      <c r="S43" s="538" t="str">
        <f t="shared" si="7"/>
        <v>07</v>
      </c>
      <c r="T43" s="471" t="s">
        <v>1136</v>
      </c>
      <c r="U43" s="538"/>
      <c r="V43" s="538"/>
      <c r="W43" s="471">
        <v>0</v>
      </c>
      <c r="X43" s="540"/>
      <c r="Y43" s="471">
        <v>0</v>
      </c>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row>
    <row r="44" spans="1:52" s="471" customFormat="1">
      <c r="A44" s="465" t="s">
        <v>6</v>
      </c>
      <c r="B44" s="452" t="str">
        <f>VLOOKUP(A44,★新聞!$C$4:$D$12,2,FALSE)</f>
        <v>D</v>
      </c>
      <c r="C44" s="465" t="s">
        <v>1355</v>
      </c>
      <c r="D44" s="452" t="str">
        <f>VLOOKUP(C44,★サイズ表記!$D$4:$E$55,2,FALSE)</f>
        <v>4008</v>
      </c>
      <c r="E44" s="484" t="str">
        <f t="shared" si="0"/>
        <v>D4008</v>
      </c>
      <c r="F44" s="484" t="str">
        <f t="shared" si="1"/>
        <v>日本海/タブ18P</v>
      </c>
      <c r="G44" s="483"/>
      <c r="I44" s="471" t="str">
        <f t="shared" si="2"/>
        <v>D4008</v>
      </c>
      <c r="J44" s="471" t="str">
        <f t="shared" si="3"/>
        <v>日本海/タブ18P</v>
      </c>
      <c r="M44" s="538"/>
      <c r="N44" s="533" t="s">
        <v>1324</v>
      </c>
      <c r="O44" s="533" t="s">
        <v>1325</v>
      </c>
      <c r="P44" s="534" t="str">
        <f t="shared" si="4"/>
        <v>4008</v>
      </c>
      <c r="Q44" s="534" t="str">
        <f t="shared" si="5"/>
        <v>タブ18P</v>
      </c>
      <c r="R44" s="538" t="str">
        <f t="shared" si="6"/>
        <v>40</v>
      </c>
      <c r="S44" s="538" t="str">
        <f t="shared" si="7"/>
        <v>08</v>
      </c>
      <c r="T44" s="471" t="s">
        <v>1136</v>
      </c>
      <c r="U44" s="538"/>
      <c r="V44" s="538"/>
      <c r="W44" s="471">
        <v>0</v>
      </c>
      <c r="X44" s="540"/>
      <c r="Y44" s="471">
        <v>0</v>
      </c>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row>
    <row r="45" spans="1:52" s="471" customFormat="1">
      <c r="A45" s="465" t="s">
        <v>6</v>
      </c>
      <c r="B45" s="452" t="str">
        <f>VLOOKUP(A45,★新聞!$C$4:$D$12,2,FALSE)</f>
        <v>D</v>
      </c>
      <c r="C45" s="465" t="s">
        <v>1356</v>
      </c>
      <c r="D45" s="452" t="str">
        <f>VLOOKUP(C45,★サイズ表記!$D$4:$E$55,2,FALSE)</f>
        <v>4009</v>
      </c>
      <c r="E45" s="484" t="str">
        <f t="shared" si="0"/>
        <v>D4009</v>
      </c>
      <c r="F45" s="484" t="str">
        <f t="shared" si="1"/>
        <v>日本海/タブ20P</v>
      </c>
      <c r="G45" s="483"/>
      <c r="I45" s="471" t="str">
        <f t="shared" si="2"/>
        <v>D4009</v>
      </c>
      <c r="J45" s="471" t="str">
        <f t="shared" si="3"/>
        <v>日本海/タブ20P</v>
      </c>
      <c r="M45" s="538"/>
      <c r="N45" s="533" t="s">
        <v>1324</v>
      </c>
      <c r="O45" s="533" t="s">
        <v>1325</v>
      </c>
      <c r="P45" s="534" t="str">
        <f t="shared" si="4"/>
        <v>4009</v>
      </c>
      <c r="Q45" s="534" t="str">
        <f t="shared" si="5"/>
        <v>タブ20P</v>
      </c>
      <c r="R45" s="538" t="str">
        <f t="shared" si="6"/>
        <v>40</v>
      </c>
      <c r="S45" s="538" t="str">
        <f t="shared" si="7"/>
        <v>09</v>
      </c>
      <c r="T45" s="471" t="s">
        <v>1136</v>
      </c>
      <c r="U45" s="538"/>
      <c r="V45" s="538"/>
      <c r="W45" s="471">
        <v>0</v>
      </c>
      <c r="X45" s="540"/>
      <c r="Y45" s="471">
        <v>0</v>
      </c>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row>
    <row r="46" spans="1:52" s="471" customFormat="1">
      <c r="A46" s="465" t="s">
        <v>6</v>
      </c>
      <c r="B46" s="452" t="str">
        <f>VLOOKUP(A46,★新聞!$C$4:$D$12,2,FALSE)</f>
        <v>D</v>
      </c>
      <c r="C46" s="465" t="s">
        <v>1354</v>
      </c>
      <c r="D46" s="452" t="str">
        <f>VLOOKUP(C46,★サイズ表記!$D$4:$E$55,2,FALSE)</f>
        <v>4010</v>
      </c>
      <c r="E46" s="484" t="str">
        <f t="shared" si="0"/>
        <v>D4010</v>
      </c>
      <c r="F46" s="484" t="str">
        <f t="shared" si="1"/>
        <v>日本海/タブ16Pホチキス止め</v>
      </c>
      <c r="G46" s="483"/>
      <c r="I46" s="471" t="str">
        <f t="shared" si="2"/>
        <v>D4010</v>
      </c>
      <c r="J46" s="471" t="str">
        <f t="shared" si="3"/>
        <v>日本海/タブ16Pホチキス止め</v>
      </c>
      <c r="M46" s="538"/>
      <c r="N46" s="533" t="s">
        <v>1324</v>
      </c>
      <c r="O46" s="533" t="s">
        <v>1325</v>
      </c>
      <c r="P46" s="534" t="str">
        <f t="shared" si="4"/>
        <v>4010</v>
      </c>
      <c r="Q46" s="534" t="str">
        <f t="shared" si="5"/>
        <v>タブ16Pホチキス止め</v>
      </c>
      <c r="R46" s="538" t="str">
        <f t="shared" si="6"/>
        <v>40</v>
      </c>
      <c r="S46" s="538" t="str">
        <f t="shared" si="7"/>
        <v>10</v>
      </c>
      <c r="T46" s="471" t="s">
        <v>1136</v>
      </c>
      <c r="U46" s="538"/>
      <c r="V46" s="538"/>
      <c r="W46" s="471">
        <v>0</v>
      </c>
      <c r="X46" s="540"/>
      <c r="Y46" s="471">
        <v>0</v>
      </c>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row>
    <row r="47" spans="1:52" s="471" customFormat="1">
      <c r="A47" s="465" t="s">
        <v>6</v>
      </c>
      <c r="B47" s="452" t="str">
        <f>VLOOKUP(A47,★新聞!$C$4:$D$12,2,FALSE)</f>
        <v>D</v>
      </c>
      <c r="C47" s="465" t="s">
        <v>1357</v>
      </c>
      <c r="D47" s="452" t="str">
        <f>VLOOKUP(C47,★サイズ表記!$D$4:$E$55,2,FALSE)</f>
        <v>4011</v>
      </c>
      <c r="E47" s="484" t="str">
        <f t="shared" si="0"/>
        <v>D4011</v>
      </c>
      <c r="F47" s="484" t="str">
        <f t="shared" si="1"/>
        <v>日本海/タブ40P</v>
      </c>
      <c r="G47" s="483"/>
      <c r="I47" s="471" t="str">
        <f t="shared" si="2"/>
        <v>D4011</v>
      </c>
      <c r="J47" s="471" t="str">
        <f t="shared" si="3"/>
        <v>日本海/タブ40P</v>
      </c>
      <c r="M47" s="538"/>
      <c r="N47" s="533" t="s">
        <v>1324</v>
      </c>
      <c r="O47" s="533" t="s">
        <v>1325</v>
      </c>
      <c r="P47" s="534" t="str">
        <f t="shared" si="4"/>
        <v>4011</v>
      </c>
      <c r="Q47" s="534" t="str">
        <f t="shared" si="5"/>
        <v>タブ40P</v>
      </c>
      <c r="R47" s="538" t="str">
        <f t="shared" si="6"/>
        <v>40</v>
      </c>
      <c r="S47" s="538" t="str">
        <f t="shared" si="7"/>
        <v>11</v>
      </c>
      <c r="T47" s="471" t="s">
        <v>1136</v>
      </c>
      <c r="U47" s="538"/>
      <c r="V47" s="538"/>
      <c r="W47" s="471">
        <v>0</v>
      </c>
      <c r="X47" s="540"/>
      <c r="Y47" s="471">
        <v>0</v>
      </c>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row>
    <row r="48" spans="1:52" s="471" customFormat="1">
      <c r="A48" s="465" t="s">
        <v>6</v>
      </c>
      <c r="B48" s="452" t="str">
        <f>VLOOKUP(A48,★新聞!$C$4:$D$12,2,FALSE)</f>
        <v>D</v>
      </c>
      <c r="C48" s="465" t="s">
        <v>975</v>
      </c>
      <c r="D48" s="452" t="str">
        <f>VLOOKUP(C48,★サイズ表記!$D$4:$E$55,2,FALSE)</f>
        <v>9001</v>
      </c>
      <c r="E48" s="484" t="str">
        <f t="shared" si="0"/>
        <v>D9001</v>
      </c>
      <c r="F48" s="484" t="str">
        <f t="shared" si="1"/>
        <v>日本海/うさぎの耳</v>
      </c>
      <c r="G48" s="483"/>
      <c r="I48" s="471" t="str">
        <f t="shared" si="2"/>
        <v>D9001</v>
      </c>
      <c r="J48" s="471" t="str">
        <f t="shared" si="3"/>
        <v>日本海/うさぎの耳</v>
      </c>
      <c r="M48" s="538"/>
      <c r="N48" s="533" t="s">
        <v>1324</v>
      </c>
      <c r="O48" s="533" t="s">
        <v>1325</v>
      </c>
      <c r="P48" s="534" t="str">
        <f t="shared" si="4"/>
        <v>9001</v>
      </c>
      <c r="Q48" s="534" t="str">
        <f t="shared" si="5"/>
        <v>うさぎの耳</v>
      </c>
      <c r="R48" s="538" t="str">
        <f t="shared" si="6"/>
        <v>90</v>
      </c>
      <c r="S48" s="538" t="str">
        <f t="shared" si="7"/>
        <v>01</v>
      </c>
      <c r="T48" s="471" t="s">
        <v>1136</v>
      </c>
      <c r="U48" s="538"/>
      <c r="V48" s="538"/>
      <c r="W48" s="471">
        <v>0</v>
      </c>
      <c r="X48" s="540"/>
      <c r="Y48" s="471">
        <v>0</v>
      </c>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row>
    <row r="49" spans="1:52" s="471" customFormat="1">
      <c r="A49" s="465" t="s">
        <v>6</v>
      </c>
      <c r="B49" s="452" t="str">
        <f>VLOOKUP(A49,★新聞!$C$4:$D$12,2,FALSE)</f>
        <v>D</v>
      </c>
      <c r="C49" s="465" t="s">
        <v>976</v>
      </c>
      <c r="D49" s="452" t="str">
        <f>VLOOKUP(C49,★サイズ表記!$D$4:$E$55,2,FALSE)</f>
        <v>9002</v>
      </c>
      <c r="E49" s="484" t="str">
        <f t="shared" si="0"/>
        <v>D9002</v>
      </c>
      <c r="F49" s="484" t="str">
        <f t="shared" si="1"/>
        <v>日本海/ユーキャン（題字）</v>
      </c>
      <c r="G49" s="483"/>
      <c r="I49" s="471" t="str">
        <f t="shared" si="2"/>
        <v>D9002</v>
      </c>
      <c r="J49" s="471" t="str">
        <f t="shared" si="3"/>
        <v>日本海/ユーキャン（題字）</v>
      </c>
      <c r="M49" s="538"/>
      <c r="N49" s="533" t="s">
        <v>1324</v>
      </c>
      <c r="O49" s="533" t="s">
        <v>1325</v>
      </c>
      <c r="P49" s="534" t="str">
        <f t="shared" si="4"/>
        <v>9002</v>
      </c>
      <c r="Q49" s="534" t="str">
        <f t="shared" si="5"/>
        <v>ユーキャン（題字）</v>
      </c>
      <c r="R49" s="538" t="str">
        <f t="shared" si="6"/>
        <v>90</v>
      </c>
      <c r="S49" s="538" t="str">
        <f t="shared" si="7"/>
        <v>02</v>
      </c>
      <c r="T49" s="471" t="s">
        <v>1136</v>
      </c>
      <c r="U49" s="538"/>
      <c r="V49" s="538"/>
      <c r="W49" s="471">
        <v>0</v>
      </c>
      <c r="X49" s="540"/>
      <c r="Y49" s="471">
        <v>0</v>
      </c>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row>
    <row r="50" spans="1:52" s="471" customFormat="1">
      <c r="A50" s="465" t="s">
        <v>6</v>
      </c>
      <c r="B50" s="452" t="str">
        <f>VLOOKUP(A50,★新聞!$C$4:$D$12,2,FALSE)</f>
        <v>D</v>
      </c>
      <c r="C50" s="465" t="s">
        <v>977</v>
      </c>
      <c r="D50" s="452" t="str">
        <f>VLOOKUP(C50,★サイズ表記!$D$4:$E$55,2,FALSE)</f>
        <v>9003</v>
      </c>
      <c r="E50" s="484" t="str">
        <f t="shared" si="0"/>
        <v>D9003</v>
      </c>
      <c r="F50" s="484" t="str">
        <f t="shared" si="1"/>
        <v>日本海/横長B3</v>
      </c>
      <c r="G50" s="483"/>
      <c r="I50" s="471" t="str">
        <f t="shared" si="2"/>
        <v>D9003</v>
      </c>
      <c r="J50" s="471" t="str">
        <f t="shared" si="3"/>
        <v>日本海/横長B3</v>
      </c>
      <c r="M50" s="538"/>
      <c r="N50" s="533" t="s">
        <v>1324</v>
      </c>
      <c r="O50" s="533" t="s">
        <v>1325</v>
      </c>
      <c r="P50" s="534" t="str">
        <f t="shared" si="4"/>
        <v>9003</v>
      </c>
      <c r="Q50" s="534" t="str">
        <f t="shared" si="5"/>
        <v>横長B3</v>
      </c>
      <c r="R50" s="538" t="str">
        <f t="shared" si="6"/>
        <v>90</v>
      </c>
      <c r="S50" s="538" t="str">
        <f t="shared" si="7"/>
        <v>03</v>
      </c>
      <c r="T50" s="471" t="s">
        <v>1136</v>
      </c>
      <c r="U50" s="538"/>
      <c r="V50" s="538"/>
      <c r="W50" s="471">
        <v>0</v>
      </c>
      <c r="X50" s="540"/>
      <c r="Y50" s="471">
        <v>0</v>
      </c>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row>
    <row r="51" spans="1:52" s="471" customFormat="1">
      <c r="A51" s="465" t="s">
        <v>6</v>
      </c>
      <c r="B51" s="452" t="str">
        <f>VLOOKUP(A51,★新聞!$C$4:$D$12,2,FALSE)</f>
        <v>D</v>
      </c>
      <c r="C51" s="465" t="s">
        <v>978</v>
      </c>
      <c r="D51" s="452" t="str">
        <f>VLOOKUP(C51,★サイズ表記!$D$4:$E$55,2,FALSE)</f>
        <v>9004</v>
      </c>
      <c r="E51" s="484" t="str">
        <f t="shared" si="0"/>
        <v>D9004</v>
      </c>
      <c r="F51" s="484" t="str">
        <f t="shared" si="1"/>
        <v>日本海/AD-BAG</v>
      </c>
      <c r="G51" s="483"/>
      <c r="I51" s="471" t="str">
        <f t="shared" si="2"/>
        <v>D9004</v>
      </c>
      <c r="J51" s="471" t="str">
        <f t="shared" si="3"/>
        <v>日本海/AD-BAG</v>
      </c>
      <c r="M51" s="538"/>
      <c r="N51" s="533" t="s">
        <v>1324</v>
      </c>
      <c r="O51" s="533" t="s">
        <v>1325</v>
      </c>
      <c r="P51" s="534" t="str">
        <f t="shared" si="4"/>
        <v>9004</v>
      </c>
      <c r="Q51" s="534" t="str">
        <f t="shared" si="5"/>
        <v>AD-BAG</v>
      </c>
      <c r="R51" s="538" t="str">
        <f t="shared" si="6"/>
        <v>90</v>
      </c>
      <c r="S51" s="538" t="str">
        <f t="shared" si="7"/>
        <v>04</v>
      </c>
      <c r="T51" s="471" t="s">
        <v>1136</v>
      </c>
      <c r="U51" s="538"/>
      <c r="V51" s="538"/>
      <c r="W51" s="471">
        <v>0</v>
      </c>
      <c r="X51" s="540"/>
      <c r="Y51" s="471">
        <v>0</v>
      </c>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row>
    <row r="52" spans="1:52" s="471" customFormat="1">
      <c r="A52" s="465" t="s">
        <v>6</v>
      </c>
      <c r="B52" s="452" t="str">
        <f>VLOOKUP(A52,★新聞!$C$4:$D$12,2,FALSE)</f>
        <v>D</v>
      </c>
      <c r="C52" s="465" t="s">
        <v>979</v>
      </c>
      <c r="D52" s="452" t="str">
        <f>VLOOKUP(C52,★サイズ表記!$D$4:$E$55,2,FALSE)</f>
        <v>9005</v>
      </c>
      <c r="E52" s="484" t="str">
        <f t="shared" si="0"/>
        <v>D9005</v>
      </c>
      <c r="F52" s="484" t="str">
        <f t="shared" si="1"/>
        <v>日本海/封筒</v>
      </c>
      <c r="G52" s="483"/>
      <c r="I52" s="471" t="str">
        <f t="shared" si="2"/>
        <v>D9005</v>
      </c>
      <c r="J52" s="471" t="str">
        <f t="shared" si="3"/>
        <v>日本海/封筒</v>
      </c>
      <c r="M52" s="538"/>
      <c r="N52" s="533" t="s">
        <v>1324</v>
      </c>
      <c r="O52" s="533" t="s">
        <v>1325</v>
      </c>
      <c r="P52" s="534" t="str">
        <f t="shared" si="4"/>
        <v>9005</v>
      </c>
      <c r="Q52" s="534" t="str">
        <f t="shared" si="5"/>
        <v>封筒</v>
      </c>
      <c r="R52" s="538" t="str">
        <f t="shared" si="6"/>
        <v>90</v>
      </c>
      <c r="S52" s="538" t="str">
        <f t="shared" si="7"/>
        <v>05</v>
      </c>
      <c r="T52" s="471" t="s">
        <v>1136</v>
      </c>
      <c r="U52" s="538"/>
      <c r="V52" s="538"/>
      <c r="W52" s="471">
        <v>0</v>
      </c>
      <c r="X52" s="540"/>
      <c r="Y52" s="471">
        <v>0</v>
      </c>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row>
    <row r="53" spans="1:52" s="471" customFormat="1">
      <c r="A53" s="465" t="s">
        <v>6</v>
      </c>
      <c r="B53" s="452" t="str">
        <f>VLOOKUP(A53,★新聞!$C$4:$D$12,2,FALSE)</f>
        <v>D</v>
      </c>
      <c r="C53" s="465" t="s">
        <v>980</v>
      </c>
      <c r="D53" s="452" t="str">
        <f>VLOOKUP(C53,★サイズ表記!$D$4:$E$55,2,FALSE)</f>
        <v>9006</v>
      </c>
      <c r="E53" s="484" t="str">
        <f t="shared" si="0"/>
        <v>D9006</v>
      </c>
      <c r="F53" s="484" t="str">
        <f t="shared" si="1"/>
        <v>日本海/圧着</v>
      </c>
      <c r="G53" s="483"/>
      <c r="I53" s="471" t="str">
        <f t="shared" si="2"/>
        <v>D9006</v>
      </c>
      <c r="J53" s="471" t="str">
        <f t="shared" si="3"/>
        <v>日本海/圧着</v>
      </c>
      <c r="M53" s="538"/>
      <c r="N53" s="533" t="s">
        <v>1324</v>
      </c>
      <c r="O53" s="533" t="s">
        <v>1325</v>
      </c>
      <c r="P53" s="534" t="str">
        <f t="shared" si="4"/>
        <v>9006</v>
      </c>
      <c r="Q53" s="534" t="str">
        <f t="shared" si="5"/>
        <v>圧着</v>
      </c>
      <c r="R53" s="538" t="str">
        <f t="shared" si="6"/>
        <v>90</v>
      </c>
      <c r="S53" s="538" t="str">
        <f t="shared" si="7"/>
        <v>06</v>
      </c>
      <c r="T53" s="471" t="s">
        <v>1136</v>
      </c>
      <c r="U53" s="538"/>
      <c r="V53" s="538"/>
      <c r="W53" s="471">
        <v>0</v>
      </c>
      <c r="X53" s="540"/>
      <c r="Y53" s="471">
        <v>0</v>
      </c>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row>
    <row r="54" spans="1:52" s="471" customFormat="1">
      <c r="A54" s="465" t="s">
        <v>6</v>
      </c>
      <c r="B54" s="452" t="str">
        <f>VLOOKUP(A54,★新聞!$C$4:$D$12,2,FALSE)</f>
        <v>D</v>
      </c>
      <c r="C54" s="465" t="s">
        <v>981</v>
      </c>
      <c r="D54" s="452" t="str">
        <f>VLOOKUP(C54,★サイズ表記!$D$4:$E$55,2,FALSE)</f>
        <v>9007</v>
      </c>
      <c r="E54" s="484" t="str">
        <f t="shared" si="0"/>
        <v>D9007</v>
      </c>
      <c r="F54" s="484" t="str">
        <f t="shared" si="1"/>
        <v>日本海/圧着厚紙</v>
      </c>
      <c r="G54" s="483"/>
      <c r="I54" s="471" t="str">
        <f t="shared" si="2"/>
        <v>D9007</v>
      </c>
      <c r="J54" s="471" t="str">
        <f t="shared" si="3"/>
        <v>日本海/圧着厚紙</v>
      </c>
      <c r="M54" s="538"/>
      <c r="N54" s="533" t="s">
        <v>1324</v>
      </c>
      <c r="O54" s="533" t="s">
        <v>1325</v>
      </c>
      <c r="P54" s="534" t="str">
        <f t="shared" si="4"/>
        <v>9007</v>
      </c>
      <c r="Q54" s="534" t="str">
        <f t="shared" si="5"/>
        <v>圧着厚紙</v>
      </c>
      <c r="R54" s="538" t="str">
        <f t="shared" si="6"/>
        <v>90</v>
      </c>
      <c r="S54" s="538" t="str">
        <f t="shared" si="7"/>
        <v>07</v>
      </c>
      <c r="T54" s="471" t="s">
        <v>1136</v>
      </c>
      <c r="U54" s="538"/>
      <c r="V54" s="538"/>
      <c r="W54" s="471">
        <v>0</v>
      </c>
      <c r="X54" s="540"/>
      <c r="Y54" s="471">
        <v>0</v>
      </c>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row>
    <row r="55" spans="1:52">
      <c r="A55" s="465" t="s">
        <v>277</v>
      </c>
      <c r="B55" s="452" t="str">
        <f>VLOOKUP(A55,★新聞!$C$4:$D$12,2,FALSE)</f>
        <v>G</v>
      </c>
      <c r="C55" s="465" t="s">
        <v>948</v>
      </c>
      <c r="D55" s="452" t="str">
        <f>VLOOKUP(C55,★サイズ表記!$D$4:$E$55,2,FALSE)</f>
        <v>1001</v>
      </c>
      <c r="E55" s="484" t="str">
        <f t="shared" si="0"/>
        <v>G1001</v>
      </c>
      <c r="F55" s="484" t="str">
        <f t="shared" si="1"/>
        <v>朝日/B4（折り無し）</v>
      </c>
      <c r="I55" s="471" t="str">
        <f>E55</f>
        <v>G1001</v>
      </c>
      <c r="J55" s="471" t="str">
        <f t="shared" si="3"/>
        <v>朝日/B4（折り無し）</v>
      </c>
      <c r="N55" s="533" t="s">
        <v>1324</v>
      </c>
      <c r="O55" s="533" t="s">
        <v>1325</v>
      </c>
      <c r="P55" s="534" t="str">
        <f t="shared" si="4"/>
        <v>1001</v>
      </c>
      <c r="Q55" s="534" t="str">
        <f t="shared" si="5"/>
        <v>B4（折り無し）</v>
      </c>
      <c r="R55" s="538" t="str">
        <f>LEFT($D55,2)</f>
        <v>10</v>
      </c>
      <c r="S55" s="538" t="str">
        <f>RIGHT($D55,2)</f>
        <v>01</v>
      </c>
      <c r="T55" s="471" t="s">
        <v>1136</v>
      </c>
      <c r="W55" s="471">
        <v>0</v>
      </c>
      <c r="X55" s="540"/>
      <c r="Y55" s="471">
        <v>0</v>
      </c>
    </row>
    <row r="56" spans="1:52">
      <c r="A56" s="465" t="s">
        <v>277</v>
      </c>
      <c r="B56" s="452" t="str">
        <f>VLOOKUP(A56,★新聞!$C$4:$D$12,2,FALSE)</f>
        <v>G</v>
      </c>
      <c r="C56" s="465" t="s">
        <v>950</v>
      </c>
      <c r="D56" s="452" t="str">
        <f>VLOOKUP(C56,★サイズ表記!$D$4:$E$55,2,FALSE)</f>
        <v>1002</v>
      </c>
      <c r="E56" s="484" t="str">
        <f t="shared" si="0"/>
        <v>G1002</v>
      </c>
      <c r="F56" s="484" t="str">
        <f t="shared" si="1"/>
        <v>朝日/B3（2つ折り）</v>
      </c>
      <c r="I56" s="471" t="str">
        <f t="shared" ref="I56:I103" si="8">E56</f>
        <v>G1002</v>
      </c>
      <c r="J56" s="471" t="str">
        <f t="shared" si="3"/>
        <v>朝日/B3（2つ折り）</v>
      </c>
      <c r="N56" s="533" t="s">
        <v>1324</v>
      </c>
      <c r="O56" s="533" t="s">
        <v>1325</v>
      </c>
      <c r="P56" s="534" t="str">
        <f t="shared" si="4"/>
        <v>1002</v>
      </c>
      <c r="Q56" s="534" t="str">
        <f t="shared" si="5"/>
        <v>B3（2つ折り）</v>
      </c>
      <c r="R56" s="538" t="str">
        <f t="shared" si="6"/>
        <v>10</v>
      </c>
      <c r="S56" s="538" t="str">
        <f t="shared" si="7"/>
        <v>02</v>
      </c>
      <c r="T56" s="471" t="s">
        <v>1136</v>
      </c>
      <c r="W56" s="471">
        <v>0</v>
      </c>
      <c r="X56" s="540"/>
      <c r="Y56" s="471">
        <v>0</v>
      </c>
    </row>
    <row r="57" spans="1:52">
      <c r="A57" s="465" t="s">
        <v>277</v>
      </c>
      <c r="B57" s="452" t="str">
        <f>VLOOKUP(A57,★新聞!$C$4:$D$12,2,FALSE)</f>
        <v>G</v>
      </c>
      <c r="C57" s="465" t="s">
        <v>951</v>
      </c>
      <c r="D57" s="452" t="str">
        <f>VLOOKUP(C57,★サイズ表記!$D$4:$E$55,2,FALSE)</f>
        <v>1003</v>
      </c>
      <c r="E57" s="484" t="str">
        <f t="shared" si="0"/>
        <v>G1003</v>
      </c>
      <c r="F57" s="484" t="str">
        <f t="shared" si="1"/>
        <v>朝日/3つ折り</v>
      </c>
      <c r="I57" s="471" t="str">
        <f t="shared" si="8"/>
        <v>G1003</v>
      </c>
      <c r="J57" s="471" t="str">
        <f t="shared" si="3"/>
        <v>朝日/3つ折り</v>
      </c>
      <c r="N57" s="533" t="s">
        <v>1324</v>
      </c>
      <c r="O57" s="533" t="s">
        <v>1325</v>
      </c>
      <c r="P57" s="534" t="str">
        <f t="shared" si="4"/>
        <v>1003</v>
      </c>
      <c r="Q57" s="534" t="str">
        <f t="shared" si="5"/>
        <v>3つ折り</v>
      </c>
      <c r="R57" s="538" t="str">
        <f t="shared" si="6"/>
        <v>10</v>
      </c>
      <c r="S57" s="538" t="str">
        <f t="shared" si="7"/>
        <v>03</v>
      </c>
      <c r="T57" s="471" t="s">
        <v>1136</v>
      </c>
      <c r="W57" s="471">
        <v>0</v>
      </c>
      <c r="X57" s="540"/>
      <c r="Y57" s="471">
        <v>0</v>
      </c>
    </row>
    <row r="58" spans="1:52">
      <c r="A58" s="465" t="s">
        <v>277</v>
      </c>
      <c r="B58" s="452" t="str">
        <f>VLOOKUP(A58,★新聞!$C$4:$D$12,2,FALSE)</f>
        <v>G</v>
      </c>
      <c r="C58" s="465" t="s">
        <v>947</v>
      </c>
      <c r="D58" s="452" t="str">
        <f>VLOOKUP(C58,★サイズ表記!$D$4:$E$55,2,FALSE)</f>
        <v>1004</v>
      </c>
      <c r="E58" s="484" t="str">
        <f t="shared" si="0"/>
        <v>G1004</v>
      </c>
      <c r="F58" s="484" t="str">
        <f t="shared" si="1"/>
        <v>朝日/観音折</v>
      </c>
      <c r="I58" s="471" t="str">
        <f t="shared" si="8"/>
        <v>G1004</v>
      </c>
      <c r="J58" s="471" t="str">
        <f t="shared" si="3"/>
        <v>朝日/観音折</v>
      </c>
      <c r="N58" s="533" t="s">
        <v>1324</v>
      </c>
      <c r="O58" s="533" t="s">
        <v>1325</v>
      </c>
      <c r="P58" s="534" t="str">
        <f t="shared" si="4"/>
        <v>1004</v>
      </c>
      <c r="Q58" s="534" t="str">
        <f t="shared" si="5"/>
        <v>観音折</v>
      </c>
      <c r="R58" s="538" t="str">
        <f t="shared" si="6"/>
        <v>10</v>
      </c>
      <c r="S58" s="538" t="str">
        <f t="shared" si="7"/>
        <v>04</v>
      </c>
      <c r="T58" s="471" t="s">
        <v>1136</v>
      </c>
      <c r="W58" s="471">
        <v>0</v>
      </c>
      <c r="X58" s="540"/>
      <c r="Y58" s="471">
        <v>0</v>
      </c>
    </row>
    <row r="59" spans="1:52">
      <c r="A59" s="465" t="s">
        <v>277</v>
      </c>
      <c r="B59" s="452" t="str">
        <f>VLOOKUP(A59,★新聞!$C$4:$D$12,2,FALSE)</f>
        <v>G</v>
      </c>
      <c r="C59" s="465" t="s">
        <v>952</v>
      </c>
      <c r="D59" s="452" t="str">
        <f>VLOOKUP(C59,★サイズ表記!$D$4:$E$55,2,FALSE)</f>
        <v>1005</v>
      </c>
      <c r="E59" s="484" t="str">
        <f t="shared" si="0"/>
        <v>G1005</v>
      </c>
      <c r="F59" s="484" t="str">
        <f t="shared" si="1"/>
        <v>朝日/B2（4つ折り）</v>
      </c>
      <c r="I59" s="471" t="str">
        <f t="shared" si="8"/>
        <v>G1005</v>
      </c>
      <c r="J59" s="471" t="str">
        <f t="shared" si="3"/>
        <v>朝日/B2（4つ折り）</v>
      </c>
      <c r="N59" s="533" t="s">
        <v>1324</v>
      </c>
      <c r="O59" s="533" t="s">
        <v>1325</v>
      </c>
      <c r="P59" s="534" t="str">
        <f t="shared" si="4"/>
        <v>1005</v>
      </c>
      <c r="Q59" s="534" t="str">
        <f t="shared" si="5"/>
        <v>B2（4つ折り）</v>
      </c>
      <c r="R59" s="538" t="str">
        <f t="shared" si="6"/>
        <v>10</v>
      </c>
      <c r="S59" s="538" t="str">
        <f t="shared" si="7"/>
        <v>05</v>
      </c>
      <c r="T59" s="471" t="s">
        <v>1136</v>
      </c>
      <c r="W59" s="471">
        <v>0</v>
      </c>
      <c r="X59" s="540"/>
      <c r="Y59" s="471">
        <v>0</v>
      </c>
    </row>
    <row r="60" spans="1:52">
      <c r="A60" s="465" t="s">
        <v>277</v>
      </c>
      <c r="B60" s="452" t="str">
        <f>VLOOKUP(A60,★新聞!$C$4:$D$12,2,FALSE)</f>
        <v>G</v>
      </c>
      <c r="C60" s="465" t="s">
        <v>955</v>
      </c>
      <c r="D60" s="452" t="str">
        <f>VLOOKUP(C60,★サイズ表記!$D$4:$E$55,2,FALSE)</f>
        <v>1006</v>
      </c>
      <c r="E60" s="484" t="str">
        <f t="shared" si="0"/>
        <v>G1006</v>
      </c>
      <c r="F60" s="484" t="str">
        <f t="shared" si="1"/>
        <v>朝日/B1（8折り）</v>
      </c>
      <c r="I60" s="471" t="str">
        <f t="shared" si="8"/>
        <v>G1006</v>
      </c>
      <c r="J60" s="471" t="str">
        <f t="shared" si="3"/>
        <v>朝日/B1（8折り）</v>
      </c>
      <c r="N60" s="533" t="s">
        <v>1324</v>
      </c>
      <c r="O60" s="533" t="s">
        <v>1325</v>
      </c>
      <c r="P60" s="534" t="str">
        <f t="shared" si="4"/>
        <v>1006</v>
      </c>
      <c r="Q60" s="534" t="str">
        <f t="shared" si="5"/>
        <v>B1（8折り）</v>
      </c>
      <c r="R60" s="538" t="str">
        <f t="shared" si="6"/>
        <v>10</v>
      </c>
      <c r="S60" s="538" t="str">
        <f t="shared" si="7"/>
        <v>06</v>
      </c>
      <c r="T60" s="471" t="s">
        <v>1136</v>
      </c>
      <c r="W60" s="471">
        <v>0</v>
      </c>
      <c r="X60" s="540"/>
      <c r="Y60" s="471">
        <v>0</v>
      </c>
    </row>
    <row r="61" spans="1:52">
      <c r="A61" s="465" t="s">
        <v>277</v>
      </c>
      <c r="B61" s="452" t="str">
        <f>VLOOKUP(A61,★新聞!$C$4:$D$12,2,FALSE)</f>
        <v>G</v>
      </c>
      <c r="C61" s="465" t="s">
        <v>956</v>
      </c>
      <c r="D61" s="452" t="str">
        <f>VLOOKUP(C61,★サイズ表記!$D$4:$E$55,2,FALSE)</f>
        <v>1007</v>
      </c>
      <c r="E61" s="484" t="str">
        <f t="shared" si="0"/>
        <v>G1007</v>
      </c>
      <c r="F61" s="484" t="str">
        <f t="shared" si="1"/>
        <v>朝日/B4厚紙</v>
      </c>
      <c r="I61" s="471" t="str">
        <f t="shared" si="8"/>
        <v>G1007</v>
      </c>
      <c r="J61" s="471" t="str">
        <f t="shared" si="3"/>
        <v>朝日/B4厚紙</v>
      </c>
      <c r="N61" s="533" t="s">
        <v>1324</v>
      </c>
      <c r="O61" s="533" t="s">
        <v>1325</v>
      </c>
      <c r="P61" s="534" t="str">
        <f t="shared" si="4"/>
        <v>1007</v>
      </c>
      <c r="Q61" s="534" t="str">
        <f t="shared" si="5"/>
        <v>B4厚紙</v>
      </c>
      <c r="R61" s="538" t="str">
        <f t="shared" si="6"/>
        <v>10</v>
      </c>
      <c r="S61" s="538" t="str">
        <f t="shared" si="7"/>
        <v>07</v>
      </c>
      <c r="T61" s="471" t="s">
        <v>1136</v>
      </c>
      <c r="W61" s="471">
        <v>0</v>
      </c>
      <c r="X61" s="540"/>
      <c r="Y61" s="471">
        <v>0</v>
      </c>
    </row>
    <row r="62" spans="1:52">
      <c r="A62" s="465" t="s">
        <v>277</v>
      </c>
      <c r="B62" s="452" t="str">
        <f>VLOOKUP(A62,★新聞!$C$4:$D$12,2,FALSE)</f>
        <v>G</v>
      </c>
      <c r="C62" s="465" t="s">
        <v>957</v>
      </c>
      <c r="D62" s="452" t="str">
        <f>VLOOKUP(C62,★サイズ表記!$D$4:$E$55,2,FALSE)</f>
        <v>1008</v>
      </c>
      <c r="E62" s="484" t="str">
        <f t="shared" si="0"/>
        <v>G1008</v>
      </c>
      <c r="F62" s="484" t="str">
        <f t="shared" si="1"/>
        <v>朝日/B3厚紙</v>
      </c>
      <c r="I62" s="471" t="str">
        <f t="shared" si="8"/>
        <v>G1008</v>
      </c>
      <c r="J62" s="471" t="str">
        <f t="shared" si="3"/>
        <v>朝日/B3厚紙</v>
      </c>
      <c r="N62" s="533" t="s">
        <v>1324</v>
      </c>
      <c r="O62" s="533" t="s">
        <v>1325</v>
      </c>
      <c r="P62" s="534" t="str">
        <f t="shared" si="4"/>
        <v>1008</v>
      </c>
      <c r="Q62" s="534" t="str">
        <f t="shared" si="5"/>
        <v>B3厚紙</v>
      </c>
      <c r="R62" s="538" t="str">
        <f t="shared" si="6"/>
        <v>10</v>
      </c>
      <c r="S62" s="538" t="str">
        <f t="shared" si="7"/>
        <v>08</v>
      </c>
      <c r="T62" s="471" t="s">
        <v>1136</v>
      </c>
      <c r="W62" s="471">
        <v>0</v>
      </c>
      <c r="X62" s="540"/>
      <c r="Y62" s="471">
        <v>0</v>
      </c>
    </row>
    <row r="63" spans="1:52">
      <c r="A63" s="465" t="s">
        <v>277</v>
      </c>
      <c r="B63" s="452" t="str">
        <f>VLOOKUP(A63,★新聞!$C$4:$D$12,2,FALSE)</f>
        <v>G</v>
      </c>
      <c r="C63" s="465" t="s">
        <v>958</v>
      </c>
      <c r="D63" s="452" t="str">
        <f>VLOOKUP(C63,★サイズ表記!$D$4:$E$55,2,FALSE)</f>
        <v>1009</v>
      </c>
      <c r="E63" s="484" t="str">
        <f t="shared" si="0"/>
        <v>G1009</v>
      </c>
      <c r="F63" s="484" t="str">
        <f t="shared" si="1"/>
        <v>朝日/B2厚紙</v>
      </c>
      <c r="I63" s="471" t="str">
        <f t="shared" si="8"/>
        <v>G1009</v>
      </c>
      <c r="J63" s="471" t="str">
        <f t="shared" si="3"/>
        <v>朝日/B2厚紙</v>
      </c>
      <c r="N63" s="533" t="s">
        <v>1324</v>
      </c>
      <c r="O63" s="533" t="s">
        <v>1325</v>
      </c>
      <c r="P63" s="534" t="str">
        <f t="shared" si="4"/>
        <v>1009</v>
      </c>
      <c r="Q63" s="534" t="str">
        <f t="shared" si="5"/>
        <v>B2厚紙</v>
      </c>
      <c r="R63" s="538" t="str">
        <f t="shared" si="6"/>
        <v>10</v>
      </c>
      <c r="S63" s="538" t="str">
        <f t="shared" si="7"/>
        <v>09</v>
      </c>
      <c r="T63" s="471" t="s">
        <v>1136</v>
      </c>
      <c r="W63" s="471">
        <v>0</v>
      </c>
      <c r="X63" s="540"/>
      <c r="Y63" s="471">
        <v>0</v>
      </c>
    </row>
    <row r="64" spans="1:52">
      <c r="A64" s="465" t="s">
        <v>277</v>
      </c>
      <c r="B64" s="452" t="str">
        <f>VLOOKUP(A64,★新聞!$C$4:$D$12,2,FALSE)</f>
        <v>G</v>
      </c>
      <c r="C64" s="465" t="s">
        <v>959</v>
      </c>
      <c r="D64" s="452" t="str">
        <f>VLOOKUP(C64,★サイズ表記!$D$4:$E$55,2,FALSE)</f>
        <v>1010</v>
      </c>
      <c r="E64" s="484" t="str">
        <f t="shared" si="0"/>
        <v>G1010</v>
      </c>
      <c r="F64" s="484" t="str">
        <f t="shared" si="1"/>
        <v>朝日/B4以下変形</v>
      </c>
      <c r="I64" s="471" t="str">
        <f t="shared" si="8"/>
        <v>G1010</v>
      </c>
      <c r="J64" s="471" t="str">
        <f t="shared" si="3"/>
        <v>朝日/B4以下変形</v>
      </c>
      <c r="N64" s="533" t="s">
        <v>1324</v>
      </c>
      <c r="O64" s="533" t="s">
        <v>1325</v>
      </c>
      <c r="P64" s="534" t="str">
        <f t="shared" si="4"/>
        <v>1010</v>
      </c>
      <c r="Q64" s="534" t="str">
        <f t="shared" si="5"/>
        <v>B4以下変形</v>
      </c>
      <c r="R64" s="538" t="str">
        <f t="shared" si="6"/>
        <v>10</v>
      </c>
      <c r="S64" s="538" t="str">
        <f t="shared" si="7"/>
        <v>10</v>
      </c>
      <c r="T64" s="471" t="s">
        <v>1136</v>
      </c>
      <c r="W64" s="471">
        <v>0</v>
      </c>
      <c r="X64" s="540"/>
      <c r="Y64" s="471">
        <v>0</v>
      </c>
    </row>
    <row r="65" spans="1:52">
      <c r="A65" s="465" t="s">
        <v>277</v>
      </c>
      <c r="B65" s="452" t="str">
        <f>VLOOKUP(A65,★新聞!$C$4:$D$12,2,FALSE)</f>
        <v>G</v>
      </c>
      <c r="C65" s="465" t="s">
        <v>960</v>
      </c>
      <c r="D65" s="452" t="str">
        <f>VLOOKUP(C65,★サイズ表記!$D$4:$E$55,2,FALSE)</f>
        <v>1011</v>
      </c>
      <c r="E65" s="484" t="str">
        <f t="shared" si="0"/>
        <v>G1011</v>
      </c>
      <c r="F65" s="484" t="str">
        <f t="shared" si="1"/>
        <v>朝日/B4シール付き</v>
      </c>
      <c r="I65" s="471" t="str">
        <f t="shared" si="8"/>
        <v>G1011</v>
      </c>
      <c r="J65" s="471" t="str">
        <f t="shared" si="3"/>
        <v>朝日/B4シール付き</v>
      </c>
      <c r="N65" s="533" t="s">
        <v>1324</v>
      </c>
      <c r="O65" s="533" t="s">
        <v>1325</v>
      </c>
      <c r="P65" s="534" t="str">
        <f t="shared" si="4"/>
        <v>1011</v>
      </c>
      <c r="Q65" s="534" t="str">
        <f t="shared" si="5"/>
        <v>B4シール付き</v>
      </c>
      <c r="R65" s="538" t="str">
        <f t="shared" si="6"/>
        <v>10</v>
      </c>
      <c r="S65" s="538" t="str">
        <f t="shared" si="7"/>
        <v>11</v>
      </c>
      <c r="T65" s="471" t="s">
        <v>1136</v>
      </c>
      <c r="W65" s="471">
        <v>0</v>
      </c>
      <c r="X65" s="540"/>
      <c r="Y65" s="471">
        <v>0</v>
      </c>
    </row>
    <row r="66" spans="1:52" s="471" customFormat="1">
      <c r="A66" s="465" t="s">
        <v>277</v>
      </c>
      <c r="B66" s="452" t="str">
        <f>VLOOKUP(A66,★新聞!$C$4:$D$12,2,FALSE)</f>
        <v>G</v>
      </c>
      <c r="C66" s="465" t="s">
        <v>961</v>
      </c>
      <c r="D66" s="452" t="str">
        <f>VLOOKUP(C66,★サイズ表記!$D$4:$E$55,2,FALSE)</f>
        <v>1012</v>
      </c>
      <c r="E66" s="484" t="str">
        <f t="shared" si="0"/>
        <v>G1012</v>
      </c>
      <c r="F66" s="484" t="str">
        <f t="shared" si="1"/>
        <v>朝日/B3シール付き</v>
      </c>
      <c r="G66" s="483"/>
      <c r="I66" s="471" t="str">
        <f t="shared" si="8"/>
        <v>G1012</v>
      </c>
      <c r="J66" s="471" t="str">
        <f t="shared" si="3"/>
        <v>朝日/B3シール付き</v>
      </c>
      <c r="M66" s="538"/>
      <c r="N66" s="533" t="s">
        <v>1324</v>
      </c>
      <c r="O66" s="533" t="s">
        <v>1325</v>
      </c>
      <c r="P66" s="534" t="str">
        <f t="shared" si="4"/>
        <v>1012</v>
      </c>
      <c r="Q66" s="534" t="str">
        <f t="shared" si="5"/>
        <v>B3シール付き</v>
      </c>
      <c r="R66" s="538" t="str">
        <f t="shared" si="6"/>
        <v>10</v>
      </c>
      <c r="S66" s="538" t="str">
        <f t="shared" si="7"/>
        <v>12</v>
      </c>
      <c r="T66" s="471" t="s">
        <v>1136</v>
      </c>
      <c r="U66" s="538"/>
      <c r="V66" s="538"/>
      <c r="W66" s="471">
        <v>0</v>
      </c>
      <c r="X66" s="540"/>
      <c r="Y66" s="471">
        <v>0</v>
      </c>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row>
    <row r="67" spans="1:52" s="471" customFormat="1">
      <c r="A67" s="465" t="s">
        <v>277</v>
      </c>
      <c r="B67" s="452" t="str">
        <f>VLOOKUP(A67,★新聞!$C$4:$D$12,2,FALSE)</f>
        <v>G</v>
      </c>
      <c r="C67" s="465" t="s">
        <v>962</v>
      </c>
      <c r="D67" s="452" t="str">
        <f>VLOOKUP(C67,★サイズ表記!$D$4:$E$55,2,FALSE)</f>
        <v>1013</v>
      </c>
      <c r="E67" s="484" t="str">
        <f t="shared" si="0"/>
        <v>G1013</v>
      </c>
      <c r="F67" s="484" t="str">
        <f t="shared" si="1"/>
        <v>朝日/B4スクラッチ付き</v>
      </c>
      <c r="G67" s="483"/>
      <c r="I67" s="471" t="str">
        <f t="shared" si="8"/>
        <v>G1013</v>
      </c>
      <c r="J67" s="471" t="str">
        <f t="shared" si="3"/>
        <v>朝日/B4スクラッチ付き</v>
      </c>
      <c r="M67" s="538"/>
      <c r="N67" s="533" t="s">
        <v>1324</v>
      </c>
      <c r="O67" s="533" t="s">
        <v>1325</v>
      </c>
      <c r="P67" s="534" t="str">
        <f t="shared" si="4"/>
        <v>1013</v>
      </c>
      <c r="Q67" s="534" t="str">
        <f t="shared" si="5"/>
        <v>B4スクラッチ付き</v>
      </c>
      <c r="R67" s="538" t="str">
        <f t="shared" si="6"/>
        <v>10</v>
      </c>
      <c r="S67" s="538" t="str">
        <f t="shared" si="7"/>
        <v>13</v>
      </c>
      <c r="T67" s="471" t="s">
        <v>1136</v>
      </c>
      <c r="U67" s="538"/>
      <c r="V67" s="538"/>
      <c r="W67" s="471">
        <v>0</v>
      </c>
      <c r="X67" s="540"/>
      <c r="Y67" s="471">
        <v>0</v>
      </c>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row>
    <row r="68" spans="1:52" s="471" customFormat="1">
      <c r="A68" s="465" t="s">
        <v>277</v>
      </c>
      <c r="B68" s="452" t="str">
        <f>VLOOKUP(A68,★新聞!$C$4:$D$12,2,FALSE)</f>
        <v>G</v>
      </c>
      <c r="C68" s="465" t="s">
        <v>963</v>
      </c>
      <c r="D68" s="452" t="str">
        <f>VLOOKUP(C68,★サイズ表記!$D$4:$E$55,2,FALSE)</f>
        <v>2001</v>
      </c>
      <c r="E68" s="484" t="str">
        <f t="shared" si="0"/>
        <v>G2001</v>
      </c>
      <c r="F68" s="484" t="str">
        <f t="shared" si="1"/>
        <v>朝日/連合B4</v>
      </c>
      <c r="G68" s="483"/>
      <c r="I68" s="471" t="str">
        <f t="shared" si="8"/>
        <v>G2001</v>
      </c>
      <c r="J68" s="471" t="str">
        <f t="shared" si="3"/>
        <v>朝日/連合B4</v>
      </c>
      <c r="M68" s="538"/>
      <c r="N68" s="533" t="s">
        <v>1324</v>
      </c>
      <c r="O68" s="533" t="s">
        <v>1325</v>
      </c>
      <c r="P68" s="534" t="str">
        <f t="shared" si="4"/>
        <v>2001</v>
      </c>
      <c r="Q68" s="534" t="str">
        <f t="shared" si="5"/>
        <v>連合B4</v>
      </c>
      <c r="R68" s="538" t="str">
        <f t="shared" si="6"/>
        <v>20</v>
      </c>
      <c r="S68" s="538" t="str">
        <f t="shared" si="7"/>
        <v>01</v>
      </c>
      <c r="T68" s="471" t="s">
        <v>1136</v>
      </c>
      <c r="U68" s="538"/>
      <c r="V68" s="538"/>
      <c r="W68" s="471">
        <v>0</v>
      </c>
      <c r="X68" s="540"/>
      <c r="Y68" s="471">
        <v>0</v>
      </c>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row>
    <row r="69" spans="1:52" s="471" customFormat="1">
      <c r="A69" s="465" t="s">
        <v>277</v>
      </c>
      <c r="B69" s="452" t="str">
        <f>VLOOKUP(A69,★新聞!$C$4:$D$12,2,FALSE)</f>
        <v>G</v>
      </c>
      <c r="C69" s="465" t="s">
        <v>964</v>
      </c>
      <c r="D69" s="452" t="str">
        <f>VLOOKUP(C69,★サイズ表記!$D$4:$E$55,2,FALSE)</f>
        <v>2002</v>
      </c>
      <c r="E69" s="484" t="str">
        <f t="shared" si="0"/>
        <v>G2002</v>
      </c>
      <c r="F69" s="484" t="str">
        <f t="shared" si="1"/>
        <v>朝日/連合B3</v>
      </c>
      <c r="G69" s="483"/>
      <c r="I69" s="471" t="str">
        <f t="shared" si="8"/>
        <v>G2002</v>
      </c>
      <c r="J69" s="471" t="str">
        <f t="shared" si="3"/>
        <v>朝日/連合B3</v>
      </c>
      <c r="M69" s="538"/>
      <c r="N69" s="533" t="s">
        <v>1324</v>
      </c>
      <c r="O69" s="533" t="s">
        <v>1325</v>
      </c>
      <c r="P69" s="534" t="str">
        <f t="shared" si="4"/>
        <v>2002</v>
      </c>
      <c r="Q69" s="534" t="str">
        <f t="shared" si="5"/>
        <v>連合B3</v>
      </c>
      <c r="R69" s="538" t="str">
        <f t="shared" si="6"/>
        <v>20</v>
      </c>
      <c r="S69" s="538" t="str">
        <f t="shared" si="7"/>
        <v>02</v>
      </c>
      <c r="T69" s="471" t="s">
        <v>1136</v>
      </c>
      <c r="U69" s="538"/>
      <c r="V69" s="538"/>
      <c r="W69" s="471">
        <v>0</v>
      </c>
      <c r="X69" s="540"/>
      <c r="Y69" s="471">
        <v>0</v>
      </c>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row>
    <row r="70" spans="1:52" s="471" customFormat="1">
      <c r="A70" s="465" t="s">
        <v>277</v>
      </c>
      <c r="B70" s="452" t="str">
        <f>VLOOKUP(A70,★新聞!$C$4:$D$12,2,FALSE)</f>
        <v>G</v>
      </c>
      <c r="C70" s="465" t="s">
        <v>965</v>
      </c>
      <c r="D70" s="452" t="str">
        <f>VLOOKUP(C70,★サイズ表記!$D$4:$E$55,2,FALSE)</f>
        <v>2003</v>
      </c>
      <c r="E70" s="484" t="str">
        <f t="shared" ref="E70:E133" si="9">CONCATENATE(B70,D70)</f>
        <v>G2003</v>
      </c>
      <c r="F70" s="484" t="str">
        <f t="shared" si="1"/>
        <v>朝日/連合B2</v>
      </c>
      <c r="G70" s="483"/>
      <c r="I70" s="471" t="str">
        <f t="shared" si="8"/>
        <v>G2003</v>
      </c>
      <c r="J70" s="471" t="str">
        <f t="shared" si="3"/>
        <v>朝日/連合B2</v>
      </c>
      <c r="M70" s="538"/>
      <c r="N70" s="533" t="s">
        <v>1324</v>
      </c>
      <c r="O70" s="533" t="s">
        <v>1325</v>
      </c>
      <c r="P70" s="534" t="str">
        <f t="shared" si="4"/>
        <v>2003</v>
      </c>
      <c r="Q70" s="534" t="str">
        <f t="shared" si="5"/>
        <v>連合B2</v>
      </c>
      <c r="R70" s="538" t="str">
        <f t="shared" si="6"/>
        <v>20</v>
      </c>
      <c r="S70" s="538" t="str">
        <f t="shared" si="7"/>
        <v>03</v>
      </c>
      <c r="T70" s="471" t="s">
        <v>1136</v>
      </c>
      <c r="U70" s="538"/>
      <c r="V70" s="538"/>
      <c r="W70" s="471">
        <v>0</v>
      </c>
      <c r="X70" s="540"/>
      <c r="Y70" s="471">
        <v>0</v>
      </c>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row>
    <row r="71" spans="1:52" s="471" customFormat="1">
      <c r="A71" s="465" t="s">
        <v>277</v>
      </c>
      <c r="B71" s="452" t="str">
        <f>VLOOKUP(A71,★新聞!$C$4:$D$12,2,FALSE)</f>
        <v>G</v>
      </c>
      <c r="C71" s="465" t="s">
        <v>966</v>
      </c>
      <c r="D71" s="452" t="str">
        <f>VLOOKUP(C71,★サイズ表記!$D$4:$E$55,2,FALSE)</f>
        <v>2004</v>
      </c>
      <c r="E71" s="484" t="str">
        <f t="shared" si="9"/>
        <v>G2004</v>
      </c>
      <c r="F71" s="484" t="str">
        <f t="shared" ref="F71:F134" si="10">CONCATENATE($A71,"/",$C71)</f>
        <v>朝日/連合3つ折り</v>
      </c>
      <c r="G71" s="483"/>
      <c r="I71" s="471" t="str">
        <f t="shared" si="8"/>
        <v>G2004</v>
      </c>
      <c r="J71" s="471" t="str">
        <f t="shared" ref="J71:J134" si="11">F71</f>
        <v>朝日/連合3つ折り</v>
      </c>
      <c r="M71" s="538"/>
      <c r="N71" s="533" t="s">
        <v>1324</v>
      </c>
      <c r="O71" s="533" t="s">
        <v>1325</v>
      </c>
      <c r="P71" s="534" t="str">
        <f t="shared" ref="P71:P134" si="12">D71</f>
        <v>2004</v>
      </c>
      <c r="Q71" s="534" t="str">
        <f t="shared" ref="Q71:Q134" si="13">C71</f>
        <v>連合3つ折り</v>
      </c>
      <c r="R71" s="538" t="str">
        <f t="shared" ref="R71:R103" si="14">LEFT($D71,2)</f>
        <v>20</v>
      </c>
      <c r="S71" s="538" t="str">
        <f t="shared" ref="S71:S103" si="15">RIGHT($D71,2)</f>
        <v>04</v>
      </c>
      <c r="T71" s="471" t="s">
        <v>1136</v>
      </c>
      <c r="U71" s="538"/>
      <c r="V71" s="538"/>
      <c r="W71" s="471">
        <v>0</v>
      </c>
      <c r="X71" s="540"/>
      <c r="Y71" s="471">
        <v>0</v>
      </c>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row>
    <row r="72" spans="1:52" s="471" customFormat="1">
      <c r="A72" s="465" t="s">
        <v>277</v>
      </c>
      <c r="B72" s="452" t="str">
        <f>VLOOKUP(A72,★新聞!$C$4:$D$12,2,FALSE)</f>
        <v>G</v>
      </c>
      <c r="C72" s="465" t="s">
        <v>967</v>
      </c>
      <c r="D72" s="452" t="str">
        <f>VLOOKUP(C72,★サイズ表記!$D$4:$E$55,2,FALSE)</f>
        <v>2005</v>
      </c>
      <c r="E72" s="484" t="str">
        <f t="shared" si="9"/>
        <v>G2005</v>
      </c>
      <c r="F72" s="484" t="str">
        <f t="shared" si="10"/>
        <v>朝日/連合B4厚紙</v>
      </c>
      <c r="G72" s="483"/>
      <c r="I72" s="471" t="str">
        <f t="shared" si="8"/>
        <v>G2005</v>
      </c>
      <c r="J72" s="471" t="str">
        <f t="shared" si="11"/>
        <v>朝日/連合B4厚紙</v>
      </c>
      <c r="M72" s="538"/>
      <c r="N72" s="533" t="s">
        <v>1324</v>
      </c>
      <c r="O72" s="533" t="s">
        <v>1325</v>
      </c>
      <c r="P72" s="534" t="str">
        <f t="shared" si="12"/>
        <v>2005</v>
      </c>
      <c r="Q72" s="534" t="str">
        <f t="shared" si="13"/>
        <v>連合B4厚紙</v>
      </c>
      <c r="R72" s="538" t="str">
        <f t="shared" si="14"/>
        <v>20</v>
      </c>
      <c r="S72" s="538" t="str">
        <f t="shared" si="15"/>
        <v>05</v>
      </c>
      <c r="T72" s="471" t="s">
        <v>1136</v>
      </c>
      <c r="U72" s="538"/>
      <c r="V72" s="538"/>
      <c r="W72" s="471">
        <v>0</v>
      </c>
      <c r="X72" s="540"/>
      <c r="Y72" s="471">
        <v>0</v>
      </c>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row>
    <row r="73" spans="1:52" s="471" customFormat="1">
      <c r="A73" s="465" t="s">
        <v>277</v>
      </c>
      <c r="B73" s="452" t="str">
        <f>VLOOKUP(A73,★新聞!$C$4:$D$12,2,FALSE)</f>
        <v>G</v>
      </c>
      <c r="C73" s="465" t="s">
        <v>968</v>
      </c>
      <c r="D73" s="452" t="str">
        <f>VLOOKUP(C73,★サイズ表記!$D$4:$E$55,2,FALSE)</f>
        <v>2006</v>
      </c>
      <c r="E73" s="484" t="str">
        <f t="shared" si="9"/>
        <v>G2006</v>
      </c>
      <c r="F73" s="484" t="str">
        <f t="shared" si="10"/>
        <v>朝日/連合2つ折り極小</v>
      </c>
      <c r="G73" s="483"/>
      <c r="I73" s="471" t="str">
        <f t="shared" si="8"/>
        <v>G2006</v>
      </c>
      <c r="J73" s="471" t="str">
        <f t="shared" si="11"/>
        <v>朝日/連合2つ折り極小</v>
      </c>
      <c r="M73" s="538"/>
      <c r="N73" s="533" t="s">
        <v>1324</v>
      </c>
      <c r="O73" s="533" t="s">
        <v>1325</v>
      </c>
      <c r="P73" s="534" t="str">
        <f t="shared" si="12"/>
        <v>2006</v>
      </c>
      <c r="Q73" s="534" t="str">
        <f t="shared" si="13"/>
        <v>連合2つ折り極小</v>
      </c>
      <c r="R73" s="538" t="str">
        <f t="shared" si="14"/>
        <v>20</v>
      </c>
      <c r="S73" s="538" t="str">
        <f t="shared" si="15"/>
        <v>06</v>
      </c>
      <c r="T73" s="471" t="s">
        <v>1136</v>
      </c>
      <c r="U73" s="538"/>
      <c r="V73" s="538"/>
      <c r="W73" s="471">
        <v>0</v>
      </c>
      <c r="X73" s="540"/>
      <c r="Y73" s="471">
        <v>0</v>
      </c>
      <c r="Z73" s="538"/>
      <c r="AA73" s="538"/>
      <c r="AB73" s="538"/>
      <c r="AC73" s="538"/>
      <c r="AD73" s="538"/>
      <c r="AE73" s="538"/>
      <c r="AF73" s="538"/>
      <c r="AG73" s="538"/>
      <c r="AH73" s="538"/>
      <c r="AI73" s="538"/>
      <c r="AJ73" s="538"/>
      <c r="AK73" s="538"/>
      <c r="AL73" s="538"/>
      <c r="AM73" s="538"/>
      <c r="AN73" s="538"/>
      <c r="AO73" s="538"/>
      <c r="AP73" s="538"/>
      <c r="AQ73" s="538"/>
      <c r="AR73" s="538"/>
      <c r="AS73" s="538"/>
      <c r="AT73" s="538"/>
      <c r="AU73" s="538"/>
      <c r="AV73" s="538"/>
      <c r="AW73" s="538"/>
      <c r="AX73" s="538"/>
      <c r="AY73" s="538"/>
      <c r="AZ73" s="538"/>
    </row>
    <row r="74" spans="1:52" s="471" customFormat="1">
      <c r="A74" s="465" t="s">
        <v>277</v>
      </c>
      <c r="B74" s="452" t="str">
        <f>VLOOKUP(A74,★新聞!$C$4:$D$12,2,FALSE)</f>
        <v>G</v>
      </c>
      <c r="C74" s="465" t="s">
        <v>1365</v>
      </c>
      <c r="D74" s="452" t="str">
        <f>VLOOKUP(C74,★サイズ表記!$D$4:$E$55,2,FALSE)</f>
        <v>2007</v>
      </c>
      <c r="E74" s="484" t="str">
        <f t="shared" si="9"/>
        <v>G2007</v>
      </c>
      <c r="F74" s="484" t="str">
        <f t="shared" si="10"/>
        <v>朝日/連合タブ6P</v>
      </c>
      <c r="G74" s="483"/>
      <c r="I74" s="471" t="str">
        <f t="shared" si="8"/>
        <v>G2007</v>
      </c>
      <c r="J74" s="471" t="str">
        <f t="shared" si="11"/>
        <v>朝日/連合タブ6P</v>
      </c>
      <c r="M74" s="538"/>
      <c r="N74" s="533" t="s">
        <v>1324</v>
      </c>
      <c r="O74" s="533" t="s">
        <v>1325</v>
      </c>
      <c r="P74" s="534" t="str">
        <f t="shared" si="12"/>
        <v>2007</v>
      </c>
      <c r="Q74" s="534" t="str">
        <f t="shared" si="13"/>
        <v>連合タブ6P</v>
      </c>
      <c r="R74" s="538" t="str">
        <f t="shared" si="14"/>
        <v>20</v>
      </c>
      <c r="S74" s="538" t="str">
        <f t="shared" si="15"/>
        <v>07</v>
      </c>
      <c r="T74" s="471" t="s">
        <v>1136</v>
      </c>
      <c r="U74" s="538"/>
      <c r="V74" s="538"/>
      <c r="W74" s="471">
        <v>0</v>
      </c>
      <c r="X74" s="540"/>
      <c r="Y74" s="471">
        <v>0</v>
      </c>
      <c r="Z74" s="538"/>
      <c r="AA74" s="538"/>
      <c r="AB74" s="538"/>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8"/>
      <c r="AY74" s="538"/>
      <c r="AZ74" s="538"/>
    </row>
    <row r="75" spans="1:52" s="471" customFormat="1">
      <c r="A75" s="465" t="s">
        <v>277</v>
      </c>
      <c r="B75" s="452" t="str">
        <f>VLOOKUP(A75,★新聞!$C$4:$D$12,2,FALSE)</f>
        <v>G</v>
      </c>
      <c r="C75" s="465" t="s">
        <v>1366</v>
      </c>
      <c r="D75" s="452" t="str">
        <f>VLOOKUP(C75,★サイズ表記!$D$4:$E$55,2,FALSE)</f>
        <v>2008</v>
      </c>
      <c r="E75" s="484" t="str">
        <f t="shared" si="9"/>
        <v>G2008</v>
      </c>
      <c r="F75" s="484" t="str">
        <f t="shared" si="10"/>
        <v>朝日/連合タブ8P</v>
      </c>
      <c r="G75" s="483"/>
      <c r="I75" s="471" t="str">
        <f t="shared" si="8"/>
        <v>G2008</v>
      </c>
      <c r="J75" s="471" t="str">
        <f t="shared" si="11"/>
        <v>朝日/連合タブ8P</v>
      </c>
      <c r="M75" s="538"/>
      <c r="N75" s="533" t="s">
        <v>1324</v>
      </c>
      <c r="O75" s="533" t="s">
        <v>1325</v>
      </c>
      <c r="P75" s="534" t="str">
        <f t="shared" si="12"/>
        <v>2008</v>
      </c>
      <c r="Q75" s="534" t="str">
        <f t="shared" si="13"/>
        <v>連合タブ8P</v>
      </c>
      <c r="R75" s="538" t="str">
        <f t="shared" si="14"/>
        <v>20</v>
      </c>
      <c r="S75" s="538" t="str">
        <f t="shared" si="15"/>
        <v>08</v>
      </c>
      <c r="T75" s="471" t="s">
        <v>1136</v>
      </c>
      <c r="U75" s="538"/>
      <c r="V75" s="538"/>
      <c r="W75" s="471">
        <v>0</v>
      </c>
      <c r="X75" s="540"/>
      <c r="Y75" s="471">
        <v>0</v>
      </c>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row>
    <row r="76" spans="1:52" s="471" customFormat="1">
      <c r="A76" s="465" t="s">
        <v>277</v>
      </c>
      <c r="B76" s="452" t="str">
        <f>VLOOKUP(A76,★新聞!$C$4:$D$12,2,FALSE)</f>
        <v>G</v>
      </c>
      <c r="C76" s="465" t="s">
        <v>1364</v>
      </c>
      <c r="D76" s="452" t="str">
        <f>VLOOKUP(C76,★サイズ表記!$D$4:$E$55,2,FALSE)</f>
        <v>2009</v>
      </c>
      <c r="E76" s="484" t="str">
        <f t="shared" si="9"/>
        <v>G2009</v>
      </c>
      <c r="F76" s="484" t="str">
        <f t="shared" si="10"/>
        <v>朝日/連合タブ12P</v>
      </c>
      <c r="G76" s="483"/>
      <c r="I76" s="471" t="str">
        <f t="shared" si="8"/>
        <v>G2009</v>
      </c>
      <c r="J76" s="471" t="str">
        <f t="shared" si="11"/>
        <v>朝日/連合タブ12P</v>
      </c>
      <c r="M76" s="538"/>
      <c r="N76" s="533" t="s">
        <v>1324</v>
      </c>
      <c r="O76" s="533" t="s">
        <v>1325</v>
      </c>
      <c r="P76" s="534" t="str">
        <f t="shared" si="12"/>
        <v>2009</v>
      </c>
      <c r="Q76" s="534" t="str">
        <f t="shared" si="13"/>
        <v>連合タブ12P</v>
      </c>
      <c r="R76" s="538" t="str">
        <f t="shared" si="14"/>
        <v>20</v>
      </c>
      <c r="S76" s="538" t="str">
        <f t="shared" si="15"/>
        <v>09</v>
      </c>
      <c r="T76" s="471" t="s">
        <v>1136</v>
      </c>
      <c r="U76" s="538"/>
      <c r="V76" s="538"/>
      <c r="W76" s="471">
        <v>0</v>
      </c>
      <c r="X76" s="540"/>
      <c r="Y76" s="471">
        <v>0</v>
      </c>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8"/>
      <c r="AY76" s="538"/>
      <c r="AZ76" s="538"/>
    </row>
    <row r="77" spans="1:52" s="471" customFormat="1">
      <c r="A77" s="465" t="s">
        <v>277</v>
      </c>
      <c r="B77" s="452" t="str">
        <f>VLOOKUP(A77,★新聞!$C$4:$D$12,2,FALSE)</f>
        <v>G</v>
      </c>
      <c r="C77" s="465" t="s">
        <v>969</v>
      </c>
      <c r="D77" s="452" t="str">
        <f>VLOOKUP(C77,★サイズ表記!$D$4:$E$55,2,FALSE)</f>
        <v>3001</v>
      </c>
      <c r="E77" s="484" t="str">
        <f t="shared" si="9"/>
        <v>G3001</v>
      </c>
      <c r="F77" s="484" t="str">
        <f t="shared" si="10"/>
        <v>朝日/政治B4</v>
      </c>
      <c r="G77" s="483"/>
      <c r="I77" s="471" t="str">
        <f t="shared" si="8"/>
        <v>G3001</v>
      </c>
      <c r="J77" s="471" t="str">
        <f t="shared" si="11"/>
        <v>朝日/政治B4</v>
      </c>
      <c r="M77" s="538"/>
      <c r="N77" s="533" t="s">
        <v>1324</v>
      </c>
      <c r="O77" s="533" t="s">
        <v>1325</v>
      </c>
      <c r="P77" s="534" t="str">
        <f t="shared" si="12"/>
        <v>3001</v>
      </c>
      <c r="Q77" s="534" t="str">
        <f t="shared" si="13"/>
        <v>政治B4</v>
      </c>
      <c r="R77" s="538" t="str">
        <f t="shared" si="14"/>
        <v>30</v>
      </c>
      <c r="S77" s="538" t="str">
        <f t="shared" si="15"/>
        <v>01</v>
      </c>
      <c r="T77" s="471" t="s">
        <v>1136</v>
      </c>
      <c r="U77" s="538"/>
      <c r="V77" s="538"/>
      <c r="W77" s="471">
        <v>0</v>
      </c>
      <c r="X77" s="540"/>
      <c r="Y77" s="471">
        <v>0</v>
      </c>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8"/>
      <c r="AY77" s="538"/>
      <c r="AZ77" s="538"/>
    </row>
    <row r="78" spans="1:52" s="471" customFormat="1">
      <c r="A78" s="465" t="s">
        <v>277</v>
      </c>
      <c r="B78" s="452" t="str">
        <f>VLOOKUP(A78,★新聞!$C$4:$D$12,2,FALSE)</f>
        <v>G</v>
      </c>
      <c r="C78" s="465" t="s">
        <v>970</v>
      </c>
      <c r="D78" s="452" t="str">
        <f>VLOOKUP(C78,★サイズ表記!$D$4:$E$55,2,FALSE)</f>
        <v>3002</v>
      </c>
      <c r="E78" s="484" t="str">
        <f t="shared" si="9"/>
        <v>G3002</v>
      </c>
      <c r="F78" s="484" t="str">
        <f t="shared" si="10"/>
        <v>朝日/政治B3</v>
      </c>
      <c r="G78" s="483"/>
      <c r="I78" s="471" t="str">
        <f t="shared" si="8"/>
        <v>G3002</v>
      </c>
      <c r="J78" s="471" t="str">
        <f t="shared" si="11"/>
        <v>朝日/政治B3</v>
      </c>
      <c r="M78" s="538"/>
      <c r="N78" s="533" t="s">
        <v>1324</v>
      </c>
      <c r="O78" s="533" t="s">
        <v>1325</v>
      </c>
      <c r="P78" s="534" t="str">
        <f t="shared" si="12"/>
        <v>3002</v>
      </c>
      <c r="Q78" s="534" t="str">
        <f t="shared" si="13"/>
        <v>政治B3</v>
      </c>
      <c r="R78" s="538" t="str">
        <f t="shared" si="14"/>
        <v>30</v>
      </c>
      <c r="S78" s="538" t="str">
        <f t="shared" si="15"/>
        <v>02</v>
      </c>
      <c r="T78" s="471" t="s">
        <v>1136</v>
      </c>
      <c r="U78" s="538"/>
      <c r="V78" s="538"/>
      <c r="W78" s="471">
        <v>0</v>
      </c>
      <c r="X78" s="540"/>
      <c r="Y78" s="471">
        <v>0</v>
      </c>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row>
    <row r="79" spans="1:52" s="471" customFormat="1">
      <c r="A79" s="465" t="s">
        <v>277</v>
      </c>
      <c r="B79" s="452" t="str">
        <f>VLOOKUP(A79,★新聞!$C$4:$D$12,2,FALSE)</f>
        <v>G</v>
      </c>
      <c r="C79" s="465" t="s">
        <v>971</v>
      </c>
      <c r="D79" s="452" t="str">
        <f>VLOOKUP(C79,★サイズ表記!$D$4:$E$55,2,FALSE)</f>
        <v>3003</v>
      </c>
      <c r="E79" s="484" t="str">
        <f t="shared" si="9"/>
        <v>G3003</v>
      </c>
      <c r="F79" s="484" t="str">
        <f t="shared" si="10"/>
        <v>朝日/政治B2</v>
      </c>
      <c r="G79" s="483"/>
      <c r="I79" s="471" t="str">
        <f t="shared" si="8"/>
        <v>G3003</v>
      </c>
      <c r="J79" s="471" t="str">
        <f t="shared" si="11"/>
        <v>朝日/政治B2</v>
      </c>
      <c r="M79" s="538"/>
      <c r="N79" s="533" t="s">
        <v>1324</v>
      </c>
      <c r="O79" s="533" t="s">
        <v>1325</v>
      </c>
      <c r="P79" s="534" t="str">
        <f t="shared" si="12"/>
        <v>3003</v>
      </c>
      <c r="Q79" s="534" t="str">
        <f t="shared" si="13"/>
        <v>政治B2</v>
      </c>
      <c r="R79" s="538" t="str">
        <f t="shared" si="14"/>
        <v>30</v>
      </c>
      <c r="S79" s="538" t="str">
        <f t="shared" si="15"/>
        <v>03</v>
      </c>
      <c r="T79" s="471" t="s">
        <v>1136</v>
      </c>
      <c r="U79" s="538"/>
      <c r="V79" s="538"/>
      <c r="W79" s="471">
        <v>0</v>
      </c>
      <c r="X79" s="540"/>
      <c r="Y79" s="471">
        <v>0</v>
      </c>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row>
    <row r="80" spans="1:52" s="471" customFormat="1">
      <c r="A80" s="465" t="s">
        <v>277</v>
      </c>
      <c r="B80" s="452" t="str">
        <f>VLOOKUP(A80,★新聞!$C$4:$D$12,2,FALSE)</f>
        <v>G</v>
      </c>
      <c r="C80" s="465" t="s">
        <v>972</v>
      </c>
      <c r="D80" s="452" t="str">
        <f>VLOOKUP(C80,★サイズ表記!$D$4:$E$55,2,FALSE)</f>
        <v>3004</v>
      </c>
      <c r="E80" s="484" t="str">
        <f t="shared" si="9"/>
        <v>G3004</v>
      </c>
      <c r="F80" s="484" t="str">
        <f t="shared" si="10"/>
        <v>朝日/政治3つ折り</v>
      </c>
      <c r="G80" s="483"/>
      <c r="I80" s="471" t="str">
        <f t="shared" si="8"/>
        <v>G3004</v>
      </c>
      <c r="J80" s="471" t="str">
        <f t="shared" si="11"/>
        <v>朝日/政治3つ折り</v>
      </c>
      <c r="M80" s="538"/>
      <c r="N80" s="533" t="s">
        <v>1324</v>
      </c>
      <c r="O80" s="533" t="s">
        <v>1325</v>
      </c>
      <c r="P80" s="534" t="str">
        <f t="shared" si="12"/>
        <v>3004</v>
      </c>
      <c r="Q80" s="534" t="str">
        <f t="shared" si="13"/>
        <v>政治3つ折り</v>
      </c>
      <c r="R80" s="538" t="str">
        <f t="shared" si="14"/>
        <v>30</v>
      </c>
      <c r="S80" s="538" t="str">
        <f t="shared" si="15"/>
        <v>04</v>
      </c>
      <c r="T80" s="471" t="s">
        <v>1136</v>
      </c>
      <c r="U80" s="538"/>
      <c r="V80" s="538"/>
      <c r="W80" s="471">
        <v>0</v>
      </c>
      <c r="X80" s="540"/>
      <c r="Y80" s="471">
        <v>0</v>
      </c>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row>
    <row r="81" spans="1:52" s="471" customFormat="1">
      <c r="A81" s="465" t="s">
        <v>277</v>
      </c>
      <c r="B81" s="452" t="str">
        <f>VLOOKUP(A81,★新聞!$C$4:$D$12,2,FALSE)</f>
        <v>G</v>
      </c>
      <c r="C81" s="465" t="s">
        <v>973</v>
      </c>
      <c r="D81" s="452" t="str">
        <f>VLOOKUP(C81,★サイズ表記!$D$4:$E$55,2,FALSE)</f>
        <v>3005</v>
      </c>
      <c r="E81" s="484" t="str">
        <f t="shared" si="9"/>
        <v>G3005</v>
      </c>
      <c r="F81" s="484" t="str">
        <f t="shared" si="10"/>
        <v>朝日/政治2つ折り極小</v>
      </c>
      <c r="G81" s="483"/>
      <c r="I81" s="471" t="str">
        <f t="shared" si="8"/>
        <v>G3005</v>
      </c>
      <c r="J81" s="471" t="str">
        <f t="shared" si="11"/>
        <v>朝日/政治2つ折り極小</v>
      </c>
      <c r="M81" s="538"/>
      <c r="N81" s="533" t="s">
        <v>1324</v>
      </c>
      <c r="O81" s="533" t="s">
        <v>1325</v>
      </c>
      <c r="P81" s="534" t="str">
        <f t="shared" si="12"/>
        <v>3005</v>
      </c>
      <c r="Q81" s="534" t="str">
        <f t="shared" si="13"/>
        <v>政治2つ折り極小</v>
      </c>
      <c r="R81" s="538" t="str">
        <f t="shared" si="14"/>
        <v>30</v>
      </c>
      <c r="S81" s="538" t="str">
        <f t="shared" si="15"/>
        <v>05</v>
      </c>
      <c r="T81" s="471" t="s">
        <v>1136</v>
      </c>
      <c r="U81" s="538"/>
      <c r="V81" s="538"/>
      <c r="W81" s="471">
        <v>0</v>
      </c>
      <c r="X81" s="540"/>
      <c r="Y81" s="471">
        <v>0</v>
      </c>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row>
    <row r="82" spans="1:52" s="471" customFormat="1">
      <c r="A82" s="465" t="s">
        <v>277</v>
      </c>
      <c r="B82" s="452" t="str">
        <f>VLOOKUP(A82,★新聞!$C$4:$D$12,2,FALSE)</f>
        <v>G</v>
      </c>
      <c r="C82" s="465" t="s">
        <v>974</v>
      </c>
      <c r="D82" s="452" t="str">
        <f>VLOOKUP(C82,★サイズ表記!$D$4:$E$55,2,FALSE)</f>
        <v>3006</v>
      </c>
      <c r="E82" s="484" t="str">
        <f t="shared" si="9"/>
        <v>G3006</v>
      </c>
      <c r="F82" s="484" t="str">
        <f t="shared" si="10"/>
        <v>朝日/政治B4厚紙</v>
      </c>
      <c r="G82" s="483"/>
      <c r="I82" s="471" t="str">
        <f t="shared" si="8"/>
        <v>G3006</v>
      </c>
      <c r="J82" s="471" t="str">
        <f t="shared" si="11"/>
        <v>朝日/政治B4厚紙</v>
      </c>
      <c r="M82" s="538"/>
      <c r="N82" s="533" t="s">
        <v>1324</v>
      </c>
      <c r="O82" s="533" t="s">
        <v>1325</v>
      </c>
      <c r="P82" s="534" t="str">
        <f t="shared" si="12"/>
        <v>3006</v>
      </c>
      <c r="Q82" s="534" t="str">
        <f t="shared" si="13"/>
        <v>政治B4厚紙</v>
      </c>
      <c r="R82" s="538" t="str">
        <f t="shared" si="14"/>
        <v>30</v>
      </c>
      <c r="S82" s="538" t="str">
        <f t="shared" si="15"/>
        <v>06</v>
      </c>
      <c r="T82" s="471" t="s">
        <v>1136</v>
      </c>
      <c r="U82" s="538"/>
      <c r="V82" s="538"/>
      <c r="W82" s="471">
        <v>0</v>
      </c>
      <c r="X82" s="540"/>
      <c r="Y82" s="471">
        <v>0</v>
      </c>
      <c r="Z82" s="538"/>
      <c r="AA82" s="538"/>
      <c r="AB82" s="538"/>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8"/>
      <c r="AY82" s="538"/>
      <c r="AZ82" s="538"/>
    </row>
    <row r="83" spans="1:52" s="471" customFormat="1">
      <c r="A83" s="465" t="s">
        <v>277</v>
      </c>
      <c r="B83" s="452" t="str">
        <f>VLOOKUP(A83,★新聞!$C$4:$D$12,2,FALSE)</f>
        <v>G</v>
      </c>
      <c r="C83" s="465" t="s">
        <v>1362</v>
      </c>
      <c r="D83" s="452" t="str">
        <f>VLOOKUP(C83,★サイズ表記!$D$4:$E$55,2,FALSE)</f>
        <v>3007</v>
      </c>
      <c r="E83" s="484" t="str">
        <f t="shared" si="9"/>
        <v>G3007</v>
      </c>
      <c r="F83" s="484" t="str">
        <f t="shared" si="10"/>
        <v>朝日/政治タブ6P</v>
      </c>
      <c r="G83" s="483"/>
      <c r="I83" s="471" t="str">
        <f t="shared" si="8"/>
        <v>G3007</v>
      </c>
      <c r="J83" s="471" t="str">
        <f t="shared" si="11"/>
        <v>朝日/政治タブ6P</v>
      </c>
      <c r="M83" s="538"/>
      <c r="N83" s="533" t="s">
        <v>1324</v>
      </c>
      <c r="O83" s="533" t="s">
        <v>1325</v>
      </c>
      <c r="P83" s="534" t="str">
        <f t="shared" si="12"/>
        <v>3007</v>
      </c>
      <c r="Q83" s="534" t="str">
        <f t="shared" si="13"/>
        <v>政治タブ6P</v>
      </c>
      <c r="R83" s="538" t="str">
        <f t="shared" si="14"/>
        <v>30</v>
      </c>
      <c r="S83" s="538" t="str">
        <f t="shared" si="15"/>
        <v>07</v>
      </c>
      <c r="T83" s="471" t="s">
        <v>1136</v>
      </c>
      <c r="U83" s="538"/>
      <c r="V83" s="538"/>
      <c r="W83" s="471">
        <v>0</v>
      </c>
      <c r="X83" s="540"/>
      <c r="Y83" s="471">
        <v>0</v>
      </c>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row>
    <row r="84" spans="1:52" s="471" customFormat="1">
      <c r="A84" s="465" t="s">
        <v>277</v>
      </c>
      <c r="B84" s="452" t="str">
        <f>VLOOKUP(A84,★新聞!$C$4:$D$12,2,FALSE)</f>
        <v>G</v>
      </c>
      <c r="C84" s="465" t="s">
        <v>1363</v>
      </c>
      <c r="D84" s="452" t="str">
        <f>VLOOKUP(C84,★サイズ表記!$D$4:$E$55,2,FALSE)</f>
        <v>3008</v>
      </c>
      <c r="E84" s="484" t="str">
        <f t="shared" si="9"/>
        <v>G3008</v>
      </c>
      <c r="F84" s="484" t="str">
        <f t="shared" si="10"/>
        <v>朝日/政治タブ8P</v>
      </c>
      <c r="G84" s="483"/>
      <c r="I84" s="471" t="str">
        <f t="shared" si="8"/>
        <v>G3008</v>
      </c>
      <c r="J84" s="471" t="str">
        <f t="shared" si="11"/>
        <v>朝日/政治タブ8P</v>
      </c>
      <c r="M84" s="538"/>
      <c r="N84" s="533" t="s">
        <v>1324</v>
      </c>
      <c r="O84" s="533" t="s">
        <v>1325</v>
      </c>
      <c r="P84" s="534" t="str">
        <f t="shared" si="12"/>
        <v>3008</v>
      </c>
      <c r="Q84" s="534" t="str">
        <f t="shared" si="13"/>
        <v>政治タブ8P</v>
      </c>
      <c r="R84" s="538" t="str">
        <f t="shared" si="14"/>
        <v>30</v>
      </c>
      <c r="S84" s="538" t="str">
        <f t="shared" si="15"/>
        <v>08</v>
      </c>
      <c r="T84" s="471" t="s">
        <v>1136</v>
      </c>
      <c r="U84" s="538"/>
      <c r="V84" s="538"/>
      <c r="W84" s="471">
        <v>0</v>
      </c>
      <c r="X84" s="540"/>
      <c r="Y84" s="471">
        <v>0</v>
      </c>
      <c r="Z84" s="538"/>
      <c r="AA84" s="538"/>
      <c r="AB84" s="538"/>
      <c r="AC84" s="538"/>
      <c r="AD84" s="538"/>
      <c r="AE84" s="538"/>
      <c r="AF84" s="538"/>
      <c r="AG84" s="538"/>
      <c r="AH84" s="538"/>
      <c r="AI84" s="538"/>
      <c r="AJ84" s="538"/>
      <c r="AK84" s="538"/>
      <c r="AL84" s="538"/>
      <c r="AM84" s="538"/>
      <c r="AN84" s="538"/>
      <c r="AO84" s="538"/>
      <c r="AP84" s="538"/>
      <c r="AQ84" s="538"/>
      <c r="AR84" s="538"/>
      <c r="AS84" s="538"/>
      <c r="AT84" s="538"/>
      <c r="AU84" s="538"/>
      <c r="AV84" s="538"/>
      <c r="AW84" s="538"/>
      <c r="AX84" s="538"/>
      <c r="AY84" s="538"/>
      <c r="AZ84" s="538"/>
    </row>
    <row r="85" spans="1:52" s="471" customFormat="1">
      <c r="A85" s="465" t="s">
        <v>277</v>
      </c>
      <c r="B85" s="452" t="str">
        <f>VLOOKUP(A85,★新聞!$C$4:$D$12,2,FALSE)</f>
        <v>G</v>
      </c>
      <c r="C85" s="465" t="s">
        <v>1361</v>
      </c>
      <c r="D85" s="452" t="str">
        <f>VLOOKUP(C85,★サイズ表記!$D$4:$E$55,2,FALSE)</f>
        <v>3009</v>
      </c>
      <c r="E85" s="484" t="str">
        <f t="shared" si="9"/>
        <v>G3009</v>
      </c>
      <c r="F85" s="484" t="str">
        <f t="shared" si="10"/>
        <v>朝日/政治タブ12P</v>
      </c>
      <c r="G85" s="483"/>
      <c r="I85" s="471" t="str">
        <f t="shared" si="8"/>
        <v>G3009</v>
      </c>
      <c r="J85" s="471" t="str">
        <f t="shared" si="11"/>
        <v>朝日/政治タブ12P</v>
      </c>
      <c r="M85" s="538"/>
      <c r="N85" s="533" t="s">
        <v>1324</v>
      </c>
      <c r="O85" s="533" t="s">
        <v>1325</v>
      </c>
      <c r="P85" s="534" t="str">
        <f t="shared" si="12"/>
        <v>3009</v>
      </c>
      <c r="Q85" s="534" t="str">
        <f t="shared" si="13"/>
        <v>政治タブ12P</v>
      </c>
      <c r="R85" s="538" t="str">
        <f t="shared" si="14"/>
        <v>30</v>
      </c>
      <c r="S85" s="538" t="str">
        <f t="shared" si="15"/>
        <v>09</v>
      </c>
      <c r="T85" s="471" t="s">
        <v>1136</v>
      </c>
      <c r="U85" s="538"/>
      <c r="V85" s="538"/>
      <c r="W85" s="471">
        <v>0</v>
      </c>
      <c r="X85" s="540"/>
      <c r="Y85" s="471">
        <v>0</v>
      </c>
      <c r="Z85" s="538"/>
      <c r="AA85" s="538"/>
      <c r="AB85" s="538"/>
      <c r="AC85" s="538"/>
      <c r="AD85" s="538"/>
      <c r="AE85" s="538"/>
      <c r="AF85" s="538"/>
      <c r="AG85" s="538"/>
      <c r="AH85" s="538"/>
      <c r="AI85" s="538"/>
      <c r="AJ85" s="538"/>
      <c r="AK85" s="538"/>
      <c r="AL85" s="538"/>
      <c r="AM85" s="538"/>
      <c r="AN85" s="538"/>
      <c r="AO85" s="538"/>
      <c r="AP85" s="538"/>
      <c r="AQ85" s="538"/>
      <c r="AR85" s="538"/>
      <c r="AS85" s="538"/>
      <c r="AT85" s="538"/>
      <c r="AU85" s="538"/>
      <c r="AV85" s="538"/>
      <c r="AW85" s="538"/>
      <c r="AX85" s="538"/>
      <c r="AY85" s="538"/>
      <c r="AZ85" s="538"/>
    </row>
    <row r="86" spans="1:52" s="471" customFormat="1">
      <c r="A86" s="465" t="s">
        <v>277</v>
      </c>
      <c r="B86" s="452" t="str">
        <f>VLOOKUP(A86,★新聞!$C$4:$D$12,2,FALSE)</f>
        <v>G</v>
      </c>
      <c r="C86" s="465" t="s">
        <v>1358</v>
      </c>
      <c r="D86" s="452" t="str">
        <f>VLOOKUP(C86,★サイズ表記!$D$4:$E$55,2,FALSE)</f>
        <v>4001</v>
      </c>
      <c r="E86" s="484" t="str">
        <f t="shared" si="9"/>
        <v>G4001</v>
      </c>
      <c r="F86" s="484" t="str">
        <f t="shared" si="10"/>
        <v>朝日/タブ6P</v>
      </c>
      <c r="G86" s="483"/>
      <c r="I86" s="471" t="str">
        <f t="shared" si="8"/>
        <v>G4001</v>
      </c>
      <c r="J86" s="471" t="str">
        <f t="shared" si="11"/>
        <v>朝日/タブ6P</v>
      </c>
      <c r="M86" s="538"/>
      <c r="N86" s="533" t="s">
        <v>1324</v>
      </c>
      <c r="O86" s="533" t="s">
        <v>1325</v>
      </c>
      <c r="P86" s="534" t="str">
        <f t="shared" si="12"/>
        <v>4001</v>
      </c>
      <c r="Q86" s="534" t="str">
        <f t="shared" si="13"/>
        <v>タブ6P</v>
      </c>
      <c r="R86" s="538" t="str">
        <f t="shared" si="14"/>
        <v>40</v>
      </c>
      <c r="S86" s="538" t="str">
        <f t="shared" si="15"/>
        <v>01</v>
      </c>
      <c r="T86" s="471" t="s">
        <v>1136</v>
      </c>
      <c r="U86" s="538"/>
      <c r="V86" s="538"/>
      <c r="W86" s="471">
        <v>0</v>
      </c>
      <c r="X86" s="540"/>
      <c r="Y86" s="471">
        <v>0</v>
      </c>
      <c r="Z86" s="538"/>
      <c r="AA86" s="538"/>
      <c r="AB86" s="538"/>
      <c r="AC86" s="538"/>
      <c r="AD86" s="538"/>
      <c r="AE86" s="538"/>
      <c r="AF86" s="538"/>
      <c r="AG86" s="538"/>
      <c r="AH86" s="538"/>
      <c r="AI86" s="538"/>
      <c r="AJ86" s="538"/>
      <c r="AK86" s="538"/>
      <c r="AL86" s="538"/>
      <c r="AM86" s="538"/>
      <c r="AN86" s="538"/>
      <c r="AO86" s="538"/>
      <c r="AP86" s="538"/>
      <c r="AQ86" s="538"/>
      <c r="AR86" s="538"/>
      <c r="AS86" s="538"/>
      <c r="AT86" s="538"/>
      <c r="AU86" s="538"/>
      <c r="AV86" s="538"/>
      <c r="AW86" s="538"/>
      <c r="AX86" s="538"/>
      <c r="AY86" s="538"/>
      <c r="AZ86" s="538"/>
    </row>
    <row r="87" spans="1:52" s="471" customFormat="1">
      <c r="A87" s="465" t="s">
        <v>277</v>
      </c>
      <c r="B87" s="452" t="str">
        <f>VLOOKUP(A87,★新聞!$C$4:$D$12,2,FALSE)</f>
        <v>G</v>
      </c>
      <c r="C87" s="465" t="s">
        <v>1359</v>
      </c>
      <c r="D87" s="452" t="str">
        <f>VLOOKUP(C87,★サイズ表記!$D$4:$E$55,2,FALSE)</f>
        <v>4002</v>
      </c>
      <c r="E87" s="484" t="str">
        <f t="shared" si="9"/>
        <v>G4002</v>
      </c>
      <c r="F87" s="484" t="str">
        <f t="shared" si="10"/>
        <v>朝日/タブ8P</v>
      </c>
      <c r="G87" s="483"/>
      <c r="I87" s="471" t="str">
        <f t="shared" si="8"/>
        <v>G4002</v>
      </c>
      <c r="J87" s="471" t="str">
        <f t="shared" si="11"/>
        <v>朝日/タブ8P</v>
      </c>
      <c r="M87" s="538"/>
      <c r="N87" s="533" t="s">
        <v>1324</v>
      </c>
      <c r="O87" s="533" t="s">
        <v>1325</v>
      </c>
      <c r="P87" s="534" t="str">
        <f t="shared" si="12"/>
        <v>4002</v>
      </c>
      <c r="Q87" s="534" t="str">
        <f t="shared" si="13"/>
        <v>タブ8P</v>
      </c>
      <c r="R87" s="538" t="str">
        <f t="shared" si="14"/>
        <v>40</v>
      </c>
      <c r="S87" s="538" t="str">
        <f t="shared" si="15"/>
        <v>02</v>
      </c>
      <c r="T87" s="471" t="s">
        <v>1136</v>
      </c>
      <c r="U87" s="538"/>
      <c r="V87" s="538"/>
      <c r="W87" s="471">
        <v>0</v>
      </c>
      <c r="X87" s="540"/>
      <c r="Y87" s="471">
        <v>0</v>
      </c>
      <c r="Z87" s="538"/>
      <c r="AA87" s="538"/>
      <c r="AB87" s="538"/>
      <c r="AC87" s="538"/>
      <c r="AD87" s="538"/>
      <c r="AE87" s="538"/>
      <c r="AF87" s="538"/>
      <c r="AG87" s="538"/>
      <c r="AH87" s="538"/>
      <c r="AI87" s="538"/>
      <c r="AJ87" s="538"/>
      <c r="AK87" s="538"/>
      <c r="AL87" s="538"/>
      <c r="AM87" s="538"/>
      <c r="AN87" s="538"/>
      <c r="AO87" s="538"/>
      <c r="AP87" s="538"/>
      <c r="AQ87" s="538"/>
      <c r="AR87" s="538"/>
      <c r="AS87" s="538"/>
      <c r="AT87" s="538"/>
      <c r="AU87" s="538"/>
      <c r="AV87" s="538"/>
      <c r="AW87" s="538"/>
      <c r="AX87" s="538"/>
      <c r="AY87" s="538"/>
      <c r="AZ87" s="538"/>
    </row>
    <row r="88" spans="1:52" s="471" customFormat="1">
      <c r="A88" s="465" t="s">
        <v>277</v>
      </c>
      <c r="B88" s="452" t="str">
        <f>VLOOKUP(A88,★新聞!$C$4:$D$12,2,FALSE)</f>
        <v>G</v>
      </c>
      <c r="C88" s="465" t="s">
        <v>1360</v>
      </c>
      <c r="D88" s="452" t="str">
        <f>VLOOKUP(C88,★サイズ表記!$D$4:$E$55,2,FALSE)</f>
        <v>4003</v>
      </c>
      <c r="E88" s="484" t="str">
        <f t="shared" si="9"/>
        <v>G4003</v>
      </c>
      <c r="F88" s="484" t="str">
        <f t="shared" si="10"/>
        <v>朝日/タブ8Pホチキス止め</v>
      </c>
      <c r="G88" s="483"/>
      <c r="I88" s="471" t="str">
        <f t="shared" si="8"/>
        <v>G4003</v>
      </c>
      <c r="J88" s="471" t="str">
        <f t="shared" si="11"/>
        <v>朝日/タブ8Pホチキス止め</v>
      </c>
      <c r="M88" s="538"/>
      <c r="N88" s="533" t="s">
        <v>1324</v>
      </c>
      <c r="O88" s="533" t="s">
        <v>1325</v>
      </c>
      <c r="P88" s="534" t="str">
        <f t="shared" si="12"/>
        <v>4003</v>
      </c>
      <c r="Q88" s="534" t="str">
        <f t="shared" si="13"/>
        <v>タブ8Pホチキス止め</v>
      </c>
      <c r="R88" s="538" t="str">
        <f t="shared" si="14"/>
        <v>40</v>
      </c>
      <c r="S88" s="538" t="str">
        <f t="shared" si="15"/>
        <v>03</v>
      </c>
      <c r="T88" s="471" t="s">
        <v>1136</v>
      </c>
      <c r="U88" s="538"/>
      <c r="V88" s="538"/>
      <c r="W88" s="471">
        <v>0</v>
      </c>
      <c r="X88" s="540"/>
      <c r="Y88" s="471">
        <v>0</v>
      </c>
      <c r="Z88" s="538"/>
      <c r="AA88" s="538"/>
      <c r="AB88" s="538"/>
      <c r="AC88" s="538"/>
      <c r="AD88" s="538"/>
      <c r="AE88" s="538"/>
      <c r="AF88" s="538"/>
      <c r="AG88" s="538"/>
      <c r="AH88" s="538"/>
      <c r="AI88" s="538"/>
      <c r="AJ88" s="538"/>
      <c r="AK88" s="538"/>
      <c r="AL88" s="538"/>
      <c r="AM88" s="538"/>
      <c r="AN88" s="538"/>
      <c r="AO88" s="538"/>
      <c r="AP88" s="538"/>
      <c r="AQ88" s="538"/>
      <c r="AR88" s="538"/>
      <c r="AS88" s="538"/>
      <c r="AT88" s="538"/>
      <c r="AU88" s="538"/>
      <c r="AV88" s="538"/>
      <c r="AW88" s="538"/>
      <c r="AX88" s="538"/>
      <c r="AY88" s="538"/>
      <c r="AZ88" s="538"/>
    </row>
    <row r="89" spans="1:52" s="471" customFormat="1">
      <c r="A89" s="465" t="s">
        <v>277</v>
      </c>
      <c r="B89" s="452" t="str">
        <f>VLOOKUP(A89,★新聞!$C$4:$D$12,2,FALSE)</f>
        <v>G</v>
      </c>
      <c r="C89" s="465" t="s">
        <v>1350</v>
      </c>
      <c r="D89" s="452" t="str">
        <f>VLOOKUP(C89,★サイズ表記!$D$4:$E$55,2,FALSE)</f>
        <v>4004</v>
      </c>
      <c r="E89" s="484" t="str">
        <f t="shared" si="9"/>
        <v>G4004</v>
      </c>
      <c r="F89" s="484" t="str">
        <f t="shared" si="10"/>
        <v>朝日/タブ10P</v>
      </c>
      <c r="G89" s="483"/>
      <c r="I89" s="471" t="str">
        <f t="shared" si="8"/>
        <v>G4004</v>
      </c>
      <c r="J89" s="471" t="str">
        <f t="shared" si="11"/>
        <v>朝日/タブ10P</v>
      </c>
      <c r="M89" s="538"/>
      <c r="N89" s="533" t="s">
        <v>1324</v>
      </c>
      <c r="O89" s="533" t="s">
        <v>1325</v>
      </c>
      <c r="P89" s="534" t="str">
        <f t="shared" si="12"/>
        <v>4004</v>
      </c>
      <c r="Q89" s="534" t="str">
        <f t="shared" si="13"/>
        <v>タブ10P</v>
      </c>
      <c r="R89" s="538" t="str">
        <f t="shared" si="14"/>
        <v>40</v>
      </c>
      <c r="S89" s="538" t="str">
        <f t="shared" si="15"/>
        <v>04</v>
      </c>
      <c r="T89" s="471" t="s">
        <v>1136</v>
      </c>
      <c r="U89" s="538"/>
      <c r="V89" s="538"/>
      <c r="W89" s="471">
        <v>0</v>
      </c>
      <c r="X89" s="540"/>
      <c r="Y89" s="471">
        <v>0</v>
      </c>
      <c r="Z89" s="538"/>
      <c r="AA89" s="538"/>
      <c r="AB89" s="538"/>
      <c r="AC89" s="538"/>
      <c r="AD89" s="538"/>
      <c r="AE89" s="538"/>
      <c r="AF89" s="538"/>
      <c r="AG89" s="538"/>
      <c r="AH89" s="538"/>
      <c r="AI89" s="538"/>
      <c r="AJ89" s="538"/>
      <c r="AK89" s="538"/>
      <c r="AL89" s="538"/>
      <c r="AM89" s="538"/>
      <c r="AN89" s="538"/>
      <c r="AO89" s="538"/>
      <c r="AP89" s="538"/>
      <c r="AQ89" s="538"/>
      <c r="AR89" s="538"/>
      <c r="AS89" s="538"/>
      <c r="AT89" s="538"/>
      <c r="AU89" s="538"/>
      <c r="AV89" s="538"/>
      <c r="AW89" s="538"/>
      <c r="AX89" s="538"/>
      <c r="AY89" s="538"/>
      <c r="AZ89" s="538"/>
    </row>
    <row r="90" spans="1:52" s="471" customFormat="1">
      <c r="A90" s="465" t="s">
        <v>277</v>
      </c>
      <c r="B90" s="452" t="str">
        <f>VLOOKUP(A90,★新聞!$C$4:$D$12,2,FALSE)</f>
        <v>G</v>
      </c>
      <c r="C90" s="465" t="s">
        <v>1351</v>
      </c>
      <c r="D90" s="452" t="str">
        <f>VLOOKUP(C90,★サイズ表記!$D$4:$E$55,2,FALSE)</f>
        <v>4005</v>
      </c>
      <c r="E90" s="484" t="str">
        <f t="shared" si="9"/>
        <v>G4005</v>
      </c>
      <c r="F90" s="484" t="str">
        <f t="shared" si="10"/>
        <v>朝日/タブ12P</v>
      </c>
      <c r="G90" s="483"/>
      <c r="I90" s="471" t="str">
        <f t="shared" si="8"/>
        <v>G4005</v>
      </c>
      <c r="J90" s="471" t="str">
        <f t="shared" si="11"/>
        <v>朝日/タブ12P</v>
      </c>
      <c r="M90" s="538"/>
      <c r="N90" s="533" t="s">
        <v>1324</v>
      </c>
      <c r="O90" s="533" t="s">
        <v>1325</v>
      </c>
      <c r="P90" s="534" t="str">
        <f t="shared" si="12"/>
        <v>4005</v>
      </c>
      <c r="Q90" s="534" t="str">
        <f t="shared" si="13"/>
        <v>タブ12P</v>
      </c>
      <c r="R90" s="538" t="str">
        <f t="shared" si="14"/>
        <v>40</v>
      </c>
      <c r="S90" s="538" t="str">
        <f t="shared" si="15"/>
        <v>05</v>
      </c>
      <c r="T90" s="471" t="s">
        <v>1136</v>
      </c>
      <c r="U90" s="538"/>
      <c r="V90" s="538"/>
      <c r="W90" s="471">
        <v>0</v>
      </c>
      <c r="X90" s="540"/>
      <c r="Y90" s="471">
        <v>0</v>
      </c>
      <c r="Z90" s="538"/>
      <c r="AA90" s="538"/>
      <c r="AB90" s="538"/>
      <c r="AC90" s="538"/>
      <c r="AD90" s="538"/>
      <c r="AE90" s="538"/>
      <c r="AF90" s="538"/>
      <c r="AG90" s="538"/>
      <c r="AH90" s="538"/>
      <c r="AI90" s="538"/>
      <c r="AJ90" s="538"/>
      <c r="AK90" s="538"/>
      <c r="AL90" s="538"/>
      <c r="AM90" s="538"/>
      <c r="AN90" s="538"/>
      <c r="AO90" s="538"/>
      <c r="AP90" s="538"/>
      <c r="AQ90" s="538"/>
      <c r="AR90" s="538"/>
      <c r="AS90" s="538"/>
      <c r="AT90" s="538"/>
      <c r="AU90" s="538"/>
      <c r="AV90" s="538"/>
      <c r="AW90" s="538"/>
      <c r="AX90" s="538"/>
      <c r="AY90" s="538"/>
      <c r="AZ90" s="538"/>
    </row>
    <row r="91" spans="1:52" s="471" customFormat="1">
      <c r="A91" s="465" t="s">
        <v>277</v>
      </c>
      <c r="B91" s="452" t="str">
        <f>VLOOKUP(A91,★新聞!$C$4:$D$12,2,FALSE)</f>
        <v>G</v>
      </c>
      <c r="C91" s="465" t="s">
        <v>1352</v>
      </c>
      <c r="D91" s="452" t="str">
        <f>VLOOKUP(C91,★サイズ表記!$D$4:$E$55,2,FALSE)</f>
        <v>4006</v>
      </c>
      <c r="E91" s="484" t="str">
        <f t="shared" si="9"/>
        <v>G4006</v>
      </c>
      <c r="F91" s="484" t="str">
        <f t="shared" si="10"/>
        <v>朝日/タブ14P</v>
      </c>
      <c r="G91" s="483"/>
      <c r="I91" s="471" t="str">
        <f t="shared" si="8"/>
        <v>G4006</v>
      </c>
      <c r="J91" s="471" t="str">
        <f t="shared" si="11"/>
        <v>朝日/タブ14P</v>
      </c>
      <c r="M91" s="538"/>
      <c r="N91" s="533" t="s">
        <v>1324</v>
      </c>
      <c r="O91" s="533" t="s">
        <v>1325</v>
      </c>
      <c r="P91" s="534" t="str">
        <f t="shared" si="12"/>
        <v>4006</v>
      </c>
      <c r="Q91" s="534" t="str">
        <f t="shared" si="13"/>
        <v>タブ14P</v>
      </c>
      <c r="R91" s="538" t="str">
        <f t="shared" si="14"/>
        <v>40</v>
      </c>
      <c r="S91" s="538" t="str">
        <f t="shared" si="15"/>
        <v>06</v>
      </c>
      <c r="T91" s="471" t="s">
        <v>1136</v>
      </c>
      <c r="U91" s="538"/>
      <c r="V91" s="538"/>
      <c r="W91" s="471">
        <v>0</v>
      </c>
      <c r="X91" s="540"/>
      <c r="Y91" s="471">
        <v>0</v>
      </c>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row>
    <row r="92" spans="1:52" s="471" customFormat="1">
      <c r="A92" s="465" t="s">
        <v>277</v>
      </c>
      <c r="B92" s="452" t="str">
        <f>VLOOKUP(A92,★新聞!$C$4:$D$12,2,FALSE)</f>
        <v>G</v>
      </c>
      <c r="C92" s="465" t="s">
        <v>1353</v>
      </c>
      <c r="D92" s="452" t="str">
        <f>VLOOKUP(C92,★サイズ表記!$D$4:$E$55,2,FALSE)</f>
        <v>4007</v>
      </c>
      <c r="E92" s="484" t="str">
        <f t="shared" si="9"/>
        <v>G4007</v>
      </c>
      <c r="F92" s="484" t="str">
        <f t="shared" si="10"/>
        <v>朝日/タブ16P</v>
      </c>
      <c r="G92" s="483"/>
      <c r="I92" s="471" t="str">
        <f t="shared" si="8"/>
        <v>G4007</v>
      </c>
      <c r="J92" s="471" t="str">
        <f t="shared" si="11"/>
        <v>朝日/タブ16P</v>
      </c>
      <c r="M92" s="538"/>
      <c r="N92" s="533" t="s">
        <v>1324</v>
      </c>
      <c r="O92" s="533" t="s">
        <v>1325</v>
      </c>
      <c r="P92" s="534" t="str">
        <f t="shared" si="12"/>
        <v>4007</v>
      </c>
      <c r="Q92" s="534" t="str">
        <f t="shared" si="13"/>
        <v>タブ16P</v>
      </c>
      <c r="R92" s="538" t="str">
        <f t="shared" si="14"/>
        <v>40</v>
      </c>
      <c r="S92" s="538" t="str">
        <f t="shared" si="15"/>
        <v>07</v>
      </c>
      <c r="T92" s="471" t="s">
        <v>1136</v>
      </c>
      <c r="U92" s="538"/>
      <c r="V92" s="538"/>
      <c r="W92" s="471">
        <v>0</v>
      </c>
      <c r="X92" s="540"/>
      <c r="Y92" s="471">
        <v>0</v>
      </c>
      <c r="Z92" s="538"/>
      <c r="AA92" s="538"/>
      <c r="AB92" s="538"/>
      <c r="AC92" s="538"/>
      <c r="AD92" s="538"/>
      <c r="AE92" s="538"/>
      <c r="AF92" s="538"/>
      <c r="AG92" s="538"/>
      <c r="AH92" s="538"/>
      <c r="AI92" s="538"/>
      <c r="AJ92" s="538"/>
      <c r="AK92" s="538"/>
      <c r="AL92" s="538"/>
      <c r="AM92" s="538"/>
      <c r="AN92" s="538"/>
      <c r="AO92" s="538"/>
      <c r="AP92" s="538"/>
      <c r="AQ92" s="538"/>
      <c r="AR92" s="538"/>
      <c r="AS92" s="538"/>
      <c r="AT92" s="538"/>
      <c r="AU92" s="538"/>
      <c r="AV92" s="538"/>
      <c r="AW92" s="538"/>
      <c r="AX92" s="538"/>
      <c r="AY92" s="538"/>
      <c r="AZ92" s="538"/>
    </row>
    <row r="93" spans="1:52" s="471" customFormat="1">
      <c r="A93" s="465" t="s">
        <v>277</v>
      </c>
      <c r="B93" s="452" t="str">
        <f>VLOOKUP(A93,★新聞!$C$4:$D$12,2,FALSE)</f>
        <v>G</v>
      </c>
      <c r="C93" s="465" t="s">
        <v>1355</v>
      </c>
      <c r="D93" s="452" t="str">
        <f>VLOOKUP(C93,★サイズ表記!$D$4:$E$55,2,FALSE)</f>
        <v>4008</v>
      </c>
      <c r="E93" s="484" t="str">
        <f t="shared" si="9"/>
        <v>G4008</v>
      </c>
      <c r="F93" s="484" t="str">
        <f t="shared" si="10"/>
        <v>朝日/タブ18P</v>
      </c>
      <c r="G93" s="483"/>
      <c r="I93" s="471" t="str">
        <f t="shared" si="8"/>
        <v>G4008</v>
      </c>
      <c r="J93" s="471" t="str">
        <f t="shared" si="11"/>
        <v>朝日/タブ18P</v>
      </c>
      <c r="M93" s="538"/>
      <c r="N93" s="533" t="s">
        <v>1324</v>
      </c>
      <c r="O93" s="533" t="s">
        <v>1325</v>
      </c>
      <c r="P93" s="534" t="str">
        <f t="shared" si="12"/>
        <v>4008</v>
      </c>
      <c r="Q93" s="534" t="str">
        <f t="shared" si="13"/>
        <v>タブ18P</v>
      </c>
      <c r="R93" s="538" t="str">
        <f t="shared" si="14"/>
        <v>40</v>
      </c>
      <c r="S93" s="538" t="str">
        <f t="shared" si="15"/>
        <v>08</v>
      </c>
      <c r="T93" s="471" t="s">
        <v>1136</v>
      </c>
      <c r="U93" s="538"/>
      <c r="V93" s="538"/>
      <c r="W93" s="471">
        <v>0</v>
      </c>
      <c r="X93" s="540"/>
      <c r="Y93" s="471">
        <v>0</v>
      </c>
      <c r="Z93" s="538"/>
      <c r="AA93" s="538"/>
      <c r="AB93" s="538"/>
      <c r="AC93" s="538"/>
      <c r="AD93" s="538"/>
      <c r="AE93" s="538"/>
      <c r="AF93" s="538"/>
      <c r="AG93" s="538"/>
      <c r="AH93" s="538"/>
      <c r="AI93" s="538"/>
      <c r="AJ93" s="538"/>
      <c r="AK93" s="538"/>
      <c r="AL93" s="538"/>
      <c r="AM93" s="538"/>
      <c r="AN93" s="538"/>
      <c r="AO93" s="538"/>
      <c r="AP93" s="538"/>
      <c r="AQ93" s="538"/>
      <c r="AR93" s="538"/>
      <c r="AS93" s="538"/>
      <c r="AT93" s="538"/>
      <c r="AU93" s="538"/>
      <c r="AV93" s="538"/>
      <c r="AW93" s="538"/>
      <c r="AX93" s="538"/>
      <c r="AY93" s="538"/>
      <c r="AZ93" s="538"/>
    </row>
    <row r="94" spans="1:52" s="471" customFormat="1">
      <c r="A94" s="465" t="s">
        <v>277</v>
      </c>
      <c r="B94" s="452" t="str">
        <f>VLOOKUP(A94,★新聞!$C$4:$D$12,2,FALSE)</f>
        <v>G</v>
      </c>
      <c r="C94" s="465" t="s">
        <v>1356</v>
      </c>
      <c r="D94" s="452" t="str">
        <f>VLOOKUP(C94,★サイズ表記!$D$4:$E$55,2,FALSE)</f>
        <v>4009</v>
      </c>
      <c r="E94" s="484" t="str">
        <f t="shared" si="9"/>
        <v>G4009</v>
      </c>
      <c r="F94" s="484" t="str">
        <f t="shared" si="10"/>
        <v>朝日/タブ20P</v>
      </c>
      <c r="G94" s="483"/>
      <c r="I94" s="471" t="str">
        <f t="shared" si="8"/>
        <v>G4009</v>
      </c>
      <c r="J94" s="471" t="str">
        <f t="shared" si="11"/>
        <v>朝日/タブ20P</v>
      </c>
      <c r="M94" s="538"/>
      <c r="N94" s="533" t="s">
        <v>1324</v>
      </c>
      <c r="O94" s="533" t="s">
        <v>1325</v>
      </c>
      <c r="P94" s="534" t="str">
        <f t="shared" si="12"/>
        <v>4009</v>
      </c>
      <c r="Q94" s="534" t="str">
        <f t="shared" si="13"/>
        <v>タブ20P</v>
      </c>
      <c r="R94" s="538" t="str">
        <f t="shared" si="14"/>
        <v>40</v>
      </c>
      <c r="S94" s="538" t="str">
        <f t="shared" si="15"/>
        <v>09</v>
      </c>
      <c r="T94" s="471" t="s">
        <v>1136</v>
      </c>
      <c r="U94" s="538"/>
      <c r="V94" s="538"/>
      <c r="W94" s="471">
        <v>0</v>
      </c>
      <c r="X94" s="540"/>
      <c r="Y94" s="471">
        <v>0</v>
      </c>
      <c r="Z94" s="538"/>
      <c r="AA94" s="538"/>
      <c r="AB94" s="538"/>
      <c r="AC94" s="538"/>
      <c r="AD94" s="538"/>
      <c r="AE94" s="538"/>
      <c r="AF94" s="538"/>
      <c r="AG94" s="538"/>
      <c r="AH94" s="538"/>
      <c r="AI94" s="538"/>
      <c r="AJ94" s="538"/>
      <c r="AK94" s="538"/>
      <c r="AL94" s="538"/>
      <c r="AM94" s="538"/>
      <c r="AN94" s="538"/>
      <c r="AO94" s="538"/>
      <c r="AP94" s="538"/>
      <c r="AQ94" s="538"/>
      <c r="AR94" s="538"/>
      <c r="AS94" s="538"/>
      <c r="AT94" s="538"/>
      <c r="AU94" s="538"/>
      <c r="AV94" s="538"/>
      <c r="AW94" s="538"/>
      <c r="AX94" s="538"/>
      <c r="AY94" s="538"/>
      <c r="AZ94" s="538"/>
    </row>
    <row r="95" spans="1:52" s="471" customFormat="1">
      <c r="A95" s="465" t="s">
        <v>277</v>
      </c>
      <c r="B95" s="452" t="str">
        <f>VLOOKUP(A95,★新聞!$C$4:$D$12,2,FALSE)</f>
        <v>G</v>
      </c>
      <c r="C95" s="465" t="s">
        <v>1354</v>
      </c>
      <c r="D95" s="452" t="str">
        <f>VLOOKUP(C95,★サイズ表記!$D$4:$E$55,2,FALSE)</f>
        <v>4010</v>
      </c>
      <c r="E95" s="484" t="str">
        <f t="shared" si="9"/>
        <v>G4010</v>
      </c>
      <c r="F95" s="484" t="str">
        <f t="shared" si="10"/>
        <v>朝日/タブ16Pホチキス止め</v>
      </c>
      <c r="G95" s="483"/>
      <c r="I95" s="471" t="str">
        <f t="shared" si="8"/>
        <v>G4010</v>
      </c>
      <c r="J95" s="471" t="str">
        <f t="shared" si="11"/>
        <v>朝日/タブ16Pホチキス止め</v>
      </c>
      <c r="M95" s="538"/>
      <c r="N95" s="533" t="s">
        <v>1324</v>
      </c>
      <c r="O95" s="533" t="s">
        <v>1325</v>
      </c>
      <c r="P95" s="534" t="str">
        <f t="shared" si="12"/>
        <v>4010</v>
      </c>
      <c r="Q95" s="534" t="str">
        <f t="shared" si="13"/>
        <v>タブ16Pホチキス止め</v>
      </c>
      <c r="R95" s="538" t="str">
        <f t="shared" si="14"/>
        <v>40</v>
      </c>
      <c r="S95" s="538" t="str">
        <f t="shared" si="15"/>
        <v>10</v>
      </c>
      <c r="T95" s="471" t="s">
        <v>1136</v>
      </c>
      <c r="U95" s="538"/>
      <c r="V95" s="538"/>
      <c r="W95" s="471">
        <v>0</v>
      </c>
      <c r="X95" s="540"/>
      <c r="Y95" s="471">
        <v>0</v>
      </c>
      <c r="Z95" s="538"/>
      <c r="AA95" s="538"/>
      <c r="AB95" s="538"/>
      <c r="AC95" s="538"/>
      <c r="AD95" s="538"/>
      <c r="AE95" s="538"/>
      <c r="AF95" s="538"/>
      <c r="AG95" s="538"/>
      <c r="AH95" s="538"/>
      <c r="AI95" s="538"/>
      <c r="AJ95" s="538"/>
      <c r="AK95" s="538"/>
      <c r="AL95" s="538"/>
      <c r="AM95" s="538"/>
      <c r="AN95" s="538"/>
      <c r="AO95" s="538"/>
      <c r="AP95" s="538"/>
      <c r="AQ95" s="538"/>
      <c r="AR95" s="538"/>
      <c r="AS95" s="538"/>
      <c r="AT95" s="538"/>
      <c r="AU95" s="538"/>
      <c r="AV95" s="538"/>
      <c r="AW95" s="538"/>
      <c r="AX95" s="538"/>
      <c r="AY95" s="538"/>
      <c r="AZ95" s="538"/>
    </row>
    <row r="96" spans="1:52" s="471" customFormat="1">
      <c r="A96" s="465" t="s">
        <v>277</v>
      </c>
      <c r="B96" s="452" t="str">
        <f>VLOOKUP(A96,★新聞!$C$4:$D$12,2,FALSE)</f>
        <v>G</v>
      </c>
      <c r="C96" s="465" t="s">
        <v>1357</v>
      </c>
      <c r="D96" s="452" t="str">
        <f>VLOOKUP(C96,★サイズ表記!$D$4:$E$55,2,FALSE)</f>
        <v>4011</v>
      </c>
      <c r="E96" s="484" t="str">
        <f t="shared" si="9"/>
        <v>G4011</v>
      </c>
      <c r="F96" s="484" t="str">
        <f t="shared" si="10"/>
        <v>朝日/タブ40P</v>
      </c>
      <c r="G96" s="483"/>
      <c r="I96" s="471" t="str">
        <f t="shared" si="8"/>
        <v>G4011</v>
      </c>
      <c r="J96" s="471" t="str">
        <f t="shared" si="11"/>
        <v>朝日/タブ40P</v>
      </c>
      <c r="M96" s="538"/>
      <c r="N96" s="533" t="s">
        <v>1324</v>
      </c>
      <c r="O96" s="533" t="s">
        <v>1325</v>
      </c>
      <c r="P96" s="534" t="str">
        <f t="shared" si="12"/>
        <v>4011</v>
      </c>
      <c r="Q96" s="534" t="str">
        <f t="shared" si="13"/>
        <v>タブ40P</v>
      </c>
      <c r="R96" s="538" t="str">
        <f t="shared" si="14"/>
        <v>40</v>
      </c>
      <c r="S96" s="538" t="str">
        <f t="shared" si="15"/>
        <v>11</v>
      </c>
      <c r="T96" s="471" t="s">
        <v>1136</v>
      </c>
      <c r="U96" s="538"/>
      <c r="V96" s="538"/>
      <c r="W96" s="471">
        <v>0</v>
      </c>
      <c r="X96" s="540"/>
      <c r="Y96" s="471">
        <v>0</v>
      </c>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538"/>
      <c r="AY96" s="538"/>
      <c r="AZ96" s="538"/>
    </row>
    <row r="97" spans="1:52" s="471" customFormat="1">
      <c r="A97" s="465" t="s">
        <v>277</v>
      </c>
      <c r="B97" s="452" t="str">
        <f>VLOOKUP(A97,★新聞!$C$4:$D$12,2,FALSE)</f>
        <v>G</v>
      </c>
      <c r="C97" s="465" t="s">
        <v>975</v>
      </c>
      <c r="D97" s="452" t="str">
        <f>VLOOKUP(C97,★サイズ表記!$D$4:$E$55,2,FALSE)</f>
        <v>9001</v>
      </c>
      <c r="E97" s="484" t="str">
        <f t="shared" si="9"/>
        <v>G9001</v>
      </c>
      <c r="F97" s="484" t="str">
        <f t="shared" si="10"/>
        <v>朝日/うさぎの耳</v>
      </c>
      <c r="G97" s="483"/>
      <c r="I97" s="471" t="str">
        <f t="shared" si="8"/>
        <v>G9001</v>
      </c>
      <c r="J97" s="471" t="str">
        <f t="shared" si="11"/>
        <v>朝日/うさぎの耳</v>
      </c>
      <c r="M97" s="538"/>
      <c r="N97" s="533" t="s">
        <v>1324</v>
      </c>
      <c r="O97" s="533" t="s">
        <v>1325</v>
      </c>
      <c r="P97" s="534" t="str">
        <f t="shared" si="12"/>
        <v>9001</v>
      </c>
      <c r="Q97" s="534" t="str">
        <f t="shared" si="13"/>
        <v>うさぎの耳</v>
      </c>
      <c r="R97" s="538" t="str">
        <f t="shared" si="14"/>
        <v>90</v>
      </c>
      <c r="S97" s="538" t="str">
        <f t="shared" si="15"/>
        <v>01</v>
      </c>
      <c r="T97" s="471" t="s">
        <v>1136</v>
      </c>
      <c r="U97" s="538"/>
      <c r="V97" s="538"/>
      <c r="W97" s="471">
        <v>0</v>
      </c>
      <c r="X97" s="540"/>
      <c r="Y97" s="471">
        <v>0</v>
      </c>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8"/>
    </row>
    <row r="98" spans="1:52" s="471" customFormat="1">
      <c r="A98" s="465" t="s">
        <v>277</v>
      </c>
      <c r="B98" s="452" t="str">
        <f>VLOOKUP(A98,★新聞!$C$4:$D$12,2,FALSE)</f>
        <v>G</v>
      </c>
      <c r="C98" s="465" t="s">
        <v>976</v>
      </c>
      <c r="D98" s="452" t="str">
        <f>VLOOKUP(C98,★サイズ表記!$D$4:$E$55,2,FALSE)</f>
        <v>9002</v>
      </c>
      <c r="E98" s="484" t="str">
        <f t="shared" si="9"/>
        <v>G9002</v>
      </c>
      <c r="F98" s="484" t="str">
        <f t="shared" si="10"/>
        <v>朝日/ユーキャン（題字）</v>
      </c>
      <c r="G98" s="483"/>
      <c r="I98" s="471" t="str">
        <f t="shared" si="8"/>
        <v>G9002</v>
      </c>
      <c r="J98" s="471" t="str">
        <f t="shared" si="11"/>
        <v>朝日/ユーキャン（題字）</v>
      </c>
      <c r="M98" s="538"/>
      <c r="N98" s="533" t="s">
        <v>1324</v>
      </c>
      <c r="O98" s="533" t="s">
        <v>1325</v>
      </c>
      <c r="P98" s="534" t="str">
        <f t="shared" si="12"/>
        <v>9002</v>
      </c>
      <c r="Q98" s="534" t="str">
        <f t="shared" si="13"/>
        <v>ユーキャン（題字）</v>
      </c>
      <c r="R98" s="538" t="str">
        <f t="shared" si="14"/>
        <v>90</v>
      </c>
      <c r="S98" s="538" t="str">
        <f t="shared" si="15"/>
        <v>02</v>
      </c>
      <c r="T98" s="471" t="s">
        <v>1136</v>
      </c>
      <c r="U98" s="538"/>
      <c r="V98" s="538"/>
      <c r="W98" s="471">
        <v>0</v>
      </c>
      <c r="X98" s="540"/>
      <c r="Y98" s="471">
        <v>0</v>
      </c>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8"/>
    </row>
    <row r="99" spans="1:52" s="471" customFormat="1">
      <c r="A99" s="465" t="s">
        <v>277</v>
      </c>
      <c r="B99" s="452" t="str">
        <f>VLOOKUP(A99,★新聞!$C$4:$D$12,2,FALSE)</f>
        <v>G</v>
      </c>
      <c r="C99" s="465" t="s">
        <v>977</v>
      </c>
      <c r="D99" s="452" t="str">
        <f>VLOOKUP(C99,★サイズ表記!$D$4:$E$55,2,FALSE)</f>
        <v>9003</v>
      </c>
      <c r="E99" s="484" t="str">
        <f t="shared" si="9"/>
        <v>G9003</v>
      </c>
      <c r="F99" s="484" t="str">
        <f t="shared" si="10"/>
        <v>朝日/横長B3</v>
      </c>
      <c r="G99" s="483"/>
      <c r="I99" s="471" t="str">
        <f t="shared" si="8"/>
        <v>G9003</v>
      </c>
      <c r="J99" s="471" t="str">
        <f t="shared" si="11"/>
        <v>朝日/横長B3</v>
      </c>
      <c r="M99" s="538"/>
      <c r="N99" s="533" t="s">
        <v>1324</v>
      </c>
      <c r="O99" s="533" t="s">
        <v>1325</v>
      </c>
      <c r="P99" s="534" t="str">
        <f t="shared" si="12"/>
        <v>9003</v>
      </c>
      <c r="Q99" s="534" t="str">
        <f t="shared" si="13"/>
        <v>横長B3</v>
      </c>
      <c r="R99" s="538" t="str">
        <f t="shared" si="14"/>
        <v>90</v>
      </c>
      <c r="S99" s="538" t="str">
        <f t="shared" si="15"/>
        <v>03</v>
      </c>
      <c r="T99" s="471" t="s">
        <v>1136</v>
      </c>
      <c r="U99" s="538"/>
      <c r="V99" s="538"/>
      <c r="W99" s="471">
        <v>0</v>
      </c>
      <c r="X99" s="540"/>
      <c r="Y99" s="471">
        <v>0</v>
      </c>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8"/>
      <c r="AY99" s="538"/>
      <c r="AZ99" s="538"/>
    </row>
    <row r="100" spans="1:52" s="471" customFormat="1">
      <c r="A100" s="465" t="s">
        <v>277</v>
      </c>
      <c r="B100" s="452" t="str">
        <f>VLOOKUP(A100,★新聞!$C$4:$D$12,2,FALSE)</f>
        <v>G</v>
      </c>
      <c r="C100" s="465" t="s">
        <v>978</v>
      </c>
      <c r="D100" s="452" t="str">
        <f>VLOOKUP(C100,★サイズ表記!$D$4:$E$55,2,FALSE)</f>
        <v>9004</v>
      </c>
      <c r="E100" s="484" t="str">
        <f t="shared" si="9"/>
        <v>G9004</v>
      </c>
      <c r="F100" s="484" t="str">
        <f t="shared" si="10"/>
        <v>朝日/AD-BAG</v>
      </c>
      <c r="G100" s="483"/>
      <c r="I100" s="471" t="str">
        <f t="shared" si="8"/>
        <v>G9004</v>
      </c>
      <c r="J100" s="471" t="str">
        <f t="shared" si="11"/>
        <v>朝日/AD-BAG</v>
      </c>
      <c r="M100" s="538"/>
      <c r="N100" s="533" t="s">
        <v>1324</v>
      </c>
      <c r="O100" s="533" t="s">
        <v>1325</v>
      </c>
      <c r="P100" s="534" t="str">
        <f t="shared" si="12"/>
        <v>9004</v>
      </c>
      <c r="Q100" s="534" t="str">
        <f t="shared" si="13"/>
        <v>AD-BAG</v>
      </c>
      <c r="R100" s="538" t="str">
        <f t="shared" si="14"/>
        <v>90</v>
      </c>
      <c r="S100" s="538" t="str">
        <f t="shared" si="15"/>
        <v>04</v>
      </c>
      <c r="T100" s="471" t="s">
        <v>1136</v>
      </c>
      <c r="U100" s="538"/>
      <c r="V100" s="538"/>
      <c r="W100" s="471">
        <v>0</v>
      </c>
      <c r="X100" s="540"/>
      <c r="Y100" s="471">
        <v>0</v>
      </c>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row>
    <row r="101" spans="1:52" s="471" customFormat="1">
      <c r="A101" s="465" t="s">
        <v>277</v>
      </c>
      <c r="B101" s="452" t="str">
        <f>VLOOKUP(A101,★新聞!$C$4:$D$12,2,FALSE)</f>
        <v>G</v>
      </c>
      <c r="C101" s="465" t="s">
        <v>979</v>
      </c>
      <c r="D101" s="452" t="str">
        <f>VLOOKUP(C101,★サイズ表記!$D$4:$E$55,2,FALSE)</f>
        <v>9005</v>
      </c>
      <c r="E101" s="484" t="str">
        <f t="shared" si="9"/>
        <v>G9005</v>
      </c>
      <c r="F101" s="484" t="str">
        <f t="shared" si="10"/>
        <v>朝日/封筒</v>
      </c>
      <c r="G101" s="483"/>
      <c r="I101" s="471" t="str">
        <f t="shared" si="8"/>
        <v>G9005</v>
      </c>
      <c r="J101" s="471" t="str">
        <f t="shared" si="11"/>
        <v>朝日/封筒</v>
      </c>
      <c r="M101" s="538"/>
      <c r="N101" s="533" t="s">
        <v>1324</v>
      </c>
      <c r="O101" s="533" t="s">
        <v>1325</v>
      </c>
      <c r="P101" s="534" t="str">
        <f t="shared" si="12"/>
        <v>9005</v>
      </c>
      <c r="Q101" s="534" t="str">
        <f t="shared" si="13"/>
        <v>封筒</v>
      </c>
      <c r="R101" s="538" t="str">
        <f t="shared" si="14"/>
        <v>90</v>
      </c>
      <c r="S101" s="538" t="str">
        <f t="shared" si="15"/>
        <v>05</v>
      </c>
      <c r="T101" s="471" t="s">
        <v>1136</v>
      </c>
      <c r="U101" s="538"/>
      <c r="V101" s="538"/>
      <c r="W101" s="471">
        <v>0</v>
      </c>
      <c r="X101" s="540"/>
      <c r="Y101" s="471">
        <v>0</v>
      </c>
      <c r="Z101" s="538"/>
      <c r="AA101" s="538"/>
      <c r="AB101" s="538"/>
      <c r="AC101" s="538"/>
      <c r="AD101" s="538"/>
      <c r="AE101" s="538"/>
      <c r="AF101" s="538"/>
      <c r="AG101" s="538"/>
      <c r="AH101" s="538"/>
      <c r="AI101" s="538"/>
      <c r="AJ101" s="538"/>
      <c r="AK101" s="538"/>
      <c r="AL101" s="538"/>
      <c r="AM101" s="538"/>
      <c r="AN101" s="538"/>
      <c r="AO101" s="538"/>
      <c r="AP101" s="538"/>
      <c r="AQ101" s="538"/>
      <c r="AR101" s="538"/>
      <c r="AS101" s="538"/>
      <c r="AT101" s="538"/>
      <c r="AU101" s="538"/>
      <c r="AV101" s="538"/>
      <c r="AW101" s="538"/>
      <c r="AX101" s="538"/>
      <c r="AY101" s="538"/>
      <c r="AZ101" s="538"/>
    </row>
    <row r="102" spans="1:52" s="471" customFormat="1">
      <c r="A102" s="465" t="s">
        <v>277</v>
      </c>
      <c r="B102" s="452" t="str">
        <f>VLOOKUP(A102,★新聞!$C$4:$D$12,2,FALSE)</f>
        <v>G</v>
      </c>
      <c r="C102" s="465" t="s">
        <v>980</v>
      </c>
      <c r="D102" s="452" t="str">
        <f>VLOOKUP(C102,★サイズ表記!$D$4:$E$55,2,FALSE)</f>
        <v>9006</v>
      </c>
      <c r="E102" s="484" t="str">
        <f t="shared" si="9"/>
        <v>G9006</v>
      </c>
      <c r="F102" s="484" t="str">
        <f t="shared" si="10"/>
        <v>朝日/圧着</v>
      </c>
      <c r="G102" s="483"/>
      <c r="I102" s="471" t="str">
        <f t="shared" si="8"/>
        <v>G9006</v>
      </c>
      <c r="J102" s="471" t="str">
        <f t="shared" si="11"/>
        <v>朝日/圧着</v>
      </c>
      <c r="M102" s="538"/>
      <c r="N102" s="533" t="s">
        <v>1324</v>
      </c>
      <c r="O102" s="533" t="s">
        <v>1325</v>
      </c>
      <c r="P102" s="534" t="str">
        <f t="shared" si="12"/>
        <v>9006</v>
      </c>
      <c r="Q102" s="534" t="str">
        <f t="shared" si="13"/>
        <v>圧着</v>
      </c>
      <c r="R102" s="538" t="str">
        <f t="shared" si="14"/>
        <v>90</v>
      </c>
      <c r="S102" s="538" t="str">
        <f t="shared" si="15"/>
        <v>06</v>
      </c>
      <c r="T102" s="471" t="s">
        <v>1136</v>
      </c>
      <c r="U102" s="538"/>
      <c r="V102" s="538"/>
      <c r="W102" s="471">
        <v>0</v>
      </c>
      <c r="X102" s="540"/>
      <c r="Y102" s="471">
        <v>0</v>
      </c>
      <c r="Z102" s="538"/>
      <c r="AA102" s="538"/>
      <c r="AB102" s="538"/>
      <c r="AC102" s="538"/>
      <c r="AD102" s="538"/>
      <c r="AE102" s="538"/>
      <c r="AF102" s="538"/>
      <c r="AG102" s="538"/>
      <c r="AH102" s="538"/>
      <c r="AI102" s="538"/>
      <c r="AJ102" s="538"/>
      <c r="AK102" s="538"/>
      <c r="AL102" s="538"/>
      <c r="AM102" s="538"/>
      <c r="AN102" s="538"/>
      <c r="AO102" s="538"/>
      <c r="AP102" s="538"/>
      <c r="AQ102" s="538"/>
      <c r="AR102" s="538"/>
      <c r="AS102" s="538"/>
      <c r="AT102" s="538"/>
      <c r="AU102" s="538"/>
      <c r="AV102" s="538"/>
      <c r="AW102" s="538"/>
      <c r="AX102" s="538"/>
      <c r="AY102" s="538"/>
      <c r="AZ102" s="538"/>
    </row>
    <row r="103" spans="1:52" s="471" customFormat="1">
      <c r="A103" s="465" t="s">
        <v>277</v>
      </c>
      <c r="B103" s="452" t="str">
        <f>VLOOKUP(A103,★新聞!$C$4:$D$12,2,FALSE)</f>
        <v>G</v>
      </c>
      <c r="C103" s="465" t="s">
        <v>981</v>
      </c>
      <c r="D103" s="452" t="str">
        <f>VLOOKUP(C103,★サイズ表記!$D$4:$E$55,2,FALSE)</f>
        <v>9007</v>
      </c>
      <c r="E103" s="484" t="str">
        <f t="shared" si="9"/>
        <v>G9007</v>
      </c>
      <c r="F103" s="484" t="str">
        <f t="shared" si="10"/>
        <v>朝日/圧着厚紙</v>
      </c>
      <c r="G103" s="483"/>
      <c r="I103" s="471" t="str">
        <f t="shared" si="8"/>
        <v>G9007</v>
      </c>
      <c r="J103" s="471" t="str">
        <f t="shared" si="11"/>
        <v>朝日/圧着厚紙</v>
      </c>
      <c r="M103" s="538"/>
      <c r="N103" s="533" t="s">
        <v>1324</v>
      </c>
      <c r="O103" s="533" t="s">
        <v>1325</v>
      </c>
      <c r="P103" s="534" t="str">
        <f t="shared" si="12"/>
        <v>9007</v>
      </c>
      <c r="Q103" s="534" t="str">
        <f t="shared" si="13"/>
        <v>圧着厚紙</v>
      </c>
      <c r="R103" s="538" t="str">
        <f t="shared" si="14"/>
        <v>90</v>
      </c>
      <c r="S103" s="538" t="str">
        <f t="shared" si="15"/>
        <v>07</v>
      </c>
      <c r="T103" s="471" t="s">
        <v>1136</v>
      </c>
      <c r="U103" s="538"/>
      <c r="V103" s="538"/>
      <c r="W103" s="471">
        <v>0</v>
      </c>
      <c r="X103" s="540"/>
      <c r="Y103" s="471">
        <v>0</v>
      </c>
      <c r="Z103" s="538"/>
      <c r="AA103" s="538"/>
      <c r="AB103" s="538"/>
      <c r="AC103" s="538"/>
      <c r="AD103" s="538"/>
      <c r="AE103" s="538"/>
      <c r="AF103" s="538"/>
      <c r="AG103" s="538"/>
      <c r="AH103" s="538"/>
      <c r="AI103" s="538"/>
      <c r="AJ103" s="538"/>
      <c r="AK103" s="538"/>
      <c r="AL103" s="538"/>
      <c r="AM103" s="538"/>
      <c r="AN103" s="538"/>
      <c r="AO103" s="538"/>
      <c r="AP103" s="538"/>
      <c r="AQ103" s="538"/>
      <c r="AR103" s="538"/>
      <c r="AS103" s="538"/>
      <c r="AT103" s="538"/>
      <c r="AU103" s="538"/>
      <c r="AV103" s="538"/>
      <c r="AW103" s="538"/>
      <c r="AX103" s="538"/>
      <c r="AY103" s="538"/>
      <c r="AZ103" s="538"/>
    </row>
    <row r="104" spans="1:52">
      <c r="A104" s="465" t="s">
        <v>278</v>
      </c>
      <c r="B104" s="452" t="str">
        <f>VLOOKUP(A104,★新聞!$C$4:$D$12,2,FALSE)</f>
        <v>J</v>
      </c>
      <c r="C104" s="465" t="s">
        <v>948</v>
      </c>
      <c r="D104" s="452" t="str">
        <f>VLOOKUP(C104,★サイズ表記!$D$4:$E$55,2,FALSE)</f>
        <v>1001</v>
      </c>
      <c r="E104" s="484" t="str">
        <f t="shared" si="9"/>
        <v>J1001</v>
      </c>
      <c r="F104" s="484" t="str">
        <f t="shared" si="10"/>
        <v>読売/B4（折り無し）</v>
      </c>
      <c r="I104" s="471" t="str">
        <f>E104</f>
        <v>J1001</v>
      </c>
      <c r="J104" s="471" t="str">
        <f t="shared" si="11"/>
        <v>読売/B4（折り無し）</v>
      </c>
      <c r="N104" s="533" t="s">
        <v>1324</v>
      </c>
      <c r="O104" s="533" t="s">
        <v>1325</v>
      </c>
      <c r="P104" s="534" t="str">
        <f t="shared" si="12"/>
        <v>1001</v>
      </c>
      <c r="Q104" s="534" t="str">
        <f t="shared" si="13"/>
        <v>B4（折り無し）</v>
      </c>
      <c r="R104" s="538" t="str">
        <f>LEFT($D104,2)</f>
        <v>10</v>
      </c>
      <c r="S104" s="538" t="str">
        <f>RIGHT($D104,2)</f>
        <v>01</v>
      </c>
      <c r="T104" s="471" t="s">
        <v>1136</v>
      </c>
      <c r="W104" s="471">
        <v>0</v>
      </c>
      <c r="X104" s="540"/>
      <c r="Y104" s="471">
        <v>0</v>
      </c>
    </row>
    <row r="105" spans="1:52">
      <c r="A105" s="465" t="s">
        <v>278</v>
      </c>
      <c r="B105" s="452" t="str">
        <f>VLOOKUP(A105,★新聞!$C$4:$D$12,2,FALSE)</f>
        <v>J</v>
      </c>
      <c r="C105" s="465" t="s">
        <v>950</v>
      </c>
      <c r="D105" s="452" t="str">
        <f>VLOOKUP(C105,★サイズ表記!$D$4:$E$55,2,FALSE)</f>
        <v>1002</v>
      </c>
      <c r="E105" s="484" t="str">
        <f t="shared" si="9"/>
        <v>J1002</v>
      </c>
      <c r="F105" s="484" t="str">
        <f t="shared" si="10"/>
        <v>読売/B3（2つ折り）</v>
      </c>
      <c r="I105" s="471" t="str">
        <f t="shared" ref="I105:I152" si="16">E105</f>
        <v>J1002</v>
      </c>
      <c r="J105" s="471" t="str">
        <f t="shared" si="11"/>
        <v>読売/B3（2つ折り）</v>
      </c>
      <c r="N105" s="533" t="s">
        <v>1324</v>
      </c>
      <c r="O105" s="533" t="s">
        <v>1325</v>
      </c>
      <c r="P105" s="534" t="str">
        <f t="shared" si="12"/>
        <v>1002</v>
      </c>
      <c r="Q105" s="534" t="str">
        <f t="shared" si="13"/>
        <v>B3（2つ折り）</v>
      </c>
      <c r="R105" s="538" t="str">
        <f t="shared" ref="R105:R168" si="17">LEFT($D105,2)</f>
        <v>10</v>
      </c>
      <c r="S105" s="538" t="str">
        <f t="shared" ref="S105:S168" si="18">RIGHT($D105,2)</f>
        <v>02</v>
      </c>
      <c r="T105" s="471" t="s">
        <v>1136</v>
      </c>
      <c r="W105" s="471">
        <v>0</v>
      </c>
      <c r="X105" s="540"/>
      <c r="Y105" s="471">
        <v>0</v>
      </c>
    </row>
    <row r="106" spans="1:52">
      <c r="A106" s="465" t="s">
        <v>278</v>
      </c>
      <c r="B106" s="452" t="str">
        <f>VLOOKUP(A106,★新聞!$C$4:$D$12,2,FALSE)</f>
        <v>J</v>
      </c>
      <c r="C106" s="465" t="s">
        <v>951</v>
      </c>
      <c r="D106" s="452" t="str">
        <f>VLOOKUP(C106,★サイズ表記!$D$4:$E$55,2,FALSE)</f>
        <v>1003</v>
      </c>
      <c r="E106" s="484" t="str">
        <f t="shared" si="9"/>
        <v>J1003</v>
      </c>
      <c r="F106" s="484" t="str">
        <f t="shared" si="10"/>
        <v>読売/3つ折り</v>
      </c>
      <c r="I106" s="471" t="str">
        <f t="shared" si="16"/>
        <v>J1003</v>
      </c>
      <c r="J106" s="471" t="str">
        <f t="shared" si="11"/>
        <v>読売/3つ折り</v>
      </c>
      <c r="N106" s="533" t="s">
        <v>1324</v>
      </c>
      <c r="O106" s="533" t="s">
        <v>1325</v>
      </c>
      <c r="P106" s="534" t="str">
        <f t="shared" si="12"/>
        <v>1003</v>
      </c>
      <c r="Q106" s="534" t="str">
        <f t="shared" si="13"/>
        <v>3つ折り</v>
      </c>
      <c r="R106" s="538" t="str">
        <f t="shared" si="17"/>
        <v>10</v>
      </c>
      <c r="S106" s="538" t="str">
        <f t="shared" si="18"/>
        <v>03</v>
      </c>
      <c r="T106" s="471" t="s">
        <v>1136</v>
      </c>
      <c r="W106" s="471">
        <v>0</v>
      </c>
      <c r="X106" s="540"/>
      <c r="Y106" s="471">
        <v>0</v>
      </c>
    </row>
    <row r="107" spans="1:52">
      <c r="A107" s="465" t="s">
        <v>278</v>
      </c>
      <c r="B107" s="452" t="str">
        <f>VLOOKUP(A107,★新聞!$C$4:$D$12,2,FALSE)</f>
        <v>J</v>
      </c>
      <c r="C107" s="465" t="s">
        <v>947</v>
      </c>
      <c r="D107" s="452" t="str">
        <f>VLOOKUP(C107,★サイズ表記!$D$4:$E$55,2,FALSE)</f>
        <v>1004</v>
      </c>
      <c r="E107" s="484" t="str">
        <f t="shared" si="9"/>
        <v>J1004</v>
      </c>
      <c r="F107" s="484" t="str">
        <f t="shared" si="10"/>
        <v>読売/観音折</v>
      </c>
      <c r="I107" s="471" t="str">
        <f t="shared" si="16"/>
        <v>J1004</v>
      </c>
      <c r="J107" s="471" t="str">
        <f t="shared" si="11"/>
        <v>読売/観音折</v>
      </c>
      <c r="N107" s="533" t="s">
        <v>1324</v>
      </c>
      <c r="O107" s="533" t="s">
        <v>1325</v>
      </c>
      <c r="P107" s="534" t="str">
        <f t="shared" si="12"/>
        <v>1004</v>
      </c>
      <c r="Q107" s="534" t="str">
        <f t="shared" si="13"/>
        <v>観音折</v>
      </c>
      <c r="R107" s="538" t="str">
        <f t="shared" si="17"/>
        <v>10</v>
      </c>
      <c r="S107" s="538" t="str">
        <f t="shared" si="18"/>
        <v>04</v>
      </c>
      <c r="T107" s="471" t="s">
        <v>1136</v>
      </c>
      <c r="W107" s="471">
        <v>0</v>
      </c>
      <c r="X107" s="540"/>
      <c r="Y107" s="471">
        <v>0</v>
      </c>
    </row>
    <row r="108" spans="1:52">
      <c r="A108" s="465" t="s">
        <v>278</v>
      </c>
      <c r="B108" s="452" t="str">
        <f>VLOOKUP(A108,★新聞!$C$4:$D$12,2,FALSE)</f>
        <v>J</v>
      </c>
      <c r="C108" s="465" t="s">
        <v>952</v>
      </c>
      <c r="D108" s="452" t="str">
        <f>VLOOKUP(C108,★サイズ表記!$D$4:$E$55,2,FALSE)</f>
        <v>1005</v>
      </c>
      <c r="E108" s="484" t="str">
        <f t="shared" si="9"/>
        <v>J1005</v>
      </c>
      <c r="F108" s="484" t="str">
        <f t="shared" si="10"/>
        <v>読売/B2（4つ折り）</v>
      </c>
      <c r="I108" s="471" t="str">
        <f t="shared" si="16"/>
        <v>J1005</v>
      </c>
      <c r="J108" s="471" t="str">
        <f t="shared" si="11"/>
        <v>読売/B2（4つ折り）</v>
      </c>
      <c r="N108" s="533" t="s">
        <v>1324</v>
      </c>
      <c r="O108" s="533" t="s">
        <v>1325</v>
      </c>
      <c r="P108" s="534" t="str">
        <f t="shared" si="12"/>
        <v>1005</v>
      </c>
      <c r="Q108" s="534" t="str">
        <f t="shared" si="13"/>
        <v>B2（4つ折り）</v>
      </c>
      <c r="R108" s="538" t="str">
        <f t="shared" si="17"/>
        <v>10</v>
      </c>
      <c r="S108" s="538" t="str">
        <f t="shared" si="18"/>
        <v>05</v>
      </c>
      <c r="T108" s="471" t="s">
        <v>1136</v>
      </c>
      <c r="W108" s="471">
        <v>0</v>
      </c>
      <c r="X108" s="540"/>
      <c r="Y108" s="471">
        <v>0</v>
      </c>
    </row>
    <row r="109" spans="1:52">
      <c r="A109" s="465" t="s">
        <v>278</v>
      </c>
      <c r="B109" s="452" t="str">
        <f>VLOOKUP(A109,★新聞!$C$4:$D$12,2,FALSE)</f>
        <v>J</v>
      </c>
      <c r="C109" s="465" t="s">
        <v>955</v>
      </c>
      <c r="D109" s="452" t="str">
        <f>VLOOKUP(C109,★サイズ表記!$D$4:$E$55,2,FALSE)</f>
        <v>1006</v>
      </c>
      <c r="E109" s="484" t="str">
        <f t="shared" si="9"/>
        <v>J1006</v>
      </c>
      <c r="F109" s="484" t="str">
        <f t="shared" si="10"/>
        <v>読売/B1（8折り）</v>
      </c>
      <c r="I109" s="471" t="str">
        <f t="shared" si="16"/>
        <v>J1006</v>
      </c>
      <c r="J109" s="471" t="str">
        <f t="shared" si="11"/>
        <v>読売/B1（8折り）</v>
      </c>
      <c r="N109" s="533" t="s">
        <v>1324</v>
      </c>
      <c r="O109" s="533" t="s">
        <v>1325</v>
      </c>
      <c r="P109" s="534" t="str">
        <f t="shared" si="12"/>
        <v>1006</v>
      </c>
      <c r="Q109" s="534" t="str">
        <f t="shared" si="13"/>
        <v>B1（8折り）</v>
      </c>
      <c r="R109" s="538" t="str">
        <f t="shared" si="17"/>
        <v>10</v>
      </c>
      <c r="S109" s="538" t="str">
        <f t="shared" si="18"/>
        <v>06</v>
      </c>
      <c r="T109" s="471" t="s">
        <v>1136</v>
      </c>
      <c r="W109" s="471">
        <v>0</v>
      </c>
      <c r="X109" s="540"/>
      <c r="Y109" s="471">
        <v>0</v>
      </c>
    </row>
    <row r="110" spans="1:52">
      <c r="A110" s="465" t="s">
        <v>278</v>
      </c>
      <c r="B110" s="452" t="str">
        <f>VLOOKUP(A110,★新聞!$C$4:$D$12,2,FALSE)</f>
        <v>J</v>
      </c>
      <c r="C110" s="465" t="s">
        <v>956</v>
      </c>
      <c r="D110" s="452" t="str">
        <f>VLOOKUP(C110,★サイズ表記!$D$4:$E$55,2,FALSE)</f>
        <v>1007</v>
      </c>
      <c r="E110" s="484" t="str">
        <f t="shared" si="9"/>
        <v>J1007</v>
      </c>
      <c r="F110" s="484" t="str">
        <f t="shared" si="10"/>
        <v>読売/B4厚紙</v>
      </c>
      <c r="I110" s="471" t="str">
        <f t="shared" si="16"/>
        <v>J1007</v>
      </c>
      <c r="J110" s="471" t="str">
        <f t="shared" si="11"/>
        <v>読売/B4厚紙</v>
      </c>
      <c r="N110" s="533" t="s">
        <v>1324</v>
      </c>
      <c r="O110" s="533" t="s">
        <v>1325</v>
      </c>
      <c r="P110" s="534" t="str">
        <f t="shared" si="12"/>
        <v>1007</v>
      </c>
      <c r="Q110" s="534" t="str">
        <f t="shared" si="13"/>
        <v>B4厚紙</v>
      </c>
      <c r="R110" s="538" t="str">
        <f t="shared" si="17"/>
        <v>10</v>
      </c>
      <c r="S110" s="538" t="str">
        <f t="shared" si="18"/>
        <v>07</v>
      </c>
      <c r="T110" s="471" t="s">
        <v>1136</v>
      </c>
      <c r="W110" s="471">
        <v>0</v>
      </c>
      <c r="X110" s="540"/>
      <c r="Y110" s="471">
        <v>0</v>
      </c>
    </row>
    <row r="111" spans="1:52">
      <c r="A111" s="465" t="s">
        <v>278</v>
      </c>
      <c r="B111" s="452" t="str">
        <f>VLOOKUP(A111,★新聞!$C$4:$D$12,2,FALSE)</f>
        <v>J</v>
      </c>
      <c r="C111" s="465" t="s">
        <v>957</v>
      </c>
      <c r="D111" s="452" t="str">
        <f>VLOOKUP(C111,★サイズ表記!$D$4:$E$55,2,FALSE)</f>
        <v>1008</v>
      </c>
      <c r="E111" s="484" t="str">
        <f t="shared" si="9"/>
        <v>J1008</v>
      </c>
      <c r="F111" s="484" t="str">
        <f t="shared" si="10"/>
        <v>読売/B3厚紙</v>
      </c>
      <c r="I111" s="471" t="str">
        <f t="shared" si="16"/>
        <v>J1008</v>
      </c>
      <c r="J111" s="471" t="str">
        <f t="shared" si="11"/>
        <v>読売/B3厚紙</v>
      </c>
      <c r="N111" s="533" t="s">
        <v>1324</v>
      </c>
      <c r="O111" s="533" t="s">
        <v>1325</v>
      </c>
      <c r="P111" s="534" t="str">
        <f t="shared" si="12"/>
        <v>1008</v>
      </c>
      <c r="Q111" s="534" t="str">
        <f t="shared" si="13"/>
        <v>B3厚紙</v>
      </c>
      <c r="R111" s="538" t="str">
        <f t="shared" si="17"/>
        <v>10</v>
      </c>
      <c r="S111" s="538" t="str">
        <f t="shared" si="18"/>
        <v>08</v>
      </c>
      <c r="T111" s="471" t="s">
        <v>1136</v>
      </c>
      <c r="W111" s="471">
        <v>0</v>
      </c>
      <c r="X111" s="540"/>
      <c r="Y111" s="471">
        <v>0</v>
      </c>
    </row>
    <row r="112" spans="1:52">
      <c r="A112" s="465" t="s">
        <v>278</v>
      </c>
      <c r="B112" s="452" t="str">
        <f>VLOOKUP(A112,★新聞!$C$4:$D$12,2,FALSE)</f>
        <v>J</v>
      </c>
      <c r="C112" s="465" t="s">
        <v>958</v>
      </c>
      <c r="D112" s="452" t="str">
        <f>VLOOKUP(C112,★サイズ表記!$D$4:$E$55,2,FALSE)</f>
        <v>1009</v>
      </c>
      <c r="E112" s="484" t="str">
        <f t="shared" si="9"/>
        <v>J1009</v>
      </c>
      <c r="F112" s="484" t="str">
        <f t="shared" si="10"/>
        <v>読売/B2厚紙</v>
      </c>
      <c r="I112" s="471" t="str">
        <f t="shared" si="16"/>
        <v>J1009</v>
      </c>
      <c r="J112" s="471" t="str">
        <f t="shared" si="11"/>
        <v>読売/B2厚紙</v>
      </c>
      <c r="N112" s="533" t="s">
        <v>1324</v>
      </c>
      <c r="O112" s="533" t="s">
        <v>1325</v>
      </c>
      <c r="P112" s="534" t="str">
        <f t="shared" si="12"/>
        <v>1009</v>
      </c>
      <c r="Q112" s="534" t="str">
        <f t="shared" si="13"/>
        <v>B2厚紙</v>
      </c>
      <c r="R112" s="538" t="str">
        <f t="shared" si="17"/>
        <v>10</v>
      </c>
      <c r="S112" s="538" t="str">
        <f t="shared" si="18"/>
        <v>09</v>
      </c>
      <c r="T112" s="471" t="s">
        <v>1136</v>
      </c>
      <c r="W112" s="471">
        <v>0</v>
      </c>
      <c r="X112" s="540"/>
      <c r="Y112" s="471">
        <v>0</v>
      </c>
    </row>
    <row r="113" spans="1:52">
      <c r="A113" s="465" t="s">
        <v>278</v>
      </c>
      <c r="B113" s="452" t="str">
        <f>VLOOKUP(A113,★新聞!$C$4:$D$12,2,FALSE)</f>
        <v>J</v>
      </c>
      <c r="C113" s="465" t="s">
        <v>959</v>
      </c>
      <c r="D113" s="452" t="str">
        <f>VLOOKUP(C113,★サイズ表記!$D$4:$E$55,2,FALSE)</f>
        <v>1010</v>
      </c>
      <c r="E113" s="484" t="str">
        <f t="shared" si="9"/>
        <v>J1010</v>
      </c>
      <c r="F113" s="484" t="str">
        <f t="shared" si="10"/>
        <v>読売/B4以下変形</v>
      </c>
      <c r="I113" s="471" t="str">
        <f t="shared" si="16"/>
        <v>J1010</v>
      </c>
      <c r="J113" s="471" t="str">
        <f t="shared" si="11"/>
        <v>読売/B4以下変形</v>
      </c>
      <c r="N113" s="533" t="s">
        <v>1324</v>
      </c>
      <c r="O113" s="533" t="s">
        <v>1325</v>
      </c>
      <c r="P113" s="534" t="str">
        <f t="shared" si="12"/>
        <v>1010</v>
      </c>
      <c r="Q113" s="534" t="str">
        <f t="shared" si="13"/>
        <v>B4以下変形</v>
      </c>
      <c r="R113" s="538" t="str">
        <f t="shared" si="17"/>
        <v>10</v>
      </c>
      <c r="S113" s="538" t="str">
        <f t="shared" si="18"/>
        <v>10</v>
      </c>
      <c r="T113" s="471" t="s">
        <v>1136</v>
      </c>
      <c r="W113" s="471">
        <v>0</v>
      </c>
      <c r="X113" s="540"/>
      <c r="Y113" s="471">
        <v>0</v>
      </c>
    </row>
    <row r="114" spans="1:52">
      <c r="A114" s="465" t="s">
        <v>278</v>
      </c>
      <c r="B114" s="452" t="str">
        <f>VLOOKUP(A114,★新聞!$C$4:$D$12,2,FALSE)</f>
        <v>J</v>
      </c>
      <c r="C114" s="465" t="s">
        <v>960</v>
      </c>
      <c r="D114" s="452" t="str">
        <f>VLOOKUP(C114,★サイズ表記!$D$4:$E$55,2,FALSE)</f>
        <v>1011</v>
      </c>
      <c r="E114" s="484" t="str">
        <f t="shared" si="9"/>
        <v>J1011</v>
      </c>
      <c r="F114" s="484" t="str">
        <f t="shared" si="10"/>
        <v>読売/B4シール付き</v>
      </c>
      <c r="I114" s="471" t="str">
        <f t="shared" si="16"/>
        <v>J1011</v>
      </c>
      <c r="J114" s="471" t="str">
        <f t="shared" si="11"/>
        <v>読売/B4シール付き</v>
      </c>
      <c r="N114" s="533" t="s">
        <v>1324</v>
      </c>
      <c r="O114" s="533" t="s">
        <v>1325</v>
      </c>
      <c r="P114" s="534" t="str">
        <f t="shared" si="12"/>
        <v>1011</v>
      </c>
      <c r="Q114" s="534" t="str">
        <f t="shared" si="13"/>
        <v>B4シール付き</v>
      </c>
      <c r="R114" s="538" t="str">
        <f t="shared" si="17"/>
        <v>10</v>
      </c>
      <c r="S114" s="538" t="str">
        <f t="shared" si="18"/>
        <v>11</v>
      </c>
      <c r="T114" s="471" t="s">
        <v>1136</v>
      </c>
      <c r="W114" s="471">
        <v>0</v>
      </c>
      <c r="X114" s="540"/>
      <c r="Y114" s="471">
        <v>0</v>
      </c>
    </row>
    <row r="115" spans="1:52" s="471" customFormat="1">
      <c r="A115" s="465" t="s">
        <v>278</v>
      </c>
      <c r="B115" s="452" t="str">
        <f>VLOOKUP(A115,★新聞!$C$4:$D$12,2,FALSE)</f>
        <v>J</v>
      </c>
      <c r="C115" s="465" t="s">
        <v>961</v>
      </c>
      <c r="D115" s="452" t="str">
        <f>VLOOKUP(C115,★サイズ表記!$D$4:$E$55,2,FALSE)</f>
        <v>1012</v>
      </c>
      <c r="E115" s="484" t="str">
        <f t="shared" si="9"/>
        <v>J1012</v>
      </c>
      <c r="F115" s="484" t="str">
        <f t="shared" si="10"/>
        <v>読売/B3シール付き</v>
      </c>
      <c r="G115" s="483"/>
      <c r="I115" s="471" t="str">
        <f t="shared" si="16"/>
        <v>J1012</v>
      </c>
      <c r="J115" s="471" t="str">
        <f t="shared" si="11"/>
        <v>読売/B3シール付き</v>
      </c>
      <c r="M115" s="538"/>
      <c r="N115" s="533" t="s">
        <v>1324</v>
      </c>
      <c r="O115" s="533" t="s">
        <v>1325</v>
      </c>
      <c r="P115" s="534" t="str">
        <f t="shared" si="12"/>
        <v>1012</v>
      </c>
      <c r="Q115" s="534" t="str">
        <f t="shared" si="13"/>
        <v>B3シール付き</v>
      </c>
      <c r="R115" s="538" t="str">
        <f t="shared" si="17"/>
        <v>10</v>
      </c>
      <c r="S115" s="538" t="str">
        <f t="shared" si="18"/>
        <v>12</v>
      </c>
      <c r="T115" s="471" t="s">
        <v>1136</v>
      </c>
      <c r="U115" s="538"/>
      <c r="V115" s="538"/>
      <c r="W115" s="471">
        <v>0</v>
      </c>
      <c r="X115" s="540"/>
      <c r="Y115" s="471">
        <v>0</v>
      </c>
      <c r="Z115" s="538"/>
      <c r="AA115" s="538"/>
      <c r="AB115" s="538"/>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38"/>
      <c r="AY115" s="538"/>
      <c r="AZ115" s="538"/>
    </row>
    <row r="116" spans="1:52" s="471" customFormat="1">
      <c r="A116" s="465" t="s">
        <v>278</v>
      </c>
      <c r="B116" s="452" t="str">
        <f>VLOOKUP(A116,★新聞!$C$4:$D$12,2,FALSE)</f>
        <v>J</v>
      </c>
      <c r="C116" s="465" t="s">
        <v>962</v>
      </c>
      <c r="D116" s="452" t="str">
        <f>VLOOKUP(C116,★サイズ表記!$D$4:$E$55,2,FALSE)</f>
        <v>1013</v>
      </c>
      <c r="E116" s="484" t="str">
        <f t="shared" si="9"/>
        <v>J1013</v>
      </c>
      <c r="F116" s="484" t="str">
        <f t="shared" si="10"/>
        <v>読売/B4スクラッチ付き</v>
      </c>
      <c r="G116" s="483"/>
      <c r="I116" s="471" t="str">
        <f t="shared" si="16"/>
        <v>J1013</v>
      </c>
      <c r="J116" s="471" t="str">
        <f t="shared" si="11"/>
        <v>読売/B4スクラッチ付き</v>
      </c>
      <c r="M116" s="538"/>
      <c r="N116" s="533" t="s">
        <v>1324</v>
      </c>
      <c r="O116" s="533" t="s">
        <v>1325</v>
      </c>
      <c r="P116" s="534" t="str">
        <f t="shared" si="12"/>
        <v>1013</v>
      </c>
      <c r="Q116" s="534" t="str">
        <f t="shared" si="13"/>
        <v>B4スクラッチ付き</v>
      </c>
      <c r="R116" s="538" t="str">
        <f t="shared" si="17"/>
        <v>10</v>
      </c>
      <c r="S116" s="538" t="str">
        <f t="shared" si="18"/>
        <v>13</v>
      </c>
      <c r="T116" s="471" t="s">
        <v>1136</v>
      </c>
      <c r="U116" s="538"/>
      <c r="V116" s="538"/>
      <c r="W116" s="471">
        <v>0</v>
      </c>
      <c r="X116" s="540"/>
      <c r="Y116" s="471">
        <v>0</v>
      </c>
      <c r="Z116" s="538"/>
      <c r="AA116" s="538"/>
      <c r="AB116" s="538"/>
      <c r="AC116" s="538"/>
      <c r="AD116" s="538"/>
      <c r="AE116" s="538"/>
      <c r="AF116" s="538"/>
      <c r="AG116" s="538"/>
      <c r="AH116" s="538"/>
      <c r="AI116" s="538"/>
      <c r="AJ116" s="538"/>
      <c r="AK116" s="538"/>
      <c r="AL116" s="538"/>
      <c r="AM116" s="538"/>
      <c r="AN116" s="538"/>
      <c r="AO116" s="538"/>
      <c r="AP116" s="538"/>
      <c r="AQ116" s="538"/>
      <c r="AR116" s="538"/>
      <c r="AS116" s="538"/>
      <c r="AT116" s="538"/>
      <c r="AU116" s="538"/>
      <c r="AV116" s="538"/>
      <c r="AW116" s="538"/>
      <c r="AX116" s="538"/>
      <c r="AY116" s="538"/>
      <c r="AZ116" s="538"/>
    </row>
    <row r="117" spans="1:52" s="471" customFormat="1">
      <c r="A117" s="465" t="s">
        <v>278</v>
      </c>
      <c r="B117" s="452" t="str">
        <f>VLOOKUP(A117,★新聞!$C$4:$D$12,2,FALSE)</f>
        <v>J</v>
      </c>
      <c r="C117" s="465" t="s">
        <v>963</v>
      </c>
      <c r="D117" s="452" t="str">
        <f>VLOOKUP(C117,★サイズ表記!$D$4:$E$55,2,FALSE)</f>
        <v>2001</v>
      </c>
      <c r="E117" s="484" t="str">
        <f t="shared" si="9"/>
        <v>J2001</v>
      </c>
      <c r="F117" s="484" t="str">
        <f t="shared" si="10"/>
        <v>読売/連合B4</v>
      </c>
      <c r="G117" s="483"/>
      <c r="I117" s="471" t="str">
        <f t="shared" si="16"/>
        <v>J2001</v>
      </c>
      <c r="J117" s="471" t="str">
        <f t="shared" si="11"/>
        <v>読売/連合B4</v>
      </c>
      <c r="M117" s="538"/>
      <c r="N117" s="533" t="s">
        <v>1324</v>
      </c>
      <c r="O117" s="533" t="s">
        <v>1325</v>
      </c>
      <c r="P117" s="534" t="str">
        <f t="shared" si="12"/>
        <v>2001</v>
      </c>
      <c r="Q117" s="534" t="str">
        <f t="shared" si="13"/>
        <v>連合B4</v>
      </c>
      <c r="R117" s="538" t="str">
        <f t="shared" si="17"/>
        <v>20</v>
      </c>
      <c r="S117" s="538" t="str">
        <f t="shared" si="18"/>
        <v>01</v>
      </c>
      <c r="T117" s="471" t="s">
        <v>1136</v>
      </c>
      <c r="U117" s="538"/>
      <c r="V117" s="538"/>
      <c r="W117" s="471">
        <v>0</v>
      </c>
      <c r="X117" s="540"/>
      <c r="Y117" s="471">
        <v>0</v>
      </c>
      <c r="Z117" s="538"/>
      <c r="AA117" s="538"/>
      <c r="AB117" s="538"/>
      <c r="AC117" s="538"/>
      <c r="AD117" s="538"/>
      <c r="AE117" s="538"/>
      <c r="AF117" s="538"/>
      <c r="AG117" s="538"/>
      <c r="AH117" s="538"/>
      <c r="AI117" s="538"/>
      <c r="AJ117" s="538"/>
      <c r="AK117" s="538"/>
      <c r="AL117" s="538"/>
      <c r="AM117" s="538"/>
      <c r="AN117" s="538"/>
      <c r="AO117" s="538"/>
      <c r="AP117" s="538"/>
      <c r="AQ117" s="538"/>
      <c r="AR117" s="538"/>
      <c r="AS117" s="538"/>
      <c r="AT117" s="538"/>
      <c r="AU117" s="538"/>
      <c r="AV117" s="538"/>
      <c r="AW117" s="538"/>
      <c r="AX117" s="538"/>
      <c r="AY117" s="538"/>
      <c r="AZ117" s="538"/>
    </row>
    <row r="118" spans="1:52" s="471" customFormat="1">
      <c r="A118" s="465" t="s">
        <v>278</v>
      </c>
      <c r="B118" s="452" t="str">
        <f>VLOOKUP(A118,★新聞!$C$4:$D$12,2,FALSE)</f>
        <v>J</v>
      </c>
      <c r="C118" s="465" t="s">
        <v>964</v>
      </c>
      <c r="D118" s="452" t="str">
        <f>VLOOKUP(C118,★サイズ表記!$D$4:$E$55,2,FALSE)</f>
        <v>2002</v>
      </c>
      <c r="E118" s="484" t="str">
        <f t="shared" si="9"/>
        <v>J2002</v>
      </c>
      <c r="F118" s="484" t="str">
        <f t="shared" si="10"/>
        <v>読売/連合B3</v>
      </c>
      <c r="G118" s="483"/>
      <c r="I118" s="471" t="str">
        <f t="shared" si="16"/>
        <v>J2002</v>
      </c>
      <c r="J118" s="471" t="str">
        <f t="shared" si="11"/>
        <v>読売/連合B3</v>
      </c>
      <c r="M118" s="538"/>
      <c r="N118" s="533" t="s">
        <v>1324</v>
      </c>
      <c r="O118" s="533" t="s">
        <v>1325</v>
      </c>
      <c r="P118" s="534" t="str">
        <f t="shared" si="12"/>
        <v>2002</v>
      </c>
      <c r="Q118" s="534" t="str">
        <f t="shared" si="13"/>
        <v>連合B3</v>
      </c>
      <c r="R118" s="538" t="str">
        <f t="shared" si="17"/>
        <v>20</v>
      </c>
      <c r="S118" s="538" t="str">
        <f t="shared" si="18"/>
        <v>02</v>
      </c>
      <c r="T118" s="471" t="s">
        <v>1136</v>
      </c>
      <c r="U118" s="538"/>
      <c r="V118" s="538"/>
      <c r="W118" s="471">
        <v>0</v>
      </c>
      <c r="X118" s="540"/>
      <c r="Y118" s="471">
        <v>0</v>
      </c>
      <c r="Z118" s="538"/>
      <c r="AA118" s="538"/>
      <c r="AB118" s="538"/>
      <c r="AC118" s="538"/>
      <c r="AD118" s="538"/>
      <c r="AE118" s="538"/>
      <c r="AF118" s="538"/>
      <c r="AG118" s="538"/>
      <c r="AH118" s="538"/>
      <c r="AI118" s="538"/>
      <c r="AJ118" s="538"/>
      <c r="AK118" s="538"/>
      <c r="AL118" s="538"/>
      <c r="AM118" s="538"/>
      <c r="AN118" s="538"/>
      <c r="AO118" s="538"/>
      <c r="AP118" s="538"/>
      <c r="AQ118" s="538"/>
      <c r="AR118" s="538"/>
      <c r="AS118" s="538"/>
      <c r="AT118" s="538"/>
      <c r="AU118" s="538"/>
      <c r="AV118" s="538"/>
      <c r="AW118" s="538"/>
      <c r="AX118" s="538"/>
      <c r="AY118" s="538"/>
      <c r="AZ118" s="538"/>
    </row>
    <row r="119" spans="1:52" s="471" customFormat="1">
      <c r="A119" s="465" t="s">
        <v>278</v>
      </c>
      <c r="B119" s="452" t="str">
        <f>VLOOKUP(A119,★新聞!$C$4:$D$12,2,FALSE)</f>
        <v>J</v>
      </c>
      <c r="C119" s="465" t="s">
        <v>965</v>
      </c>
      <c r="D119" s="452" t="str">
        <f>VLOOKUP(C119,★サイズ表記!$D$4:$E$55,2,FALSE)</f>
        <v>2003</v>
      </c>
      <c r="E119" s="484" t="str">
        <f t="shared" si="9"/>
        <v>J2003</v>
      </c>
      <c r="F119" s="484" t="str">
        <f t="shared" si="10"/>
        <v>読売/連合B2</v>
      </c>
      <c r="G119" s="483"/>
      <c r="I119" s="471" t="str">
        <f t="shared" si="16"/>
        <v>J2003</v>
      </c>
      <c r="J119" s="471" t="str">
        <f t="shared" si="11"/>
        <v>読売/連合B2</v>
      </c>
      <c r="M119" s="538"/>
      <c r="N119" s="533" t="s">
        <v>1324</v>
      </c>
      <c r="O119" s="533" t="s">
        <v>1325</v>
      </c>
      <c r="P119" s="534" t="str">
        <f t="shared" si="12"/>
        <v>2003</v>
      </c>
      <c r="Q119" s="534" t="str">
        <f t="shared" si="13"/>
        <v>連合B2</v>
      </c>
      <c r="R119" s="538" t="str">
        <f t="shared" si="17"/>
        <v>20</v>
      </c>
      <c r="S119" s="538" t="str">
        <f t="shared" si="18"/>
        <v>03</v>
      </c>
      <c r="T119" s="471" t="s">
        <v>1136</v>
      </c>
      <c r="U119" s="538"/>
      <c r="V119" s="538"/>
      <c r="W119" s="471">
        <v>0</v>
      </c>
      <c r="X119" s="540"/>
      <c r="Y119" s="471">
        <v>0</v>
      </c>
      <c r="Z119" s="538"/>
      <c r="AA119" s="538"/>
      <c r="AB119" s="538"/>
      <c r="AC119" s="538"/>
      <c r="AD119" s="538"/>
      <c r="AE119" s="538"/>
      <c r="AF119" s="538"/>
      <c r="AG119" s="538"/>
      <c r="AH119" s="538"/>
      <c r="AI119" s="538"/>
      <c r="AJ119" s="538"/>
      <c r="AK119" s="538"/>
      <c r="AL119" s="538"/>
      <c r="AM119" s="538"/>
      <c r="AN119" s="538"/>
      <c r="AO119" s="538"/>
      <c r="AP119" s="538"/>
      <c r="AQ119" s="538"/>
      <c r="AR119" s="538"/>
      <c r="AS119" s="538"/>
      <c r="AT119" s="538"/>
      <c r="AU119" s="538"/>
      <c r="AV119" s="538"/>
      <c r="AW119" s="538"/>
      <c r="AX119" s="538"/>
      <c r="AY119" s="538"/>
      <c r="AZ119" s="538"/>
    </row>
    <row r="120" spans="1:52" s="471" customFormat="1">
      <c r="A120" s="465" t="s">
        <v>278</v>
      </c>
      <c r="B120" s="452" t="str">
        <f>VLOOKUP(A120,★新聞!$C$4:$D$12,2,FALSE)</f>
        <v>J</v>
      </c>
      <c r="C120" s="465" t="s">
        <v>966</v>
      </c>
      <c r="D120" s="452" t="str">
        <f>VLOOKUP(C120,★サイズ表記!$D$4:$E$55,2,FALSE)</f>
        <v>2004</v>
      </c>
      <c r="E120" s="484" t="str">
        <f t="shared" si="9"/>
        <v>J2004</v>
      </c>
      <c r="F120" s="484" t="str">
        <f t="shared" si="10"/>
        <v>読売/連合3つ折り</v>
      </c>
      <c r="G120" s="483"/>
      <c r="I120" s="471" t="str">
        <f t="shared" si="16"/>
        <v>J2004</v>
      </c>
      <c r="J120" s="471" t="str">
        <f t="shared" si="11"/>
        <v>読売/連合3つ折り</v>
      </c>
      <c r="M120" s="538"/>
      <c r="N120" s="533" t="s">
        <v>1324</v>
      </c>
      <c r="O120" s="533" t="s">
        <v>1325</v>
      </c>
      <c r="P120" s="534" t="str">
        <f t="shared" si="12"/>
        <v>2004</v>
      </c>
      <c r="Q120" s="534" t="str">
        <f t="shared" si="13"/>
        <v>連合3つ折り</v>
      </c>
      <c r="R120" s="538" t="str">
        <f t="shared" si="17"/>
        <v>20</v>
      </c>
      <c r="S120" s="538" t="str">
        <f t="shared" si="18"/>
        <v>04</v>
      </c>
      <c r="T120" s="471" t="s">
        <v>1136</v>
      </c>
      <c r="U120" s="538"/>
      <c r="V120" s="538"/>
      <c r="W120" s="471">
        <v>0</v>
      </c>
      <c r="X120" s="540"/>
      <c r="Y120" s="471">
        <v>0</v>
      </c>
      <c r="Z120" s="538"/>
      <c r="AA120" s="538"/>
      <c r="AB120" s="538"/>
      <c r="AC120" s="538"/>
      <c r="AD120" s="538"/>
      <c r="AE120" s="538"/>
      <c r="AF120" s="538"/>
      <c r="AG120" s="538"/>
      <c r="AH120" s="538"/>
      <c r="AI120" s="538"/>
      <c r="AJ120" s="538"/>
      <c r="AK120" s="538"/>
      <c r="AL120" s="538"/>
      <c r="AM120" s="538"/>
      <c r="AN120" s="538"/>
      <c r="AO120" s="538"/>
      <c r="AP120" s="538"/>
      <c r="AQ120" s="538"/>
      <c r="AR120" s="538"/>
      <c r="AS120" s="538"/>
      <c r="AT120" s="538"/>
      <c r="AU120" s="538"/>
      <c r="AV120" s="538"/>
      <c r="AW120" s="538"/>
      <c r="AX120" s="538"/>
      <c r="AY120" s="538"/>
      <c r="AZ120" s="538"/>
    </row>
    <row r="121" spans="1:52" s="471" customFormat="1">
      <c r="A121" s="465" t="s">
        <v>278</v>
      </c>
      <c r="B121" s="452" t="str">
        <f>VLOOKUP(A121,★新聞!$C$4:$D$12,2,FALSE)</f>
        <v>J</v>
      </c>
      <c r="C121" s="465" t="s">
        <v>967</v>
      </c>
      <c r="D121" s="452" t="str">
        <f>VLOOKUP(C121,★サイズ表記!$D$4:$E$55,2,FALSE)</f>
        <v>2005</v>
      </c>
      <c r="E121" s="484" t="str">
        <f t="shared" si="9"/>
        <v>J2005</v>
      </c>
      <c r="F121" s="484" t="str">
        <f t="shared" si="10"/>
        <v>読売/連合B4厚紙</v>
      </c>
      <c r="G121" s="483"/>
      <c r="I121" s="471" t="str">
        <f t="shared" si="16"/>
        <v>J2005</v>
      </c>
      <c r="J121" s="471" t="str">
        <f t="shared" si="11"/>
        <v>読売/連合B4厚紙</v>
      </c>
      <c r="M121" s="538"/>
      <c r="N121" s="533" t="s">
        <v>1324</v>
      </c>
      <c r="O121" s="533" t="s">
        <v>1325</v>
      </c>
      <c r="P121" s="534" t="str">
        <f t="shared" si="12"/>
        <v>2005</v>
      </c>
      <c r="Q121" s="534" t="str">
        <f t="shared" si="13"/>
        <v>連合B4厚紙</v>
      </c>
      <c r="R121" s="538" t="str">
        <f t="shared" si="17"/>
        <v>20</v>
      </c>
      <c r="S121" s="538" t="str">
        <f t="shared" si="18"/>
        <v>05</v>
      </c>
      <c r="T121" s="471" t="s">
        <v>1136</v>
      </c>
      <c r="U121" s="538"/>
      <c r="V121" s="538"/>
      <c r="W121" s="471">
        <v>0</v>
      </c>
      <c r="X121" s="540"/>
      <c r="Y121" s="471">
        <v>0</v>
      </c>
      <c r="Z121" s="538"/>
      <c r="AA121" s="538"/>
      <c r="AB121" s="538"/>
      <c r="AC121" s="538"/>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38"/>
      <c r="AY121" s="538"/>
      <c r="AZ121" s="538"/>
    </row>
    <row r="122" spans="1:52" s="471" customFormat="1">
      <c r="A122" s="465" t="s">
        <v>278</v>
      </c>
      <c r="B122" s="452" t="str">
        <f>VLOOKUP(A122,★新聞!$C$4:$D$12,2,FALSE)</f>
        <v>J</v>
      </c>
      <c r="C122" s="465" t="s">
        <v>968</v>
      </c>
      <c r="D122" s="452" t="str">
        <f>VLOOKUP(C122,★サイズ表記!$D$4:$E$55,2,FALSE)</f>
        <v>2006</v>
      </c>
      <c r="E122" s="484" t="str">
        <f t="shared" si="9"/>
        <v>J2006</v>
      </c>
      <c r="F122" s="484" t="str">
        <f t="shared" si="10"/>
        <v>読売/連合2つ折り極小</v>
      </c>
      <c r="G122" s="483"/>
      <c r="I122" s="471" t="str">
        <f t="shared" si="16"/>
        <v>J2006</v>
      </c>
      <c r="J122" s="471" t="str">
        <f t="shared" si="11"/>
        <v>読売/連合2つ折り極小</v>
      </c>
      <c r="M122" s="538"/>
      <c r="N122" s="533" t="s">
        <v>1324</v>
      </c>
      <c r="O122" s="533" t="s">
        <v>1325</v>
      </c>
      <c r="P122" s="534" t="str">
        <f t="shared" si="12"/>
        <v>2006</v>
      </c>
      <c r="Q122" s="534" t="str">
        <f t="shared" si="13"/>
        <v>連合2つ折り極小</v>
      </c>
      <c r="R122" s="538" t="str">
        <f t="shared" si="17"/>
        <v>20</v>
      </c>
      <c r="S122" s="538" t="str">
        <f t="shared" si="18"/>
        <v>06</v>
      </c>
      <c r="T122" s="471" t="s">
        <v>1136</v>
      </c>
      <c r="U122" s="538"/>
      <c r="V122" s="538"/>
      <c r="W122" s="471">
        <v>0</v>
      </c>
      <c r="X122" s="540"/>
      <c r="Y122" s="471">
        <v>0</v>
      </c>
      <c r="Z122" s="538"/>
      <c r="AA122" s="538"/>
      <c r="AB122" s="538"/>
      <c r="AC122" s="538"/>
      <c r="AD122" s="538"/>
      <c r="AE122" s="538"/>
      <c r="AF122" s="538"/>
      <c r="AG122" s="538"/>
      <c r="AH122" s="538"/>
      <c r="AI122" s="538"/>
      <c r="AJ122" s="538"/>
      <c r="AK122" s="538"/>
      <c r="AL122" s="538"/>
      <c r="AM122" s="538"/>
      <c r="AN122" s="538"/>
      <c r="AO122" s="538"/>
      <c r="AP122" s="538"/>
      <c r="AQ122" s="538"/>
      <c r="AR122" s="538"/>
      <c r="AS122" s="538"/>
      <c r="AT122" s="538"/>
      <c r="AU122" s="538"/>
      <c r="AV122" s="538"/>
      <c r="AW122" s="538"/>
      <c r="AX122" s="538"/>
      <c r="AY122" s="538"/>
      <c r="AZ122" s="538"/>
    </row>
    <row r="123" spans="1:52" s="471" customFormat="1">
      <c r="A123" s="465" t="s">
        <v>278</v>
      </c>
      <c r="B123" s="452" t="str">
        <f>VLOOKUP(A123,★新聞!$C$4:$D$12,2,FALSE)</f>
        <v>J</v>
      </c>
      <c r="C123" s="465" t="s">
        <v>1365</v>
      </c>
      <c r="D123" s="452" t="str">
        <f>VLOOKUP(C123,★サイズ表記!$D$4:$E$55,2,FALSE)</f>
        <v>2007</v>
      </c>
      <c r="E123" s="484" t="str">
        <f t="shared" si="9"/>
        <v>J2007</v>
      </c>
      <c r="F123" s="484" t="str">
        <f t="shared" si="10"/>
        <v>読売/連合タブ6P</v>
      </c>
      <c r="G123" s="483"/>
      <c r="I123" s="471" t="str">
        <f t="shared" si="16"/>
        <v>J2007</v>
      </c>
      <c r="J123" s="471" t="str">
        <f t="shared" si="11"/>
        <v>読売/連合タブ6P</v>
      </c>
      <c r="M123" s="538"/>
      <c r="N123" s="533" t="s">
        <v>1324</v>
      </c>
      <c r="O123" s="533" t="s">
        <v>1325</v>
      </c>
      <c r="P123" s="534" t="str">
        <f t="shared" si="12"/>
        <v>2007</v>
      </c>
      <c r="Q123" s="534" t="str">
        <f t="shared" si="13"/>
        <v>連合タブ6P</v>
      </c>
      <c r="R123" s="538" t="str">
        <f t="shared" si="17"/>
        <v>20</v>
      </c>
      <c r="S123" s="538" t="str">
        <f t="shared" si="18"/>
        <v>07</v>
      </c>
      <c r="T123" s="471" t="s">
        <v>1136</v>
      </c>
      <c r="U123" s="538"/>
      <c r="V123" s="538"/>
      <c r="W123" s="471">
        <v>0</v>
      </c>
      <c r="X123" s="540"/>
      <c r="Y123" s="471">
        <v>0</v>
      </c>
      <c r="Z123" s="538"/>
      <c r="AA123" s="538"/>
      <c r="AB123" s="538"/>
      <c r="AC123" s="538"/>
      <c r="AD123" s="53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8"/>
      <c r="AY123" s="538"/>
      <c r="AZ123" s="538"/>
    </row>
    <row r="124" spans="1:52" s="471" customFormat="1">
      <c r="A124" s="465" t="s">
        <v>278</v>
      </c>
      <c r="B124" s="452" t="str">
        <f>VLOOKUP(A124,★新聞!$C$4:$D$12,2,FALSE)</f>
        <v>J</v>
      </c>
      <c r="C124" s="465" t="s">
        <v>1366</v>
      </c>
      <c r="D124" s="452" t="str">
        <f>VLOOKUP(C124,★サイズ表記!$D$4:$E$55,2,FALSE)</f>
        <v>2008</v>
      </c>
      <c r="E124" s="484" t="str">
        <f t="shared" si="9"/>
        <v>J2008</v>
      </c>
      <c r="F124" s="484" t="str">
        <f t="shared" si="10"/>
        <v>読売/連合タブ8P</v>
      </c>
      <c r="G124" s="483"/>
      <c r="I124" s="471" t="str">
        <f t="shared" si="16"/>
        <v>J2008</v>
      </c>
      <c r="J124" s="471" t="str">
        <f t="shared" si="11"/>
        <v>読売/連合タブ8P</v>
      </c>
      <c r="M124" s="538"/>
      <c r="N124" s="533" t="s">
        <v>1324</v>
      </c>
      <c r="O124" s="533" t="s">
        <v>1325</v>
      </c>
      <c r="P124" s="534" t="str">
        <f t="shared" si="12"/>
        <v>2008</v>
      </c>
      <c r="Q124" s="534" t="str">
        <f t="shared" si="13"/>
        <v>連合タブ8P</v>
      </c>
      <c r="R124" s="538" t="str">
        <f t="shared" si="17"/>
        <v>20</v>
      </c>
      <c r="S124" s="538" t="str">
        <f t="shared" si="18"/>
        <v>08</v>
      </c>
      <c r="T124" s="471" t="s">
        <v>1136</v>
      </c>
      <c r="U124" s="538"/>
      <c r="V124" s="538"/>
      <c r="W124" s="471">
        <v>0</v>
      </c>
      <c r="X124" s="540"/>
      <c r="Y124" s="471">
        <v>0</v>
      </c>
      <c r="Z124" s="538"/>
      <c r="AA124" s="538"/>
      <c r="AB124" s="538"/>
      <c r="AC124" s="538"/>
      <c r="AD124" s="538"/>
      <c r="AE124" s="538"/>
      <c r="AF124" s="538"/>
      <c r="AG124" s="538"/>
      <c r="AH124" s="538"/>
      <c r="AI124" s="538"/>
      <c r="AJ124" s="538"/>
      <c r="AK124" s="538"/>
      <c r="AL124" s="538"/>
      <c r="AM124" s="538"/>
      <c r="AN124" s="538"/>
      <c r="AO124" s="538"/>
      <c r="AP124" s="538"/>
      <c r="AQ124" s="538"/>
      <c r="AR124" s="538"/>
      <c r="AS124" s="538"/>
      <c r="AT124" s="538"/>
      <c r="AU124" s="538"/>
      <c r="AV124" s="538"/>
      <c r="AW124" s="538"/>
      <c r="AX124" s="538"/>
      <c r="AY124" s="538"/>
      <c r="AZ124" s="538"/>
    </row>
    <row r="125" spans="1:52" s="471" customFormat="1">
      <c r="A125" s="465" t="s">
        <v>278</v>
      </c>
      <c r="B125" s="452" t="str">
        <f>VLOOKUP(A125,★新聞!$C$4:$D$12,2,FALSE)</f>
        <v>J</v>
      </c>
      <c r="C125" s="465" t="s">
        <v>1364</v>
      </c>
      <c r="D125" s="452" t="str">
        <f>VLOOKUP(C125,★サイズ表記!$D$4:$E$55,2,FALSE)</f>
        <v>2009</v>
      </c>
      <c r="E125" s="484" t="str">
        <f t="shared" si="9"/>
        <v>J2009</v>
      </c>
      <c r="F125" s="484" t="str">
        <f t="shared" si="10"/>
        <v>読売/連合タブ12P</v>
      </c>
      <c r="G125" s="483"/>
      <c r="I125" s="471" t="str">
        <f t="shared" si="16"/>
        <v>J2009</v>
      </c>
      <c r="J125" s="471" t="str">
        <f t="shared" si="11"/>
        <v>読売/連合タブ12P</v>
      </c>
      <c r="M125" s="538"/>
      <c r="N125" s="533" t="s">
        <v>1324</v>
      </c>
      <c r="O125" s="533" t="s">
        <v>1325</v>
      </c>
      <c r="P125" s="534" t="str">
        <f t="shared" si="12"/>
        <v>2009</v>
      </c>
      <c r="Q125" s="534" t="str">
        <f t="shared" si="13"/>
        <v>連合タブ12P</v>
      </c>
      <c r="R125" s="538" t="str">
        <f t="shared" si="17"/>
        <v>20</v>
      </c>
      <c r="S125" s="538" t="str">
        <f t="shared" si="18"/>
        <v>09</v>
      </c>
      <c r="T125" s="471" t="s">
        <v>1136</v>
      </c>
      <c r="U125" s="538"/>
      <c r="V125" s="538"/>
      <c r="W125" s="471">
        <v>0</v>
      </c>
      <c r="X125" s="540"/>
      <c r="Y125" s="471">
        <v>0</v>
      </c>
      <c r="Z125" s="538"/>
      <c r="AA125" s="538"/>
      <c r="AB125" s="538"/>
      <c r="AC125" s="538"/>
      <c r="AD125" s="538"/>
      <c r="AE125" s="538"/>
      <c r="AF125" s="538"/>
      <c r="AG125" s="538"/>
      <c r="AH125" s="538"/>
      <c r="AI125" s="538"/>
      <c r="AJ125" s="538"/>
      <c r="AK125" s="538"/>
      <c r="AL125" s="538"/>
      <c r="AM125" s="538"/>
      <c r="AN125" s="538"/>
      <c r="AO125" s="538"/>
      <c r="AP125" s="538"/>
      <c r="AQ125" s="538"/>
      <c r="AR125" s="538"/>
      <c r="AS125" s="538"/>
      <c r="AT125" s="538"/>
      <c r="AU125" s="538"/>
      <c r="AV125" s="538"/>
      <c r="AW125" s="538"/>
      <c r="AX125" s="538"/>
      <c r="AY125" s="538"/>
      <c r="AZ125" s="538"/>
    </row>
    <row r="126" spans="1:52" s="471" customFormat="1">
      <c r="A126" s="465" t="s">
        <v>278</v>
      </c>
      <c r="B126" s="452" t="str">
        <f>VLOOKUP(A126,★新聞!$C$4:$D$12,2,FALSE)</f>
        <v>J</v>
      </c>
      <c r="C126" s="465" t="s">
        <v>969</v>
      </c>
      <c r="D126" s="452" t="str">
        <f>VLOOKUP(C126,★サイズ表記!$D$4:$E$55,2,FALSE)</f>
        <v>3001</v>
      </c>
      <c r="E126" s="484" t="str">
        <f t="shared" si="9"/>
        <v>J3001</v>
      </c>
      <c r="F126" s="484" t="str">
        <f t="shared" si="10"/>
        <v>読売/政治B4</v>
      </c>
      <c r="G126" s="483"/>
      <c r="I126" s="471" t="str">
        <f t="shared" si="16"/>
        <v>J3001</v>
      </c>
      <c r="J126" s="471" t="str">
        <f t="shared" si="11"/>
        <v>読売/政治B4</v>
      </c>
      <c r="M126" s="538"/>
      <c r="N126" s="533" t="s">
        <v>1324</v>
      </c>
      <c r="O126" s="533" t="s">
        <v>1325</v>
      </c>
      <c r="P126" s="534" t="str">
        <f t="shared" si="12"/>
        <v>3001</v>
      </c>
      <c r="Q126" s="534" t="str">
        <f t="shared" si="13"/>
        <v>政治B4</v>
      </c>
      <c r="R126" s="538" t="str">
        <f t="shared" si="17"/>
        <v>30</v>
      </c>
      <c r="S126" s="538" t="str">
        <f t="shared" si="18"/>
        <v>01</v>
      </c>
      <c r="T126" s="471" t="s">
        <v>1136</v>
      </c>
      <c r="U126" s="538"/>
      <c r="V126" s="538"/>
      <c r="W126" s="471">
        <v>0</v>
      </c>
      <c r="X126" s="540"/>
      <c r="Y126" s="471">
        <v>0</v>
      </c>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8"/>
      <c r="AY126" s="538"/>
      <c r="AZ126" s="538"/>
    </row>
    <row r="127" spans="1:52" s="471" customFormat="1">
      <c r="A127" s="465" t="s">
        <v>278</v>
      </c>
      <c r="B127" s="452" t="str">
        <f>VLOOKUP(A127,★新聞!$C$4:$D$12,2,FALSE)</f>
        <v>J</v>
      </c>
      <c r="C127" s="465" t="s">
        <v>970</v>
      </c>
      <c r="D127" s="452" t="str">
        <f>VLOOKUP(C127,★サイズ表記!$D$4:$E$55,2,FALSE)</f>
        <v>3002</v>
      </c>
      <c r="E127" s="484" t="str">
        <f t="shared" si="9"/>
        <v>J3002</v>
      </c>
      <c r="F127" s="484" t="str">
        <f t="shared" si="10"/>
        <v>読売/政治B3</v>
      </c>
      <c r="G127" s="483"/>
      <c r="I127" s="471" t="str">
        <f t="shared" si="16"/>
        <v>J3002</v>
      </c>
      <c r="J127" s="471" t="str">
        <f t="shared" si="11"/>
        <v>読売/政治B3</v>
      </c>
      <c r="M127" s="538"/>
      <c r="N127" s="533" t="s">
        <v>1324</v>
      </c>
      <c r="O127" s="533" t="s">
        <v>1325</v>
      </c>
      <c r="P127" s="534" t="str">
        <f t="shared" si="12"/>
        <v>3002</v>
      </c>
      <c r="Q127" s="534" t="str">
        <f t="shared" si="13"/>
        <v>政治B3</v>
      </c>
      <c r="R127" s="538" t="str">
        <f t="shared" si="17"/>
        <v>30</v>
      </c>
      <c r="S127" s="538" t="str">
        <f t="shared" si="18"/>
        <v>02</v>
      </c>
      <c r="T127" s="471" t="s">
        <v>1136</v>
      </c>
      <c r="U127" s="538"/>
      <c r="V127" s="538"/>
      <c r="W127" s="471">
        <v>0</v>
      </c>
      <c r="X127" s="540"/>
      <c r="Y127" s="471">
        <v>0</v>
      </c>
      <c r="Z127" s="538"/>
      <c r="AA127" s="538"/>
      <c r="AB127" s="538"/>
      <c r="AC127" s="538"/>
      <c r="AD127" s="538"/>
      <c r="AE127" s="538"/>
      <c r="AF127" s="538"/>
      <c r="AG127" s="538"/>
      <c r="AH127" s="538"/>
      <c r="AI127" s="538"/>
      <c r="AJ127" s="538"/>
      <c r="AK127" s="538"/>
      <c r="AL127" s="538"/>
      <c r="AM127" s="538"/>
      <c r="AN127" s="538"/>
      <c r="AO127" s="538"/>
      <c r="AP127" s="538"/>
      <c r="AQ127" s="538"/>
      <c r="AR127" s="538"/>
      <c r="AS127" s="538"/>
      <c r="AT127" s="538"/>
      <c r="AU127" s="538"/>
      <c r="AV127" s="538"/>
      <c r="AW127" s="538"/>
      <c r="AX127" s="538"/>
      <c r="AY127" s="538"/>
      <c r="AZ127" s="538"/>
    </row>
    <row r="128" spans="1:52" s="471" customFormat="1">
      <c r="A128" s="465" t="s">
        <v>278</v>
      </c>
      <c r="B128" s="452" t="str">
        <f>VLOOKUP(A128,★新聞!$C$4:$D$12,2,FALSE)</f>
        <v>J</v>
      </c>
      <c r="C128" s="465" t="s">
        <v>971</v>
      </c>
      <c r="D128" s="452" t="str">
        <f>VLOOKUP(C128,★サイズ表記!$D$4:$E$55,2,FALSE)</f>
        <v>3003</v>
      </c>
      <c r="E128" s="484" t="str">
        <f t="shared" si="9"/>
        <v>J3003</v>
      </c>
      <c r="F128" s="484" t="str">
        <f t="shared" si="10"/>
        <v>読売/政治B2</v>
      </c>
      <c r="G128" s="483"/>
      <c r="I128" s="471" t="str">
        <f t="shared" si="16"/>
        <v>J3003</v>
      </c>
      <c r="J128" s="471" t="str">
        <f t="shared" si="11"/>
        <v>読売/政治B2</v>
      </c>
      <c r="M128" s="538"/>
      <c r="N128" s="533" t="s">
        <v>1324</v>
      </c>
      <c r="O128" s="533" t="s">
        <v>1325</v>
      </c>
      <c r="P128" s="534" t="str">
        <f t="shared" si="12"/>
        <v>3003</v>
      </c>
      <c r="Q128" s="534" t="str">
        <f t="shared" si="13"/>
        <v>政治B2</v>
      </c>
      <c r="R128" s="538" t="str">
        <f t="shared" si="17"/>
        <v>30</v>
      </c>
      <c r="S128" s="538" t="str">
        <f t="shared" si="18"/>
        <v>03</v>
      </c>
      <c r="T128" s="471" t="s">
        <v>1136</v>
      </c>
      <c r="U128" s="538"/>
      <c r="V128" s="538"/>
      <c r="W128" s="471">
        <v>0</v>
      </c>
      <c r="X128" s="540"/>
      <c r="Y128" s="471">
        <v>0</v>
      </c>
      <c r="Z128" s="538"/>
      <c r="AA128" s="538"/>
      <c r="AB128" s="538"/>
      <c r="AC128" s="538"/>
      <c r="AD128" s="538"/>
      <c r="AE128" s="538"/>
      <c r="AF128" s="538"/>
      <c r="AG128" s="538"/>
      <c r="AH128" s="538"/>
      <c r="AI128" s="538"/>
      <c r="AJ128" s="538"/>
      <c r="AK128" s="538"/>
      <c r="AL128" s="538"/>
      <c r="AM128" s="538"/>
      <c r="AN128" s="538"/>
      <c r="AO128" s="538"/>
      <c r="AP128" s="538"/>
      <c r="AQ128" s="538"/>
      <c r="AR128" s="538"/>
      <c r="AS128" s="538"/>
      <c r="AT128" s="538"/>
      <c r="AU128" s="538"/>
      <c r="AV128" s="538"/>
      <c r="AW128" s="538"/>
      <c r="AX128" s="538"/>
      <c r="AY128" s="538"/>
      <c r="AZ128" s="538"/>
    </row>
    <row r="129" spans="1:52" s="471" customFormat="1">
      <c r="A129" s="465" t="s">
        <v>278</v>
      </c>
      <c r="B129" s="452" t="str">
        <f>VLOOKUP(A129,★新聞!$C$4:$D$12,2,FALSE)</f>
        <v>J</v>
      </c>
      <c r="C129" s="465" t="s">
        <v>972</v>
      </c>
      <c r="D129" s="452" t="str">
        <f>VLOOKUP(C129,★サイズ表記!$D$4:$E$55,2,FALSE)</f>
        <v>3004</v>
      </c>
      <c r="E129" s="484" t="str">
        <f t="shared" si="9"/>
        <v>J3004</v>
      </c>
      <c r="F129" s="484" t="str">
        <f t="shared" si="10"/>
        <v>読売/政治3つ折り</v>
      </c>
      <c r="G129" s="483"/>
      <c r="I129" s="471" t="str">
        <f t="shared" si="16"/>
        <v>J3004</v>
      </c>
      <c r="J129" s="471" t="str">
        <f t="shared" si="11"/>
        <v>読売/政治3つ折り</v>
      </c>
      <c r="M129" s="538"/>
      <c r="N129" s="533" t="s">
        <v>1324</v>
      </c>
      <c r="O129" s="533" t="s">
        <v>1325</v>
      </c>
      <c r="P129" s="534" t="str">
        <f t="shared" si="12"/>
        <v>3004</v>
      </c>
      <c r="Q129" s="534" t="str">
        <f t="shared" si="13"/>
        <v>政治3つ折り</v>
      </c>
      <c r="R129" s="538" t="str">
        <f t="shared" si="17"/>
        <v>30</v>
      </c>
      <c r="S129" s="538" t="str">
        <f t="shared" si="18"/>
        <v>04</v>
      </c>
      <c r="T129" s="471" t="s">
        <v>1136</v>
      </c>
      <c r="U129" s="538"/>
      <c r="V129" s="538"/>
      <c r="W129" s="471">
        <v>0</v>
      </c>
      <c r="X129" s="540"/>
      <c r="Y129" s="471">
        <v>0</v>
      </c>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538"/>
      <c r="AY129" s="538"/>
      <c r="AZ129" s="538"/>
    </row>
    <row r="130" spans="1:52" s="471" customFormat="1">
      <c r="A130" s="465" t="s">
        <v>278</v>
      </c>
      <c r="B130" s="452" t="str">
        <f>VLOOKUP(A130,★新聞!$C$4:$D$12,2,FALSE)</f>
        <v>J</v>
      </c>
      <c r="C130" s="465" t="s">
        <v>973</v>
      </c>
      <c r="D130" s="452" t="str">
        <f>VLOOKUP(C130,★サイズ表記!$D$4:$E$55,2,FALSE)</f>
        <v>3005</v>
      </c>
      <c r="E130" s="484" t="str">
        <f t="shared" si="9"/>
        <v>J3005</v>
      </c>
      <c r="F130" s="484" t="str">
        <f t="shared" si="10"/>
        <v>読売/政治2つ折り極小</v>
      </c>
      <c r="G130" s="483"/>
      <c r="I130" s="471" t="str">
        <f t="shared" si="16"/>
        <v>J3005</v>
      </c>
      <c r="J130" s="471" t="str">
        <f t="shared" si="11"/>
        <v>読売/政治2つ折り極小</v>
      </c>
      <c r="M130" s="538"/>
      <c r="N130" s="533" t="s">
        <v>1324</v>
      </c>
      <c r="O130" s="533" t="s">
        <v>1325</v>
      </c>
      <c r="P130" s="534" t="str">
        <f t="shared" si="12"/>
        <v>3005</v>
      </c>
      <c r="Q130" s="534" t="str">
        <f t="shared" si="13"/>
        <v>政治2つ折り極小</v>
      </c>
      <c r="R130" s="538" t="str">
        <f t="shared" si="17"/>
        <v>30</v>
      </c>
      <c r="S130" s="538" t="str">
        <f t="shared" si="18"/>
        <v>05</v>
      </c>
      <c r="T130" s="471" t="s">
        <v>1136</v>
      </c>
      <c r="U130" s="538"/>
      <c r="V130" s="538"/>
      <c r="W130" s="471">
        <v>0</v>
      </c>
      <c r="X130" s="540"/>
      <c r="Y130" s="471">
        <v>0</v>
      </c>
      <c r="Z130" s="538"/>
      <c r="AA130" s="538"/>
      <c r="AB130" s="538"/>
      <c r="AC130" s="538"/>
      <c r="AD130" s="538"/>
      <c r="AE130" s="538"/>
      <c r="AF130" s="538"/>
      <c r="AG130" s="538"/>
      <c r="AH130" s="538"/>
      <c r="AI130" s="538"/>
      <c r="AJ130" s="538"/>
      <c r="AK130" s="538"/>
      <c r="AL130" s="538"/>
      <c r="AM130" s="538"/>
      <c r="AN130" s="538"/>
      <c r="AO130" s="538"/>
      <c r="AP130" s="538"/>
      <c r="AQ130" s="538"/>
      <c r="AR130" s="538"/>
      <c r="AS130" s="538"/>
      <c r="AT130" s="538"/>
      <c r="AU130" s="538"/>
      <c r="AV130" s="538"/>
      <c r="AW130" s="538"/>
      <c r="AX130" s="538"/>
      <c r="AY130" s="538"/>
      <c r="AZ130" s="538"/>
    </row>
    <row r="131" spans="1:52" s="471" customFormat="1">
      <c r="A131" s="465" t="s">
        <v>278</v>
      </c>
      <c r="B131" s="452" t="str">
        <f>VLOOKUP(A131,★新聞!$C$4:$D$12,2,FALSE)</f>
        <v>J</v>
      </c>
      <c r="C131" s="465" t="s">
        <v>974</v>
      </c>
      <c r="D131" s="452" t="str">
        <f>VLOOKUP(C131,★サイズ表記!$D$4:$E$55,2,FALSE)</f>
        <v>3006</v>
      </c>
      <c r="E131" s="484" t="str">
        <f t="shared" si="9"/>
        <v>J3006</v>
      </c>
      <c r="F131" s="484" t="str">
        <f t="shared" si="10"/>
        <v>読売/政治B4厚紙</v>
      </c>
      <c r="G131" s="483"/>
      <c r="I131" s="471" t="str">
        <f t="shared" si="16"/>
        <v>J3006</v>
      </c>
      <c r="J131" s="471" t="str">
        <f t="shared" si="11"/>
        <v>読売/政治B4厚紙</v>
      </c>
      <c r="M131" s="538"/>
      <c r="N131" s="533" t="s">
        <v>1324</v>
      </c>
      <c r="O131" s="533" t="s">
        <v>1325</v>
      </c>
      <c r="P131" s="534" t="str">
        <f t="shared" si="12"/>
        <v>3006</v>
      </c>
      <c r="Q131" s="534" t="str">
        <f t="shared" si="13"/>
        <v>政治B4厚紙</v>
      </c>
      <c r="R131" s="538" t="str">
        <f t="shared" si="17"/>
        <v>30</v>
      </c>
      <c r="S131" s="538" t="str">
        <f t="shared" si="18"/>
        <v>06</v>
      </c>
      <c r="T131" s="471" t="s">
        <v>1136</v>
      </c>
      <c r="U131" s="538"/>
      <c r="V131" s="538"/>
      <c r="W131" s="471">
        <v>0</v>
      </c>
      <c r="X131" s="540"/>
      <c r="Y131" s="471">
        <v>0</v>
      </c>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538"/>
      <c r="AY131" s="538"/>
      <c r="AZ131" s="538"/>
    </row>
    <row r="132" spans="1:52" s="471" customFormat="1">
      <c r="A132" s="465" t="s">
        <v>278</v>
      </c>
      <c r="B132" s="452" t="str">
        <f>VLOOKUP(A132,★新聞!$C$4:$D$12,2,FALSE)</f>
        <v>J</v>
      </c>
      <c r="C132" s="465" t="s">
        <v>1362</v>
      </c>
      <c r="D132" s="452" t="str">
        <f>VLOOKUP(C132,★サイズ表記!$D$4:$E$55,2,FALSE)</f>
        <v>3007</v>
      </c>
      <c r="E132" s="484" t="str">
        <f t="shared" si="9"/>
        <v>J3007</v>
      </c>
      <c r="F132" s="484" t="str">
        <f t="shared" si="10"/>
        <v>読売/政治タブ6P</v>
      </c>
      <c r="G132" s="483"/>
      <c r="I132" s="471" t="str">
        <f t="shared" si="16"/>
        <v>J3007</v>
      </c>
      <c r="J132" s="471" t="str">
        <f t="shared" si="11"/>
        <v>読売/政治タブ6P</v>
      </c>
      <c r="M132" s="538"/>
      <c r="N132" s="533" t="s">
        <v>1324</v>
      </c>
      <c r="O132" s="533" t="s">
        <v>1325</v>
      </c>
      <c r="P132" s="534" t="str">
        <f t="shared" si="12"/>
        <v>3007</v>
      </c>
      <c r="Q132" s="534" t="str">
        <f t="shared" si="13"/>
        <v>政治タブ6P</v>
      </c>
      <c r="R132" s="538" t="str">
        <f t="shared" si="17"/>
        <v>30</v>
      </c>
      <c r="S132" s="538" t="str">
        <f t="shared" si="18"/>
        <v>07</v>
      </c>
      <c r="T132" s="471" t="s">
        <v>1136</v>
      </c>
      <c r="U132" s="538"/>
      <c r="V132" s="538"/>
      <c r="W132" s="471">
        <v>0</v>
      </c>
      <c r="X132" s="540"/>
      <c r="Y132" s="471">
        <v>0</v>
      </c>
      <c r="Z132" s="538"/>
      <c r="AA132" s="538"/>
      <c r="AB132" s="538"/>
      <c r="AC132" s="538"/>
      <c r="AD132" s="538"/>
      <c r="AE132" s="538"/>
      <c r="AF132" s="538"/>
      <c r="AG132" s="538"/>
      <c r="AH132" s="538"/>
      <c r="AI132" s="538"/>
      <c r="AJ132" s="538"/>
      <c r="AK132" s="538"/>
      <c r="AL132" s="538"/>
      <c r="AM132" s="538"/>
      <c r="AN132" s="538"/>
      <c r="AO132" s="538"/>
      <c r="AP132" s="538"/>
      <c r="AQ132" s="538"/>
      <c r="AR132" s="538"/>
      <c r="AS132" s="538"/>
      <c r="AT132" s="538"/>
      <c r="AU132" s="538"/>
      <c r="AV132" s="538"/>
      <c r="AW132" s="538"/>
      <c r="AX132" s="538"/>
      <c r="AY132" s="538"/>
      <c r="AZ132" s="538"/>
    </row>
    <row r="133" spans="1:52" s="471" customFormat="1">
      <c r="A133" s="465" t="s">
        <v>278</v>
      </c>
      <c r="B133" s="452" t="str">
        <f>VLOOKUP(A133,★新聞!$C$4:$D$12,2,FALSE)</f>
        <v>J</v>
      </c>
      <c r="C133" s="465" t="s">
        <v>1363</v>
      </c>
      <c r="D133" s="452" t="str">
        <f>VLOOKUP(C133,★サイズ表記!$D$4:$E$55,2,FALSE)</f>
        <v>3008</v>
      </c>
      <c r="E133" s="484" t="str">
        <f t="shared" si="9"/>
        <v>J3008</v>
      </c>
      <c r="F133" s="484" t="str">
        <f t="shared" si="10"/>
        <v>読売/政治タブ8P</v>
      </c>
      <c r="G133" s="483"/>
      <c r="I133" s="471" t="str">
        <f t="shared" si="16"/>
        <v>J3008</v>
      </c>
      <c r="J133" s="471" t="str">
        <f t="shared" si="11"/>
        <v>読売/政治タブ8P</v>
      </c>
      <c r="M133" s="538"/>
      <c r="N133" s="533" t="s">
        <v>1324</v>
      </c>
      <c r="O133" s="533" t="s">
        <v>1325</v>
      </c>
      <c r="P133" s="534" t="str">
        <f t="shared" si="12"/>
        <v>3008</v>
      </c>
      <c r="Q133" s="534" t="str">
        <f t="shared" si="13"/>
        <v>政治タブ8P</v>
      </c>
      <c r="R133" s="538" t="str">
        <f t="shared" si="17"/>
        <v>30</v>
      </c>
      <c r="S133" s="538" t="str">
        <f t="shared" si="18"/>
        <v>08</v>
      </c>
      <c r="T133" s="471" t="s">
        <v>1136</v>
      </c>
      <c r="U133" s="538"/>
      <c r="V133" s="538"/>
      <c r="W133" s="471">
        <v>0</v>
      </c>
      <c r="X133" s="540"/>
      <c r="Y133" s="471">
        <v>0</v>
      </c>
      <c r="Z133" s="538"/>
      <c r="AA133" s="538"/>
      <c r="AB133" s="538"/>
      <c r="AC133" s="538"/>
      <c r="AD133" s="538"/>
      <c r="AE133" s="538"/>
      <c r="AF133" s="538"/>
      <c r="AG133" s="538"/>
      <c r="AH133" s="538"/>
      <c r="AI133" s="538"/>
      <c r="AJ133" s="538"/>
      <c r="AK133" s="538"/>
      <c r="AL133" s="538"/>
      <c r="AM133" s="538"/>
      <c r="AN133" s="538"/>
      <c r="AO133" s="538"/>
      <c r="AP133" s="538"/>
      <c r="AQ133" s="538"/>
      <c r="AR133" s="538"/>
      <c r="AS133" s="538"/>
      <c r="AT133" s="538"/>
      <c r="AU133" s="538"/>
      <c r="AV133" s="538"/>
      <c r="AW133" s="538"/>
      <c r="AX133" s="538"/>
      <c r="AY133" s="538"/>
      <c r="AZ133" s="538"/>
    </row>
    <row r="134" spans="1:52" s="471" customFormat="1">
      <c r="A134" s="465" t="s">
        <v>278</v>
      </c>
      <c r="B134" s="452" t="str">
        <f>VLOOKUP(A134,★新聞!$C$4:$D$12,2,FALSE)</f>
        <v>J</v>
      </c>
      <c r="C134" s="465" t="s">
        <v>1361</v>
      </c>
      <c r="D134" s="452" t="str">
        <f>VLOOKUP(C134,★サイズ表記!$D$4:$E$55,2,FALSE)</f>
        <v>3009</v>
      </c>
      <c r="E134" s="484" t="str">
        <f t="shared" ref="E134:E197" si="19">CONCATENATE(B134,D134)</f>
        <v>J3009</v>
      </c>
      <c r="F134" s="484" t="str">
        <f t="shared" si="10"/>
        <v>読売/政治タブ12P</v>
      </c>
      <c r="G134" s="483"/>
      <c r="I134" s="471" t="str">
        <f t="shared" si="16"/>
        <v>J3009</v>
      </c>
      <c r="J134" s="471" t="str">
        <f t="shared" si="11"/>
        <v>読売/政治タブ12P</v>
      </c>
      <c r="M134" s="538"/>
      <c r="N134" s="533" t="s">
        <v>1324</v>
      </c>
      <c r="O134" s="533" t="s">
        <v>1325</v>
      </c>
      <c r="P134" s="534" t="str">
        <f t="shared" si="12"/>
        <v>3009</v>
      </c>
      <c r="Q134" s="534" t="str">
        <f t="shared" si="13"/>
        <v>政治タブ12P</v>
      </c>
      <c r="R134" s="538" t="str">
        <f t="shared" si="17"/>
        <v>30</v>
      </c>
      <c r="S134" s="538" t="str">
        <f t="shared" si="18"/>
        <v>09</v>
      </c>
      <c r="T134" s="471" t="s">
        <v>1136</v>
      </c>
      <c r="U134" s="538"/>
      <c r="V134" s="538"/>
      <c r="W134" s="471">
        <v>0</v>
      </c>
      <c r="X134" s="540"/>
      <c r="Y134" s="471">
        <v>0</v>
      </c>
      <c r="Z134" s="538"/>
      <c r="AA134" s="538"/>
      <c r="AB134" s="538"/>
      <c r="AC134" s="538"/>
      <c r="AD134" s="538"/>
      <c r="AE134" s="538"/>
      <c r="AF134" s="538"/>
      <c r="AG134" s="538"/>
      <c r="AH134" s="538"/>
      <c r="AI134" s="538"/>
      <c r="AJ134" s="538"/>
      <c r="AK134" s="538"/>
      <c r="AL134" s="538"/>
      <c r="AM134" s="538"/>
      <c r="AN134" s="538"/>
      <c r="AO134" s="538"/>
      <c r="AP134" s="538"/>
      <c r="AQ134" s="538"/>
      <c r="AR134" s="538"/>
      <c r="AS134" s="538"/>
      <c r="AT134" s="538"/>
      <c r="AU134" s="538"/>
      <c r="AV134" s="538"/>
      <c r="AW134" s="538"/>
      <c r="AX134" s="538"/>
      <c r="AY134" s="538"/>
      <c r="AZ134" s="538"/>
    </row>
    <row r="135" spans="1:52" s="471" customFormat="1">
      <c r="A135" s="465" t="s">
        <v>278</v>
      </c>
      <c r="B135" s="452" t="str">
        <f>VLOOKUP(A135,★新聞!$C$4:$D$12,2,FALSE)</f>
        <v>J</v>
      </c>
      <c r="C135" s="465" t="s">
        <v>1358</v>
      </c>
      <c r="D135" s="452" t="str">
        <f>VLOOKUP(C135,★サイズ表記!$D$4:$E$55,2,FALSE)</f>
        <v>4001</v>
      </c>
      <c r="E135" s="484" t="str">
        <f t="shared" si="19"/>
        <v>J4001</v>
      </c>
      <c r="F135" s="484" t="str">
        <f t="shared" ref="F135:F198" si="20">CONCATENATE($A135,"/",$C135)</f>
        <v>読売/タブ6P</v>
      </c>
      <c r="G135" s="483"/>
      <c r="I135" s="471" t="str">
        <f t="shared" si="16"/>
        <v>J4001</v>
      </c>
      <c r="J135" s="471" t="str">
        <f t="shared" ref="J135:J198" si="21">F135</f>
        <v>読売/タブ6P</v>
      </c>
      <c r="M135" s="538"/>
      <c r="N135" s="533" t="s">
        <v>1324</v>
      </c>
      <c r="O135" s="533" t="s">
        <v>1325</v>
      </c>
      <c r="P135" s="534" t="str">
        <f t="shared" ref="P135:P198" si="22">D135</f>
        <v>4001</v>
      </c>
      <c r="Q135" s="534" t="str">
        <f t="shared" ref="Q135:Q198" si="23">C135</f>
        <v>タブ6P</v>
      </c>
      <c r="R135" s="538" t="str">
        <f t="shared" si="17"/>
        <v>40</v>
      </c>
      <c r="S135" s="538" t="str">
        <f t="shared" si="18"/>
        <v>01</v>
      </c>
      <c r="T135" s="471" t="s">
        <v>1136</v>
      </c>
      <c r="U135" s="538"/>
      <c r="V135" s="538"/>
      <c r="W135" s="471">
        <v>0</v>
      </c>
      <c r="X135" s="540"/>
      <c r="Y135" s="471">
        <v>0</v>
      </c>
      <c r="Z135" s="538"/>
      <c r="AA135" s="538"/>
      <c r="AB135" s="538"/>
      <c r="AC135" s="538"/>
      <c r="AD135" s="538"/>
      <c r="AE135" s="538"/>
      <c r="AF135" s="538"/>
      <c r="AG135" s="538"/>
      <c r="AH135" s="538"/>
      <c r="AI135" s="538"/>
      <c r="AJ135" s="538"/>
      <c r="AK135" s="538"/>
      <c r="AL135" s="538"/>
      <c r="AM135" s="538"/>
      <c r="AN135" s="538"/>
      <c r="AO135" s="538"/>
      <c r="AP135" s="538"/>
      <c r="AQ135" s="538"/>
      <c r="AR135" s="538"/>
      <c r="AS135" s="538"/>
      <c r="AT135" s="538"/>
      <c r="AU135" s="538"/>
      <c r="AV135" s="538"/>
      <c r="AW135" s="538"/>
      <c r="AX135" s="538"/>
      <c r="AY135" s="538"/>
      <c r="AZ135" s="538"/>
    </row>
    <row r="136" spans="1:52" s="471" customFormat="1">
      <c r="A136" s="465" t="s">
        <v>278</v>
      </c>
      <c r="B136" s="452" t="str">
        <f>VLOOKUP(A136,★新聞!$C$4:$D$12,2,FALSE)</f>
        <v>J</v>
      </c>
      <c r="C136" s="465" t="s">
        <v>1359</v>
      </c>
      <c r="D136" s="452" t="str">
        <f>VLOOKUP(C136,★サイズ表記!$D$4:$E$55,2,FALSE)</f>
        <v>4002</v>
      </c>
      <c r="E136" s="484" t="str">
        <f t="shared" si="19"/>
        <v>J4002</v>
      </c>
      <c r="F136" s="484" t="str">
        <f t="shared" si="20"/>
        <v>読売/タブ8P</v>
      </c>
      <c r="G136" s="483"/>
      <c r="I136" s="471" t="str">
        <f t="shared" si="16"/>
        <v>J4002</v>
      </c>
      <c r="J136" s="471" t="str">
        <f t="shared" si="21"/>
        <v>読売/タブ8P</v>
      </c>
      <c r="M136" s="538"/>
      <c r="N136" s="533" t="s">
        <v>1324</v>
      </c>
      <c r="O136" s="533" t="s">
        <v>1325</v>
      </c>
      <c r="P136" s="534" t="str">
        <f t="shared" si="22"/>
        <v>4002</v>
      </c>
      <c r="Q136" s="534" t="str">
        <f t="shared" si="23"/>
        <v>タブ8P</v>
      </c>
      <c r="R136" s="538" t="str">
        <f t="shared" si="17"/>
        <v>40</v>
      </c>
      <c r="S136" s="538" t="str">
        <f t="shared" si="18"/>
        <v>02</v>
      </c>
      <c r="T136" s="471" t="s">
        <v>1136</v>
      </c>
      <c r="U136" s="538"/>
      <c r="V136" s="538"/>
      <c r="W136" s="471">
        <v>0</v>
      </c>
      <c r="X136" s="540"/>
      <c r="Y136" s="471">
        <v>0</v>
      </c>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8"/>
      <c r="AY136" s="538"/>
      <c r="AZ136" s="538"/>
    </row>
    <row r="137" spans="1:52" s="471" customFormat="1">
      <c r="A137" s="465" t="s">
        <v>278</v>
      </c>
      <c r="B137" s="452" t="str">
        <f>VLOOKUP(A137,★新聞!$C$4:$D$12,2,FALSE)</f>
        <v>J</v>
      </c>
      <c r="C137" s="465" t="s">
        <v>1360</v>
      </c>
      <c r="D137" s="452" t="str">
        <f>VLOOKUP(C137,★サイズ表記!$D$4:$E$55,2,FALSE)</f>
        <v>4003</v>
      </c>
      <c r="E137" s="484" t="str">
        <f t="shared" si="19"/>
        <v>J4003</v>
      </c>
      <c r="F137" s="484" t="str">
        <f t="shared" si="20"/>
        <v>読売/タブ8Pホチキス止め</v>
      </c>
      <c r="G137" s="483"/>
      <c r="I137" s="471" t="str">
        <f t="shared" si="16"/>
        <v>J4003</v>
      </c>
      <c r="J137" s="471" t="str">
        <f t="shared" si="21"/>
        <v>読売/タブ8Pホチキス止め</v>
      </c>
      <c r="M137" s="538"/>
      <c r="N137" s="533" t="s">
        <v>1324</v>
      </c>
      <c r="O137" s="533" t="s">
        <v>1325</v>
      </c>
      <c r="P137" s="534" t="str">
        <f t="shared" si="22"/>
        <v>4003</v>
      </c>
      <c r="Q137" s="534" t="str">
        <f t="shared" si="23"/>
        <v>タブ8Pホチキス止め</v>
      </c>
      <c r="R137" s="538" t="str">
        <f t="shared" si="17"/>
        <v>40</v>
      </c>
      <c r="S137" s="538" t="str">
        <f t="shared" si="18"/>
        <v>03</v>
      </c>
      <c r="T137" s="471" t="s">
        <v>1136</v>
      </c>
      <c r="U137" s="538"/>
      <c r="V137" s="538"/>
      <c r="W137" s="471">
        <v>0</v>
      </c>
      <c r="X137" s="540"/>
      <c r="Y137" s="471">
        <v>0</v>
      </c>
      <c r="Z137" s="538"/>
      <c r="AA137" s="538"/>
      <c r="AB137" s="538"/>
      <c r="AC137" s="538"/>
      <c r="AD137" s="538"/>
      <c r="AE137" s="538"/>
      <c r="AF137" s="538"/>
      <c r="AG137" s="538"/>
      <c r="AH137" s="538"/>
      <c r="AI137" s="538"/>
      <c r="AJ137" s="538"/>
      <c r="AK137" s="538"/>
      <c r="AL137" s="538"/>
      <c r="AM137" s="538"/>
      <c r="AN137" s="538"/>
      <c r="AO137" s="538"/>
      <c r="AP137" s="538"/>
      <c r="AQ137" s="538"/>
      <c r="AR137" s="538"/>
      <c r="AS137" s="538"/>
      <c r="AT137" s="538"/>
      <c r="AU137" s="538"/>
      <c r="AV137" s="538"/>
      <c r="AW137" s="538"/>
      <c r="AX137" s="538"/>
      <c r="AY137" s="538"/>
      <c r="AZ137" s="538"/>
    </row>
    <row r="138" spans="1:52" s="471" customFormat="1">
      <c r="A138" s="465" t="s">
        <v>278</v>
      </c>
      <c r="B138" s="452" t="str">
        <f>VLOOKUP(A138,★新聞!$C$4:$D$12,2,FALSE)</f>
        <v>J</v>
      </c>
      <c r="C138" s="465" t="s">
        <v>1350</v>
      </c>
      <c r="D138" s="452" t="str">
        <f>VLOOKUP(C138,★サイズ表記!$D$4:$E$55,2,FALSE)</f>
        <v>4004</v>
      </c>
      <c r="E138" s="484" t="str">
        <f t="shared" si="19"/>
        <v>J4004</v>
      </c>
      <c r="F138" s="484" t="str">
        <f t="shared" si="20"/>
        <v>読売/タブ10P</v>
      </c>
      <c r="G138" s="483"/>
      <c r="I138" s="471" t="str">
        <f t="shared" si="16"/>
        <v>J4004</v>
      </c>
      <c r="J138" s="471" t="str">
        <f t="shared" si="21"/>
        <v>読売/タブ10P</v>
      </c>
      <c r="M138" s="538"/>
      <c r="N138" s="533" t="s">
        <v>1324</v>
      </c>
      <c r="O138" s="533" t="s">
        <v>1325</v>
      </c>
      <c r="P138" s="534" t="str">
        <f t="shared" si="22"/>
        <v>4004</v>
      </c>
      <c r="Q138" s="534" t="str">
        <f t="shared" si="23"/>
        <v>タブ10P</v>
      </c>
      <c r="R138" s="538" t="str">
        <f t="shared" si="17"/>
        <v>40</v>
      </c>
      <c r="S138" s="538" t="str">
        <f t="shared" si="18"/>
        <v>04</v>
      </c>
      <c r="T138" s="471" t="s">
        <v>1136</v>
      </c>
      <c r="U138" s="538"/>
      <c r="V138" s="538"/>
      <c r="W138" s="471">
        <v>0</v>
      </c>
      <c r="X138" s="540"/>
      <c r="Y138" s="471">
        <v>0</v>
      </c>
      <c r="Z138" s="538"/>
      <c r="AA138" s="538"/>
      <c r="AB138" s="538"/>
      <c r="AC138" s="538"/>
      <c r="AD138" s="538"/>
      <c r="AE138" s="538"/>
      <c r="AF138" s="538"/>
      <c r="AG138" s="538"/>
      <c r="AH138" s="538"/>
      <c r="AI138" s="538"/>
      <c r="AJ138" s="538"/>
      <c r="AK138" s="538"/>
      <c r="AL138" s="538"/>
      <c r="AM138" s="538"/>
      <c r="AN138" s="538"/>
      <c r="AO138" s="538"/>
      <c r="AP138" s="538"/>
      <c r="AQ138" s="538"/>
      <c r="AR138" s="538"/>
      <c r="AS138" s="538"/>
      <c r="AT138" s="538"/>
      <c r="AU138" s="538"/>
      <c r="AV138" s="538"/>
      <c r="AW138" s="538"/>
      <c r="AX138" s="538"/>
      <c r="AY138" s="538"/>
      <c r="AZ138" s="538"/>
    </row>
    <row r="139" spans="1:52" s="471" customFormat="1">
      <c r="A139" s="465" t="s">
        <v>278</v>
      </c>
      <c r="B139" s="452" t="str">
        <f>VLOOKUP(A139,★新聞!$C$4:$D$12,2,FALSE)</f>
        <v>J</v>
      </c>
      <c r="C139" s="465" t="s">
        <v>1351</v>
      </c>
      <c r="D139" s="452" t="str">
        <f>VLOOKUP(C139,★サイズ表記!$D$4:$E$55,2,FALSE)</f>
        <v>4005</v>
      </c>
      <c r="E139" s="484" t="str">
        <f t="shared" si="19"/>
        <v>J4005</v>
      </c>
      <c r="F139" s="484" t="str">
        <f t="shared" si="20"/>
        <v>読売/タブ12P</v>
      </c>
      <c r="G139" s="483"/>
      <c r="I139" s="471" t="str">
        <f t="shared" si="16"/>
        <v>J4005</v>
      </c>
      <c r="J139" s="471" t="str">
        <f t="shared" si="21"/>
        <v>読売/タブ12P</v>
      </c>
      <c r="M139" s="538"/>
      <c r="N139" s="533" t="s">
        <v>1324</v>
      </c>
      <c r="O139" s="533" t="s">
        <v>1325</v>
      </c>
      <c r="P139" s="534" t="str">
        <f t="shared" si="22"/>
        <v>4005</v>
      </c>
      <c r="Q139" s="534" t="str">
        <f t="shared" si="23"/>
        <v>タブ12P</v>
      </c>
      <c r="R139" s="538" t="str">
        <f t="shared" si="17"/>
        <v>40</v>
      </c>
      <c r="S139" s="538" t="str">
        <f t="shared" si="18"/>
        <v>05</v>
      </c>
      <c r="T139" s="471" t="s">
        <v>1136</v>
      </c>
      <c r="U139" s="538"/>
      <c r="V139" s="538"/>
      <c r="W139" s="471">
        <v>0</v>
      </c>
      <c r="X139" s="540"/>
      <c r="Y139" s="471">
        <v>0</v>
      </c>
      <c r="Z139" s="538"/>
      <c r="AA139" s="538"/>
      <c r="AB139" s="538"/>
      <c r="AC139" s="538"/>
      <c r="AD139" s="538"/>
      <c r="AE139" s="538"/>
      <c r="AF139" s="538"/>
      <c r="AG139" s="538"/>
      <c r="AH139" s="538"/>
      <c r="AI139" s="538"/>
      <c r="AJ139" s="538"/>
      <c r="AK139" s="538"/>
      <c r="AL139" s="538"/>
      <c r="AM139" s="538"/>
      <c r="AN139" s="538"/>
      <c r="AO139" s="538"/>
      <c r="AP139" s="538"/>
      <c r="AQ139" s="538"/>
      <c r="AR139" s="538"/>
      <c r="AS139" s="538"/>
      <c r="AT139" s="538"/>
      <c r="AU139" s="538"/>
      <c r="AV139" s="538"/>
      <c r="AW139" s="538"/>
      <c r="AX139" s="538"/>
      <c r="AY139" s="538"/>
      <c r="AZ139" s="538"/>
    </row>
    <row r="140" spans="1:52" s="471" customFormat="1">
      <c r="A140" s="465" t="s">
        <v>278</v>
      </c>
      <c r="B140" s="452" t="str">
        <f>VLOOKUP(A140,★新聞!$C$4:$D$12,2,FALSE)</f>
        <v>J</v>
      </c>
      <c r="C140" s="465" t="s">
        <v>1352</v>
      </c>
      <c r="D140" s="452" t="str">
        <f>VLOOKUP(C140,★サイズ表記!$D$4:$E$55,2,FALSE)</f>
        <v>4006</v>
      </c>
      <c r="E140" s="484" t="str">
        <f t="shared" si="19"/>
        <v>J4006</v>
      </c>
      <c r="F140" s="484" t="str">
        <f t="shared" si="20"/>
        <v>読売/タブ14P</v>
      </c>
      <c r="G140" s="483"/>
      <c r="I140" s="471" t="str">
        <f t="shared" si="16"/>
        <v>J4006</v>
      </c>
      <c r="J140" s="471" t="str">
        <f t="shared" si="21"/>
        <v>読売/タブ14P</v>
      </c>
      <c r="M140" s="538"/>
      <c r="N140" s="533" t="s">
        <v>1324</v>
      </c>
      <c r="O140" s="533" t="s">
        <v>1325</v>
      </c>
      <c r="P140" s="534" t="str">
        <f t="shared" si="22"/>
        <v>4006</v>
      </c>
      <c r="Q140" s="534" t="str">
        <f t="shared" si="23"/>
        <v>タブ14P</v>
      </c>
      <c r="R140" s="538" t="str">
        <f t="shared" si="17"/>
        <v>40</v>
      </c>
      <c r="S140" s="538" t="str">
        <f t="shared" si="18"/>
        <v>06</v>
      </c>
      <c r="T140" s="471" t="s">
        <v>1136</v>
      </c>
      <c r="U140" s="538"/>
      <c r="V140" s="538"/>
      <c r="W140" s="471">
        <v>0</v>
      </c>
      <c r="X140" s="540"/>
      <c r="Y140" s="471">
        <v>0</v>
      </c>
      <c r="Z140" s="538"/>
      <c r="AA140" s="538"/>
      <c r="AB140" s="538"/>
      <c r="AC140" s="538"/>
      <c r="AD140" s="538"/>
      <c r="AE140" s="538"/>
      <c r="AF140" s="538"/>
      <c r="AG140" s="538"/>
      <c r="AH140" s="538"/>
      <c r="AI140" s="538"/>
      <c r="AJ140" s="538"/>
      <c r="AK140" s="538"/>
      <c r="AL140" s="538"/>
      <c r="AM140" s="538"/>
      <c r="AN140" s="538"/>
      <c r="AO140" s="538"/>
      <c r="AP140" s="538"/>
      <c r="AQ140" s="538"/>
      <c r="AR140" s="538"/>
      <c r="AS140" s="538"/>
      <c r="AT140" s="538"/>
      <c r="AU140" s="538"/>
      <c r="AV140" s="538"/>
      <c r="AW140" s="538"/>
      <c r="AX140" s="538"/>
      <c r="AY140" s="538"/>
      <c r="AZ140" s="538"/>
    </row>
    <row r="141" spans="1:52" s="471" customFormat="1">
      <c r="A141" s="465" t="s">
        <v>278</v>
      </c>
      <c r="B141" s="452" t="str">
        <f>VLOOKUP(A141,★新聞!$C$4:$D$12,2,FALSE)</f>
        <v>J</v>
      </c>
      <c r="C141" s="465" t="s">
        <v>1353</v>
      </c>
      <c r="D141" s="452" t="str">
        <f>VLOOKUP(C141,★サイズ表記!$D$4:$E$55,2,FALSE)</f>
        <v>4007</v>
      </c>
      <c r="E141" s="484" t="str">
        <f t="shared" si="19"/>
        <v>J4007</v>
      </c>
      <c r="F141" s="484" t="str">
        <f t="shared" si="20"/>
        <v>読売/タブ16P</v>
      </c>
      <c r="G141" s="483"/>
      <c r="I141" s="471" t="str">
        <f t="shared" si="16"/>
        <v>J4007</v>
      </c>
      <c r="J141" s="471" t="str">
        <f t="shared" si="21"/>
        <v>読売/タブ16P</v>
      </c>
      <c r="M141" s="538"/>
      <c r="N141" s="533" t="s">
        <v>1324</v>
      </c>
      <c r="O141" s="533" t="s">
        <v>1325</v>
      </c>
      <c r="P141" s="534" t="str">
        <f t="shared" si="22"/>
        <v>4007</v>
      </c>
      <c r="Q141" s="534" t="str">
        <f t="shared" si="23"/>
        <v>タブ16P</v>
      </c>
      <c r="R141" s="538" t="str">
        <f t="shared" si="17"/>
        <v>40</v>
      </c>
      <c r="S141" s="538" t="str">
        <f t="shared" si="18"/>
        <v>07</v>
      </c>
      <c r="T141" s="471" t="s">
        <v>1136</v>
      </c>
      <c r="U141" s="538"/>
      <c r="V141" s="538"/>
      <c r="W141" s="471">
        <v>0</v>
      </c>
      <c r="X141" s="540"/>
      <c r="Y141" s="471">
        <v>0</v>
      </c>
      <c r="Z141" s="538"/>
      <c r="AA141" s="538"/>
      <c r="AB141" s="538"/>
      <c r="AC141" s="538"/>
      <c r="AD141" s="538"/>
      <c r="AE141" s="538"/>
      <c r="AF141" s="538"/>
      <c r="AG141" s="538"/>
      <c r="AH141" s="538"/>
      <c r="AI141" s="538"/>
      <c r="AJ141" s="538"/>
      <c r="AK141" s="538"/>
      <c r="AL141" s="538"/>
      <c r="AM141" s="538"/>
      <c r="AN141" s="538"/>
      <c r="AO141" s="538"/>
      <c r="AP141" s="538"/>
      <c r="AQ141" s="538"/>
      <c r="AR141" s="538"/>
      <c r="AS141" s="538"/>
      <c r="AT141" s="538"/>
      <c r="AU141" s="538"/>
      <c r="AV141" s="538"/>
      <c r="AW141" s="538"/>
      <c r="AX141" s="538"/>
      <c r="AY141" s="538"/>
      <c r="AZ141" s="538"/>
    </row>
    <row r="142" spans="1:52" s="471" customFormat="1">
      <c r="A142" s="465" t="s">
        <v>278</v>
      </c>
      <c r="B142" s="452" t="str">
        <f>VLOOKUP(A142,★新聞!$C$4:$D$12,2,FALSE)</f>
        <v>J</v>
      </c>
      <c r="C142" s="465" t="s">
        <v>1355</v>
      </c>
      <c r="D142" s="452" t="str">
        <f>VLOOKUP(C142,★サイズ表記!$D$4:$E$55,2,FALSE)</f>
        <v>4008</v>
      </c>
      <c r="E142" s="484" t="str">
        <f t="shared" si="19"/>
        <v>J4008</v>
      </c>
      <c r="F142" s="484" t="str">
        <f t="shared" si="20"/>
        <v>読売/タブ18P</v>
      </c>
      <c r="G142" s="483"/>
      <c r="I142" s="471" t="str">
        <f t="shared" si="16"/>
        <v>J4008</v>
      </c>
      <c r="J142" s="471" t="str">
        <f t="shared" si="21"/>
        <v>読売/タブ18P</v>
      </c>
      <c r="M142" s="538"/>
      <c r="N142" s="533" t="s">
        <v>1324</v>
      </c>
      <c r="O142" s="533" t="s">
        <v>1325</v>
      </c>
      <c r="P142" s="534" t="str">
        <f t="shared" si="22"/>
        <v>4008</v>
      </c>
      <c r="Q142" s="534" t="str">
        <f t="shared" si="23"/>
        <v>タブ18P</v>
      </c>
      <c r="R142" s="538" t="str">
        <f t="shared" si="17"/>
        <v>40</v>
      </c>
      <c r="S142" s="538" t="str">
        <f t="shared" si="18"/>
        <v>08</v>
      </c>
      <c r="T142" s="471" t="s">
        <v>1136</v>
      </c>
      <c r="U142" s="538"/>
      <c r="V142" s="538"/>
      <c r="W142" s="471">
        <v>0</v>
      </c>
      <c r="X142" s="540"/>
      <c r="Y142" s="471">
        <v>0</v>
      </c>
      <c r="Z142" s="538"/>
      <c r="AA142" s="538"/>
      <c r="AB142" s="538"/>
      <c r="AC142" s="538"/>
      <c r="AD142" s="538"/>
      <c r="AE142" s="538"/>
      <c r="AF142" s="538"/>
      <c r="AG142" s="538"/>
      <c r="AH142" s="538"/>
      <c r="AI142" s="538"/>
      <c r="AJ142" s="538"/>
      <c r="AK142" s="538"/>
      <c r="AL142" s="538"/>
      <c r="AM142" s="538"/>
      <c r="AN142" s="538"/>
      <c r="AO142" s="538"/>
      <c r="AP142" s="538"/>
      <c r="AQ142" s="538"/>
      <c r="AR142" s="538"/>
      <c r="AS142" s="538"/>
      <c r="AT142" s="538"/>
      <c r="AU142" s="538"/>
      <c r="AV142" s="538"/>
      <c r="AW142" s="538"/>
      <c r="AX142" s="538"/>
      <c r="AY142" s="538"/>
      <c r="AZ142" s="538"/>
    </row>
    <row r="143" spans="1:52" s="471" customFormat="1">
      <c r="A143" s="465" t="s">
        <v>278</v>
      </c>
      <c r="B143" s="452" t="str">
        <f>VLOOKUP(A143,★新聞!$C$4:$D$12,2,FALSE)</f>
        <v>J</v>
      </c>
      <c r="C143" s="465" t="s">
        <v>1356</v>
      </c>
      <c r="D143" s="452" t="str">
        <f>VLOOKUP(C143,★サイズ表記!$D$4:$E$55,2,FALSE)</f>
        <v>4009</v>
      </c>
      <c r="E143" s="484" t="str">
        <f t="shared" si="19"/>
        <v>J4009</v>
      </c>
      <c r="F143" s="484" t="str">
        <f t="shared" si="20"/>
        <v>読売/タブ20P</v>
      </c>
      <c r="G143" s="483"/>
      <c r="I143" s="471" t="str">
        <f t="shared" si="16"/>
        <v>J4009</v>
      </c>
      <c r="J143" s="471" t="str">
        <f t="shared" si="21"/>
        <v>読売/タブ20P</v>
      </c>
      <c r="M143" s="538"/>
      <c r="N143" s="533" t="s">
        <v>1324</v>
      </c>
      <c r="O143" s="533" t="s">
        <v>1325</v>
      </c>
      <c r="P143" s="534" t="str">
        <f t="shared" si="22"/>
        <v>4009</v>
      </c>
      <c r="Q143" s="534" t="str">
        <f t="shared" si="23"/>
        <v>タブ20P</v>
      </c>
      <c r="R143" s="538" t="str">
        <f t="shared" si="17"/>
        <v>40</v>
      </c>
      <c r="S143" s="538" t="str">
        <f t="shared" si="18"/>
        <v>09</v>
      </c>
      <c r="T143" s="471" t="s">
        <v>1136</v>
      </c>
      <c r="U143" s="538"/>
      <c r="V143" s="538"/>
      <c r="W143" s="471">
        <v>0</v>
      </c>
      <c r="X143" s="540"/>
      <c r="Y143" s="471">
        <v>0</v>
      </c>
      <c r="Z143" s="538"/>
      <c r="AA143" s="538"/>
      <c r="AB143" s="538"/>
      <c r="AC143" s="538"/>
      <c r="AD143" s="538"/>
      <c r="AE143" s="538"/>
      <c r="AF143" s="538"/>
      <c r="AG143" s="538"/>
      <c r="AH143" s="538"/>
      <c r="AI143" s="538"/>
      <c r="AJ143" s="538"/>
      <c r="AK143" s="538"/>
      <c r="AL143" s="538"/>
      <c r="AM143" s="538"/>
      <c r="AN143" s="538"/>
      <c r="AO143" s="538"/>
      <c r="AP143" s="538"/>
      <c r="AQ143" s="538"/>
      <c r="AR143" s="538"/>
      <c r="AS143" s="538"/>
      <c r="AT143" s="538"/>
      <c r="AU143" s="538"/>
      <c r="AV143" s="538"/>
      <c r="AW143" s="538"/>
      <c r="AX143" s="538"/>
      <c r="AY143" s="538"/>
      <c r="AZ143" s="538"/>
    </row>
    <row r="144" spans="1:52" s="471" customFormat="1">
      <c r="A144" s="465" t="s">
        <v>278</v>
      </c>
      <c r="B144" s="452" t="str">
        <f>VLOOKUP(A144,★新聞!$C$4:$D$12,2,FALSE)</f>
        <v>J</v>
      </c>
      <c r="C144" s="465" t="s">
        <v>1354</v>
      </c>
      <c r="D144" s="452" t="str">
        <f>VLOOKUP(C144,★サイズ表記!$D$4:$E$55,2,FALSE)</f>
        <v>4010</v>
      </c>
      <c r="E144" s="484" t="str">
        <f t="shared" si="19"/>
        <v>J4010</v>
      </c>
      <c r="F144" s="484" t="str">
        <f t="shared" si="20"/>
        <v>読売/タブ16Pホチキス止め</v>
      </c>
      <c r="G144" s="483"/>
      <c r="I144" s="471" t="str">
        <f t="shared" si="16"/>
        <v>J4010</v>
      </c>
      <c r="J144" s="471" t="str">
        <f t="shared" si="21"/>
        <v>読売/タブ16Pホチキス止め</v>
      </c>
      <c r="M144" s="538"/>
      <c r="N144" s="533" t="s">
        <v>1324</v>
      </c>
      <c r="O144" s="533" t="s">
        <v>1325</v>
      </c>
      <c r="P144" s="534" t="str">
        <f t="shared" si="22"/>
        <v>4010</v>
      </c>
      <c r="Q144" s="534" t="str">
        <f t="shared" si="23"/>
        <v>タブ16Pホチキス止め</v>
      </c>
      <c r="R144" s="538" t="str">
        <f t="shared" si="17"/>
        <v>40</v>
      </c>
      <c r="S144" s="538" t="str">
        <f t="shared" si="18"/>
        <v>10</v>
      </c>
      <c r="T144" s="471" t="s">
        <v>1136</v>
      </c>
      <c r="U144" s="538"/>
      <c r="V144" s="538"/>
      <c r="W144" s="471">
        <v>0</v>
      </c>
      <c r="X144" s="540"/>
      <c r="Y144" s="471">
        <v>0</v>
      </c>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8"/>
      <c r="AY144" s="538"/>
      <c r="AZ144" s="538"/>
    </row>
    <row r="145" spans="1:52" s="471" customFormat="1">
      <c r="A145" s="465" t="s">
        <v>278</v>
      </c>
      <c r="B145" s="452" t="str">
        <f>VLOOKUP(A145,★新聞!$C$4:$D$12,2,FALSE)</f>
        <v>J</v>
      </c>
      <c r="C145" s="465" t="s">
        <v>1357</v>
      </c>
      <c r="D145" s="452" t="str">
        <f>VLOOKUP(C145,★サイズ表記!$D$4:$E$55,2,FALSE)</f>
        <v>4011</v>
      </c>
      <c r="E145" s="484" t="str">
        <f t="shared" si="19"/>
        <v>J4011</v>
      </c>
      <c r="F145" s="484" t="str">
        <f t="shared" si="20"/>
        <v>読売/タブ40P</v>
      </c>
      <c r="G145" s="483"/>
      <c r="I145" s="471" t="str">
        <f t="shared" si="16"/>
        <v>J4011</v>
      </c>
      <c r="J145" s="471" t="str">
        <f t="shared" si="21"/>
        <v>読売/タブ40P</v>
      </c>
      <c r="M145" s="538"/>
      <c r="N145" s="533" t="s">
        <v>1324</v>
      </c>
      <c r="O145" s="533" t="s">
        <v>1325</v>
      </c>
      <c r="P145" s="534" t="str">
        <f t="shared" si="22"/>
        <v>4011</v>
      </c>
      <c r="Q145" s="534" t="str">
        <f t="shared" si="23"/>
        <v>タブ40P</v>
      </c>
      <c r="R145" s="538" t="str">
        <f t="shared" si="17"/>
        <v>40</v>
      </c>
      <c r="S145" s="538" t="str">
        <f t="shared" si="18"/>
        <v>11</v>
      </c>
      <c r="T145" s="471" t="s">
        <v>1136</v>
      </c>
      <c r="U145" s="538"/>
      <c r="V145" s="538"/>
      <c r="W145" s="471">
        <v>0</v>
      </c>
      <c r="X145" s="540"/>
      <c r="Y145" s="471">
        <v>0</v>
      </c>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8"/>
      <c r="AY145" s="538"/>
      <c r="AZ145" s="538"/>
    </row>
    <row r="146" spans="1:52" s="471" customFormat="1">
      <c r="A146" s="465" t="s">
        <v>278</v>
      </c>
      <c r="B146" s="452" t="str">
        <f>VLOOKUP(A146,★新聞!$C$4:$D$12,2,FALSE)</f>
        <v>J</v>
      </c>
      <c r="C146" s="465" t="s">
        <v>975</v>
      </c>
      <c r="D146" s="452" t="str">
        <f>VLOOKUP(C146,★サイズ表記!$D$4:$E$55,2,FALSE)</f>
        <v>9001</v>
      </c>
      <c r="E146" s="484" t="str">
        <f t="shared" si="19"/>
        <v>J9001</v>
      </c>
      <c r="F146" s="484" t="str">
        <f t="shared" si="20"/>
        <v>読売/うさぎの耳</v>
      </c>
      <c r="G146" s="483"/>
      <c r="I146" s="471" t="str">
        <f t="shared" si="16"/>
        <v>J9001</v>
      </c>
      <c r="J146" s="471" t="str">
        <f t="shared" si="21"/>
        <v>読売/うさぎの耳</v>
      </c>
      <c r="M146" s="538"/>
      <c r="N146" s="533" t="s">
        <v>1324</v>
      </c>
      <c r="O146" s="533" t="s">
        <v>1325</v>
      </c>
      <c r="P146" s="534" t="str">
        <f t="shared" si="22"/>
        <v>9001</v>
      </c>
      <c r="Q146" s="534" t="str">
        <f t="shared" si="23"/>
        <v>うさぎの耳</v>
      </c>
      <c r="R146" s="538" t="str">
        <f t="shared" si="17"/>
        <v>90</v>
      </c>
      <c r="S146" s="538" t="str">
        <f t="shared" si="18"/>
        <v>01</v>
      </c>
      <c r="T146" s="471" t="s">
        <v>1136</v>
      </c>
      <c r="U146" s="538"/>
      <c r="V146" s="538"/>
      <c r="W146" s="471">
        <v>0</v>
      </c>
      <c r="X146" s="540"/>
      <c r="Y146" s="471">
        <v>0</v>
      </c>
      <c r="Z146" s="538"/>
      <c r="AA146" s="538"/>
      <c r="AB146" s="538"/>
      <c r="AC146" s="538"/>
      <c r="AD146" s="538"/>
      <c r="AE146" s="538"/>
      <c r="AF146" s="538"/>
      <c r="AG146" s="538"/>
      <c r="AH146" s="538"/>
      <c r="AI146" s="538"/>
      <c r="AJ146" s="538"/>
      <c r="AK146" s="538"/>
      <c r="AL146" s="538"/>
      <c r="AM146" s="538"/>
      <c r="AN146" s="538"/>
      <c r="AO146" s="538"/>
      <c r="AP146" s="538"/>
      <c r="AQ146" s="538"/>
      <c r="AR146" s="538"/>
      <c r="AS146" s="538"/>
      <c r="AT146" s="538"/>
      <c r="AU146" s="538"/>
      <c r="AV146" s="538"/>
      <c r="AW146" s="538"/>
      <c r="AX146" s="538"/>
      <c r="AY146" s="538"/>
      <c r="AZ146" s="538"/>
    </row>
    <row r="147" spans="1:52" s="471" customFormat="1">
      <c r="A147" s="465" t="s">
        <v>278</v>
      </c>
      <c r="B147" s="452" t="str">
        <f>VLOOKUP(A147,★新聞!$C$4:$D$12,2,FALSE)</f>
        <v>J</v>
      </c>
      <c r="C147" s="465" t="s">
        <v>976</v>
      </c>
      <c r="D147" s="452" t="str">
        <f>VLOOKUP(C147,★サイズ表記!$D$4:$E$55,2,FALSE)</f>
        <v>9002</v>
      </c>
      <c r="E147" s="484" t="str">
        <f t="shared" si="19"/>
        <v>J9002</v>
      </c>
      <c r="F147" s="484" t="str">
        <f t="shared" si="20"/>
        <v>読売/ユーキャン（題字）</v>
      </c>
      <c r="G147" s="483"/>
      <c r="I147" s="471" t="str">
        <f t="shared" si="16"/>
        <v>J9002</v>
      </c>
      <c r="J147" s="471" t="str">
        <f t="shared" si="21"/>
        <v>読売/ユーキャン（題字）</v>
      </c>
      <c r="M147" s="538"/>
      <c r="N147" s="533" t="s">
        <v>1324</v>
      </c>
      <c r="O147" s="533" t="s">
        <v>1325</v>
      </c>
      <c r="P147" s="534" t="str">
        <f t="shared" si="22"/>
        <v>9002</v>
      </c>
      <c r="Q147" s="534" t="str">
        <f t="shared" si="23"/>
        <v>ユーキャン（題字）</v>
      </c>
      <c r="R147" s="538" t="str">
        <f t="shared" si="17"/>
        <v>90</v>
      </c>
      <c r="S147" s="538" t="str">
        <f t="shared" si="18"/>
        <v>02</v>
      </c>
      <c r="T147" s="471" t="s">
        <v>1136</v>
      </c>
      <c r="U147" s="538"/>
      <c r="V147" s="538"/>
      <c r="W147" s="471">
        <v>0</v>
      </c>
      <c r="X147" s="540"/>
      <c r="Y147" s="471">
        <v>0</v>
      </c>
      <c r="Z147" s="538"/>
      <c r="AA147" s="538"/>
      <c r="AB147" s="538"/>
      <c r="AC147" s="538"/>
      <c r="AD147" s="538"/>
      <c r="AE147" s="538"/>
      <c r="AF147" s="538"/>
      <c r="AG147" s="538"/>
      <c r="AH147" s="538"/>
      <c r="AI147" s="538"/>
      <c r="AJ147" s="538"/>
      <c r="AK147" s="538"/>
      <c r="AL147" s="538"/>
      <c r="AM147" s="538"/>
      <c r="AN147" s="538"/>
      <c r="AO147" s="538"/>
      <c r="AP147" s="538"/>
      <c r="AQ147" s="538"/>
      <c r="AR147" s="538"/>
      <c r="AS147" s="538"/>
      <c r="AT147" s="538"/>
      <c r="AU147" s="538"/>
      <c r="AV147" s="538"/>
      <c r="AW147" s="538"/>
      <c r="AX147" s="538"/>
      <c r="AY147" s="538"/>
      <c r="AZ147" s="538"/>
    </row>
    <row r="148" spans="1:52" s="471" customFormat="1">
      <c r="A148" s="465" t="s">
        <v>278</v>
      </c>
      <c r="B148" s="452" t="str">
        <f>VLOOKUP(A148,★新聞!$C$4:$D$12,2,FALSE)</f>
        <v>J</v>
      </c>
      <c r="C148" s="465" t="s">
        <v>977</v>
      </c>
      <c r="D148" s="452" t="str">
        <f>VLOOKUP(C148,★サイズ表記!$D$4:$E$55,2,FALSE)</f>
        <v>9003</v>
      </c>
      <c r="E148" s="484" t="str">
        <f t="shared" si="19"/>
        <v>J9003</v>
      </c>
      <c r="F148" s="484" t="str">
        <f t="shared" si="20"/>
        <v>読売/横長B3</v>
      </c>
      <c r="G148" s="483"/>
      <c r="I148" s="471" t="str">
        <f t="shared" si="16"/>
        <v>J9003</v>
      </c>
      <c r="J148" s="471" t="str">
        <f t="shared" si="21"/>
        <v>読売/横長B3</v>
      </c>
      <c r="M148" s="538"/>
      <c r="N148" s="533" t="s">
        <v>1324</v>
      </c>
      <c r="O148" s="533" t="s">
        <v>1325</v>
      </c>
      <c r="P148" s="534" t="str">
        <f t="shared" si="22"/>
        <v>9003</v>
      </c>
      <c r="Q148" s="534" t="str">
        <f t="shared" si="23"/>
        <v>横長B3</v>
      </c>
      <c r="R148" s="538" t="str">
        <f t="shared" si="17"/>
        <v>90</v>
      </c>
      <c r="S148" s="538" t="str">
        <f t="shared" si="18"/>
        <v>03</v>
      </c>
      <c r="T148" s="471" t="s">
        <v>1136</v>
      </c>
      <c r="U148" s="538"/>
      <c r="V148" s="538"/>
      <c r="W148" s="471">
        <v>0</v>
      </c>
      <c r="X148" s="540"/>
      <c r="Y148" s="471">
        <v>0</v>
      </c>
      <c r="Z148" s="538"/>
      <c r="AA148" s="538"/>
      <c r="AB148" s="538"/>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38"/>
      <c r="AY148" s="538"/>
      <c r="AZ148" s="538"/>
    </row>
    <row r="149" spans="1:52" s="471" customFormat="1">
      <c r="A149" s="465" t="s">
        <v>278</v>
      </c>
      <c r="B149" s="452" t="str">
        <f>VLOOKUP(A149,★新聞!$C$4:$D$12,2,FALSE)</f>
        <v>J</v>
      </c>
      <c r="C149" s="465" t="s">
        <v>978</v>
      </c>
      <c r="D149" s="452" t="str">
        <f>VLOOKUP(C149,★サイズ表記!$D$4:$E$55,2,FALSE)</f>
        <v>9004</v>
      </c>
      <c r="E149" s="484" t="str">
        <f t="shared" si="19"/>
        <v>J9004</v>
      </c>
      <c r="F149" s="484" t="str">
        <f t="shared" si="20"/>
        <v>読売/AD-BAG</v>
      </c>
      <c r="G149" s="483"/>
      <c r="I149" s="471" t="str">
        <f t="shared" si="16"/>
        <v>J9004</v>
      </c>
      <c r="J149" s="471" t="str">
        <f t="shared" si="21"/>
        <v>読売/AD-BAG</v>
      </c>
      <c r="M149" s="538"/>
      <c r="N149" s="533" t="s">
        <v>1324</v>
      </c>
      <c r="O149" s="533" t="s">
        <v>1325</v>
      </c>
      <c r="P149" s="534" t="str">
        <f t="shared" si="22"/>
        <v>9004</v>
      </c>
      <c r="Q149" s="534" t="str">
        <f t="shared" si="23"/>
        <v>AD-BAG</v>
      </c>
      <c r="R149" s="538" t="str">
        <f t="shared" si="17"/>
        <v>90</v>
      </c>
      <c r="S149" s="538" t="str">
        <f t="shared" si="18"/>
        <v>04</v>
      </c>
      <c r="T149" s="471" t="s">
        <v>1136</v>
      </c>
      <c r="U149" s="538"/>
      <c r="V149" s="538"/>
      <c r="W149" s="471">
        <v>0</v>
      </c>
      <c r="X149" s="540"/>
      <c r="Y149" s="471">
        <v>0</v>
      </c>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c r="AY149" s="538"/>
      <c r="AZ149" s="538"/>
    </row>
    <row r="150" spans="1:52" s="471" customFormat="1">
      <c r="A150" s="465" t="s">
        <v>278</v>
      </c>
      <c r="B150" s="452" t="str">
        <f>VLOOKUP(A150,★新聞!$C$4:$D$12,2,FALSE)</f>
        <v>J</v>
      </c>
      <c r="C150" s="465" t="s">
        <v>979</v>
      </c>
      <c r="D150" s="452" t="str">
        <f>VLOOKUP(C150,★サイズ表記!$D$4:$E$55,2,FALSE)</f>
        <v>9005</v>
      </c>
      <c r="E150" s="484" t="str">
        <f t="shared" si="19"/>
        <v>J9005</v>
      </c>
      <c r="F150" s="484" t="str">
        <f t="shared" si="20"/>
        <v>読売/封筒</v>
      </c>
      <c r="G150" s="483"/>
      <c r="I150" s="471" t="str">
        <f t="shared" si="16"/>
        <v>J9005</v>
      </c>
      <c r="J150" s="471" t="str">
        <f t="shared" si="21"/>
        <v>読売/封筒</v>
      </c>
      <c r="M150" s="538"/>
      <c r="N150" s="533" t="s">
        <v>1324</v>
      </c>
      <c r="O150" s="533" t="s">
        <v>1325</v>
      </c>
      <c r="P150" s="534" t="str">
        <f t="shared" si="22"/>
        <v>9005</v>
      </c>
      <c r="Q150" s="534" t="str">
        <f t="shared" si="23"/>
        <v>封筒</v>
      </c>
      <c r="R150" s="538" t="str">
        <f t="shared" si="17"/>
        <v>90</v>
      </c>
      <c r="S150" s="538" t="str">
        <f t="shared" si="18"/>
        <v>05</v>
      </c>
      <c r="T150" s="471" t="s">
        <v>1136</v>
      </c>
      <c r="U150" s="538"/>
      <c r="V150" s="538"/>
      <c r="W150" s="471">
        <v>0</v>
      </c>
      <c r="X150" s="540"/>
      <c r="Y150" s="471">
        <v>0</v>
      </c>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c r="AY150" s="538"/>
      <c r="AZ150" s="538"/>
    </row>
    <row r="151" spans="1:52" s="471" customFormat="1">
      <c r="A151" s="465" t="s">
        <v>278</v>
      </c>
      <c r="B151" s="452" t="str">
        <f>VLOOKUP(A151,★新聞!$C$4:$D$12,2,FALSE)</f>
        <v>J</v>
      </c>
      <c r="C151" s="465" t="s">
        <v>980</v>
      </c>
      <c r="D151" s="452" t="str">
        <f>VLOOKUP(C151,★サイズ表記!$D$4:$E$55,2,FALSE)</f>
        <v>9006</v>
      </c>
      <c r="E151" s="484" t="str">
        <f t="shared" si="19"/>
        <v>J9006</v>
      </c>
      <c r="F151" s="484" t="str">
        <f t="shared" si="20"/>
        <v>読売/圧着</v>
      </c>
      <c r="G151" s="483"/>
      <c r="I151" s="471" t="str">
        <f t="shared" si="16"/>
        <v>J9006</v>
      </c>
      <c r="J151" s="471" t="str">
        <f t="shared" si="21"/>
        <v>読売/圧着</v>
      </c>
      <c r="M151" s="538"/>
      <c r="N151" s="533" t="s">
        <v>1324</v>
      </c>
      <c r="O151" s="533" t="s">
        <v>1325</v>
      </c>
      <c r="P151" s="534" t="str">
        <f t="shared" si="22"/>
        <v>9006</v>
      </c>
      <c r="Q151" s="534" t="str">
        <f t="shared" si="23"/>
        <v>圧着</v>
      </c>
      <c r="R151" s="538" t="str">
        <f t="shared" si="17"/>
        <v>90</v>
      </c>
      <c r="S151" s="538" t="str">
        <f t="shared" si="18"/>
        <v>06</v>
      </c>
      <c r="T151" s="471" t="s">
        <v>1136</v>
      </c>
      <c r="U151" s="538"/>
      <c r="V151" s="538"/>
      <c r="W151" s="471">
        <v>0</v>
      </c>
      <c r="X151" s="540"/>
      <c r="Y151" s="471">
        <v>0</v>
      </c>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c r="AY151" s="538"/>
      <c r="AZ151" s="538"/>
    </row>
    <row r="152" spans="1:52" s="471" customFormat="1">
      <c r="A152" s="465" t="s">
        <v>278</v>
      </c>
      <c r="B152" s="452" t="str">
        <f>VLOOKUP(A152,★新聞!$C$4:$D$12,2,FALSE)</f>
        <v>J</v>
      </c>
      <c r="C152" s="465" t="s">
        <v>981</v>
      </c>
      <c r="D152" s="452" t="str">
        <f>VLOOKUP(C152,★サイズ表記!$D$4:$E$55,2,FALSE)</f>
        <v>9007</v>
      </c>
      <c r="E152" s="484" t="str">
        <f t="shared" si="19"/>
        <v>J9007</v>
      </c>
      <c r="F152" s="484" t="str">
        <f t="shared" si="20"/>
        <v>読売/圧着厚紙</v>
      </c>
      <c r="G152" s="483"/>
      <c r="I152" s="471" t="str">
        <f t="shared" si="16"/>
        <v>J9007</v>
      </c>
      <c r="J152" s="471" t="str">
        <f t="shared" si="21"/>
        <v>読売/圧着厚紙</v>
      </c>
      <c r="M152" s="538"/>
      <c r="N152" s="533" t="s">
        <v>1324</v>
      </c>
      <c r="O152" s="533" t="s">
        <v>1325</v>
      </c>
      <c r="P152" s="534" t="str">
        <f t="shared" si="22"/>
        <v>9007</v>
      </c>
      <c r="Q152" s="534" t="str">
        <f t="shared" si="23"/>
        <v>圧着厚紙</v>
      </c>
      <c r="R152" s="538" t="str">
        <f t="shared" si="17"/>
        <v>90</v>
      </c>
      <c r="S152" s="538" t="str">
        <f t="shared" si="18"/>
        <v>07</v>
      </c>
      <c r="T152" s="471" t="s">
        <v>1136</v>
      </c>
      <c r="U152" s="538"/>
      <c r="V152" s="538"/>
      <c r="W152" s="471">
        <v>0</v>
      </c>
      <c r="X152" s="540"/>
      <c r="Y152" s="471">
        <v>0</v>
      </c>
      <c r="Z152" s="538"/>
      <c r="AA152" s="538"/>
      <c r="AB152" s="538"/>
      <c r="AC152" s="538"/>
      <c r="AD152" s="538"/>
      <c r="AE152" s="538"/>
      <c r="AF152" s="538"/>
      <c r="AG152" s="538"/>
      <c r="AH152" s="538"/>
      <c r="AI152" s="538"/>
      <c r="AJ152" s="538"/>
      <c r="AK152" s="538"/>
      <c r="AL152" s="538"/>
      <c r="AM152" s="538"/>
      <c r="AN152" s="538"/>
      <c r="AO152" s="538"/>
      <c r="AP152" s="538"/>
      <c r="AQ152" s="538"/>
      <c r="AR152" s="538"/>
      <c r="AS152" s="538"/>
      <c r="AT152" s="538"/>
      <c r="AU152" s="538"/>
      <c r="AV152" s="538"/>
      <c r="AW152" s="538"/>
      <c r="AX152" s="538"/>
      <c r="AY152" s="538"/>
      <c r="AZ152" s="538"/>
    </row>
    <row r="153" spans="1:52">
      <c r="A153" s="465" t="s">
        <v>279</v>
      </c>
      <c r="B153" s="452" t="str">
        <f>VLOOKUP(A153,★新聞!$C$4:$D$12,2,FALSE)</f>
        <v>M</v>
      </c>
      <c r="C153" s="465" t="s">
        <v>948</v>
      </c>
      <c r="D153" s="452" t="str">
        <f>VLOOKUP(C153,★サイズ表記!$D$4:$E$55,2,FALSE)</f>
        <v>1001</v>
      </c>
      <c r="E153" s="484" t="str">
        <f t="shared" si="19"/>
        <v>M1001</v>
      </c>
      <c r="F153" s="484" t="str">
        <f t="shared" si="20"/>
        <v>毎日/B4（折り無し）</v>
      </c>
      <c r="I153" s="471" t="str">
        <f>E153</f>
        <v>M1001</v>
      </c>
      <c r="J153" s="471" t="str">
        <f t="shared" si="21"/>
        <v>毎日/B4（折り無し）</v>
      </c>
      <c r="N153" s="533" t="s">
        <v>1324</v>
      </c>
      <c r="O153" s="533" t="s">
        <v>1325</v>
      </c>
      <c r="P153" s="534" t="str">
        <f t="shared" si="22"/>
        <v>1001</v>
      </c>
      <c r="Q153" s="534" t="str">
        <f t="shared" si="23"/>
        <v>B4（折り無し）</v>
      </c>
      <c r="R153" s="538" t="str">
        <f>LEFT($D153,2)</f>
        <v>10</v>
      </c>
      <c r="S153" s="538" t="str">
        <f>RIGHT($D153,2)</f>
        <v>01</v>
      </c>
      <c r="T153" s="471" t="s">
        <v>1136</v>
      </c>
      <c r="W153" s="471">
        <v>0</v>
      </c>
      <c r="X153" s="540"/>
      <c r="Y153" s="471">
        <v>0</v>
      </c>
    </row>
    <row r="154" spans="1:52">
      <c r="A154" s="465" t="s">
        <v>279</v>
      </c>
      <c r="B154" s="452" t="str">
        <f>VLOOKUP(A154,★新聞!$C$4:$D$12,2,FALSE)</f>
        <v>M</v>
      </c>
      <c r="C154" s="465" t="s">
        <v>950</v>
      </c>
      <c r="D154" s="452" t="str">
        <f>VLOOKUP(C154,★サイズ表記!$D$4:$E$55,2,FALSE)</f>
        <v>1002</v>
      </c>
      <c r="E154" s="484" t="str">
        <f t="shared" si="19"/>
        <v>M1002</v>
      </c>
      <c r="F154" s="484" t="str">
        <f t="shared" si="20"/>
        <v>毎日/B3（2つ折り）</v>
      </c>
      <c r="I154" s="471" t="str">
        <f t="shared" ref="I154:I201" si="24">E154</f>
        <v>M1002</v>
      </c>
      <c r="J154" s="471" t="str">
        <f t="shared" si="21"/>
        <v>毎日/B3（2つ折り）</v>
      </c>
      <c r="N154" s="533" t="s">
        <v>1324</v>
      </c>
      <c r="O154" s="533" t="s">
        <v>1325</v>
      </c>
      <c r="P154" s="534" t="str">
        <f t="shared" si="22"/>
        <v>1002</v>
      </c>
      <c r="Q154" s="534" t="str">
        <f t="shared" si="23"/>
        <v>B3（2つ折り）</v>
      </c>
      <c r="R154" s="538" t="str">
        <f t="shared" si="17"/>
        <v>10</v>
      </c>
      <c r="S154" s="538" t="str">
        <f t="shared" si="18"/>
        <v>02</v>
      </c>
      <c r="T154" s="471" t="s">
        <v>1136</v>
      </c>
      <c r="W154" s="471">
        <v>0</v>
      </c>
      <c r="X154" s="540"/>
      <c r="Y154" s="471">
        <v>0</v>
      </c>
    </row>
    <row r="155" spans="1:52">
      <c r="A155" s="465" t="s">
        <v>279</v>
      </c>
      <c r="B155" s="452" t="str">
        <f>VLOOKUP(A155,★新聞!$C$4:$D$12,2,FALSE)</f>
        <v>M</v>
      </c>
      <c r="C155" s="465" t="s">
        <v>951</v>
      </c>
      <c r="D155" s="452" t="str">
        <f>VLOOKUP(C155,★サイズ表記!$D$4:$E$55,2,FALSE)</f>
        <v>1003</v>
      </c>
      <c r="E155" s="484" t="str">
        <f t="shared" si="19"/>
        <v>M1003</v>
      </c>
      <c r="F155" s="484" t="str">
        <f t="shared" si="20"/>
        <v>毎日/3つ折り</v>
      </c>
      <c r="I155" s="471" t="str">
        <f t="shared" si="24"/>
        <v>M1003</v>
      </c>
      <c r="J155" s="471" t="str">
        <f t="shared" si="21"/>
        <v>毎日/3つ折り</v>
      </c>
      <c r="N155" s="533" t="s">
        <v>1324</v>
      </c>
      <c r="O155" s="533" t="s">
        <v>1325</v>
      </c>
      <c r="P155" s="534" t="str">
        <f t="shared" si="22"/>
        <v>1003</v>
      </c>
      <c r="Q155" s="534" t="str">
        <f t="shared" si="23"/>
        <v>3つ折り</v>
      </c>
      <c r="R155" s="538" t="str">
        <f t="shared" si="17"/>
        <v>10</v>
      </c>
      <c r="S155" s="538" t="str">
        <f t="shared" si="18"/>
        <v>03</v>
      </c>
      <c r="T155" s="471" t="s">
        <v>1136</v>
      </c>
      <c r="W155" s="471">
        <v>0</v>
      </c>
      <c r="X155" s="540"/>
      <c r="Y155" s="471">
        <v>0</v>
      </c>
    </row>
    <row r="156" spans="1:52">
      <c r="A156" s="465" t="s">
        <v>279</v>
      </c>
      <c r="B156" s="452" t="str">
        <f>VLOOKUP(A156,★新聞!$C$4:$D$12,2,FALSE)</f>
        <v>M</v>
      </c>
      <c r="C156" s="465" t="s">
        <v>947</v>
      </c>
      <c r="D156" s="452" t="str">
        <f>VLOOKUP(C156,★サイズ表記!$D$4:$E$55,2,FALSE)</f>
        <v>1004</v>
      </c>
      <c r="E156" s="484" t="str">
        <f t="shared" si="19"/>
        <v>M1004</v>
      </c>
      <c r="F156" s="484" t="str">
        <f t="shared" si="20"/>
        <v>毎日/観音折</v>
      </c>
      <c r="I156" s="471" t="str">
        <f t="shared" si="24"/>
        <v>M1004</v>
      </c>
      <c r="J156" s="471" t="str">
        <f t="shared" si="21"/>
        <v>毎日/観音折</v>
      </c>
      <c r="N156" s="533" t="s">
        <v>1324</v>
      </c>
      <c r="O156" s="533" t="s">
        <v>1325</v>
      </c>
      <c r="P156" s="534" t="str">
        <f t="shared" si="22"/>
        <v>1004</v>
      </c>
      <c r="Q156" s="534" t="str">
        <f t="shared" si="23"/>
        <v>観音折</v>
      </c>
      <c r="R156" s="538" t="str">
        <f t="shared" si="17"/>
        <v>10</v>
      </c>
      <c r="S156" s="538" t="str">
        <f t="shared" si="18"/>
        <v>04</v>
      </c>
      <c r="T156" s="471" t="s">
        <v>1136</v>
      </c>
      <c r="W156" s="471">
        <v>0</v>
      </c>
      <c r="X156" s="540"/>
      <c r="Y156" s="471">
        <v>0</v>
      </c>
    </row>
    <row r="157" spans="1:52">
      <c r="A157" s="465" t="s">
        <v>279</v>
      </c>
      <c r="B157" s="452" t="str">
        <f>VLOOKUP(A157,★新聞!$C$4:$D$12,2,FALSE)</f>
        <v>M</v>
      </c>
      <c r="C157" s="465" t="s">
        <v>952</v>
      </c>
      <c r="D157" s="452" t="str">
        <f>VLOOKUP(C157,★サイズ表記!$D$4:$E$55,2,FALSE)</f>
        <v>1005</v>
      </c>
      <c r="E157" s="484" t="str">
        <f t="shared" si="19"/>
        <v>M1005</v>
      </c>
      <c r="F157" s="484" t="str">
        <f t="shared" si="20"/>
        <v>毎日/B2（4つ折り）</v>
      </c>
      <c r="I157" s="471" t="str">
        <f t="shared" si="24"/>
        <v>M1005</v>
      </c>
      <c r="J157" s="471" t="str">
        <f t="shared" si="21"/>
        <v>毎日/B2（4つ折り）</v>
      </c>
      <c r="N157" s="533" t="s">
        <v>1324</v>
      </c>
      <c r="O157" s="533" t="s">
        <v>1325</v>
      </c>
      <c r="P157" s="534" t="str">
        <f t="shared" si="22"/>
        <v>1005</v>
      </c>
      <c r="Q157" s="534" t="str">
        <f t="shared" si="23"/>
        <v>B2（4つ折り）</v>
      </c>
      <c r="R157" s="538" t="str">
        <f t="shared" si="17"/>
        <v>10</v>
      </c>
      <c r="S157" s="538" t="str">
        <f t="shared" si="18"/>
        <v>05</v>
      </c>
      <c r="T157" s="471" t="s">
        <v>1136</v>
      </c>
      <c r="W157" s="471">
        <v>0</v>
      </c>
      <c r="X157" s="540"/>
      <c r="Y157" s="471">
        <v>0</v>
      </c>
    </row>
    <row r="158" spans="1:52">
      <c r="A158" s="465" t="s">
        <v>279</v>
      </c>
      <c r="B158" s="452" t="str">
        <f>VLOOKUP(A158,★新聞!$C$4:$D$12,2,FALSE)</f>
        <v>M</v>
      </c>
      <c r="C158" s="465" t="s">
        <v>955</v>
      </c>
      <c r="D158" s="452" t="str">
        <f>VLOOKUP(C158,★サイズ表記!$D$4:$E$55,2,FALSE)</f>
        <v>1006</v>
      </c>
      <c r="E158" s="484" t="str">
        <f t="shared" si="19"/>
        <v>M1006</v>
      </c>
      <c r="F158" s="484" t="str">
        <f t="shared" si="20"/>
        <v>毎日/B1（8折り）</v>
      </c>
      <c r="I158" s="471" t="str">
        <f t="shared" si="24"/>
        <v>M1006</v>
      </c>
      <c r="J158" s="471" t="str">
        <f t="shared" si="21"/>
        <v>毎日/B1（8折り）</v>
      </c>
      <c r="N158" s="533" t="s">
        <v>1324</v>
      </c>
      <c r="O158" s="533" t="s">
        <v>1325</v>
      </c>
      <c r="P158" s="534" t="str">
        <f t="shared" si="22"/>
        <v>1006</v>
      </c>
      <c r="Q158" s="534" t="str">
        <f t="shared" si="23"/>
        <v>B1（8折り）</v>
      </c>
      <c r="R158" s="538" t="str">
        <f t="shared" si="17"/>
        <v>10</v>
      </c>
      <c r="S158" s="538" t="str">
        <f t="shared" si="18"/>
        <v>06</v>
      </c>
      <c r="T158" s="471" t="s">
        <v>1136</v>
      </c>
      <c r="W158" s="471">
        <v>0</v>
      </c>
      <c r="X158" s="540"/>
      <c r="Y158" s="471">
        <v>0</v>
      </c>
    </row>
    <row r="159" spans="1:52">
      <c r="A159" s="465" t="s">
        <v>279</v>
      </c>
      <c r="B159" s="452" t="str">
        <f>VLOOKUP(A159,★新聞!$C$4:$D$12,2,FALSE)</f>
        <v>M</v>
      </c>
      <c r="C159" s="465" t="s">
        <v>956</v>
      </c>
      <c r="D159" s="452" t="str">
        <f>VLOOKUP(C159,★サイズ表記!$D$4:$E$55,2,FALSE)</f>
        <v>1007</v>
      </c>
      <c r="E159" s="484" t="str">
        <f t="shared" si="19"/>
        <v>M1007</v>
      </c>
      <c r="F159" s="484" t="str">
        <f t="shared" si="20"/>
        <v>毎日/B4厚紙</v>
      </c>
      <c r="I159" s="471" t="str">
        <f t="shared" si="24"/>
        <v>M1007</v>
      </c>
      <c r="J159" s="471" t="str">
        <f t="shared" si="21"/>
        <v>毎日/B4厚紙</v>
      </c>
      <c r="N159" s="533" t="s">
        <v>1324</v>
      </c>
      <c r="O159" s="533" t="s">
        <v>1325</v>
      </c>
      <c r="P159" s="534" t="str">
        <f t="shared" si="22"/>
        <v>1007</v>
      </c>
      <c r="Q159" s="534" t="str">
        <f t="shared" si="23"/>
        <v>B4厚紙</v>
      </c>
      <c r="R159" s="538" t="str">
        <f t="shared" si="17"/>
        <v>10</v>
      </c>
      <c r="S159" s="538" t="str">
        <f t="shared" si="18"/>
        <v>07</v>
      </c>
      <c r="T159" s="471" t="s">
        <v>1136</v>
      </c>
      <c r="W159" s="471">
        <v>0</v>
      </c>
      <c r="X159" s="540"/>
      <c r="Y159" s="471">
        <v>0</v>
      </c>
    </row>
    <row r="160" spans="1:52">
      <c r="A160" s="465" t="s">
        <v>279</v>
      </c>
      <c r="B160" s="452" t="str">
        <f>VLOOKUP(A160,★新聞!$C$4:$D$12,2,FALSE)</f>
        <v>M</v>
      </c>
      <c r="C160" s="465" t="s">
        <v>957</v>
      </c>
      <c r="D160" s="452" t="str">
        <f>VLOOKUP(C160,★サイズ表記!$D$4:$E$55,2,FALSE)</f>
        <v>1008</v>
      </c>
      <c r="E160" s="484" t="str">
        <f t="shared" si="19"/>
        <v>M1008</v>
      </c>
      <c r="F160" s="484" t="str">
        <f t="shared" si="20"/>
        <v>毎日/B3厚紙</v>
      </c>
      <c r="I160" s="471" t="str">
        <f t="shared" si="24"/>
        <v>M1008</v>
      </c>
      <c r="J160" s="471" t="str">
        <f t="shared" si="21"/>
        <v>毎日/B3厚紙</v>
      </c>
      <c r="N160" s="533" t="s">
        <v>1324</v>
      </c>
      <c r="O160" s="533" t="s">
        <v>1325</v>
      </c>
      <c r="P160" s="534" t="str">
        <f t="shared" si="22"/>
        <v>1008</v>
      </c>
      <c r="Q160" s="534" t="str">
        <f t="shared" si="23"/>
        <v>B3厚紙</v>
      </c>
      <c r="R160" s="538" t="str">
        <f t="shared" si="17"/>
        <v>10</v>
      </c>
      <c r="S160" s="538" t="str">
        <f t="shared" si="18"/>
        <v>08</v>
      </c>
      <c r="T160" s="471" t="s">
        <v>1136</v>
      </c>
      <c r="W160" s="471">
        <v>0</v>
      </c>
      <c r="X160" s="540"/>
      <c r="Y160" s="471">
        <v>0</v>
      </c>
    </row>
    <row r="161" spans="1:52">
      <c r="A161" s="465" t="s">
        <v>279</v>
      </c>
      <c r="B161" s="452" t="str">
        <f>VLOOKUP(A161,★新聞!$C$4:$D$12,2,FALSE)</f>
        <v>M</v>
      </c>
      <c r="C161" s="465" t="s">
        <v>958</v>
      </c>
      <c r="D161" s="452" t="str">
        <f>VLOOKUP(C161,★サイズ表記!$D$4:$E$55,2,FALSE)</f>
        <v>1009</v>
      </c>
      <c r="E161" s="484" t="str">
        <f t="shared" si="19"/>
        <v>M1009</v>
      </c>
      <c r="F161" s="484" t="str">
        <f t="shared" si="20"/>
        <v>毎日/B2厚紙</v>
      </c>
      <c r="I161" s="471" t="str">
        <f t="shared" si="24"/>
        <v>M1009</v>
      </c>
      <c r="J161" s="471" t="str">
        <f t="shared" si="21"/>
        <v>毎日/B2厚紙</v>
      </c>
      <c r="N161" s="533" t="s">
        <v>1324</v>
      </c>
      <c r="O161" s="533" t="s">
        <v>1325</v>
      </c>
      <c r="P161" s="534" t="str">
        <f t="shared" si="22"/>
        <v>1009</v>
      </c>
      <c r="Q161" s="534" t="str">
        <f t="shared" si="23"/>
        <v>B2厚紙</v>
      </c>
      <c r="R161" s="538" t="str">
        <f t="shared" si="17"/>
        <v>10</v>
      </c>
      <c r="S161" s="538" t="str">
        <f t="shared" si="18"/>
        <v>09</v>
      </c>
      <c r="T161" s="471" t="s">
        <v>1136</v>
      </c>
      <c r="W161" s="471">
        <v>0</v>
      </c>
      <c r="X161" s="540"/>
      <c r="Y161" s="471">
        <v>0</v>
      </c>
    </row>
    <row r="162" spans="1:52">
      <c r="A162" s="465" t="s">
        <v>279</v>
      </c>
      <c r="B162" s="452" t="str">
        <f>VLOOKUP(A162,★新聞!$C$4:$D$12,2,FALSE)</f>
        <v>M</v>
      </c>
      <c r="C162" s="465" t="s">
        <v>959</v>
      </c>
      <c r="D162" s="452" t="str">
        <f>VLOOKUP(C162,★サイズ表記!$D$4:$E$55,2,FALSE)</f>
        <v>1010</v>
      </c>
      <c r="E162" s="484" t="str">
        <f t="shared" si="19"/>
        <v>M1010</v>
      </c>
      <c r="F162" s="484" t="str">
        <f t="shared" si="20"/>
        <v>毎日/B4以下変形</v>
      </c>
      <c r="I162" s="471" t="str">
        <f t="shared" si="24"/>
        <v>M1010</v>
      </c>
      <c r="J162" s="471" t="str">
        <f t="shared" si="21"/>
        <v>毎日/B4以下変形</v>
      </c>
      <c r="N162" s="533" t="s">
        <v>1324</v>
      </c>
      <c r="O162" s="533" t="s">
        <v>1325</v>
      </c>
      <c r="P162" s="534" t="str">
        <f t="shared" si="22"/>
        <v>1010</v>
      </c>
      <c r="Q162" s="534" t="str">
        <f t="shared" si="23"/>
        <v>B4以下変形</v>
      </c>
      <c r="R162" s="538" t="str">
        <f t="shared" si="17"/>
        <v>10</v>
      </c>
      <c r="S162" s="538" t="str">
        <f t="shared" si="18"/>
        <v>10</v>
      </c>
      <c r="T162" s="471" t="s">
        <v>1136</v>
      </c>
      <c r="W162" s="471">
        <v>0</v>
      </c>
      <c r="X162" s="540"/>
      <c r="Y162" s="471">
        <v>0</v>
      </c>
    </row>
    <row r="163" spans="1:52">
      <c r="A163" s="465" t="s">
        <v>279</v>
      </c>
      <c r="B163" s="452" t="str">
        <f>VLOOKUP(A163,★新聞!$C$4:$D$12,2,FALSE)</f>
        <v>M</v>
      </c>
      <c r="C163" s="465" t="s">
        <v>960</v>
      </c>
      <c r="D163" s="452" t="str">
        <f>VLOOKUP(C163,★サイズ表記!$D$4:$E$55,2,FALSE)</f>
        <v>1011</v>
      </c>
      <c r="E163" s="484" t="str">
        <f t="shared" si="19"/>
        <v>M1011</v>
      </c>
      <c r="F163" s="484" t="str">
        <f t="shared" si="20"/>
        <v>毎日/B4シール付き</v>
      </c>
      <c r="I163" s="471" t="str">
        <f t="shared" si="24"/>
        <v>M1011</v>
      </c>
      <c r="J163" s="471" t="str">
        <f t="shared" si="21"/>
        <v>毎日/B4シール付き</v>
      </c>
      <c r="N163" s="533" t="s">
        <v>1324</v>
      </c>
      <c r="O163" s="533" t="s">
        <v>1325</v>
      </c>
      <c r="P163" s="534" t="str">
        <f t="shared" si="22"/>
        <v>1011</v>
      </c>
      <c r="Q163" s="534" t="str">
        <f t="shared" si="23"/>
        <v>B4シール付き</v>
      </c>
      <c r="R163" s="538" t="str">
        <f t="shared" si="17"/>
        <v>10</v>
      </c>
      <c r="S163" s="538" t="str">
        <f t="shared" si="18"/>
        <v>11</v>
      </c>
      <c r="T163" s="471" t="s">
        <v>1136</v>
      </c>
      <c r="W163" s="471">
        <v>0</v>
      </c>
      <c r="X163" s="540"/>
      <c r="Y163" s="471">
        <v>0</v>
      </c>
    </row>
    <row r="164" spans="1:52" s="471" customFormat="1">
      <c r="A164" s="465" t="s">
        <v>279</v>
      </c>
      <c r="B164" s="452" t="str">
        <f>VLOOKUP(A164,★新聞!$C$4:$D$12,2,FALSE)</f>
        <v>M</v>
      </c>
      <c r="C164" s="465" t="s">
        <v>961</v>
      </c>
      <c r="D164" s="452" t="str">
        <f>VLOOKUP(C164,★サイズ表記!$D$4:$E$55,2,FALSE)</f>
        <v>1012</v>
      </c>
      <c r="E164" s="484" t="str">
        <f t="shared" si="19"/>
        <v>M1012</v>
      </c>
      <c r="F164" s="484" t="str">
        <f t="shared" si="20"/>
        <v>毎日/B3シール付き</v>
      </c>
      <c r="G164" s="483"/>
      <c r="I164" s="471" t="str">
        <f t="shared" si="24"/>
        <v>M1012</v>
      </c>
      <c r="J164" s="471" t="str">
        <f t="shared" si="21"/>
        <v>毎日/B3シール付き</v>
      </c>
      <c r="M164" s="538"/>
      <c r="N164" s="533" t="s">
        <v>1324</v>
      </c>
      <c r="O164" s="533" t="s">
        <v>1325</v>
      </c>
      <c r="P164" s="534" t="str">
        <f t="shared" si="22"/>
        <v>1012</v>
      </c>
      <c r="Q164" s="534" t="str">
        <f t="shared" si="23"/>
        <v>B3シール付き</v>
      </c>
      <c r="R164" s="538" t="str">
        <f t="shared" si="17"/>
        <v>10</v>
      </c>
      <c r="S164" s="538" t="str">
        <f t="shared" si="18"/>
        <v>12</v>
      </c>
      <c r="T164" s="471" t="s">
        <v>1136</v>
      </c>
      <c r="U164" s="538"/>
      <c r="V164" s="538"/>
      <c r="W164" s="471">
        <v>0</v>
      </c>
      <c r="X164" s="540"/>
      <c r="Y164" s="471">
        <v>0</v>
      </c>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538"/>
      <c r="AY164" s="538"/>
      <c r="AZ164" s="538"/>
    </row>
    <row r="165" spans="1:52" s="471" customFormat="1">
      <c r="A165" s="465" t="s">
        <v>279</v>
      </c>
      <c r="B165" s="452" t="str">
        <f>VLOOKUP(A165,★新聞!$C$4:$D$12,2,FALSE)</f>
        <v>M</v>
      </c>
      <c r="C165" s="465" t="s">
        <v>962</v>
      </c>
      <c r="D165" s="452" t="str">
        <f>VLOOKUP(C165,★サイズ表記!$D$4:$E$55,2,FALSE)</f>
        <v>1013</v>
      </c>
      <c r="E165" s="484" t="str">
        <f t="shared" si="19"/>
        <v>M1013</v>
      </c>
      <c r="F165" s="484" t="str">
        <f t="shared" si="20"/>
        <v>毎日/B4スクラッチ付き</v>
      </c>
      <c r="G165" s="483"/>
      <c r="I165" s="471" t="str">
        <f t="shared" si="24"/>
        <v>M1013</v>
      </c>
      <c r="J165" s="471" t="str">
        <f t="shared" si="21"/>
        <v>毎日/B4スクラッチ付き</v>
      </c>
      <c r="M165" s="538"/>
      <c r="N165" s="533" t="s">
        <v>1324</v>
      </c>
      <c r="O165" s="533" t="s">
        <v>1325</v>
      </c>
      <c r="P165" s="534" t="str">
        <f t="shared" si="22"/>
        <v>1013</v>
      </c>
      <c r="Q165" s="534" t="str">
        <f t="shared" si="23"/>
        <v>B4スクラッチ付き</v>
      </c>
      <c r="R165" s="538" t="str">
        <f t="shared" si="17"/>
        <v>10</v>
      </c>
      <c r="S165" s="538" t="str">
        <f t="shared" si="18"/>
        <v>13</v>
      </c>
      <c r="T165" s="471" t="s">
        <v>1136</v>
      </c>
      <c r="U165" s="538"/>
      <c r="V165" s="538"/>
      <c r="W165" s="471">
        <v>0</v>
      </c>
      <c r="X165" s="540"/>
      <c r="Y165" s="471">
        <v>0</v>
      </c>
      <c r="Z165" s="538"/>
      <c r="AA165" s="538"/>
      <c r="AB165" s="538"/>
      <c r="AC165" s="538"/>
      <c r="AD165" s="538"/>
      <c r="AE165" s="538"/>
      <c r="AF165" s="538"/>
      <c r="AG165" s="538"/>
      <c r="AH165" s="538"/>
      <c r="AI165" s="538"/>
      <c r="AJ165" s="538"/>
      <c r="AK165" s="538"/>
      <c r="AL165" s="538"/>
      <c r="AM165" s="538"/>
      <c r="AN165" s="538"/>
      <c r="AO165" s="538"/>
      <c r="AP165" s="538"/>
      <c r="AQ165" s="538"/>
      <c r="AR165" s="538"/>
      <c r="AS165" s="538"/>
      <c r="AT165" s="538"/>
      <c r="AU165" s="538"/>
      <c r="AV165" s="538"/>
      <c r="AW165" s="538"/>
      <c r="AX165" s="538"/>
      <c r="AY165" s="538"/>
      <c r="AZ165" s="538"/>
    </row>
    <row r="166" spans="1:52" s="471" customFormat="1">
      <c r="A166" s="465" t="s">
        <v>279</v>
      </c>
      <c r="B166" s="452" t="str">
        <f>VLOOKUP(A166,★新聞!$C$4:$D$12,2,FALSE)</f>
        <v>M</v>
      </c>
      <c r="C166" s="465" t="s">
        <v>963</v>
      </c>
      <c r="D166" s="452" t="str">
        <f>VLOOKUP(C166,★サイズ表記!$D$4:$E$55,2,FALSE)</f>
        <v>2001</v>
      </c>
      <c r="E166" s="484" t="str">
        <f t="shared" si="19"/>
        <v>M2001</v>
      </c>
      <c r="F166" s="484" t="str">
        <f t="shared" si="20"/>
        <v>毎日/連合B4</v>
      </c>
      <c r="G166" s="483"/>
      <c r="I166" s="471" t="str">
        <f t="shared" si="24"/>
        <v>M2001</v>
      </c>
      <c r="J166" s="471" t="str">
        <f t="shared" si="21"/>
        <v>毎日/連合B4</v>
      </c>
      <c r="M166" s="538"/>
      <c r="N166" s="533" t="s">
        <v>1324</v>
      </c>
      <c r="O166" s="533" t="s">
        <v>1325</v>
      </c>
      <c r="P166" s="534" t="str">
        <f t="shared" si="22"/>
        <v>2001</v>
      </c>
      <c r="Q166" s="534" t="str">
        <f t="shared" si="23"/>
        <v>連合B4</v>
      </c>
      <c r="R166" s="538" t="str">
        <f t="shared" si="17"/>
        <v>20</v>
      </c>
      <c r="S166" s="538" t="str">
        <f t="shared" si="18"/>
        <v>01</v>
      </c>
      <c r="T166" s="471" t="s">
        <v>1136</v>
      </c>
      <c r="U166" s="538"/>
      <c r="V166" s="538"/>
      <c r="W166" s="471">
        <v>0</v>
      </c>
      <c r="X166" s="540"/>
      <c r="Y166" s="471">
        <v>0</v>
      </c>
      <c r="Z166" s="538"/>
      <c r="AA166" s="538"/>
      <c r="AB166" s="538"/>
      <c r="AC166" s="538"/>
      <c r="AD166" s="538"/>
      <c r="AE166" s="538"/>
      <c r="AF166" s="538"/>
      <c r="AG166" s="538"/>
      <c r="AH166" s="538"/>
      <c r="AI166" s="538"/>
      <c r="AJ166" s="538"/>
      <c r="AK166" s="538"/>
      <c r="AL166" s="538"/>
      <c r="AM166" s="538"/>
      <c r="AN166" s="538"/>
      <c r="AO166" s="538"/>
      <c r="AP166" s="538"/>
      <c r="AQ166" s="538"/>
      <c r="AR166" s="538"/>
      <c r="AS166" s="538"/>
      <c r="AT166" s="538"/>
      <c r="AU166" s="538"/>
      <c r="AV166" s="538"/>
      <c r="AW166" s="538"/>
      <c r="AX166" s="538"/>
      <c r="AY166" s="538"/>
      <c r="AZ166" s="538"/>
    </row>
    <row r="167" spans="1:52" s="471" customFormat="1">
      <c r="A167" s="465" t="s">
        <v>279</v>
      </c>
      <c r="B167" s="452" t="str">
        <f>VLOOKUP(A167,★新聞!$C$4:$D$12,2,FALSE)</f>
        <v>M</v>
      </c>
      <c r="C167" s="465" t="s">
        <v>964</v>
      </c>
      <c r="D167" s="452" t="str">
        <f>VLOOKUP(C167,★サイズ表記!$D$4:$E$55,2,FALSE)</f>
        <v>2002</v>
      </c>
      <c r="E167" s="484" t="str">
        <f t="shared" si="19"/>
        <v>M2002</v>
      </c>
      <c r="F167" s="484" t="str">
        <f t="shared" si="20"/>
        <v>毎日/連合B3</v>
      </c>
      <c r="G167" s="483"/>
      <c r="I167" s="471" t="str">
        <f t="shared" si="24"/>
        <v>M2002</v>
      </c>
      <c r="J167" s="471" t="str">
        <f t="shared" si="21"/>
        <v>毎日/連合B3</v>
      </c>
      <c r="M167" s="538"/>
      <c r="N167" s="533" t="s">
        <v>1324</v>
      </c>
      <c r="O167" s="533" t="s">
        <v>1325</v>
      </c>
      <c r="P167" s="534" t="str">
        <f t="shared" si="22"/>
        <v>2002</v>
      </c>
      <c r="Q167" s="534" t="str">
        <f t="shared" si="23"/>
        <v>連合B3</v>
      </c>
      <c r="R167" s="538" t="str">
        <f t="shared" si="17"/>
        <v>20</v>
      </c>
      <c r="S167" s="538" t="str">
        <f t="shared" si="18"/>
        <v>02</v>
      </c>
      <c r="T167" s="471" t="s">
        <v>1136</v>
      </c>
      <c r="U167" s="538"/>
      <c r="V167" s="538"/>
      <c r="W167" s="471">
        <v>0</v>
      </c>
      <c r="X167" s="540"/>
      <c r="Y167" s="471">
        <v>0</v>
      </c>
      <c r="Z167" s="538"/>
      <c r="AA167" s="538"/>
      <c r="AB167" s="538"/>
      <c r="AC167" s="538"/>
      <c r="AD167" s="538"/>
      <c r="AE167" s="538"/>
      <c r="AF167" s="538"/>
      <c r="AG167" s="538"/>
      <c r="AH167" s="538"/>
      <c r="AI167" s="538"/>
      <c r="AJ167" s="538"/>
      <c r="AK167" s="538"/>
      <c r="AL167" s="538"/>
      <c r="AM167" s="538"/>
      <c r="AN167" s="538"/>
      <c r="AO167" s="538"/>
      <c r="AP167" s="538"/>
      <c r="AQ167" s="538"/>
      <c r="AR167" s="538"/>
      <c r="AS167" s="538"/>
      <c r="AT167" s="538"/>
      <c r="AU167" s="538"/>
      <c r="AV167" s="538"/>
      <c r="AW167" s="538"/>
      <c r="AX167" s="538"/>
      <c r="AY167" s="538"/>
      <c r="AZ167" s="538"/>
    </row>
    <row r="168" spans="1:52" s="471" customFormat="1">
      <c r="A168" s="465" t="s">
        <v>279</v>
      </c>
      <c r="B168" s="452" t="str">
        <f>VLOOKUP(A168,★新聞!$C$4:$D$12,2,FALSE)</f>
        <v>M</v>
      </c>
      <c r="C168" s="465" t="s">
        <v>965</v>
      </c>
      <c r="D168" s="452" t="str">
        <f>VLOOKUP(C168,★サイズ表記!$D$4:$E$55,2,FALSE)</f>
        <v>2003</v>
      </c>
      <c r="E168" s="484" t="str">
        <f t="shared" si="19"/>
        <v>M2003</v>
      </c>
      <c r="F168" s="484" t="str">
        <f t="shared" si="20"/>
        <v>毎日/連合B2</v>
      </c>
      <c r="G168" s="483"/>
      <c r="I168" s="471" t="str">
        <f t="shared" si="24"/>
        <v>M2003</v>
      </c>
      <c r="J168" s="471" t="str">
        <f t="shared" si="21"/>
        <v>毎日/連合B2</v>
      </c>
      <c r="M168" s="538"/>
      <c r="N168" s="533" t="s">
        <v>1324</v>
      </c>
      <c r="O168" s="533" t="s">
        <v>1325</v>
      </c>
      <c r="P168" s="534" t="str">
        <f t="shared" si="22"/>
        <v>2003</v>
      </c>
      <c r="Q168" s="534" t="str">
        <f t="shared" si="23"/>
        <v>連合B2</v>
      </c>
      <c r="R168" s="538" t="str">
        <f t="shared" si="17"/>
        <v>20</v>
      </c>
      <c r="S168" s="538" t="str">
        <f t="shared" si="18"/>
        <v>03</v>
      </c>
      <c r="T168" s="471" t="s">
        <v>1136</v>
      </c>
      <c r="U168" s="538"/>
      <c r="V168" s="538"/>
      <c r="W168" s="471">
        <v>0</v>
      </c>
      <c r="X168" s="540"/>
      <c r="Y168" s="471">
        <v>0</v>
      </c>
      <c r="Z168" s="538"/>
      <c r="AA168" s="538"/>
      <c r="AB168" s="538"/>
      <c r="AC168" s="538"/>
      <c r="AD168" s="538"/>
      <c r="AE168" s="538"/>
      <c r="AF168" s="538"/>
      <c r="AG168" s="538"/>
      <c r="AH168" s="538"/>
      <c r="AI168" s="538"/>
      <c r="AJ168" s="538"/>
      <c r="AK168" s="538"/>
      <c r="AL168" s="538"/>
      <c r="AM168" s="538"/>
      <c r="AN168" s="538"/>
      <c r="AO168" s="538"/>
      <c r="AP168" s="538"/>
      <c r="AQ168" s="538"/>
      <c r="AR168" s="538"/>
      <c r="AS168" s="538"/>
      <c r="AT168" s="538"/>
      <c r="AU168" s="538"/>
      <c r="AV168" s="538"/>
      <c r="AW168" s="538"/>
      <c r="AX168" s="538"/>
      <c r="AY168" s="538"/>
      <c r="AZ168" s="538"/>
    </row>
    <row r="169" spans="1:52" s="471" customFormat="1">
      <c r="A169" s="465" t="s">
        <v>279</v>
      </c>
      <c r="B169" s="452" t="str">
        <f>VLOOKUP(A169,★新聞!$C$4:$D$12,2,FALSE)</f>
        <v>M</v>
      </c>
      <c r="C169" s="465" t="s">
        <v>966</v>
      </c>
      <c r="D169" s="452" t="str">
        <f>VLOOKUP(C169,★サイズ表記!$D$4:$E$55,2,FALSE)</f>
        <v>2004</v>
      </c>
      <c r="E169" s="484" t="str">
        <f t="shared" si="19"/>
        <v>M2004</v>
      </c>
      <c r="F169" s="484" t="str">
        <f t="shared" si="20"/>
        <v>毎日/連合3つ折り</v>
      </c>
      <c r="G169" s="483"/>
      <c r="I169" s="471" t="str">
        <f t="shared" si="24"/>
        <v>M2004</v>
      </c>
      <c r="J169" s="471" t="str">
        <f t="shared" si="21"/>
        <v>毎日/連合3つ折り</v>
      </c>
      <c r="M169" s="538"/>
      <c r="N169" s="533" t="s">
        <v>1324</v>
      </c>
      <c r="O169" s="533" t="s">
        <v>1325</v>
      </c>
      <c r="P169" s="534" t="str">
        <f t="shared" si="22"/>
        <v>2004</v>
      </c>
      <c r="Q169" s="534" t="str">
        <f t="shared" si="23"/>
        <v>連合3つ折り</v>
      </c>
      <c r="R169" s="538" t="str">
        <f t="shared" ref="R169:R201" si="25">LEFT($D169,2)</f>
        <v>20</v>
      </c>
      <c r="S169" s="538" t="str">
        <f t="shared" ref="S169:S201" si="26">RIGHT($D169,2)</f>
        <v>04</v>
      </c>
      <c r="T169" s="471" t="s">
        <v>1136</v>
      </c>
      <c r="U169" s="538"/>
      <c r="V169" s="538"/>
      <c r="W169" s="471">
        <v>0</v>
      </c>
      <c r="X169" s="540"/>
      <c r="Y169" s="471">
        <v>0</v>
      </c>
      <c r="Z169" s="538"/>
      <c r="AA169" s="538"/>
      <c r="AB169" s="538"/>
      <c r="AC169" s="538"/>
      <c r="AD169" s="538"/>
      <c r="AE169" s="538"/>
      <c r="AF169" s="538"/>
      <c r="AG169" s="538"/>
      <c r="AH169" s="538"/>
      <c r="AI169" s="538"/>
      <c r="AJ169" s="538"/>
      <c r="AK169" s="538"/>
      <c r="AL169" s="538"/>
      <c r="AM169" s="538"/>
      <c r="AN169" s="538"/>
      <c r="AO169" s="538"/>
      <c r="AP169" s="538"/>
      <c r="AQ169" s="538"/>
      <c r="AR169" s="538"/>
      <c r="AS169" s="538"/>
      <c r="AT169" s="538"/>
      <c r="AU169" s="538"/>
      <c r="AV169" s="538"/>
      <c r="AW169" s="538"/>
      <c r="AX169" s="538"/>
      <c r="AY169" s="538"/>
      <c r="AZ169" s="538"/>
    </row>
    <row r="170" spans="1:52" s="471" customFormat="1">
      <c r="A170" s="465" t="s">
        <v>279</v>
      </c>
      <c r="B170" s="452" t="str">
        <f>VLOOKUP(A170,★新聞!$C$4:$D$12,2,FALSE)</f>
        <v>M</v>
      </c>
      <c r="C170" s="465" t="s">
        <v>967</v>
      </c>
      <c r="D170" s="452" t="str">
        <f>VLOOKUP(C170,★サイズ表記!$D$4:$E$55,2,FALSE)</f>
        <v>2005</v>
      </c>
      <c r="E170" s="484" t="str">
        <f t="shared" si="19"/>
        <v>M2005</v>
      </c>
      <c r="F170" s="484" t="str">
        <f t="shared" si="20"/>
        <v>毎日/連合B4厚紙</v>
      </c>
      <c r="G170" s="483"/>
      <c r="I170" s="471" t="str">
        <f t="shared" si="24"/>
        <v>M2005</v>
      </c>
      <c r="J170" s="471" t="str">
        <f t="shared" si="21"/>
        <v>毎日/連合B4厚紙</v>
      </c>
      <c r="M170" s="538"/>
      <c r="N170" s="533" t="s">
        <v>1324</v>
      </c>
      <c r="O170" s="533" t="s">
        <v>1325</v>
      </c>
      <c r="P170" s="534" t="str">
        <f t="shared" si="22"/>
        <v>2005</v>
      </c>
      <c r="Q170" s="534" t="str">
        <f t="shared" si="23"/>
        <v>連合B4厚紙</v>
      </c>
      <c r="R170" s="538" t="str">
        <f t="shared" si="25"/>
        <v>20</v>
      </c>
      <c r="S170" s="538" t="str">
        <f t="shared" si="26"/>
        <v>05</v>
      </c>
      <c r="T170" s="471" t="s">
        <v>1136</v>
      </c>
      <c r="U170" s="538"/>
      <c r="V170" s="538"/>
      <c r="W170" s="471">
        <v>0</v>
      </c>
      <c r="X170" s="540"/>
      <c r="Y170" s="471">
        <v>0</v>
      </c>
      <c r="Z170" s="538"/>
      <c r="AA170" s="538"/>
      <c r="AB170" s="538"/>
      <c r="AC170" s="538"/>
      <c r="AD170" s="538"/>
      <c r="AE170" s="538"/>
      <c r="AF170" s="538"/>
      <c r="AG170" s="538"/>
      <c r="AH170" s="538"/>
      <c r="AI170" s="538"/>
      <c r="AJ170" s="538"/>
      <c r="AK170" s="538"/>
      <c r="AL170" s="538"/>
      <c r="AM170" s="538"/>
      <c r="AN170" s="538"/>
      <c r="AO170" s="538"/>
      <c r="AP170" s="538"/>
      <c r="AQ170" s="538"/>
      <c r="AR170" s="538"/>
      <c r="AS170" s="538"/>
      <c r="AT170" s="538"/>
      <c r="AU170" s="538"/>
      <c r="AV170" s="538"/>
      <c r="AW170" s="538"/>
      <c r="AX170" s="538"/>
      <c r="AY170" s="538"/>
      <c r="AZ170" s="538"/>
    </row>
    <row r="171" spans="1:52" s="471" customFormat="1">
      <c r="A171" s="465" t="s">
        <v>279</v>
      </c>
      <c r="B171" s="452" t="str">
        <f>VLOOKUP(A171,★新聞!$C$4:$D$12,2,FALSE)</f>
        <v>M</v>
      </c>
      <c r="C171" s="465" t="s">
        <v>968</v>
      </c>
      <c r="D171" s="452" t="str">
        <f>VLOOKUP(C171,★サイズ表記!$D$4:$E$55,2,FALSE)</f>
        <v>2006</v>
      </c>
      <c r="E171" s="484" t="str">
        <f t="shared" si="19"/>
        <v>M2006</v>
      </c>
      <c r="F171" s="484" t="str">
        <f t="shared" si="20"/>
        <v>毎日/連合2つ折り極小</v>
      </c>
      <c r="G171" s="483"/>
      <c r="I171" s="471" t="str">
        <f t="shared" si="24"/>
        <v>M2006</v>
      </c>
      <c r="J171" s="471" t="str">
        <f t="shared" si="21"/>
        <v>毎日/連合2つ折り極小</v>
      </c>
      <c r="M171" s="538"/>
      <c r="N171" s="533" t="s">
        <v>1324</v>
      </c>
      <c r="O171" s="533" t="s">
        <v>1325</v>
      </c>
      <c r="P171" s="534" t="str">
        <f t="shared" si="22"/>
        <v>2006</v>
      </c>
      <c r="Q171" s="534" t="str">
        <f t="shared" si="23"/>
        <v>連合2つ折り極小</v>
      </c>
      <c r="R171" s="538" t="str">
        <f t="shared" si="25"/>
        <v>20</v>
      </c>
      <c r="S171" s="538" t="str">
        <f t="shared" si="26"/>
        <v>06</v>
      </c>
      <c r="T171" s="471" t="s">
        <v>1136</v>
      </c>
      <c r="U171" s="538"/>
      <c r="V171" s="538"/>
      <c r="W171" s="471">
        <v>0</v>
      </c>
      <c r="X171" s="540"/>
      <c r="Y171" s="471">
        <v>0</v>
      </c>
      <c r="Z171" s="538"/>
      <c r="AA171" s="538"/>
      <c r="AB171" s="538"/>
      <c r="AC171" s="538"/>
      <c r="AD171" s="538"/>
      <c r="AE171" s="538"/>
      <c r="AF171" s="538"/>
      <c r="AG171" s="538"/>
      <c r="AH171" s="538"/>
      <c r="AI171" s="538"/>
      <c r="AJ171" s="538"/>
      <c r="AK171" s="538"/>
      <c r="AL171" s="538"/>
      <c r="AM171" s="538"/>
      <c r="AN171" s="538"/>
      <c r="AO171" s="538"/>
      <c r="AP171" s="538"/>
      <c r="AQ171" s="538"/>
      <c r="AR171" s="538"/>
      <c r="AS171" s="538"/>
      <c r="AT171" s="538"/>
      <c r="AU171" s="538"/>
      <c r="AV171" s="538"/>
      <c r="AW171" s="538"/>
      <c r="AX171" s="538"/>
      <c r="AY171" s="538"/>
      <c r="AZ171" s="538"/>
    </row>
    <row r="172" spans="1:52" s="471" customFormat="1">
      <c r="A172" s="465" t="s">
        <v>279</v>
      </c>
      <c r="B172" s="452" t="str">
        <f>VLOOKUP(A172,★新聞!$C$4:$D$12,2,FALSE)</f>
        <v>M</v>
      </c>
      <c r="C172" s="465" t="s">
        <v>1365</v>
      </c>
      <c r="D172" s="452" t="str">
        <f>VLOOKUP(C172,★サイズ表記!$D$4:$E$55,2,FALSE)</f>
        <v>2007</v>
      </c>
      <c r="E172" s="484" t="str">
        <f t="shared" si="19"/>
        <v>M2007</v>
      </c>
      <c r="F172" s="484" t="str">
        <f t="shared" si="20"/>
        <v>毎日/連合タブ6P</v>
      </c>
      <c r="G172" s="483"/>
      <c r="I172" s="471" t="str">
        <f t="shared" si="24"/>
        <v>M2007</v>
      </c>
      <c r="J172" s="471" t="str">
        <f t="shared" si="21"/>
        <v>毎日/連合タブ6P</v>
      </c>
      <c r="M172" s="538"/>
      <c r="N172" s="533" t="s">
        <v>1324</v>
      </c>
      <c r="O172" s="533" t="s">
        <v>1325</v>
      </c>
      <c r="P172" s="534" t="str">
        <f t="shared" si="22"/>
        <v>2007</v>
      </c>
      <c r="Q172" s="534" t="str">
        <f t="shared" si="23"/>
        <v>連合タブ6P</v>
      </c>
      <c r="R172" s="538" t="str">
        <f t="shared" si="25"/>
        <v>20</v>
      </c>
      <c r="S172" s="538" t="str">
        <f t="shared" si="26"/>
        <v>07</v>
      </c>
      <c r="T172" s="471" t="s">
        <v>1136</v>
      </c>
      <c r="U172" s="538"/>
      <c r="V172" s="538"/>
      <c r="W172" s="471">
        <v>0</v>
      </c>
      <c r="X172" s="540"/>
      <c r="Y172" s="471">
        <v>0</v>
      </c>
      <c r="Z172" s="538"/>
      <c r="AA172" s="538"/>
      <c r="AB172" s="538"/>
      <c r="AC172" s="538"/>
      <c r="AD172" s="538"/>
      <c r="AE172" s="538"/>
      <c r="AF172" s="538"/>
      <c r="AG172" s="538"/>
      <c r="AH172" s="538"/>
      <c r="AI172" s="538"/>
      <c r="AJ172" s="538"/>
      <c r="AK172" s="538"/>
      <c r="AL172" s="538"/>
      <c r="AM172" s="538"/>
      <c r="AN172" s="538"/>
      <c r="AO172" s="538"/>
      <c r="AP172" s="538"/>
      <c r="AQ172" s="538"/>
      <c r="AR172" s="538"/>
      <c r="AS172" s="538"/>
      <c r="AT172" s="538"/>
      <c r="AU172" s="538"/>
      <c r="AV172" s="538"/>
      <c r="AW172" s="538"/>
      <c r="AX172" s="538"/>
      <c r="AY172" s="538"/>
      <c r="AZ172" s="538"/>
    </row>
    <row r="173" spans="1:52" s="471" customFormat="1">
      <c r="A173" s="465" t="s">
        <v>279</v>
      </c>
      <c r="B173" s="452" t="str">
        <f>VLOOKUP(A173,★新聞!$C$4:$D$12,2,FALSE)</f>
        <v>M</v>
      </c>
      <c r="C173" s="465" t="s">
        <v>1366</v>
      </c>
      <c r="D173" s="452" t="str">
        <f>VLOOKUP(C173,★サイズ表記!$D$4:$E$55,2,FALSE)</f>
        <v>2008</v>
      </c>
      <c r="E173" s="484" t="str">
        <f t="shared" si="19"/>
        <v>M2008</v>
      </c>
      <c r="F173" s="484" t="str">
        <f t="shared" si="20"/>
        <v>毎日/連合タブ8P</v>
      </c>
      <c r="G173" s="483"/>
      <c r="I173" s="471" t="str">
        <f t="shared" si="24"/>
        <v>M2008</v>
      </c>
      <c r="J173" s="471" t="str">
        <f t="shared" si="21"/>
        <v>毎日/連合タブ8P</v>
      </c>
      <c r="M173" s="538"/>
      <c r="N173" s="533" t="s">
        <v>1324</v>
      </c>
      <c r="O173" s="533" t="s">
        <v>1325</v>
      </c>
      <c r="P173" s="534" t="str">
        <f t="shared" si="22"/>
        <v>2008</v>
      </c>
      <c r="Q173" s="534" t="str">
        <f t="shared" si="23"/>
        <v>連合タブ8P</v>
      </c>
      <c r="R173" s="538" t="str">
        <f t="shared" si="25"/>
        <v>20</v>
      </c>
      <c r="S173" s="538" t="str">
        <f t="shared" si="26"/>
        <v>08</v>
      </c>
      <c r="T173" s="471" t="s">
        <v>1136</v>
      </c>
      <c r="U173" s="538"/>
      <c r="V173" s="538"/>
      <c r="W173" s="471">
        <v>0</v>
      </c>
      <c r="X173" s="540"/>
      <c r="Y173" s="471">
        <v>0</v>
      </c>
      <c r="Z173" s="538"/>
      <c r="AA173" s="538"/>
      <c r="AB173" s="538"/>
      <c r="AC173" s="538"/>
      <c r="AD173" s="538"/>
      <c r="AE173" s="538"/>
      <c r="AF173" s="538"/>
      <c r="AG173" s="538"/>
      <c r="AH173" s="538"/>
      <c r="AI173" s="538"/>
      <c r="AJ173" s="538"/>
      <c r="AK173" s="538"/>
      <c r="AL173" s="538"/>
      <c r="AM173" s="538"/>
      <c r="AN173" s="538"/>
      <c r="AO173" s="538"/>
      <c r="AP173" s="538"/>
      <c r="AQ173" s="538"/>
      <c r="AR173" s="538"/>
      <c r="AS173" s="538"/>
      <c r="AT173" s="538"/>
      <c r="AU173" s="538"/>
      <c r="AV173" s="538"/>
      <c r="AW173" s="538"/>
      <c r="AX173" s="538"/>
      <c r="AY173" s="538"/>
      <c r="AZ173" s="538"/>
    </row>
    <row r="174" spans="1:52" s="471" customFormat="1">
      <c r="A174" s="465" t="s">
        <v>279</v>
      </c>
      <c r="B174" s="452" t="str">
        <f>VLOOKUP(A174,★新聞!$C$4:$D$12,2,FALSE)</f>
        <v>M</v>
      </c>
      <c r="C174" s="465" t="s">
        <v>1364</v>
      </c>
      <c r="D174" s="452" t="str">
        <f>VLOOKUP(C174,★サイズ表記!$D$4:$E$55,2,FALSE)</f>
        <v>2009</v>
      </c>
      <c r="E174" s="484" t="str">
        <f t="shared" si="19"/>
        <v>M2009</v>
      </c>
      <c r="F174" s="484" t="str">
        <f t="shared" si="20"/>
        <v>毎日/連合タブ12P</v>
      </c>
      <c r="G174" s="483"/>
      <c r="I174" s="471" t="str">
        <f t="shared" si="24"/>
        <v>M2009</v>
      </c>
      <c r="J174" s="471" t="str">
        <f t="shared" si="21"/>
        <v>毎日/連合タブ12P</v>
      </c>
      <c r="M174" s="538"/>
      <c r="N174" s="533" t="s">
        <v>1324</v>
      </c>
      <c r="O174" s="533" t="s">
        <v>1325</v>
      </c>
      <c r="P174" s="534" t="str">
        <f t="shared" si="22"/>
        <v>2009</v>
      </c>
      <c r="Q174" s="534" t="str">
        <f t="shared" si="23"/>
        <v>連合タブ12P</v>
      </c>
      <c r="R174" s="538" t="str">
        <f t="shared" si="25"/>
        <v>20</v>
      </c>
      <c r="S174" s="538" t="str">
        <f t="shared" si="26"/>
        <v>09</v>
      </c>
      <c r="T174" s="471" t="s">
        <v>1136</v>
      </c>
      <c r="U174" s="538"/>
      <c r="V174" s="538"/>
      <c r="W174" s="471">
        <v>0</v>
      </c>
      <c r="X174" s="540"/>
      <c r="Y174" s="471">
        <v>0</v>
      </c>
      <c r="Z174" s="538"/>
      <c r="AA174" s="538"/>
      <c r="AB174" s="538"/>
      <c r="AC174" s="538"/>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38"/>
      <c r="AY174" s="538"/>
      <c r="AZ174" s="538"/>
    </row>
    <row r="175" spans="1:52" s="471" customFormat="1">
      <c r="A175" s="465" t="s">
        <v>279</v>
      </c>
      <c r="B175" s="452" t="str">
        <f>VLOOKUP(A175,★新聞!$C$4:$D$12,2,FALSE)</f>
        <v>M</v>
      </c>
      <c r="C175" s="465" t="s">
        <v>969</v>
      </c>
      <c r="D175" s="452" t="str">
        <f>VLOOKUP(C175,★サイズ表記!$D$4:$E$55,2,FALSE)</f>
        <v>3001</v>
      </c>
      <c r="E175" s="484" t="str">
        <f t="shared" si="19"/>
        <v>M3001</v>
      </c>
      <c r="F175" s="484" t="str">
        <f t="shared" si="20"/>
        <v>毎日/政治B4</v>
      </c>
      <c r="G175" s="483"/>
      <c r="I175" s="471" t="str">
        <f t="shared" si="24"/>
        <v>M3001</v>
      </c>
      <c r="J175" s="471" t="str">
        <f t="shared" si="21"/>
        <v>毎日/政治B4</v>
      </c>
      <c r="M175" s="538"/>
      <c r="N175" s="533" t="s">
        <v>1324</v>
      </c>
      <c r="O175" s="533" t="s">
        <v>1325</v>
      </c>
      <c r="P175" s="534" t="str">
        <f t="shared" si="22"/>
        <v>3001</v>
      </c>
      <c r="Q175" s="534" t="str">
        <f t="shared" si="23"/>
        <v>政治B4</v>
      </c>
      <c r="R175" s="538" t="str">
        <f t="shared" si="25"/>
        <v>30</v>
      </c>
      <c r="S175" s="538" t="str">
        <f t="shared" si="26"/>
        <v>01</v>
      </c>
      <c r="T175" s="471" t="s">
        <v>1136</v>
      </c>
      <c r="U175" s="538"/>
      <c r="V175" s="538"/>
      <c r="W175" s="471">
        <v>0</v>
      </c>
      <c r="X175" s="540"/>
      <c r="Y175" s="471">
        <v>0</v>
      </c>
      <c r="Z175" s="538"/>
      <c r="AA175" s="538"/>
      <c r="AB175" s="538"/>
      <c r="AC175" s="538"/>
      <c r="AD175" s="538"/>
      <c r="AE175" s="538"/>
      <c r="AF175" s="538"/>
      <c r="AG175" s="538"/>
      <c r="AH175" s="538"/>
      <c r="AI175" s="538"/>
      <c r="AJ175" s="538"/>
      <c r="AK175" s="538"/>
      <c r="AL175" s="538"/>
      <c r="AM175" s="538"/>
      <c r="AN175" s="538"/>
      <c r="AO175" s="538"/>
      <c r="AP175" s="538"/>
      <c r="AQ175" s="538"/>
      <c r="AR175" s="538"/>
      <c r="AS175" s="538"/>
      <c r="AT175" s="538"/>
      <c r="AU175" s="538"/>
      <c r="AV175" s="538"/>
      <c r="AW175" s="538"/>
      <c r="AX175" s="538"/>
      <c r="AY175" s="538"/>
      <c r="AZ175" s="538"/>
    </row>
    <row r="176" spans="1:52" s="471" customFormat="1">
      <c r="A176" s="465" t="s">
        <v>279</v>
      </c>
      <c r="B176" s="452" t="str">
        <f>VLOOKUP(A176,★新聞!$C$4:$D$12,2,FALSE)</f>
        <v>M</v>
      </c>
      <c r="C176" s="465" t="s">
        <v>970</v>
      </c>
      <c r="D176" s="452" t="str">
        <f>VLOOKUP(C176,★サイズ表記!$D$4:$E$55,2,FALSE)</f>
        <v>3002</v>
      </c>
      <c r="E176" s="484" t="str">
        <f t="shared" si="19"/>
        <v>M3002</v>
      </c>
      <c r="F176" s="484" t="str">
        <f t="shared" si="20"/>
        <v>毎日/政治B3</v>
      </c>
      <c r="G176" s="483"/>
      <c r="I176" s="471" t="str">
        <f t="shared" si="24"/>
        <v>M3002</v>
      </c>
      <c r="J176" s="471" t="str">
        <f t="shared" si="21"/>
        <v>毎日/政治B3</v>
      </c>
      <c r="M176" s="538"/>
      <c r="N176" s="533" t="s">
        <v>1324</v>
      </c>
      <c r="O176" s="533" t="s">
        <v>1325</v>
      </c>
      <c r="P176" s="534" t="str">
        <f t="shared" si="22"/>
        <v>3002</v>
      </c>
      <c r="Q176" s="534" t="str">
        <f t="shared" si="23"/>
        <v>政治B3</v>
      </c>
      <c r="R176" s="538" t="str">
        <f t="shared" si="25"/>
        <v>30</v>
      </c>
      <c r="S176" s="538" t="str">
        <f t="shared" si="26"/>
        <v>02</v>
      </c>
      <c r="T176" s="471" t="s">
        <v>1136</v>
      </c>
      <c r="U176" s="538"/>
      <c r="V176" s="538"/>
      <c r="W176" s="471">
        <v>0</v>
      </c>
      <c r="X176" s="540"/>
      <c r="Y176" s="471">
        <v>0</v>
      </c>
      <c r="Z176" s="538"/>
      <c r="AA176" s="538"/>
      <c r="AB176" s="538"/>
      <c r="AC176" s="538"/>
      <c r="AD176" s="538"/>
      <c r="AE176" s="538"/>
      <c r="AF176" s="538"/>
      <c r="AG176" s="538"/>
      <c r="AH176" s="538"/>
      <c r="AI176" s="538"/>
      <c r="AJ176" s="538"/>
      <c r="AK176" s="538"/>
      <c r="AL176" s="538"/>
      <c r="AM176" s="538"/>
      <c r="AN176" s="538"/>
      <c r="AO176" s="538"/>
      <c r="AP176" s="538"/>
      <c r="AQ176" s="538"/>
      <c r="AR176" s="538"/>
      <c r="AS176" s="538"/>
      <c r="AT176" s="538"/>
      <c r="AU176" s="538"/>
      <c r="AV176" s="538"/>
      <c r="AW176" s="538"/>
      <c r="AX176" s="538"/>
      <c r="AY176" s="538"/>
      <c r="AZ176" s="538"/>
    </row>
    <row r="177" spans="1:52" s="471" customFormat="1">
      <c r="A177" s="465" t="s">
        <v>279</v>
      </c>
      <c r="B177" s="452" t="str">
        <f>VLOOKUP(A177,★新聞!$C$4:$D$12,2,FALSE)</f>
        <v>M</v>
      </c>
      <c r="C177" s="465" t="s">
        <v>971</v>
      </c>
      <c r="D177" s="452" t="str">
        <f>VLOOKUP(C177,★サイズ表記!$D$4:$E$55,2,FALSE)</f>
        <v>3003</v>
      </c>
      <c r="E177" s="484" t="str">
        <f t="shared" si="19"/>
        <v>M3003</v>
      </c>
      <c r="F177" s="484" t="str">
        <f t="shared" si="20"/>
        <v>毎日/政治B2</v>
      </c>
      <c r="G177" s="483"/>
      <c r="I177" s="471" t="str">
        <f t="shared" si="24"/>
        <v>M3003</v>
      </c>
      <c r="J177" s="471" t="str">
        <f t="shared" si="21"/>
        <v>毎日/政治B2</v>
      </c>
      <c r="M177" s="538"/>
      <c r="N177" s="533" t="s">
        <v>1324</v>
      </c>
      <c r="O177" s="533" t="s">
        <v>1325</v>
      </c>
      <c r="P177" s="534" t="str">
        <f t="shared" si="22"/>
        <v>3003</v>
      </c>
      <c r="Q177" s="534" t="str">
        <f t="shared" si="23"/>
        <v>政治B2</v>
      </c>
      <c r="R177" s="538" t="str">
        <f t="shared" si="25"/>
        <v>30</v>
      </c>
      <c r="S177" s="538" t="str">
        <f t="shared" si="26"/>
        <v>03</v>
      </c>
      <c r="T177" s="471" t="s">
        <v>1136</v>
      </c>
      <c r="U177" s="538"/>
      <c r="V177" s="538"/>
      <c r="W177" s="471">
        <v>0</v>
      </c>
      <c r="X177" s="540"/>
      <c r="Y177" s="471">
        <v>0</v>
      </c>
      <c r="Z177" s="538"/>
      <c r="AA177" s="538"/>
      <c r="AB177" s="538"/>
      <c r="AC177" s="538"/>
      <c r="AD177" s="538"/>
      <c r="AE177" s="538"/>
      <c r="AF177" s="538"/>
      <c r="AG177" s="538"/>
      <c r="AH177" s="538"/>
      <c r="AI177" s="538"/>
      <c r="AJ177" s="538"/>
      <c r="AK177" s="538"/>
      <c r="AL177" s="538"/>
      <c r="AM177" s="538"/>
      <c r="AN177" s="538"/>
      <c r="AO177" s="538"/>
      <c r="AP177" s="538"/>
      <c r="AQ177" s="538"/>
      <c r="AR177" s="538"/>
      <c r="AS177" s="538"/>
      <c r="AT177" s="538"/>
      <c r="AU177" s="538"/>
      <c r="AV177" s="538"/>
      <c r="AW177" s="538"/>
      <c r="AX177" s="538"/>
      <c r="AY177" s="538"/>
      <c r="AZ177" s="538"/>
    </row>
    <row r="178" spans="1:52" s="471" customFormat="1">
      <c r="A178" s="465" t="s">
        <v>279</v>
      </c>
      <c r="B178" s="452" t="str">
        <f>VLOOKUP(A178,★新聞!$C$4:$D$12,2,FALSE)</f>
        <v>M</v>
      </c>
      <c r="C178" s="465" t="s">
        <v>972</v>
      </c>
      <c r="D178" s="452" t="str">
        <f>VLOOKUP(C178,★サイズ表記!$D$4:$E$55,2,FALSE)</f>
        <v>3004</v>
      </c>
      <c r="E178" s="484" t="str">
        <f t="shared" si="19"/>
        <v>M3004</v>
      </c>
      <c r="F178" s="484" t="str">
        <f t="shared" si="20"/>
        <v>毎日/政治3つ折り</v>
      </c>
      <c r="G178" s="483"/>
      <c r="I178" s="471" t="str">
        <f t="shared" si="24"/>
        <v>M3004</v>
      </c>
      <c r="J178" s="471" t="str">
        <f t="shared" si="21"/>
        <v>毎日/政治3つ折り</v>
      </c>
      <c r="M178" s="538"/>
      <c r="N178" s="533" t="s">
        <v>1324</v>
      </c>
      <c r="O178" s="533" t="s">
        <v>1325</v>
      </c>
      <c r="P178" s="534" t="str">
        <f t="shared" si="22"/>
        <v>3004</v>
      </c>
      <c r="Q178" s="534" t="str">
        <f t="shared" si="23"/>
        <v>政治3つ折り</v>
      </c>
      <c r="R178" s="538" t="str">
        <f t="shared" si="25"/>
        <v>30</v>
      </c>
      <c r="S178" s="538" t="str">
        <f t="shared" si="26"/>
        <v>04</v>
      </c>
      <c r="T178" s="471" t="s">
        <v>1136</v>
      </c>
      <c r="U178" s="538"/>
      <c r="V178" s="538"/>
      <c r="W178" s="471">
        <v>0</v>
      </c>
      <c r="X178" s="540"/>
      <c r="Y178" s="471">
        <v>0</v>
      </c>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8"/>
      <c r="AY178" s="538"/>
      <c r="AZ178" s="538"/>
    </row>
    <row r="179" spans="1:52" s="471" customFormat="1">
      <c r="A179" s="465" t="s">
        <v>279</v>
      </c>
      <c r="B179" s="452" t="str">
        <f>VLOOKUP(A179,★新聞!$C$4:$D$12,2,FALSE)</f>
        <v>M</v>
      </c>
      <c r="C179" s="465" t="s">
        <v>973</v>
      </c>
      <c r="D179" s="452" t="str">
        <f>VLOOKUP(C179,★サイズ表記!$D$4:$E$55,2,FALSE)</f>
        <v>3005</v>
      </c>
      <c r="E179" s="484" t="str">
        <f t="shared" si="19"/>
        <v>M3005</v>
      </c>
      <c r="F179" s="484" t="str">
        <f t="shared" si="20"/>
        <v>毎日/政治2つ折り極小</v>
      </c>
      <c r="G179" s="483"/>
      <c r="I179" s="471" t="str">
        <f t="shared" si="24"/>
        <v>M3005</v>
      </c>
      <c r="J179" s="471" t="str">
        <f t="shared" si="21"/>
        <v>毎日/政治2つ折り極小</v>
      </c>
      <c r="M179" s="538"/>
      <c r="N179" s="533" t="s">
        <v>1324</v>
      </c>
      <c r="O179" s="533" t="s">
        <v>1325</v>
      </c>
      <c r="P179" s="534" t="str">
        <f t="shared" si="22"/>
        <v>3005</v>
      </c>
      <c r="Q179" s="534" t="str">
        <f t="shared" si="23"/>
        <v>政治2つ折り極小</v>
      </c>
      <c r="R179" s="538" t="str">
        <f t="shared" si="25"/>
        <v>30</v>
      </c>
      <c r="S179" s="538" t="str">
        <f t="shared" si="26"/>
        <v>05</v>
      </c>
      <c r="T179" s="471" t="s">
        <v>1136</v>
      </c>
      <c r="U179" s="538"/>
      <c r="V179" s="538"/>
      <c r="W179" s="471">
        <v>0</v>
      </c>
      <c r="X179" s="540"/>
      <c r="Y179" s="471">
        <v>0</v>
      </c>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8"/>
      <c r="AY179" s="538"/>
      <c r="AZ179" s="538"/>
    </row>
    <row r="180" spans="1:52" s="471" customFormat="1">
      <c r="A180" s="465" t="s">
        <v>279</v>
      </c>
      <c r="B180" s="452" t="str">
        <f>VLOOKUP(A180,★新聞!$C$4:$D$12,2,FALSE)</f>
        <v>M</v>
      </c>
      <c r="C180" s="465" t="s">
        <v>974</v>
      </c>
      <c r="D180" s="452" t="str">
        <f>VLOOKUP(C180,★サイズ表記!$D$4:$E$55,2,FALSE)</f>
        <v>3006</v>
      </c>
      <c r="E180" s="484" t="str">
        <f t="shared" si="19"/>
        <v>M3006</v>
      </c>
      <c r="F180" s="484" t="str">
        <f t="shared" si="20"/>
        <v>毎日/政治B4厚紙</v>
      </c>
      <c r="G180" s="483"/>
      <c r="I180" s="471" t="str">
        <f t="shared" si="24"/>
        <v>M3006</v>
      </c>
      <c r="J180" s="471" t="str">
        <f t="shared" si="21"/>
        <v>毎日/政治B4厚紙</v>
      </c>
      <c r="M180" s="538"/>
      <c r="N180" s="533" t="s">
        <v>1324</v>
      </c>
      <c r="O180" s="533" t="s">
        <v>1325</v>
      </c>
      <c r="P180" s="534" t="str">
        <f t="shared" si="22"/>
        <v>3006</v>
      </c>
      <c r="Q180" s="534" t="str">
        <f t="shared" si="23"/>
        <v>政治B4厚紙</v>
      </c>
      <c r="R180" s="538" t="str">
        <f t="shared" si="25"/>
        <v>30</v>
      </c>
      <c r="S180" s="538" t="str">
        <f t="shared" si="26"/>
        <v>06</v>
      </c>
      <c r="T180" s="471" t="s">
        <v>1136</v>
      </c>
      <c r="U180" s="538"/>
      <c r="V180" s="538"/>
      <c r="W180" s="471">
        <v>0</v>
      </c>
      <c r="X180" s="540"/>
      <c r="Y180" s="471">
        <v>0</v>
      </c>
      <c r="Z180" s="538"/>
      <c r="AA180" s="538"/>
      <c r="AB180" s="538"/>
      <c r="AC180" s="538"/>
      <c r="AD180" s="538"/>
      <c r="AE180" s="538"/>
      <c r="AF180" s="538"/>
      <c r="AG180" s="538"/>
      <c r="AH180" s="538"/>
      <c r="AI180" s="538"/>
      <c r="AJ180" s="538"/>
      <c r="AK180" s="538"/>
      <c r="AL180" s="538"/>
      <c r="AM180" s="538"/>
      <c r="AN180" s="538"/>
      <c r="AO180" s="538"/>
      <c r="AP180" s="538"/>
      <c r="AQ180" s="538"/>
      <c r="AR180" s="538"/>
      <c r="AS180" s="538"/>
      <c r="AT180" s="538"/>
      <c r="AU180" s="538"/>
      <c r="AV180" s="538"/>
      <c r="AW180" s="538"/>
      <c r="AX180" s="538"/>
      <c r="AY180" s="538"/>
      <c r="AZ180" s="538"/>
    </row>
    <row r="181" spans="1:52" s="471" customFormat="1">
      <c r="A181" s="465" t="s">
        <v>279</v>
      </c>
      <c r="B181" s="452" t="str">
        <f>VLOOKUP(A181,★新聞!$C$4:$D$12,2,FALSE)</f>
        <v>M</v>
      </c>
      <c r="C181" s="465" t="s">
        <v>1362</v>
      </c>
      <c r="D181" s="452" t="str">
        <f>VLOOKUP(C181,★サイズ表記!$D$4:$E$55,2,FALSE)</f>
        <v>3007</v>
      </c>
      <c r="E181" s="484" t="str">
        <f t="shared" si="19"/>
        <v>M3007</v>
      </c>
      <c r="F181" s="484" t="str">
        <f t="shared" si="20"/>
        <v>毎日/政治タブ6P</v>
      </c>
      <c r="G181" s="483"/>
      <c r="I181" s="471" t="str">
        <f t="shared" si="24"/>
        <v>M3007</v>
      </c>
      <c r="J181" s="471" t="str">
        <f t="shared" si="21"/>
        <v>毎日/政治タブ6P</v>
      </c>
      <c r="M181" s="538"/>
      <c r="N181" s="533" t="s">
        <v>1324</v>
      </c>
      <c r="O181" s="533" t="s">
        <v>1325</v>
      </c>
      <c r="P181" s="534" t="str">
        <f t="shared" si="22"/>
        <v>3007</v>
      </c>
      <c r="Q181" s="534" t="str">
        <f t="shared" si="23"/>
        <v>政治タブ6P</v>
      </c>
      <c r="R181" s="538" t="str">
        <f t="shared" si="25"/>
        <v>30</v>
      </c>
      <c r="S181" s="538" t="str">
        <f t="shared" si="26"/>
        <v>07</v>
      </c>
      <c r="T181" s="471" t="s">
        <v>1136</v>
      </c>
      <c r="U181" s="538"/>
      <c r="V181" s="538"/>
      <c r="W181" s="471">
        <v>0</v>
      </c>
      <c r="X181" s="540"/>
      <c r="Y181" s="471">
        <v>0</v>
      </c>
      <c r="Z181" s="538"/>
      <c r="AA181" s="538"/>
      <c r="AB181" s="538"/>
      <c r="AC181" s="538"/>
      <c r="AD181" s="538"/>
      <c r="AE181" s="538"/>
      <c r="AF181" s="538"/>
      <c r="AG181" s="538"/>
      <c r="AH181" s="538"/>
      <c r="AI181" s="538"/>
      <c r="AJ181" s="538"/>
      <c r="AK181" s="538"/>
      <c r="AL181" s="538"/>
      <c r="AM181" s="538"/>
      <c r="AN181" s="538"/>
      <c r="AO181" s="538"/>
      <c r="AP181" s="538"/>
      <c r="AQ181" s="538"/>
      <c r="AR181" s="538"/>
      <c r="AS181" s="538"/>
      <c r="AT181" s="538"/>
      <c r="AU181" s="538"/>
      <c r="AV181" s="538"/>
      <c r="AW181" s="538"/>
      <c r="AX181" s="538"/>
      <c r="AY181" s="538"/>
      <c r="AZ181" s="538"/>
    </row>
    <row r="182" spans="1:52" s="471" customFormat="1">
      <c r="A182" s="465" t="s">
        <v>279</v>
      </c>
      <c r="B182" s="452" t="str">
        <f>VLOOKUP(A182,★新聞!$C$4:$D$12,2,FALSE)</f>
        <v>M</v>
      </c>
      <c r="C182" s="465" t="s">
        <v>1363</v>
      </c>
      <c r="D182" s="452" t="str">
        <f>VLOOKUP(C182,★サイズ表記!$D$4:$E$55,2,FALSE)</f>
        <v>3008</v>
      </c>
      <c r="E182" s="484" t="str">
        <f t="shared" si="19"/>
        <v>M3008</v>
      </c>
      <c r="F182" s="484" t="str">
        <f t="shared" si="20"/>
        <v>毎日/政治タブ8P</v>
      </c>
      <c r="G182" s="483"/>
      <c r="I182" s="471" t="str">
        <f t="shared" si="24"/>
        <v>M3008</v>
      </c>
      <c r="J182" s="471" t="str">
        <f t="shared" si="21"/>
        <v>毎日/政治タブ8P</v>
      </c>
      <c r="M182" s="538"/>
      <c r="N182" s="533" t="s">
        <v>1324</v>
      </c>
      <c r="O182" s="533" t="s">
        <v>1325</v>
      </c>
      <c r="P182" s="534" t="str">
        <f t="shared" si="22"/>
        <v>3008</v>
      </c>
      <c r="Q182" s="534" t="str">
        <f t="shared" si="23"/>
        <v>政治タブ8P</v>
      </c>
      <c r="R182" s="538" t="str">
        <f t="shared" si="25"/>
        <v>30</v>
      </c>
      <c r="S182" s="538" t="str">
        <f t="shared" si="26"/>
        <v>08</v>
      </c>
      <c r="T182" s="471" t="s">
        <v>1136</v>
      </c>
      <c r="U182" s="538"/>
      <c r="V182" s="538"/>
      <c r="W182" s="471">
        <v>0</v>
      </c>
      <c r="X182" s="540"/>
      <c r="Y182" s="471">
        <v>0</v>
      </c>
      <c r="Z182" s="538"/>
      <c r="AA182" s="538"/>
      <c r="AB182" s="538"/>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38"/>
      <c r="AY182" s="538"/>
      <c r="AZ182" s="538"/>
    </row>
    <row r="183" spans="1:52" s="471" customFormat="1">
      <c r="A183" s="465" t="s">
        <v>279</v>
      </c>
      <c r="B183" s="452" t="str">
        <f>VLOOKUP(A183,★新聞!$C$4:$D$12,2,FALSE)</f>
        <v>M</v>
      </c>
      <c r="C183" s="465" t="s">
        <v>1361</v>
      </c>
      <c r="D183" s="452" t="str">
        <f>VLOOKUP(C183,★サイズ表記!$D$4:$E$55,2,FALSE)</f>
        <v>3009</v>
      </c>
      <c r="E183" s="484" t="str">
        <f t="shared" si="19"/>
        <v>M3009</v>
      </c>
      <c r="F183" s="484" t="str">
        <f t="shared" si="20"/>
        <v>毎日/政治タブ12P</v>
      </c>
      <c r="G183" s="483"/>
      <c r="I183" s="471" t="str">
        <f t="shared" si="24"/>
        <v>M3009</v>
      </c>
      <c r="J183" s="471" t="str">
        <f t="shared" si="21"/>
        <v>毎日/政治タブ12P</v>
      </c>
      <c r="M183" s="538"/>
      <c r="N183" s="533" t="s">
        <v>1324</v>
      </c>
      <c r="O183" s="533" t="s">
        <v>1325</v>
      </c>
      <c r="P183" s="534" t="str">
        <f t="shared" si="22"/>
        <v>3009</v>
      </c>
      <c r="Q183" s="534" t="str">
        <f t="shared" si="23"/>
        <v>政治タブ12P</v>
      </c>
      <c r="R183" s="538" t="str">
        <f t="shared" si="25"/>
        <v>30</v>
      </c>
      <c r="S183" s="538" t="str">
        <f t="shared" si="26"/>
        <v>09</v>
      </c>
      <c r="T183" s="471" t="s">
        <v>1136</v>
      </c>
      <c r="U183" s="538"/>
      <c r="V183" s="538"/>
      <c r="W183" s="471">
        <v>0</v>
      </c>
      <c r="X183" s="540"/>
      <c r="Y183" s="471">
        <v>0</v>
      </c>
      <c r="Z183" s="538"/>
      <c r="AA183" s="538"/>
      <c r="AB183" s="538"/>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38"/>
      <c r="AY183" s="538"/>
      <c r="AZ183" s="538"/>
    </row>
    <row r="184" spans="1:52" s="471" customFormat="1">
      <c r="A184" s="465" t="s">
        <v>279</v>
      </c>
      <c r="B184" s="452" t="str">
        <f>VLOOKUP(A184,★新聞!$C$4:$D$12,2,FALSE)</f>
        <v>M</v>
      </c>
      <c r="C184" s="465" t="s">
        <v>1358</v>
      </c>
      <c r="D184" s="452" t="str">
        <f>VLOOKUP(C184,★サイズ表記!$D$4:$E$55,2,FALSE)</f>
        <v>4001</v>
      </c>
      <c r="E184" s="484" t="str">
        <f t="shared" si="19"/>
        <v>M4001</v>
      </c>
      <c r="F184" s="484" t="str">
        <f t="shared" si="20"/>
        <v>毎日/タブ6P</v>
      </c>
      <c r="G184" s="483"/>
      <c r="I184" s="471" t="str">
        <f t="shared" si="24"/>
        <v>M4001</v>
      </c>
      <c r="J184" s="471" t="str">
        <f t="shared" si="21"/>
        <v>毎日/タブ6P</v>
      </c>
      <c r="M184" s="538"/>
      <c r="N184" s="533" t="s">
        <v>1324</v>
      </c>
      <c r="O184" s="533" t="s">
        <v>1325</v>
      </c>
      <c r="P184" s="534" t="str">
        <f t="shared" si="22"/>
        <v>4001</v>
      </c>
      <c r="Q184" s="534" t="str">
        <f t="shared" si="23"/>
        <v>タブ6P</v>
      </c>
      <c r="R184" s="538" t="str">
        <f t="shared" si="25"/>
        <v>40</v>
      </c>
      <c r="S184" s="538" t="str">
        <f t="shared" si="26"/>
        <v>01</v>
      </c>
      <c r="T184" s="471" t="s">
        <v>1136</v>
      </c>
      <c r="U184" s="538"/>
      <c r="V184" s="538"/>
      <c r="W184" s="471">
        <v>0</v>
      </c>
      <c r="X184" s="540"/>
      <c r="Y184" s="471">
        <v>0</v>
      </c>
      <c r="Z184" s="538"/>
      <c r="AA184" s="538"/>
      <c r="AB184" s="538"/>
      <c r="AC184" s="538"/>
      <c r="AD184" s="538"/>
      <c r="AE184" s="538"/>
      <c r="AF184" s="538"/>
      <c r="AG184" s="538"/>
      <c r="AH184" s="538"/>
      <c r="AI184" s="538"/>
      <c r="AJ184" s="538"/>
      <c r="AK184" s="538"/>
      <c r="AL184" s="538"/>
      <c r="AM184" s="538"/>
      <c r="AN184" s="538"/>
      <c r="AO184" s="538"/>
      <c r="AP184" s="538"/>
      <c r="AQ184" s="538"/>
      <c r="AR184" s="538"/>
      <c r="AS184" s="538"/>
      <c r="AT184" s="538"/>
      <c r="AU184" s="538"/>
      <c r="AV184" s="538"/>
      <c r="AW184" s="538"/>
      <c r="AX184" s="538"/>
      <c r="AY184" s="538"/>
      <c r="AZ184" s="538"/>
    </row>
    <row r="185" spans="1:52" s="471" customFormat="1">
      <c r="A185" s="465" t="s">
        <v>279</v>
      </c>
      <c r="B185" s="452" t="str">
        <f>VLOOKUP(A185,★新聞!$C$4:$D$12,2,FALSE)</f>
        <v>M</v>
      </c>
      <c r="C185" s="465" t="s">
        <v>1359</v>
      </c>
      <c r="D185" s="452" t="str">
        <f>VLOOKUP(C185,★サイズ表記!$D$4:$E$55,2,FALSE)</f>
        <v>4002</v>
      </c>
      <c r="E185" s="484" t="str">
        <f t="shared" si="19"/>
        <v>M4002</v>
      </c>
      <c r="F185" s="484" t="str">
        <f t="shared" si="20"/>
        <v>毎日/タブ8P</v>
      </c>
      <c r="G185" s="483"/>
      <c r="I185" s="471" t="str">
        <f t="shared" si="24"/>
        <v>M4002</v>
      </c>
      <c r="J185" s="471" t="str">
        <f t="shared" si="21"/>
        <v>毎日/タブ8P</v>
      </c>
      <c r="M185" s="538"/>
      <c r="N185" s="533" t="s">
        <v>1324</v>
      </c>
      <c r="O185" s="533" t="s">
        <v>1325</v>
      </c>
      <c r="P185" s="534" t="str">
        <f t="shared" si="22"/>
        <v>4002</v>
      </c>
      <c r="Q185" s="534" t="str">
        <f t="shared" si="23"/>
        <v>タブ8P</v>
      </c>
      <c r="R185" s="538" t="str">
        <f t="shared" si="25"/>
        <v>40</v>
      </c>
      <c r="S185" s="538" t="str">
        <f t="shared" si="26"/>
        <v>02</v>
      </c>
      <c r="T185" s="471" t="s">
        <v>1136</v>
      </c>
      <c r="U185" s="538"/>
      <c r="V185" s="538"/>
      <c r="W185" s="471">
        <v>0</v>
      </c>
      <c r="X185" s="540"/>
      <c r="Y185" s="471">
        <v>0</v>
      </c>
      <c r="Z185" s="538"/>
      <c r="AA185" s="538"/>
      <c r="AB185" s="538"/>
      <c r="AC185" s="538"/>
      <c r="AD185" s="538"/>
      <c r="AE185" s="538"/>
      <c r="AF185" s="538"/>
      <c r="AG185" s="538"/>
      <c r="AH185" s="538"/>
      <c r="AI185" s="538"/>
      <c r="AJ185" s="538"/>
      <c r="AK185" s="538"/>
      <c r="AL185" s="538"/>
      <c r="AM185" s="538"/>
      <c r="AN185" s="538"/>
      <c r="AO185" s="538"/>
      <c r="AP185" s="538"/>
      <c r="AQ185" s="538"/>
      <c r="AR185" s="538"/>
      <c r="AS185" s="538"/>
      <c r="AT185" s="538"/>
      <c r="AU185" s="538"/>
      <c r="AV185" s="538"/>
      <c r="AW185" s="538"/>
      <c r="AX185" s="538"/>
      <c r="AY185" s="538"/>
      <c r="AZ185" s="538"/>
    </row>
    <row r="186" spans="1:52" s="471" customFormat="1">
      <c r="A186" s="465" t="s">
        <v>279</v>
      </c>
      <c r="B186" s="452" t="str">
        <f>VLOOKUP(A186,★新聞!$C$4:$D$12,2,FALSE)</f>
        <v>M</v>
      </c>
      <c r="C186" s="465" t="s">
        <v>1360</v>
      </c>
      <c r="D186" s="452" t="str">
        <f>VLOOKUP(C186,★サイズ表記!$D$4:$E$55,2,FALSE)</f>
        <v>4003</v>
      </c>
      <c r="E186" s="484" t="str">
        <f t="shared" si="19"/>
        <v>M4003</v>
      </c>
      <c r="F186" s="484" t="str">
        <f t="shared" si="20"/>
        <v>毎日/タブ8Pホチキス止め</v>
      </c>
      <c r="G186" s="483"/>
      <c r="I186" s="471" t="str">
        <f t="shared" si="24"/>
        <v>M4003</v>
      </c>
      <c r="J186" s="471" t="str">
        <f t="shared" si="21"/>
        <v>毎日/タブ8Pホチキス止め</v>
      </c>
      <c r="M186" s="538"/>
      <c r="N186" s="533" t="s">
        <v>1324</v>
      </c>
      <c r="O186" s="533" t="s">
        <v>1325</v>
      </c>
      <c r="P186" s="534" t="str">
        <f t="shared" si="22"/>
        <v>4003</v>
      </c>
      <c r="Q186" s="534" t="str">
        <f t="shared" si="23"/>
        <v>タブ8Pホチキス止め</v>
      </c>
      <c r="R186" s="538" t="str">
        <f t="shared" si="25"/>
        <v>40</v>
      </c>
      <c r="S186" s="538" t="str">
        <f t="shared" si="26"/>
        <v>03</v>
      </c>
      <c r="T186" s="471" t="s">
        <v>1136</v>
      </c>
      <c r="U186" s="538"/>
      <c r="V186" s="538"/>
      <c r="W186" s="471">
        <v>0</v>
      </c>
      <c r="X186" s="540"/>
      <c r="Y186" s="471">
        <v>0</v>
      </c>
      <c r="Z186" s="538"/>
      <c r="AA186" s="538"/>
      <c r="AB186" s="538"/>
      <c r="AC186" s="538"/>
      <c r="AD186" s="538"/>
      <c r="AE186" s="538"/>
      <c r="AF186" s="538"/>
      <c r="AG186" s="538"/>
      <c r="AH186" s="538"/>
      <c r="AI186" s="538"/>
      <c r="AJ186" s="538"/>
      <c r="AK186" s="538"/>
      <c r="AL186" s="538"/>
      <c r="AM186" s="538"/>
      <c r="AN186" s="538"/>
      <c r="AO186" s="538"/>
      <c r="AP186" s="538"/>
      <c r="AQ186" s="538"/>
      <c r="AR186" s="538"/>
      <c r="AS186" s="538"/>
      <c r="AT186" s="538"/>
      <c r="AU186" s="538"/>
      <c r="AV186" s="538"/>
      <c r="AW186" s="538"/>
      <c r="AX186" s="538"/>
      <c r="AY186" s="538"/>
      <c r="AZ186" s="538"/>
    </row>
    <row r="187" spans="1:52" s="471" customFormat="1">
      <c r="A187" s="465" t="s">
        <v>279</v>
      </c>
      <c r="B187" s="452" t="str">
        <f>VLOOKUP(A187,★新聞!$C$4:$D$12,2,FALSE)</f>
        <v>M</v>
      </c>
      <c r="C187" s="465" t="s">
        <v>1350</v>
      </c>
      <c r="D187" s="452" t="str">
        <f>VLOOKUP(C187,★サイズ表記!$D$4:$E$55,2,FALSE)</f>
        <v>4004</v>
      </c>
      <c r="E187" s="484" t="str">
        <f t="shared" si="19"/>
        <v>M4004</v>
      </c>
      <c r="F187" s="484" t="str">
        <f t="shared" si="20"/>
        <v>毎日/タブ10P</v>
      </c>
      <c r="G187" s="483"/>
      <c r="I187" s="471" t="str">
        <f t="shared" si="24"/>
        <v>M4004</v>
      </c>
      <c r="J187" s="471" t="str">
        <f t="shared" si="21"/>
        <v>毎日/タブ10P</v>
      </c>
      <c r="M187" s="538"/>
      <c r="N187" s="533" t="s">
        <v>1324</v>
      </c>
      <c r="O187" s="533" t="s">
        <v>1325</v>
      </c>
      <c r="P187" s="534" t="str">
        <f t="shared" si="22"/>
        <v>4004</v>
      </c>
      <c r="Q187" s="534" t="str">
        <f t="shared" si="23"/>
        <v>タブ10P</v>
      </c>
      <c r="R187" s="538" t="str">
        <f t="shared" si="25"/>
        <v>40</v>
      </c>
      <c r="S187" s="538" t="str">
        <f t="shared" si="26"/>
        <v>04</v>
      </c>
      <c r="T187" s="471" t="s">
        <v>1136</v>
      </c>
      <c r="U187" s="538"/>
      <c r="V187" s="538"/>
      <c r="W187" s="471">
        <v>0</v>
      </c>
      <c r="X187" s="540"/>
      <c r="Y187" s="471">
        <v>0</v>
      </c>
      <c r="Z187" s="538"/>
      <c r="AA187" s="538"/>
      <c r="AB187" s="538"/>
      <c r="AC187" s="538"/>
      <c r="AD187" s="538"/>
      <c r="AE187" s="538"/>
      <c r="AF187" s="538"/>
      <c r="AG187" s="538"/>
      <c r="AH187" s="538"/>
      <c r="AI187" s="538"/>
      <c r="AJ187" s="538"/>
      <c r="AK187" s="538"/>
      <c r="AL187" s="538"/>
      <c r="AM187" s="538"/>
      <c r="AN187" s="538"/>
      <c r="AO187" s="538"/>
      <c r="AP187" s="538"/>
      <c r="AQ187" s="538"/>
      <c r="AR187" s="538"/>
      <c r="AS187" s="538"/>
      <c r="AT187" s="538"/>
      <c r="AU187" s="538"/>
      <c r="AV187" s="538"/>
      <c r="AW187" s="538"/>
      <c r="AX187" s="538"/>
      <c r="AY187" s="538"/>
      <c r="AZ187" s="538"/>
    </row>
    <row r="188" spans="1:52" s="471" customFormat="1">
      <c r="A188" s="465" t="s">
        <v>279</v>
      </c>
      <c r="B188" s="452" t="str">
        <f>VLOOKUP(A188,★新聞!$C$4:$D$12,2,FALSE)</f>
        <v>M</v>
      </c>
      <c r="C188" s="465" t="s">
        <v>1351</v>
      </c>
      <c r="D188" s="452" t="str">
        <f>VLOOKUP(C188,★サイズ表記!$D$4:$E$55,2,FALSE)</f>
        <v>4005</v>
      </c>
      <c r="E188" s="484" t="str">
        <f t="shared" si="19"/>
        <v>M4005</v>
      </c>
      <c r="F188" s="484" t="str">
        <f t="shared" si="20"/>
        <v>毎日/タブ12P</v>
      </c>
      <c r="G188" s="483"/>
      <c r="I188" s="471" t="str">
        <f t="shared" si="24"/>
        <v>M4005</v>
      </c>
      <c r="J188" s="471" t="str">
        <f t="shared" si="21"/>
        <v>毎日/タブ12P</v>
      </c>
      <c r="M188" s="538"/>
      <c r="N188" s="533" t="s">
        <v>1324</v>
      </c>
      <c r="O188" s="533" t="s">
        <v>1325</v>
      </c>
      <c r="P188" s="534" t="str">
        <f t="shared" si="22"/>
        <v>4005</v>
      </c>
      <c r="Q188" s="534" t="str">
        <f t="shared" si="23"/>
        <v>タブ12P</v>
      </c>
      <c r="R188" s="538" t="str">
        <f t="shared" si="25"/>
        <v>40</v>
      </c>
      <c r="S188" s="538" t="str">
        <f t="shared" si="26"/>
        <v>05</v>
      </c>
      <c r="T188" s="471" t="s">
        <v>1136</v>
      </c>
      <c r="U188" s="538"/>
      <c r="V188" s="538"/>
      <c r="W188" s="471">
        <v>0</v>
      </c>
      <c r="X188" s="540"/>
      <c r="Y188" s="471">
        <v>0</v>
      </c>
      <c r="Z188" s="538"/>
      <c r="AA188" s="538"/>
      <c r="AB188" s="538"/>
      <c r="AC188" s="538"/>
      <c r="AD188" s="538"/>
      <c r="AE188" s="538"/>
      <c r="AF188" s="538"/>
      <c r="AG188" s="538"/>
      <c r="AH188" s="538"/>
      <c r="AI188" s="538"/>
      <c r="AJ188" s="538"/>
      <c r="AK188" s="538"/>
      <c r="AL188" s="538"/>
      <c r="AM188" s="538"/>
      <c r="AN188" s="538"/>
      <c r="AO188" s="538"/>
      <c r="AP188" s="538"/>
      <c r="AQ188" s="538"/>
      <c r="AR188" s="538"/>
      <c r="AS188" s="538"/>
      <c r="AT188" s="538"/>
      <c r="AU188" s="538"/>
      <c r="AV188" s="538"/>
      <c r="AW188" s="538"/>
      <c r="AX188" s="538"/>
      <c r="AY188" s="538"/>
      <c r="AZ188" s="538"/>
    </row>
    <row r="189" spans="1:52" s="471" customFormat="1">
      <c r="A189" s="465" t="s">
        <v>279</v>
      </c>
      <c r="B189" s="452" t="str">
        <f>VLOOKUP(A189,★新聞!$C$4:$D$12,2,FALSE)</f>
        <v>M</v>
      </c>
      <c r="C189" s="465" t="s">
        <v>1352</v>
      </c>
      <c r="D189" s="452" t="str">
        <f>VLOOKUP(C189,★サイズ表記!$D$4:$E$55,2,FALSE)</f>
        <v>4006</v>
      </c>
      <c r="E189" s="484" t="str">
        <f t="shared" si="19"/>
        <v>M4006</v>
      </c>
      <c r="F189" s="484" t="str">
        <f t="shared" si="20"/>
        <v>毎日/タブ14P</v>
      </c>
      <c r="G189" s="483"/>
      <c r="I189" s="471" t="str">
        <f t="shared" si="24"/>
        <v>M4006</v>
      </c>
      <c r="J189" s="471" t="str">
        <f t="shared" si="21"/>
        <v>毎日/タブ14P</v>
      </c>
      <c r="M189" s="538"/>
      <c r="N189" s="533" t="s">
        <v>1324</v>
      </c>
      <c r="O189" s="533" t="s">
        <v>1325</v>
      </c>
      <c r="P189" s="534" t="str">
        <f t="shared" si="22"/>
        <v>4006</v>
      </c>
      <c r="Q189" s="534" t="str">
        <f t="shared" si="23"/>
        <v>タブ14P</v>
      </c>
      <c r="R189" s="538" t="str">
        <f t="shared" si="25"/>
        <v>40</v>
      </c>
      <c r="S189" s="538" t="str">
        <f t="shared" si="26"/>
        <v>06</v>
      </c>
      <c r="T189" s="471" t="s">
        <v>1136</v>
      </c>
      <c r="U189" s="538"/>
      <c r="V189" s="538"/>
      <c r="W189" s="471">
        <v>0</v>
      </c>
      <c r="X189" s="540"/>
      <c r="Y189" s="471">
        <v>0</v>
      </c>
      <c r="Z189" s="538"/>
      <c r="AA189" s="538"/>
      <c r="AB189" s="538"/>
      <c r="AC189" s="538"/>
      <c r="AD189" s="538"/>
      <c r="AE189" s="538"/>
      <c r="AF189" s="538"/>
      <c r="AG189" s="538"/>
      <c r="AH189" s="538"/>
      <c r="AI189" s="538"/>
      <c r="AJ189" s="538"/>
      <c r="AK189" s="538"/>
      <c r="AL189" s="538"/>
      <c r="AM189" s="538"/>
      <c r="AN189" s="538"/>
      <c r="AO189" s="538"/>
      <c r="AP189" s="538"/>
      <c r="AQ189" s="538"/>
      <c r="AR189" s="538"/>
      <c r="AS189" s="538"/>
      <c r="AT189" s="538"/>
      <c r="AU189" s="538"/>
      <c r="AV189" s="538"/>
      <c r="AW189" s="538"/>
      <c r="AX189" s="538"/>
      <c r="AY189" s="538"/>
      <c r="AZ189" s="538"/>
    </row>
    <row r="190" spans="1:52" s="471" customFormat="1">
      <c r="A190" s="465" t="s">
        <v>279</v>
      </c>
      <c r="B190" s="452" t="str">
        <f>VLOOKUP(A190,★新聞!$C$4:$D$12,2,FALSE)</f>
        <v>M</v>
      </c>
      <c r="C190" s="465" t="s">
        <v>1353</v>
      </c>
      <c r="D190" s="452" t="str">
        <f>VLOOKUP(C190,★サイズ表記!$D$4:$E$55,2,FALSE)</f>
        <v>4007</v>
      </c>
      <c r="E190" s="484" t="str">
        <f t="shared" si="19"/>
        <v>M4007</v>
      </c>
      <c r="F190" s="484" t="str">
        <f t="shared" si="20"/>
        <v>毎日/タブ16P</v>
      </c>
      <c r="G190" s="483"/>
      <c r="I190" s="471" t="str">
        <f t="shared" si="24"/>
        <v>M4007</v>
      </c>
      <c r="J190" s="471" t="str">
        <f t="shared" si="21"/>
        <v>毎日/タブ16P</v>
      </c>
      <c r="M190" s="538"/>
      <c r="N190" s="533" t="s">
        <v>1324</v>
      </c>
      <c r="O190" s="533" t="s">
        <v>1325</v>
      </c>
      <c r="P190" s="534" t="str">
        <f t="shared" si="22"/>
        <v>4007</v>
      </c>
      <c r="Q190" s="534" t="str">
        <f t="shared" si="23"/>
        <v>タブ16P</v>
      </c>
      <c r="R190" s="538" t="str">
        <f t="shared" si="25"/>
        <v>40</v>
      </c>
      <c r="S190" s="538" t="str">
        <f t="shared" si="26"/>
        <v>07</v>
      </c>
      <c r="T190" s="471" t="s">
        <v>1136</v>
      </c>
      <c r="U190" s="538"/>
      <c r="V190" s="538"/>
      <c r="W190" s="471">
        <v>0</v>
      </c>
      <c r="X190" s="540"/>
      <c r="Y190" s="471">
        <v>0</v>
      </c>
      <c r="Z190" s="538"/>
      <c r="AA190" s="538"/>
      <c r="AB190" s="538"/>
      <c r="AC190" s="538"/>
      <c r="AD190" s="538"/>
      <c r="AE190" s="538"/>
      <c r="AF190" s="538"/>
      <c r="AG190" s="538"/>
      <c r="AH190" s="538"/>
      <c r="AI190" s="538"/>
      <c r="AJ190" s="538"/>
      <c r="AK190" s="538"/>
      <c r="AL190" s="538"/>
      <c r="AM190" s="538"/>
      <c r="AN190" s="538"/>
      <c r="AO190" s="538"/>
      <c r="AP190" s="538"/>
      <c r="AQ190" s="538"/>
      <c r="AR190" s="538"/>
      <c r="AS190" s="538"/>
      <c r="AT190" s="538"/>
      <c r="AU190" s="538"/>
      <c r="AV190" s="538"/>
      <c r="AW190" s="538"/>
      <c r="AX190" s="538"/>
      <c r="AY190" s="538"/>
      <c r="AZ190" s="538"/>
    </row>
    <row r="191" spans="1:52" s="471" customFormat="1">
      <c r="A191" s="465" t="s">
        <v>279</v>
      </c>
      <c r="B191" s="452" t="str">
        <f>VLOOKUP(A191,★新聞!$C$4:$D$12,2,FALSE)</f>
        <v>M</v>
      </c>
      <c r="C191" s="465" t="s">
        <v>1355</v>
      </c>
      <c r="D191" s="452" t="str">
        <f>VLOOKUP(C191,★サイズ表記!$D$4:$E$55,2,FALSE)</f>
        <v>4008</v>
      </c>
      <c r="E191" s="484" t="str">
        <f t="shared" si="19"/>
        <v>M4008</v>
      </c>
      <c r="F191" s="484" t="str">
        <f t="shared" si="20"/>
        <v>毎日/タブ18P</v>
      </c>
      <c r="G191" s="483"/>
      <c r="I191" s="471" t="str">
        <f t="shared" si="24"/>
        <v>M4008</v>
      </c>
      <c r="J191" s="471" t="str">
        <f t="shared" si="21"/>
        <v>毎日/タブ18P</v>
      </c>
      <c r="M191" s="538"/>
      <c r="N191" s="533" t="s">
        <v>1324</v>
      </c>
      <c r="O191" s="533" t="s">
        <v>1325</v>
      </c>
      <c r="P191" s="534" t="str">
        <f t="shared" si="22"/>
        <v>4008</v>
      </c>
      <c r="Q191" s="534" t="str">
        <f t="shared" si="23"/>
        <v>タブ18P</v>
      </c>
      <c r="R191" s="538" t="str">
        <f t="shared" si="25"/>
        <v>40</v>
      </c>
      <c r="S191" s="538" t="str">
        <f t="shared" si="26"/>
        <v>08</v>
      </c>
      <c r="T191" s="471" t="s">
        <v>1136</v>
      </c>
      <c r="U191" s="538"/>
      <c r="V191" s="538"/>
      <c r="W191" s="471">
        <v>0</v>
      </c>
      <c r="X191" s="540"/>
      <c r="Y191" s="471">
        <v>0</v>
      </c>
      <c r="Z191" s="538"/>
      <c r="AA191" s="538"/>
      <c r="AB191" s="538"/>
      <c r="AC191" s="538"/>
      <c r="AD191" s="538"/>
      <c r="AE191" s="538"/>
      <c r="AF191" s="538"/>
      <c r="AG191" s="538"/>
      <c r="AH191" s="538"/>
      <c r="AI191" s="538"/>
      <c r="AJ191" s="538"/>
      <c r="AK191" s="538"/>
      <c r="AL191" s="538"/>
      <c r="AM191" s="538"/>
      <c r="AN191" s="538"/>
      <c r="AO191" s="538"/>
      <c r="AP191" s="538"/>
      <c r="AQ191" s="538"/>
      <c r="AR191" s="538"/>
      <c r="AS191" s="538"/>
      <c r="AT191" s="538"/>
      <c r="AU191" s="538"/>
      <c r="AV191" s="538"/>
      <c r="AW191" s="538"/>
      <c r="AX191" s="538"/>
      <c r="AY191" s="538"/>
      <c r="AZ191" s="538"/>
    </row>
    <row r="192" spans="1:52" s="471" customFormat="1">
      <c r="A192" s="465" t="s">
        <v>279</v>
      </c>
      <c r="B192" s="452" t="str">
        <f>VLOOKUP(A192,★新聞!$C$4:$D$12,2,FALSE)</f>
        <v>M</v>
      </c>
      <c r="C192" s="465" t="s">
        <v>1356</v>
      </c>
      <c r="D192" s="452" t="str">
        <f>VLOOKUP(C192,★サイズ表記!$D$4:$E$55,2,FALSE)</f>
        <v>4009</v>
      </c>
      <c r="E192" s="484" t="str">
        <f t="shared" si="19"/>
        <v>M4009</v>
      </c>
      <c r="F192" s="484" t="str">
        <f t="shared" si="20"/>
        <v>毎日/タブ20P</v>
      </c>
      <c r="G192" s="483"/>
      <c r="I192" s="471" t="str">
        <f t="shared" si="24"/>
        <v>M4009</v>
      </c>
      <c r="J192" s="471" t="str">
        <f t="shared" si="21"/>
        <v>毎日/タブ20P</v>
      </c>
      <c r="M192" s="538"/>
      <c r="N192" s="533" t="s">
        <v>1324</v>
      </c>
      <c r="O192" s="533" t="s">
        <v>1325</v>
      </c>
      <c r="P192" s="534" t="str">
        <f t="shared" si="22"/>
        <v>4009</v>
      </c>
      <c r="Q192" s="534" t="str">
        <f t="shared" si="23"/>
        <v>タブ20P</v>
      </c>
      <c r="R192" s="538" t="str">
        <f t="shared" si="25"/>
        <v>40</v>
      </c>
      <c r="S192" s="538" t="str">
        <f t="shared" si="26"/>
        <v>09</v>
      </c>
      <c r="T192" s="471" t="s">
        <v>1136</v>
      </c>
      <c r="U192" s="538"/>
      <c r="V192" s="538"/>
      <c r="W192" s="471">
        <v>0</v>
      </c>
      <c r="X192" s="540"/>
      <c r="Y192" s="471">
        <v>0</v>
      </c>
      <c r="Z192" s="538"/>
      <c r="AA192" s="538"/>
      <c r="AB192" s="538"/>
      <c r="AC192" s="538"/>
      <c r="AD192" s="538"/>
      <c r="AE192" s="538"/>
      <c r="AF192" s="538"/>
      <c r="AG192" s="538"/>
      <c r="AH192" s="538"/>
      <c r="AI192" s="538"/>
      <c r="AJ192" s="538"/>
      <c r="AK192" s="538"/>
      <c r="AL192" s="538"/>
      <c r="AM192" s="538"/>
      <c r="AN192" s="538"/>
      <c r="AO192" s="538"/>
      <c r="AP192" s="538"/>
      <c r="AQ192" s="538"/>
      <c r="AR192" s="538"/>
      <c r="AS192" s="538"/>
      <c r="AT192" s="538"/>
      <c r="AU192" s="538"/>
      <c r="AV192" s="538"/>
      <c r="AW192" s="538"/>
      <c r="AX192" s="538"/>
      <c r="AY192" s="538"/>
      <c r="AZ192" s="538"/>
    </row>
    <row r="193" spans="1:52" s="471" customFormat="1">
      <c r="A193" s="465" t="s">
        <v>279</v>
      </c>
      <c r="B193" s="452" t="str">
        <f>VLOOKUP(A193,★新聞!$C$4:$D$12,2,FALSE)</f>
        <v>M</v>
      </c>
      <c r="C193" s="465" t="s">
        <v>1354</v>
      </c>
      <c r="D193" s="452" t="str">
        <f>VLOOKUP(C193,★サイズ表記!$D$4:$E$55,2,FALSE)</f>
        <v>4010</v>
      </c>
      <c r="E193" s="484" t="str">
        <f t="shared" si="19"/>
        <v>M4010</v>
      </c>
      <c r="F193" s="484" t="str">
        <f t="shared" si="20"/>
        <v>毎日/タブ16Pホチキス止め</v>
      </c>
      <c r="G193" s="483"/>
      <c r="I193" s="471" t="str">
        <f t="shared" si="24"/>
        <v>M4010</v>
      </c>
      <c r="J193" s="471" t="str">
        <f t="shared" si="21"/>
        <v>毎日/タブ16Pホチキス止め</v>
      </c>
      <c r="M193" s="538"/>
      <c r="N193" s="533" t="s">
        <v>1324</v>
      </c>
      <c r="O193" s="533" t="s">
        <v>1325</v>
      </c>
      <c r="P193" s="534" t="str">
        <f t="shared" si="22"/>
        <v>4010</v>
      </c>
      <c r="Q193" s="534" t="str">
        <f t="shared" si="23"/>
        <v>タブ16Pホチキス止め</v>
      </c>
      <c r="R193" s="538" t="str">
        <f t="shared" si="25"/>
        <v>40</v>
      </c>
      <c r="S193" s="538" t="str">
        <f t="shared" si="26"/>
        <v>10</v>
      </c>
      <c r="T193" s="471" t="s">
        <v>1136</v>
      </c>
      <c r="U193" s="538"/>
      <c r="V193" s="538"/>
      <c r="W193" s="471">
        <v>0</v>
      </c>
      <c r="X193" s="540"/>
      <c r="Y193" s="471">
        <v>0</v>
      </c>
      <c r="Z193" s="538"/>
      <c r="AA193" s="538"/>
      <c r="AB193" s="538"/>
      <c r="AC193" s="538"/>
      <c r="AD193" s="538"/>
      <c r="AE193" s="538"/>
      <c r="AF193" s="538"/>
      <c r="AG193" s="538"/>
      <c r="AH193" s="538"/>
      <c r="AI193" s="538"/>
      <c r="AJ193" s="538"/>
      <c r="AK193" s="538"/>
      <c r="AL193" s="538"/>
      <c r="AM193" s="538"/>
      <c r="AN193" s="538"/>
      <c r="AO193" s="538"/>
      <c r="AP193" s="538"/>
      <c r="AQ193" s="538"/>
      <c r="AR193" s="538"/>
      <c r="AS193" s="538"/>
      <c r="AT193" s="538"/>
      <c r="AU193" s="538"/>
      <c r="AV193" s="538"/>
      <c r="AW193" s="538"/>
      <c r="AX193" s="538"/>
      <c r="AY193" s="538"/>
      <c r="AZ193" s="538"/>
    </row>
    <row r="194" spans="1:52" s="471" customFormat="1">
      <c r="A194" s="465" t="s">
        <v>279</v>
      </c>
      <c r="B194" s="452" t="str">
        <f>VLOOKUP(A194,★新聞!$C$4:$D$12,2,FALSE)</f>
        <v>M</v>
      </c>
      <c r="C194" s="465" t="s">
        <v>1357</v>
      </c>
      <c r="D194" s="452" t="str">
        <f>VLOOKUP(C194,★サイズ表記!$D$4:$E$55,2,FALSE)</f>
        <v>4011</v>
      </c>
      <c r="E194" s="484" t="str">
        <f t="shared" si="19"/>
        <v>M4011</v>
      </c>
      <c r="F194" s="484" t="str">
        <f t="shared" si="20"/>
        <v>毎日/タブ40P</v>
      </c>
      <c r="G194" s="483"/>
      <c r="I194" s="471" t="str">
        <f t="shared" si="24"/>
        <v>M4011</v>
      </c>
      <c r="J194" s="471" t="str">
        <f t="shared" si="21"/>
        <v>毎日/タブ40P</v>
      </c>
      <c r="M194" s="538"/>
      <c r="N194" s="533" t="s">
        <v>1324</v>
      </c>
      <c r="O194" s="533" t="s">
        <v>1325</v>
      </c>
      <c r="P194" s="534" t="str">
        <f t="shared" si="22"/>
        <v>4011</v>
      </c>
      <c r="Q194" s="534" t="str">
        <f t="shared" si="23"/>
        <v>タブ40P</v>
      </c>
      <c r="R194" s="538" t="str">
        <f t="shared" si="25"/>
        <v>40</v>
      </c>
      <c r="S194" s="538" t="str">
        <f t="shared" si="26"/>
        <v>11</v>
      </c>
      <c r="T194" s="471" t="s">
        <v>1136</v>
      </c>
      <c r="U194" s="538"/>
      <c r="V194" s="538"/>
      <c r="W194" s="471">
        <v>0</v>
      </c>
      <c r="X194" s="540"/>
      <c r="Y194" s="471">
        <v>0</v>
      </c>
      <c r="Z194" s="538"/>
      <c r="AA194" s="538"/>
      <c r="AB194" s="538"/>
      <c r="AC194" s="538"/>
      <c r="AD194" s="538"/>
      <c r="AE194" s="538"/>
      <c r="AF194" s="538"/>
      <c r="AG194" s="538"/>
      <c r="AH194" s="538"/>
      <c r="AI194" s="538"/>
      <c r="AJ194" s="538"/>
      <c r="AK194" s="538"/>
      <c r="AL194" s="538"/>
      <c r="AM194" s="538"/>
      <c r="AN194" s="538"/>
      <c r="AO194" s="538"/>
      <c r="AP194" s="538"/>
      <c r="AQ194" s="538"/>
      <c r="AR194" s="538"/>
      <c r="AS194" s="538"/>
      <c r="AT194" s="538"/>
      <c r="AU194" s="538"/>
      <c r="AV194" s="538"/>
      <c r="AW194" s="538"/>
      <c r="AX194" s="538"/>
      <c r="AY194" s="538"/>
      <c r="AZ194" s="538"/>
    </row>
    <row r="195" spans="1:52" s="471" customFormat="1">
      <c r="A195" s="465" t="s">
        <v>279</v>
      </c>
      <c r="B195" s="452" t="str">
        <f>VLOOKUP(A195,★新聞!$C$4:$D$12,2,FALSE)</f>
        <v>M</v>
      </c>
      <c r="C195" s="465" t="s">
        <v>975</v>
      </c>
      <c r="D195" s="452" t="str">
        <f>VLOOKUP(C195,★サイズ表記!$D$4:$E$55,2,FALSE)</f>
        <v>9001</v>
      </c>
      <c r="E195" s="484" t="str">
        <f t="shared" si="19"/>
        <v>M9001</v>
      </c>
      <c r="F195" s="484" t="str">
        <f t="shared" si="20"/>
        <v>毎日/うさぎの耳</v>
      </c>
      <c r="G195" s="483"/>
      <c r="I195" s="471" t="str">
        <f t="shared" si="24"/>
        <v>M9001</v>
      </c>
      <c r="J195" s="471" t="str">
        <f t="shared" si="21"/>
        <v>毎日/うさぎの耳</v>
      </c>
      <c r="M195" s="538"/>
      <c r="N195" s="533" t="s">
        <v>1324</v>
      </c>
      <c r="O195" s="533" t="s">
        <v>1325</v>
      </c>
      <c r="P195" s="534" t="str">
        <f t="shared" si="22"/>
        <v>9001</v>
      </c>
      <c r="Q195" s="534" t="str">
        <f t="shared" si="23"/>
        <v>うさぎの耳</v>
      </c>
      <c r="R195" s="538" t="str">
        <f t="shared" si="25"/>
        <v>90</v>
      </c>
      <c r="S195" s="538" t="str">
        <f t="shared" si="26"/>
        <v>01</v>
      </c>
      <c r="T195" s="471" t="s">
        <v>1136</v>
      </c>
      <c r="U195" s="538"/>
      <c r="V195" s="538"/>
      <c r="W195" s="471">
        <v>0</v>
      </c>
      <c r="X195" s="540"/>
      <c r="Y195" s="471">
        <v>0</v>
      </c>
      <c r="Z195" s="538"/>
      <c r="AA195" s="538"/>
      <c r="AB195" s="538"/>
      <c r="AC195" s="538"/>
      <c r="AD195" s="538"/>
      <c r="AE195" s="538"/>
      <c r="AF195" s="538"/>
      <c r="AG195" s="538"/>
      <c r="AH195" s="538"/>
      <c r="AI195" s="538"/>
      <c r="AJ195" s="538"/>
      <c r="AK195" s="538"/>
      <c r="AL195" s="538"/>
      <c r="AM195" s="538"/>
      <c r="AN195" s="538"/>
      <c r="AO195" s="538"/>
      <c r="AP195" s="538"/>
      <c r="AQ195" s="538"/>
      <c r="AR195" s="538"/>
      <c r="AS195" s="538"/>
      <c r="AT195" s="538"/>
      <c r="AU195" s="538"/>
      <c r="AV195" s="538"/>
      <c r="AW195" s="538"/>
      <c r="AX195" s="538"/>
      <c r="AY195" s="538"/>
      <c r="AZ195" s="538"/>
    </row>
    <row r="196" spans="1:52" s="471" customFormat="1">
      <c r="A196" s="465" t="s">
        <v>279</v>
      </c>
      <c r="B196" s="452" t="str">
        <f>VLOOKUP(A196,★新聞!$C$4:$D$12,2,FALSE)</f>
        <v>M</v>
      </c>
      <c r="C196" s="465" t="s">
        <v>976</v>
      </c>
      <c r="D196" s="452" t="str">
        <f>VLOOKUP(C196,★サイズ表記!$D$4:$E$55,2,FALSE)</f>
        <v>9002</v>
      </c>
      <c r="E196" s="484" t="str">
        <f t="shared" si="19"/>
        <v>M9002</v>
      </c>
      <c r="F196" s="484" t="str">
        <f t="shared" si="20"/>
        <v>毎日/ユーキャン（題字）</v>
      </c>
      <c r="G196" s="483"/>
      <c r="I196" s="471" t="str">
        <f t="shared" si="24"/>
        <v>M9002</v>
      </c>
      <c r="J196" s="471" t="str">
        <f t="shared" si="21"/>
        <v>毎日/ユーキャン（題字）</v>
      </c>
      <c r="M196" s="538"/>
      <c r="N196" s="533" t="s">
        <v>1324</v>
      </c>
      <c r="O196" s="533" t="s">
        <v>1325</v>
      </c>
      <c r="P196" s="534" t="str">
        <f t="shared" si="22"/>
        <v>9002</v>
      </c>
      <c r="Q196" s="534" t="str">
        <f t="shared" si="23"/>
        <v>ユーキャン（題字）</v>
      </c>
      <c r="R196" s="538" t="str">
        <f t="shared" si="25"/>
        <v>90</v>
      </c>
      <c r="S196" s="538" t="str">
        <f t="shared" si="26"/>
        <v>02</v>
      </c>
      <c r="T196" s="471" t="s">
        <v>1136</v>
      </c>
      <c r="U196" s="538"/>
      <c r="V196" s="538"/>
      <c r="W196" s="471">
        <v>0</v>
      </c>
      <c r="X196" s="540"/>
      <c r="Y196" s="471">
        <v>0</v>
      </c>
      <c r="Z196" s="538"/>
      <c r="AA196" s="538"/>
      <c r="AB196" s="538"/>
      <c r="AC196" s="538"/>
      <c r="AD196" s="538"/>
      <c r="AE196" s="538"/>
      <c r="AF196" s="538"/>
      <c r="AG196" s="538"/>
      <c r="AH196" s="538"/>
      <c r="AI196" s="538"/>
      <c r="AJ196" s="538"/>
      <c r="AK196" s="538"/>
      <c r="AL196" s="538"/>
      <c r="AM196" s="538"/>
      <c r="AN196" s="538"/>
      <c r="AO196" s="538"/>
      <c r="AP196" s="538"/>
      <c r="AQ196" s="538"/>
      <c r="AR196" s="538"/>
      <c r="AS196" s="538"/>
      <c r="AT196" s="538"/>
      <c r="AU196" s="538"/>
      <c r="AV196" s="538"/>
      <c r="AW196" s="538"/>
      <c r="AX196" s="538"/>
      <c r="AY196" s="538"/>
      <c r="AZ196" s="538"/>
    </row>
    <row r="197" spans="1:52" s="471" customFormat="1">
      <c r="A197" s="465" t="s">
        <v>279</v>
      </c>
      <c r="B197" s="452" t="str">
        <f>VLOOKUP(A197,★新聞!$C$4:$D$12,2,FALSE)</f>
        <v>M</v>
      </c>
      <c r="C197" s="465" t="s">
        <v>977</v>
      </c>
      <c r="D197" s="452" t="str">
        <f>VLOOKUP(C197,★サイズ表記!$D$4:$E$55,2,FALSE)</f>
        <v>9003</v>
      </c>
      <c r="E197" s="484" t="str">
        <f t="shared" si="19"/>
        <v>M9003</v>
      </c>
      <c r="F197" s="484" t="str">
        <f t="shared" si="20"/>
        <v>毎日/横長B3</v>
      </c>
      <c r="G197" s="483"/>
      <c r="I197" s="471" t="str">
        <f t="shared" si="24"/>
        <v>M9003</v>
      </c>
      <c r="J197" s="471" t="str">
        <f t="shared" si="21"/>
        <v>毎日/横長B3</v>
      </c>
      <c r="M197" s="538"/>
      <c r="N197" s="533" t="s">
        <v>1324</v>
      </c>
      <c r="O197" s="533" t="s">
        <v>1325</v>
      </c>
      <c r="P197" s="534" t="str">
        <f t="shared" si="22"/>
        <v>9003</v>
      </c>
      <c r="Q197" s="534" t="str">
        <f t="shared" si="23"/>
        <v>横長B3</v>
      </c>
      <c r="R197" s="538" t="str">
        <f t="shared" si="25"/>
        <v>90</v>
      </c>
      <c r="S197" s="538" t="str">
        <f t="shared" si="26"/>
        <v>03</v>
      </c>
      <c r="T197" s="471" t="s">
        <v>1136</v>
      </c>
      <c r="U197" s="538"/>
      <c r="V197" s="538"/>
      <c r="W197" s="471">
        <v>0</v>
      </c>
      <c r="X197" s="540"/>
      <c r="Y197" s="471">
        <v>0</v>
      </c>
      <c r="Z197" s="538"/>
      <c r="AA197" s="538"/>
      <c r="AB197" s="538"/>
      <c r="AC197" s="538"/>
      <c r="AD197" s="538"/>
      <c r="AE197" s="538"/>
      <c r="AF197" s="538"/>
      <c r="AG197" s="538"/>
      <c r="AH197" s="538"/>
      <c r="AI197" s="538"/>
      <c r="AJ197" s="538"/>
      <c r="AK197" s="538"/>
      <c r="AL197" s="538"/>
      <c r="AM197" s="538"/>
      <c r="AN197" s="538"/>
      <c r="AO197" s="538"/>
      <c r="AP197" s="538"/>
      <c r="AQ197" s="538"/>
      <c r="AR197" s="538"/>
      <c r="AS197" s="538"/>
      <c r="AT197" s="538"/>
      <c r="AU197" s="538"/>
      <c r="AV197" s="538"/>
      <c r="AW197" s="538"/>
      <c r="AX197" s="538"/>
      <c r="AY197" s="538"/>
      <c r="AZ197" s="538"/>
    </row>
    <row r="198" spans="1:52" s="471" customFormat="1">
      <c r="A198" s="465" t="s">
        <v>279</v>
      </c>
      <c r="B198" s="452" t="str">
        <f>VLOOKUP(A198,★新聞!$C$4:$D$12,2,FALSE)</f>
        <v>M</v>
      </c>
      <c r="C198" s="465" t="s">
        <v>978</v>
      </c>
      <c r="D198" s="452" t="str">
        <f>VLOOKUP(C198,★サイズ表記!$D$4:$E$55,2,FALSE)</f>
        <v>9004</v>
      </c>
      <c r="E198" s="484" t="str">
        <f t="shared" ref="E198:E261" si="27">CONCATENATE(B198,D198)</f>
        <v>M9004</v>
      </c>
      <c r="F198" s="484" t="str">
        <f t="shared" si="20"/>
        <v>毎日/AD-BAG</v>
      </c>
      <c r="G198" s="483"/>
      <c r="I198" s="471" t="str">
        <f t="shared" si="24"/>
        <v>M9004</v>
      </c>
      <c r="J198" s="471" t="str">
        <f t="shared" si="21"/>
        <v>毎日/AD-BAG</v>
      </c>
      <c r="M198" s="538"/>
      <c r="N198" s="533" t="s">
        <v>1324</v>
      </c>
      <c r="O198" s="533" t="s">
        <v>1325</v>
      </c>
      <c r="P198" s="534" t="str">
        <f t="shared" si="22"/>
        <v>9004</v>
      </c>
      <c r="Q198" s="534" t="str">
        <f t="shared" si="23"/>
        <v>AD-BAG</v>
      </c>
      <c r="R198" s="538" t="str">
        <f t="shared" si="25"/>
        <v>90</v>
      </c>
      <c r="S198" s="538" t="str">
        <f t="shared" si="26"/>
        <v>04</v>
      </c>
      <c r="T198" s="471" t="s">
        <v>1136</v>
      </c>
      <c r="U198" s="538"/>
      <c r="V198" s="538"/>
      <c r="W198" s="471">
        <v>0</v>
      </c>
      <c r="X198" s="540"/>
      <c r="Y198" s="471">
        <v>0</v>
      </c>
      <c r="Z198" s="538"/>
      <c r="AA198" s="538"/>
      <c r="AB198" s="538"/>
      <c r="AC198" s="538"/>
      <c r="AD198" s="538"/>
      <c r="AE198" s="538"/>
      <c r="AF198" s="538"/>
      <c r="AG198" s="538"/>
      <c r="AH198" s="538"/>
      <c r="AI198" s="538"/>
      <c r="AJ198" s="538"/>
      <c r="AK198" s="538"/>
      <c r="AL198" s="538"/>
      <c r="AM198" s="538"/>
      <c r="AN198" s="538"/>
      <c r="AO198" s="538"/>
      <c r="AP198" s="538"/>
      <c r="AQ198" s="538"/>
      <c r="AR198" s="538"/>
      <c r="AS198" s="538"/>
      <c r="AT198" s="538"/>
      <c r="AU198" s="538"/>
      <c r="AV198" s="538"/>
      <c r="AW198" s="538"/>
      <c r="AX198" s="538"/>
      <c r="AY198" s="538"/>
      <c r="AZ198" s="538"/>
    </row>
    <row r="199" spans="1:52" s="471" customFormat="1">
      <c r="A199" s="465" t="s">
        <v>279</v>
      </c>
      <c r="B199" s="452" t="str">
        <f>VLOOKUP(A199,★新聞!$C$4:$D$12,2,FALSE)</f>
        <v>M</v>
      </c>
      <c r="C199" s="465" t="s">
        <v>979</v>
      </c>
      <c r="D199" s="452" t="str">
        <f>VLOOKUP(C199,★サイズ表記!$D$4:$E$55,2,FALSE)</f>
        <v>9005</v>
      </c>
      <c r="E199" s="484" t="str">
        <f t="shared" si="27"/>
        <v>M9005</v>
      </c>
      <c r="F199" s="484" t="str">
        <f t="shared" ref="F199:F262" si="28">CONCATENATE($A199,"/",$C199)</f>
        <v>毎日/封筒</v>
      </c>
      <c r="G199" s="483"/>
      <c r="I199" s="471" t="str">
        <f t="shared" si="24"/>
        <v>M9005</v>
      </c>
      <c r="J199" s="471" t="str">
        <f t="shared" ref="J199:J262" si="29">F199</f>
        <v>毎日/封筒</v>
      </c>
      <c r="M199" s="538"/>
      <c r="N199" s="533" t="s">
        <v>1324</v>
      </c>
      <c r="O199" s="533" t="s">
        <v>1325</v>
      </c>
      <c r="P199" s="534" t="str">
        <f t="shared" ref="P199:P262" si="30">D199</f>
        <v>9005</v>
      </c>
      <c r="Q199" s="534" t="str">
        <f t="shared" ref="Q199:Q262" si="31">C199</f>
        <v>封筒</v>
      </c>
      <c r="R199" s="538" t="str">
        <f t="shared" si="25"/>
        <v>90</v>
      </c>
      <c r="S199" s="538" t="str">
        <f t="shared" si="26"/>
        <v>05</v>
      </c>
      <c r="T199" s="471" t="s">
        <v>1136</v>
      </c>
      <c r="U199" s="538"/>
      <c r="V199" s="538"/>
      <c r="W199" s="471">
        <v>0</v>
      </c>
      <c r="X199" s="540"/>
      <c r="Y199" s="471">
        <v>0</v>
      </c>
      <c r="Z199" s="538"/>
      <c r="AA199" s="538"/>
      <c r="AB199" s="538"/>
      <c r="AC199" s="538"/>
      <c r="AD199" s="538"/>
      <c r="AE199" s="538"/>
      <c r="AF199" s="538"/>
      <c r="AG199" s="538"/>
      <c r="AH199" s="538"/>
      <c r="AI199" s="538"/>
      <c r="AJ199" s="538"/>
      <c r="AK199" s="538"/>
      <c r="AL199" s="538"/>
      <c r="AM199" s="538"/>
      <c r="AN199" s="538"/>
      <c r="AO199" s="538"/>
      <c r="AP199" s="538"/>
      <c r="AQ199" s="538"/>
      <c r="AR199" s="538"/>
      <c r="AS199" s="538"/>
      <c r="AT199" s="538"/>
      <c r="AU199" s="538"/>
      <c r="AV199" s="538"/>
      <c r="AW199" s="538"/>
      <c r="AX199" s="538"/>
      <c r="AY199" s="538"/>
      <c r="AZ199" s="538"/>
    </row>
    <row r="200" spans="1:52" s="471" customFormat="1">
      <c r="A200" s="465" t="s">
        <v>279</v>
      </c>
      <c r="B200" s="452" t="str">
        <f>VLOOKUP(A200,★新聞!$C$4:$D$12,2,FALSE)</f>
        <v>M</v>
      </c>
      <c r="C200" s="465" t="s">
        <v>980</v>
      </c>
      <c r="D200" s="452" t="str">
        <f>VLOOKUP(C200,★サイズ表記!$D$4:$E$55,2,FALSE)</f>
        <v>9006</v>
      </c>
      <c r="E200" s="484" t="str">
        <f t="shared" si="27"/>
        <v>M9006</v>
      </c>
      <c r="F200" s="484" t="str">
        <f t="shared" si="28"/>
        <v>毎日/圧着</v>
      </c>
      <c r="G200" s="483"/>
      <c r="I200" s="471" t="str">
        <f t="shared" si="24"/>
        <v>M9006</v>
      </c>
      <c r="J200" s="471" t="str">
        <f t="shared" si="29"/>
        <v>毎日/圧着</v>
      </c>
      <c r="M200" s="538"/>
      <c r="N200" s="533" t="s">
        <v>1324</v>
      </c>
      <c r="O200" s="533" t="s">
        <v>1325</v>
      </c>
      <c r="P200" s="534" t="str">
        <f t="shared" si="30"/>
        <v>9006</v>
      </c>
      <c r="Q200" s="534" t="str">
        <f t="shared" si="31"/>
        <v>圧着</v>
      </c>
      <c r="R200" s="538" t="str">
        <f t="shared" si="25"/>
        <v>90</v>
      </c>
      <c r="S200" s="538" t="str">
        <f t="shared" si="26"/>
        <v>06</v>
      </c>
      <c r="T200" s="471" t="s">
        <v>1136</v>
      </c>
      <c r="U200" s="538"/>
      <c r="V200" s="538"/>
      <c r="W200" s="471">
        <v>0</v>
      </c>
      <c r="X200" s="540"/>
      <c r="Y200" s="471">
        <v>0</v>
      </c>
      <c r="Z200" s="538"/>
      <c r="AA200" s="538"/>
      <c r="AB200" s="538"/>
      <c r="AC200" s="538"/>
      <c r="AD200" s="538"/>
      <c r="AE200" s="538"/>
      <c r="AF200" s="538"/>
      <c r="AG200" s="538"/>
      <c r="AH200" s="538"/>
      <c r="AI200" s="538"/>
      <c r="AJ200" s="538"/>
      <c r="AK200" s="538"/>
      <c r="AL200" s="538"/>
      <c r="AM200" s="538"/>
      <c r="AN200" s="538"/>
      <c r="AO200" s="538"/>
      <c r="AP200" s="538"/>
      <c r="AQ200" s="538"/>
      <c r="AR200" s="538"/>
      <c r="AS200" s="538"/>
      <c r="AT200" s="538"/>
      <c r="AU200" s="538"/>
      <c r="AV200" s="538"/>
      <c r="AW200" s="538"/>
      <c r="AX200" s="538"/>
      <c r="AY200" s="538"/>
      <c r="AZ200" s="538"/>
    </row>
    <row r="201" spans="1:52" s="471" customFormat="1">
      <c r="A201" s="465" t="s">
        <v>279</v>
      </c>
      <c r="B201" s="452" t="str">
        <f>VLOOKUP(A201,★新聞!$C$4:$D$12,2,FALSE)</f>
        <v>M</v>
      </c>
      <c r="C201" s="465" t="s">
        <v>981</v>
      </c>
      <c r="D201" s="452" t="str">
        <f>VLOOKUP(C201,★サイズ表記!$D$4:$E$55,2,FALSE)</f>
        <v>9007</v>
      </c>
      <c r="E201" s="484" t="str">
        <f t="shared" si="27"/>
        <v>M9007</v>
      </c>
      <c r="F201" s="484" t="str">
        <f t="shared" si="28"/>
        <v>毎日/圧着厚紙</v>
      </c>
      <c r="G201" s="483"/>
      <c r="I201" s="471" t="str">
        <f t="shared" si="24"/>
        <v>M9007</v>
      </c>
      <c r="J201" s="471" t="str">
        <f t="shared" si="29"/>
        <v>毎日/圧着厚紙</v>
      </c>
      <c r="M201" s="538"/>
      <c r="N201" s="533" t="s">
        <v>1324</v>
      </c>
      <c r="O201" s="533" t="s">
        <v>1325</v>
      </c>
      <c r="P201" s="534" t="str">
        <f t="shared" si="30"/>
        <v>9007</v>
      </c>
      <c r="Q201" s="534" t="str">
        <f t="shared" si="31"/>
        <v>圧着厚紙</v>
      </c>
      <c r="R201" s="538" t="str">
        <f t="shared" si="25"/>
        <v>90</v>
      </c>
      <c r="S201" s="538" t="str">
        <f t="shared" si="26"/>
        <v>07</v>
      </c>
      <c r="T201" s="471" t="s">
        <v>1136</v>
      </c>
      <c r="U201" s="538"/>
      <c r="V201" s="538"/>
      <c r="W201" s="471">
        <v>0</v>
      </c>
      <c r="X201" s="540"/>
      <c r="Y201" s="471">
        <v>0</v>
      </c>
      <c r="Z201" s="538"/>
      <c r="AA201" s="538"/>
      <c r="AB201" s="538"/>
      <c r="AC201" s="538"/>
      <c r="AD201" s="538"/>
      <c r="AE201" s="538"/>
      <c r="AF201" s="538"/>
      <c r="AG201" s="538"/>
      <c r="AH201" s="538"/>
      <c r="AI201" s="538"/>
      <c r="AJ201" s="538"/>
      <c r="AK201" s="538"/>
      <c r="AL201" s="538"/>
      <c r="AM201" s="538"/>
      <c r="AN201" s="538"/>
      <c r="AO201" s="538"/>
      <c r="AP201" s="538"/>
      <c r="AQ201" s="538"/>
      <c r="AR201" s="538"/>
      <c r="AS201" s="538"/>
      <c r="AT201" s="538"/>
      <c r="AU201" s="538"/>
      <c r="AV201" s="538"/>
      <c r="AW201" s="538"/>
      <c r="AX201" s="538"/>
      <c r="AY201" s="538"/>
      <c r="AZ201" s="538"/>
    </row>
    <row r="202" spans="1:52">
      <c r="A202" s="465" t="s">
        <v>228</v>
      </c>
      <c r="B202" s="452" t="str">
        <f>VLOOKUP(A202,★新聞!$C$4:$D$12,2,FALSE)</f>
        <v>P</v>
      </c>
      <c r="C202" s="465" t="s">
        <v>948</v>
      </c>
      <c r="D202" s="452" t="str">
        <f>VLOOKUP(C202,★サイズ表記!$D$4:$E$55,2,FALSE)</f>
        <v>1001</v>
      </c>
      <c r="E202" s="484" t="str">
        <f t="shared" si="27"/>
        <v>P1001</v>
      </c>
      <c r="F202" s="484" t="str">
        <f t="shared" si="28"/>
        <v>産経/B4（折り無し）</v>
      </c>
      <c r="I202" s="471" t="str">
        <f>E202</f>
        <v>P1001</v>
      </c>
      <c r="J202" s="471" t="str">
        <f t="shared" si="29"/>
        <v>産経/B4（折り無し）</v>
      </c>
      <c r="N202" s="533" t="s">
        <v>1324</v>
      </c>
      <c r="O202" s="533" t="s">
        <v>1325</v>
      </c>
      <c r="P202" s="534" t="str">
        <f t="shared" si="30"/>
        <v>1001</v>
      </c>
      <c r="Q202" s="534" t="str">
        <f t="shared" si="31"/>
        <v>B4（折り無し）</v>
      </c>
      <c r="R202" s="538" t="str">
        <f>LEFT($D202,2)</f>
        <v>10</v>
      </c>
      <c r="S202" s="538" t="str">
        <f>RIGHT($D202,2)</f>
        <v>01</v>
      </c>
      <c r="T202" s="471" t="s">
        <v>1136</v>
      </c>
      <c r="W202" s="471">
        <v>0</v>
      </c>
      <c r="X202" s="540"/>
      <c r="Y202" s="471">
        <v>0</v>
      </c>
    </row>
    <row r="203" spans="1:52">
      <c r="A203" s="465" t="s">
        <v>228</v>
      </c>
      <c r="B203" s="452" t="str">
        <f>VLOOKUP(A203,★新聞!$C$4:$D$12,2,FALSE)</f>
        <v>P</v>
      </c>
      <c r="C203" s="465" t="s">
        <v>950</v>
      </c>
      <c r="D203" s="452" t="str">
        <f>VLOOKUP(C203,★サイズ表記!$D$4:$E$55,2,FALSE)</f>
        <v>1002</v>
      </c>
      <c r="E203" s="484" t="str">
        <f t="shared" si="27"/>
        <v>P1002</v>
      </c>
      <c r="F203" s="484" t="str">
        <f t="shared" si="28"/>
        <v>産経/B3（2つ折り）</v>
      </c>
      <c r="I203" s="471" t="str">
        <f t="shared" ref="I203:I250" si="32">E203</f>
        <v>P1002</v>
      </c>
      <c r="J203" s="471" t="str">
        <f t="shared" si="29"/>
        <v>産経/B3（2つ折り）</v>
      </c>
      <c r="N203" s="533" t="s">
        <v>1324</v>
      </c>
      <c r="O203" s="533" t="s">
        <v>1325</v>
      </c>
      <c r="P203" s="534" t="str">
        <f t="shared" si="30"/>
        <v>1002</v>
      </c>
      <c r="Q203" s="534" t="str">
        <f t="shared" si="31"/>
        <v>B3（2つ折り）</v>
      </c>
      <c r="R203" s="538" t="str">
        <f t="shared" ref="R203:R266" si="33">LEFT($D203,2)</f>
        <v>10</v>
      </c>
      <c r="S203" s="538" t="str">
        <f t="shared" ref="S203:S266" si="34">RIGHT($D203,2)</f>
        <v>02</v>
      </c>
      <c r="T203" s="471" t="s">
        <v>1136</v>
      </c>
      <c r="W203" s="471">
        <v>0</v>
      </c>
      <c r="X203" s="540"/>
      <c r="Y203" s="471">
        <v>0</v>
      </c>
    </row>
    <row r="204" spans="1:52">
      <c r="A204" s="465" t="s">
        <v>228</v>
      </c>
      <c r="B204" s="452" t="str">
        <f>VLOOKUP(A204,★新聞!$C$4:$D$12,2,FALSE)</f>
        <v>P</v>
      </c>
      <c r="C204" s="465" t="s">
        <v>951</v>
      </c>
      <c r="D204" s="452" t="str">
        <f>VLOOKUP(C204,★サイズ表記!$D$4:$E$55,2,FALSE)</f>
        <v>1003</v>
      </c>
      <c r="E204" s="484" t="str">
        <f t="shared" si="27"/>
        <v>P1003</v>
      </c>
      <c r="F204" s="484" t="str">
        <f t="shared" si="28"/>
        <v>産経/3つ折り</v>
      </c>
      <c r="I204" s="471" t="str">
        <f t="shared" si="32"/>
        <v>P1003</v>
      </c>
      <c r="J204" s="471" t="str">
        <f t="shared" si="29"/>
        <v>産経/3つ折り</v>
      </c>
      <c r="N204" s="533" t="s">
        <v>1324</v>
      </c>
      <c r="O204" s="533" t="s">
        <v>1325</v>
      </c>
      <c r="P204" s="534" t="str">
        <f t="shared" si="30"/>
        <v>1003</v>
      </c>
      <c r="Q204" s="534" t="str">
        <f t="shared" si="31"/>
        <v>3つ折り</v>
      </c>
      <c r="R204" s="538" t="str">
        <f t="shared" si="33"/>
        <v>10</v>
      </c>
      <c r="S204" s="538" t="str">
        <f t="shared" si="34"/>
        <v>03</v>
      </c>
      <c r="T204" s="471" t="s">
        <v>1136</v>
      </c>
      <c r="W204" s="471">
        <v>0</v>
      </c>
      <c r="X204" s="540"/>
      <c r="Y204" s="471">
        <v>0</v>
      </c>
    </row>
    <row r="205" spans="1:52">
      <c r="A205" s="465" t="s">
        <v>228</v>
      </c>
      <c r="B205" s="452" t="str">
        <f>VLOOKUP(A205,★新聞!$C$4:$D$12,2,FALSE)</f>
        <v>P</v>
      </c>
      <c r="C205" s="465" t="s">
        <v>947</v>
      </c>
      <c r="D205" s="452" t="str">
        <f>VLOOKUP(C205,★サイズ表記!$D$4:$E$55,2,FALSE)</f>
        <v>1004</v>
      </c>
      <c r="E205" s="484" t="str">
        <f t="shared" si="27"/>
        <v>P1004</v>
      </c>
      <c r="F205" s="484" t="str">
        <f t="shared" si="28"/>
        <v>産経/観音折</v>
      </c>
      <c r="I205" s="471" t="str">
        <f t="shared" si="32"/>
        <v>P1004</v>
      </c>
      <c r="J205" s="471" t="str">
        <f t="shared" si="29"/>
        <v>産経/観音折</v>
      </c>
      <c r="N205" s="533" t="s">
        <v>1324</v>
      </c>
      <c r="O205" s="533" t="s">
        <v>1325</v>
      </c>
      <c r="P205" s="534" t="str">
        <f t="shared" si="30"/>
        <v>1004</v>
      </c>
      <c r="Q205" s="534" t="str">
        <f t="shared" si="31"/>
        <v>観音折</v>
      </c>
      <c r="R205" s="538" t="str">
        <f t="shared" si="33"/>
        <v>10</v>
      </c>
      <c r="S205" s="538" t="str">
        <f t="shared" si="34"/>
        <v>04</v>
      </c>
      <c r="T205" s="471" t="s">
        <v>1136</v>
      </c>
      <c r="W205" s="471">
        <v>0</v>
      </c>
      <c r="X205" s="540"/>
      <c r="Y205" s="471">
        <v>0</v>
      </c>
    </row>
    <row r="206" spans="1:52">
      <c r="A206" s="465" t="s">
        <v>228</v>
      </c>
      <c r="B206" s="452" t="str">
        <f>VLOOKUP(A206,★新聞!$C$4:$D$12,2,FALSE)</f>
        <v>P</v>
      </c>
      <c r="C206" s="465" t="s">
        <v>952</v>
      </c>
      <c r="D206" s="452" t="str">
        <f>VLOOKUP(C206,★サイズ表記!$D$4:$E$55,2,FALSE)</f>
        <v>1005</v>
      </c>
      <c r="E206" s="484" t="str">
        <f t="shared" si="27"/>
        <v>P1005</v>
      </c>
      <c r="F206" s="484" t="str">
        <f t="shared" si="28"/>
        <v>産経/B2（4つ折り）</v>
      </c>
      <c r="I206" s="471" t="str">
        <f t="shared" si="32"/>
        <v>P1005</v>
      </c>
      <c r="J206" s="471" t="str">
        <f t="shared" si="29"/>
        <v>産経/B2（4つ折り）</v>
      </c>
      <c r="N206" s="533" t="s">
        <v>1324</v>
      </c>
      <c r="O206" s="533" t="s">
        <v>1325</v>
      </c>
      <c r="P206" s="534" t="str">
        <f t="shared" si="30"/>
        <v>1005</v>
      </c>
      <c r="Q206" s="534" t="str">
        <f t="shared" si="31"/>
        <v>B2（4つ折り）</v>
      </c>
      <c r="R206" s="538" t="str">
        <f t="shared" si="33"/>
        <v>10</v>
      </c>
      <c r="S206" s="538" t="str">
        <f t="shared" si="34"/>
        <v>05</v>
      </c>
      <c r="T206" s="471" t="s">
        <v>1136</v>
      </c>
      <c r="W206" s="471">
        <v>0</v>
      </c>
      <c r="X206" s="540"/>
      <c r="Y206" s="471">
        <v>0</v>
      </c>
    </row>
    <row r="207" spans="1:52">
      <c r="A207" s="465" t="s">
        <v>228</v>
      </c>
      <c r="B207" s="452" t="str">
        <f>VLOOKUP(A207,★新聞!$C$4:$D$12,2,FALSE)</f>
        <v>P</v>
      </c>
      <c r="C207" s="465" t="s">
        <v>955</v>
      </c>
      <c r="D207" s="452" t="str">
        <f>VLOOKUP(C207,★サイズ表記!$D$4:$E$55,2,FALSE)</f>
        <v>1006</v>
      </c>
      <c r="E207" s="484" t="str">
        <f t="shared" si="27"/>
        <v>P1006</v>
      </c>
      <c r="F207" s="484" t="str">
        <f t="shared" si="28"/>
        <v>産経/B1（8折り）</v>
      </c>
      <c r="I207" s="471" t="str">
        <f t="shared" si="32"/>
        <v>P1006</v>
      </c>
      <c r="J207" s="471" t="str">
        <f t="shared" si="29"/>
        <v>産経/B1（8折り）</v>
      </c>
      <c r="N207" s="533" t="s">
        <v>1324</v>
      </c>
      <c r="O207" s="533" t="s">
        <v>1325</v>
      </c>
      <c r="P207" s="534" t="str">
        <f t="shared" si="30"/>
        <v>1006</v>
      </c>
      <c r="Q207" s="534" t="str">
        <f t="shared" si="31"/>
        <v>B1（8折り）</v>
      </c>
      <c r="R207" s="538" t="str">
        <f t="shared" si="33"/>
        <v>10</v>
      </c>
      <c r="S207" s="538" t="str">
        <f t="shared" si="34"/>
        <v>06</v>
      </c>
      <c r="T207" s="471" t="s">
        <v>1136</v>
      </c>
      <c r="W207" s="471">
        <v>0</v>
      </c>
      <c r="X207" s="540"/>
      <c r="Y207" s="471">
        <v>0</v>
      </c>
    </row>
    <row r="208" spans="1:52">
      <c r="A208" s="465" t="s">
        <v>228</v>
      </c>
      <c r="B208" s="452" t="str">
        <f>VLOOKUP(A208,★新聞!$C$4:$D$12,2,FALSE)</f>
        <v>P</v>
      </c>
      <c r="C208" s="465" t="s">
        <v>956</v>
      </c>
      <c r="D208" s="452" t="str">
        <f>VLOOKUP(C208,★サイズ表記!$D$4:$E$55,2,FALSE)</f>
        <v>1007</v>
      </c>
      <c r="E208" s="484" t="str">
        <f t="shared" si="27"/>
        <v>P1007</v>
      </c>
      <c r="F208" s="484" t="str">
        <f t="shared" si="28"/>
        <v>産経/B4厚紙</v>
      </c>
      <c r="I208" s="471" t="str">
        <f t="shared" si="32"/>
        <v>P1007</v>
      </c>
      <c r="J208" s="471" t="str">
        <f t="shared" si="29"/>
        <v>産経/B4厚紙</v>
      </c>
      <c r="N208" s="533" t="s">
        <v>1324</v>
      </c>
      <c r="O208" s="533" t="s">
        <v>1325</v>
      </c>
      <c r="P208" s="534" t="str">
        <f t="shared" si="30"/>
        <v>1007</v>
      </c>
      <c r="Q208" s="534" t="str">
        <f t="shared" si="31"/>
        <v>B4厚紙</v>
      </c>
      <c r="R208" s="538" t="str">
        <f t="shared" si="33"/>
        <v>10</v>
      </c>
      <c r="S208" s="538" t="str">
        <f t="shared" si="34"/>
        <v>07</v>
      </c>
      <c r="T208" s="471" t="s">
        <v>1136</v>
      </c>
      <c r="W208" s="471">
        <v>0</v>
      </c>
      <c r="X208" s="540"/>
      <c r="Y208" s="471">
        <v>0</v>
      </c>
    </row>
    <row r="209" spans="1:52">
      <c r="A209" s="465" t="s">
        <v>228</v>
      </c>
      <c r="B209" s="452" t="str">
        <f>VLOOKUP(A209,★新聞!$C$4:$D$12,2,FALSE)</f>
        <v>P</v>
      </c>
      <c r="C209" s="465" t="s">
        <v>957</v>
      </c>
      <c r="D209" s="452" t="str">
        <f>VLOOKUP(C209,★サイズ表記!$D$4:$E$55,2,FALSE)</f>
        <v>1008</v>
      </c>
      <c r="E209" s="484" t="str">
        <f t="shared" si="27"/>
        <v>P1008</v>
      </c>
      <c r="F209" s="484" t="str">
        <f t="shared" si="28"/>
        <v>産経/B3厚紙</v>
      </c>
      <c r="I209" s="471" t="str">
        <f t="shared" si="32"/>
        <v>P1008</v>
      </c>
      <c r="J209" s="471" t="str">
        <f t="shared" si="29"/>
        <v>産経/B3厚紙</v>
      </c>
      <c r="N209" s="533" t="s">
        <v>1324</v>
      </c>
      <c r="O209" s="533" t="s">
        <v>1325</v>
      </c>
      <c r="P209" s="534" t="str">
        <f t="shared" si="30"/>
        <v>1008</v>
      </c>
      <c r="Q209" s="534" t="str">
        <f t="shared" si="31"/>
        <v>B3厚紙</v>
      </c>
      <c r="R209" s="538" t="str">
        <f t="shared" si="33"/>
        <v>10</v>
      </c>
      <c r="S209" s="538" t="str">
        <f t="shared" si="34"/>
        <v>08</v>
      </c>
      <c r="T209" s="471" t="s">
        <v>1136</v>
      </c>
      <c r="W209" s="471">
        <v>0</v>
      </c>
      <c r="X209" s="540"/>
      <c r="Y209" s="471">
        <v>0</v>
      </c>
    </row>
    <row r="210" spans="1:52">
      <c r="A210" s="465" t="s">
        <v>228</v>
      </c>
      <c r="B210" s="452" t="str">
        <f>VLOOKUP(A210,★新聞!$C$4:$D$12,2,FALSE)</f>
        <v>P</v>
      </c>
      <c r="C210" s="465" t="s">
        <v>958</v>
      </c>
      <c r="D210" s="452" t="str">
        <f>VLOOKUP(C210,★サイズ表記!$D$4:$E$55,2,FALSE)</f>
        <v>1009</v>
      </c>
      <c r="E210" s="484" t="str">
        <f t="shared" si="27"/>
        <v>P1009</v>
      </c>
      <c r="F210" s="484" t="str">
        <f t="shared" si="28"/>
        <v>産経/B2厚紙</v>
      </c>
      <c r="I210" s="471" t="str">
        <f t="shared" si="32"/>
        <v>P1009</v>
      </c>
      <c r="J210" s="471" t="str">
        <f t="shared" si="29"/>
        <v>産経/B2厚紙</v>
      </c>
      <c r="N210" s="533" t="s">
        <v>1324</v>
      </c>
      <c r="O210" s="533" t="s">
        <v>1325</v>
      </c>
      <c r="P210" s="534" t="str">
        <f t="shared" si="30"/>
        <v>1009</v>
      </c>
      <c r="Q210" s="534" t="str">
        <f t="shared" si="31"/>
        <v>B2厚紙</v>
      </c>
      <c r="R210" s="538" t="str">
        <f t="shared" si="33"/>
        <v>10</v>
      </c>
      <c r="S210" s="538" t="str">
        <f t="shared" si="34"/>
        <v>09</v>
      </c>
      <c r="T210" s="471" t="s">
        <v>1136</v>
      </c>
      <c r="W210" s="471">
        <v>0</v>
      </c>
      <c r="X210" s="540"/>
      <c r="Y210" s="471">
        <v>0</v>
      </c>
    </row>
    <row r="211" spans="1:52">
      <c r="A211" s="465" t="s">
        <v>228</v>
      </c>
      <c r="B211" s="452" t="str">
        <f>VLOOKUP(A211,★新聞!$C$4:$D$12,2,FALSE)</f>
        <v>P</v>
      </c>
      <c r="C211" s="465" t="s">
        <v>959</v>
      </c>
      <c r="D211" s="452" t="str">
        <f>VLOOKUP(C211,★サイズ表記!$D$4:$E$55,2,FALSE)</f>
        <v>1010</v>
      </c>
      <c r="E211" s="484" t="str">
        <f t="shared" si="27"/>
        <v>P1010</v>
      </c>
      <c r="F211" s="484" t="str">
        <f t="shared" si="28"/>
        <v>産経/B4以下変形</v>
      </c>
      <c r="I211" s="471" t="str">
        <f t="shared" si="32"/>
        <v>P1010</v>
      </c>
      <c r="J211" s="471" t="str">
        <f t="shared" si="29"/>
        <v>産経/B4以下変形</v>
      </c>
      <c r="N211" s="533" t="s">
        <v>1324</v>
      </c>
      <c r="O211" s="533" t="s">
        <v>1325</v>
      </c>
      <c r="P211" s="534" t="str">
        <f t="shared" si="30"/>
        <v>1010</v>
      </c>
      <c r="Q211" s="534" t="str">
        <f t="shared" si="31"/>
        <v>B4以下変形</v>
      </c>
      <c r="R211" s="538" t="str">
        <f t="shared" si="33"/>
        <v>10</v>
      </c>
      <c r="S211" s="538" t="str">
        <f t="shared" si="34"/>
        <v>10</v>
      </c>
      <c r="T211" s="471" t="s">
        <v>1136</v>
      </c>
      <c r="W211" s="471">
        <v>0</v>
      </c>
      <c r="X211" s="540"/>
      <c r="Y211" s="471">
        <v>0</v>
      </c>
    </row>
    <row r="212" spans="1:52">
      <c r="A212" s="465" t="s">
        <v>228</v>
      </c>
      <c r="B212" s="452" t="str">
        <f>VLOOKUP(A212,★新聞!$C$4:$D$12,2,FALSE)</f>
        <v>P</v>
      </c>
      <c r="C212" s="465" t="s">
        <v>960</v>
      </c>
      <c r="D212" s="452" t="str">
        <f>VLOOKUP(C212,★サイズ表記!$D$4:$E$55,2,FALSE)</f>
        <v>1011</v>
      </c>
      <c r="E212" s="484" t="str">
        <f t="shared" si="27"/>
        <v>P1011</v>
      </c>
      <c r="F212" s="484" t="str">
        <f t="shared" si="28"/>
        <v>産経/B4シール付き</v>
      </c>
      <c r="I212" s="471" t="str">
        <f t="shared" si="32"/>
        <v>P1011</v>
      </c>
      <c r="J212" s="471" t="str">
        <f t="shared" si="29"/>
        <v>産経/B4シール付き</v>
      </c>
      <c r="N212" s="533" t="s">
        <v>1324</v>
      </c>
      <c r="O212" s="533" t="s">
        <v>1325</v>
      </c>
      <c r="P212" s="534" t="str">
        <f t="shared" si="30"/>
        <v>1011</v>
      </c>
      <c r="Q212" s="534" t="str">
        <f t="shared" si="31"/>
        <v>B4シール付き</v>
      </c>
      <c r="R212" s="538" t="str">
        <f t="shared" si="33"/>
        <v>10</v>
      </c>
      <c r="S212" s="538" t="str">
        <f t="shared" si="34"/>
        <v>11</v>
      </c>
      <c r="T212" s="471" t="s">
        <v>1136</v>
      </c>
      <c r="W212" s="471">
        <v>0</v>
      </c>
      <c r="X212" s="540"/>
      <c r="Y212" s="471">
        <v>0</v>
      </c>
    </row>
    <row r="213" spans="1:52" s="471" customFormat="1">
      <c r="A213" s="465" t="s">
        <v>228</v>
      </c>
      <c r="B213" s="452" t="str">
        <f>VLOOKUP(A213,★新聞!$C$4:$D$12,2,FALSE)</f>
        <v>P</v>
      </c>
      <c r="C213" s="465" t="s">
        <v>961</v>
      </c>
      <c r="D213" s="452" t="str">
        <f>VLOOKUP(C213,★サイズ表記!$D$4:$E$55,2,FALSE)</f>
        <v>1012</v>
      </c>
      <c r="E213" s="484" t="str">
        <f t="shared" si="27"/>
        <v>P1012</v>
      </c>
      <c r="F213" s="484" t="str">
        <f t="shared" si="28"/>
        <v>産経/B3シール付き</v>
      </c>
      <c r="G213" s="483"/>
      <c r="I213" s="471" t="str">
        <f t="shared" si="32"/>
        <v>P1012</v>
      </c>
      <c r="J213" s="471" t="str">
        <f t="shared" si="29"/>
        <v>産経/B3シール付き</v>
      </c>
      <c r="M213" s="538"/>
      <c r="N213" s="533" t="s">
        <v>1324</v>
      </c>
      <c r="O213" s="533" t="s">
        <v>1325</v>
      </c>
      <c r="P213" s="534" t="str">
        <f t="shared" si="30"/>
        <v>1012</v>
      </c>
      <c r="Q213" s="534" t="str">
        <f t="shared" si="31"/>
        <v>B3シール付き</v>
      </c>
      <c r="R213" s="538" t="str">
        <f t="shared" si="33"/>
        <v>10</v>
      </c>
      <c r="S213" s="538" t="str">
        <f t="shared" si="34"/>
        <v>12</v>
      </c>
      <c r="T213" s="471" t="s">
        <v>1136</v>
      </c>
      <c r="U213" s="538"/>
      <c r="V213" s="538"/>
      <c r="W213" s="471">
        <v>0</v>
      </c>
      <c r="X213" s="540"/>
      <c r="Y213" s="471">
        <v>0</v>
      </c>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8"/>
      <c r="AY213" s="538"/>
      <c r="AZ213" s="538"/>
    </row>
    <row r="214" spans="1:52" s="471" customFormat="1">
      <c r="A214" s="465" t="s">
        <v>228</v>
      </c>
      <c r="B214" s="452" t="str">
        <f>VLOOKUP(A214,★新聞!$C$4:$D$12,2,FALSE)</f>
        <v>P</v>
      </c>
      <c r="C214" s="465" t="s">
        <v>962</v>
      </c>
      <c r="D214" s="452" t="str">
        <f>VLOOKUP(C214,★サイズ表記!$D$4:$E$55,2,FALSE)</f>
        <v>1013</v>
      </c>
      <c r="E214" s="484" t="str">
        <f t="shared" si="27"/>
        <v>P1013</v>
      </c>
      <c r="F214" s="484" t="str">
        <f t="shared" si="28"/>
        <v>産経/B4スクラッチ付き</v>
      </c>
      <c r="G214" s="483"/>
      <c r="I214" s="471" t="str">
        <f t="shared" si="32"/>
        <v>P1013</v>
      </c>
      <c r="J214" s="471" t="str">
        <f t="shared" si="29"/>
        <v>産経/B4スクラッチ付き</v>
      </c>
      <c r="M214" s="538"/>
      <c r="N214" s="533" t="s">
        <v>1324</v>
      </c>
      <c r="O214" s="533" t="s">
        <v>1325</v>
      </c>
      <c r="P214" s="534" t="str">
        <f t="shared" si="30"/>
        <v>1013</v>
      </c>
      <c r="Q214" s="534" t="str">
        <f t="shared" si="31"/>
        <v>B4スクラッチ付き</v>
      </c>
      <c r="R214" s="538" t="str">
        <f t="shared" si="33"/>
        <v>10</v>
      </c>
      <c r="S214" s="538" t="str">
        <f t="shared" si="34"/>
        <v>13</v>
      </c>
      <c r="T214" s="471" t="s">
        <v>1136</v>
      </c>
      <c r="U214" s="538"/>
      <c r="V214" s="538"/>
      <c r="W214" s="471">
        <v>0</v>
      </c>
      <c r="X214" s="540"/>
      <c r="Y214" s="471">
        <v>0</v>
      </c>
      <c r="Z214" s="538"/>
      <c r="AA214" s="538"/>
      <c r="AB214" s="538"/>
      <c r="AC214" s="538"/>
      <c r="AD214" s="538"/>
      <c r="AE214" s="538"/>
      <c r="AF214" s="538"/>
      <c r="AG214" s="538"/>
      <c r="AH214" s="538"/>
      <c r="AI214" s="538"/>
      <c r="AJ214" s="538"/>
      <c r="AK214" s="538"/>
      <c r="AL214" s="538"/>
      <c r="AM214" s="538"/>
      <c r="AN214" s="538"/>
      <c r="AO214" s="538"/>
      <c r="AP214" s="538"/>
      <c r="AQ214" s="538"/>
      <c r="AR214" s="538"/>
      <c r="AS214" s="538"/>
      <c r="AT214" s="538"/>
      <c r="AU214" s="538"/>
      <c r="AV214" s="538"/>
      <c r="AW214" s="538"/>
      <c r="AX214" s="538"/>
      <c r="AY214" s="538"/>
      <c r="AZ214" s="538"/>
    </row>
    <row r="215" spans="1:52" s="471" customFormat="1">
      <c r="A215" s="465" t="s">
        <v>228</v>
      </c>
      <c r="B215" s="452" t="str">
        <f>VLOOKUP(A215,★新聞!$C$4:$D$12,2,FALSE)</f>
        <v>P</v>
      </c>
      <c r="C215" s="465" t="s">
        <v>963</v>
      </c>
      <c r="D215" s="452" t="str">
        <f>VLOOKUP(C215,★サイズ表記!$D$4:$E$55,2,FALSE)</f>
        <v>2001</v>
      </c>
      <c r="E215" s="484" t="str">
        <f t="shared" si="27"/>
        <v>P2001</v>
      </c>
      <c r="F215" s="484" t="str">
        <f t="shared" si="28"/>
        <v>産経/連合B4</v>
      </c>
      <c r="G215" s="483"/>
      <c r="I215" s="471" t="str">
        <f t="shared" si="32"/>
        <v>P2001</v>
      </c>
      <c r="J215" s="471" t="str">
        <f t="shared" si="29"/>
        <v>産経/連合B4</v>
      </c>
      <c r="M215" s="538"/>
      <c r="N215" s="533" t="s">
        <v>1324</v>
      </c>
      <c r="O215" s="533" t="s">
        <v>1325</v>
      </c>
      <c r="P215" s="534" t="str">
        <f t="shared" si="30"/>
        <v>2001</v>
      </c>
      <c r="Q215" s="534" t="str">
        <f t="shared" si="31"/>
        <v>連合B4</v>
      </c>
      <c r="R215" s="538" t="str">
        <f t="shared" si="33"/>
        <v>20</v>
      </c>
      <c r="S215" s="538" t="str">
        <f t="shared" si="34"/>
        <v>01</v>
      </c>
      <c r="T215" s="471" t="s">
        <v>1136</v>
      </c>
      <c r="U215" s="538"/>
      <c r="V215" s="538"/>
      <c r="W215" s="471">
        <v>0</v>
      </c>
      <c r="X215" s="540"/>
      <c r="Y215" s="471">
        <v>0</v>
      </c>
      <c r="Z215" s="538"/>
      <c r="AA215" s="538"/>
      <c r="AB215" s="538"/>
      <c r="AC215" s="538"/>
      <c r="AD215" s="538"/>
      <c r="AE215" s="538"/>
      <c r="AF215" s="538"/>
      <c r="AG215" s="538"/>
      <c r="AH215" s="538"/>
      <c r="AI215" s="538"/>
      <c r="AJ215" s="538"/>
      <c r="AK215" s="538"/>
      <c r="AL215" s="538"/>
      <c r="AM215" s="538"/>
      <c r="AN215" s="538"/>
      <c r="AO215" s="538"/>
      <c r="AP215" s="538"/>
      <c r="AQ215" s="538"/>
      <c r="AR215" s="538"/>
      <c r="AS215" s="538"/>
      <c r="AT215" s="538"/>
      <c r="AU215" s="538"/>
      <c r="AV215" s="538"/>
      <c r="AW215" s="538"/>
      <c r="AX215" s="538"/>
      <c r="AY215" s="538"/>
      <c r="AZ215" s="538"/>
    </row>
    <row r="216" spans="1:52" s="471" customFormat="1">
      <c r="A216" s="465" t="s">
        <v>228</v>
      </c>
      <c r="B216" s="452" t="str">
        <f>VLOOKUP(A216,★新聞!$C$4:$D$12,2,FALSE)</f>
        <v>P</v>
      </c>
      <c r="C216" s="465" t="s">
        <v>964</v>
      </c>
      <c r="D216" s="452" t="str">
        <f>VLOOKUP(C216,★サイズ表記!$D$4:$E$55,2,FALSE)</f>
        <v>2002</v>
      </c>
      <c r="E216" s="484" t="str">
        <f t="shared" si="27"/>
        <v>P2002</v>
      </c>
      <c r="F216" s="484" t="str">
        <f t="shared" si="28"/>
        <v>産経/連合B3</v>
      </c>
      <c r="G216" s="483"/>
      <c r="I216" s="471" t="str">
        <f t="shared" si="32"/>
        <v>P2002</v>
      </c>
      <c r="J216" s="471" t="str">
        <f t="shared" si="29"/>
        <v>産経/連合B3</v>
      </c>
      <c r="M216" s="538"/>
      <c r="N216" s="533" t="s">
        <v>1324</v>
      </c>
      <c r="O216" s="533" t="s">
        <v>1325</v>
      </c>
      <c r="P216" s="534" t="str">
        <f t="shared" si="30"/>
        <v>2002</v>
      </c>
      <c r="Q216" s="534" t="str">
        <f t="shared" si="31"/>
        <v>連合B3</v>
      </c>
      <c r="R216" s="538" t="str">
        <f t="shared" si="33"/>
        <v>20</v>
      </c>
      <c r="S216" s="538" t="str">
        <f t="shared" si="34"/>
        <v>02</v>
      </c>
      <c r="T216" s="471" t="s">
        <v>1136</v>
      </c>
      <c r="U216" s="538"/>
      <c r="V216" s="538"/>
      <c r="W216" s="471">
        <v>0</v>
      </c>
      <c r="X216" s="540"/>
      <c r="Y216" s="471">
        <v>0</v>
      </c>
      <c r="Z216" s="538"/>
      <c r="AA216" s="538"/>
      <c r="AB216" s="538"/>
      <c r="AC216" s="538"/>
      <c r="AD216" s="538"/>
      <c r="AE216" s="538"/>
      <c r="AF216" s="538"/>
      <c r="AG216" s="538"/>
      <c r="AH216" s="538"/>
      <c r="AI216" s="538"/>
      <c r="AJ216" s="538"/>
      <c r="AK216" s="538"/>
      <c r="AL216" s="538"/>
      <c r="AM216" s="538"/>
      <c r="AN216" s="538"/>
      <c r="AO216" s="538"/>
      <c r="AP216" s="538"/>
      <c r="AQ216" s="538"/>
      <c r="AR216" s="538"/>
      <c r="AS216" s="538"/>
      <c r="AT216" s="538"/>
      <c r="AU216" s="538"/>
      <c r="AV216" s="538"/>
      <c r="AW216" s="538"/>
      <c r="AX216" s="538"/>
      <c r="AY216" s="538"/>
      <c r="AZ216" s="538"/>
    </row>
    <row r="217" spans="1:52" s="471" customFormat="1">
      <c r="A217" s="465" t="s">
        <v>228</v>
      </c>
      <c r="B217" s="452" t="str">
        <f>VLOOKUP(A217,★新聞!$C$4:$D$12,2,FALSE)</f>
        <v>P</v>
      </c>
      <c r="C217" s="465" t="s">
        <v>965</v>
      </c>
      <c r="D217" s="452" t="str">
        <f>VLOOKUP(C217,★サイズ表記!$D$4:$E$55,2,FALSE)</f>
        <v>2003</v>
      </c>
      <c r="E217" s="484" t="str">
        <f t="shared" si="27"/>
        <v>P2003</v>
      </c>
      <c r="F217" s="484" t="str">
        <f t="shared" si="28"/>
        <v>産経/連合B2</v>
      </c>
      <c r="G217" s="483"/>
      <c r="I217" s="471" t="str">
        <f t="shared" si="32"/>
        <v>P2003</v>
      </c>
      <c r="J217" s="471" t="str">
        <f t="shared" si="29"/>
        <v>産経/連合B2</v>
      </c>
      <c r="M217" s="538"/>
      <c r="N217" s="533" t="s">
        <v>1324</v>
      </c>
      <c r="O217" s="533" t="s">
        <v>1325</v>
      </c>
      <c r="P217" s="534" t="str">
        <f t="shared" si="30"/>
        <v>2003</v>
      </c>
      <c r="Q217" s="534" t="str">
        <f t="shared" si="31"/>
        <v>連合B2</v>
      </c>
      <c r="R217" s="538" t="str">
        <f t="shared" si="33"/>
        <v>20</v>
      </c>
      <c r="S217" s="538" t="str">
        <f t="shared" si="34"/>
        <v>03</v>
      </c>
      <c r="T217" s="471" t="s">
        <v>1136</v>
      </c>
      <c r="U217" s="538"/>
      <c r="V217" s="538"/>
      <c r="W217" s="471">
        <v>0</v>
      </c>
      <c r="X217" s="540"/>
      <c r="Y217" s="471">
        <v>0</v>
      </c>
      <c r="Z217" s="538"/>
      <c r="AA217" s="538"/>
      <c r="AB217" s="538"/>
      <c r="AC217" s="538"/>
      <c r="AD217" s="538"/>
      <c r="AE217" s="538"/>
      <c r="AF217" s="538"/>
      <c r="AG217" s="538"/>
      <c r="AH217" s="538"/>
      <c r="AI217" s="538"/>
      <c r="AJ217" s="538"/>
      <c r="AK217" s="538"/>
      <c r="AL217" s="538"/>
      <c r="AM217" s="538"/>
      <c r="AN217" s="538"/>
      <c r="AO217" s="538"/>
      <c r="AP217" s="538"/>
      <c r="AQ217" s="538"/>
      <c r="AR217" s="538"/>
      <c r="AS217" s="538"/>
      <c r="AT217" s="538"/>
      <c r="AU217" s="538"/>
      <c r="AV217" s="538"/>
      <c r="AW217" s="538"/>
      <c r="AX217" s="538"/>
      <c r="AY217" s="538"/>
      <c r="AZ217" s="538"/>
    </row>
    <row r="218" spans="1:52" s="471" customFormat="1">
      <c r="A218" s="465" t="s">
        <v>228</v>
      </c>
      <c r="B218" s="452" t="str">
        <f>VLOOKUP(A218,★新聞!$C$4:$D$12,2,FALSE)</f>
        <v>P</v>
      </c>
      <c r="C218" s="465" t="s">
        <v>966</v>
      </c>
      <c r="D218" s="452" t="str">
        <f>VLOOKUP(C218,★サイズ表記!$D$4:$E$55,2,FALSE)</f>
        <v>2004</v>
      </c>
      <c r="E218" s="484" t="str">
        <f t="shared" si="27"/>
        <v>P2004</v>
      </c>
      <c r="F218" s="484" t="str">
        <f t="shared" si="28"/>
        <v>産経/連合3つ折り</v>
      </c>
      <c r="G218" s="483"/>
      <c r="I218" s="471" t="str">
        <f t="shared" si="32"/>
        <v>P2004</v>
      </c>
      <c r="J218" s="471" t="str">
        <f t="shared" si="29"/>
        <v>産経/連合3つ折り</v>
      </c>
      <c r="M218" s="538"/>
      <c r="N218" s="533" t="s">
        <v>1324</v>
      </c>
      <c r="O218" s="533" t="s">
        <v>1325</v>
      </c>
      <c r="P218" s="534" t="str">
        <f t="shared" si="30"/>
        <v>2004</v>
      </c>
      <c r="Q218" s="534" t="str">
        <f t="shared" si="31"/>
        <v>連合3つ折り</v>
      </c>
      <c r="R218" s="538" t="str">
        <f t="shared" si="33"/>
        <v>20</v>
      </c>
      <c r="S218" s="538" t="str">
        <f t="shared" si="34"/>
        <v>04</v>
      </c>
      <c r="T218" s="471" t="s">
        <v>1136</v>
      </c>
      <c r="U218" s="538"/>
      <c r="V218" s="538"/>
      <c r="W218" s="471">
        <v>0</v>
      </c>
      <c r="X218" s="540"/>
      <c r="Y218" s="471">
        <v>0</v>
      </c>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8"/>
      <c r="AY218" s="538"/>
      <c r="AZ218" s="538"/>
    </row>
    <row r="219" spans="1:52" s="471" customFormat="1">
      <c r="A219" s="465" t="s">
        <v>228</v>
      </c>
      <c r="B219" s="452" t="str">
        <f>VLOOKUP(A219,★新聞!$C$4:$D$12,2,FALSE)</f>
        <v>P</v>
      </c>
      <c r="C219" s="465" t="s">
        <v>967</v>
      </c>
      <c r="D219" s="452" t="str">
        <f>VLOOKUP(C219,★サイズ表記!$D$4:$E$55,2,FALSE)</f>
        <v>2005</v>
      </c>
      <c r="E219" s="484" t="str">
        <f t="shared" si="27"/>
        <v>P2005</v>
      </c>
      <c r="F219" s="484" t="str">
        <f t="shared" si="28"/>
        <v>産経/連合B4厚紙</v>
      </c>
      <c r="G219" s="483"/>
      <c r="I219" s="471" t="str">
        <f t="shared" si="32"/>
        <v>P2005</v>
      </c>
      <c r="J219" s="471" t="str">
        <f t="shared" si="29"/>
        <v>産経/連合B4厚紙</v>
      </c>
      <c r="M219" s="538"/>
      <c r="N219" s="533" t="s">
        <v>1324</v>
      </c>
      <c r="O219" s="533" t="s">
        <v>1325</v>
      </c>
      <c r="P219" s="534" t="str">
        <f t="shared" si="30"/>
        <v>2005</v>
      </c>
      <c r="Q219" s="534" t="str">
        <f t="shared" si="31"/>
        <v>連合B4厚紙</v>
      </c>
      <c r="R219" s="538" t="str">
        <f t="shared" si="33"/>
        <v>20</v>
      </c>
      <c r="S219" s="538" t="str">
        <f t="shared" si="34"/>
        <v>05</v>
      </c>
      <c r="T219" s="471" t="s">
        <v>1136</v>
      </c>
      <c r="U219" s="538"/>
      <c r="V219" s="538"/>
      <c r="W219" s="471">
        <v>0</v>
      </c>
      <c r="X219" s="540"/>
      <c r="Y219" s="471">
        <v>0</v>
      </c>
      <c r="Z219" s="538"/>
      <c r="AA219" s="538"/>
      <c r="AB219" s="538"/>
      <c r="AC219" s="538"/>
      <c r="AD219" s="538"/>
      <c r="AE219" s="538"/>
      <c r="AF219" s="538"/>
      <c r="AG219" s="538"/>
      <c r="AH219" s="538"/>
      <c r="AI219" s="538"/>
      <c r="AJ219" s="538"/>
      <c r="AK219" s="538"/>
      <c r="AL219" s="538"/>
      <c r="AM219" s="538"/>
      <c r="AN219" s="538"/>
      <c r="AO219" s="538"/>
      <c r="AP219" s="538"/>
      <c r="AQ219" s="538"/>
      <c r="AR219" s="538"/>
      <c r="AS219" s="538"/>
      <c r="AT219" s="538"/>
      <c r="AU219" s="538"/>
      <c r="AV219" s="538"/>
      <c r="AW219" s="538"/>
      <c r="AX219" s="538"/>
      <c r="AY219" s="538"/>
      <c r="AZ219" s="538"/>
    </row>
    <row r="220" spans="1:52" s="471" customFormat="1">
      <c r="A220" s="465" t="s">
        <v>228</v>
      </c>
      <c r="B220" s="452" t="str">
        <f>VLOOKUP(A220,★新聞!$C$4:$D$12,2,FALSE)</f>
        <v>P</v>
      </c>
      <c r="C220" s="465" t="s">
        <v>968</v>
      </c>
      <c r="D220" s="452" t="str">
        <f>VLOOKUP(C220,★サイズ表記!$D$4:$E$55,2,FALSE)</f>
        <v>2006</v>
      </c>
      <c r="E220" s="484" t="str">
        <f t="shared" si="27"/>
        <v>P2006</v>
      </c>
      <c r="F220" s="484" t="str">
        <f t="shared" si="28"/>
        <v>産経/連合2つ折り極小</v>
      </c>
      <c r="G220" s="483"/>
      <c r="I220" s="471" t="str">
        <f t="shared" si="32"/>
        <v>P2006</v>
      </c>
      <c r="J220" s="471" t="str">
        <f t="shared" si="29"/>
        <v>産経/連合2つ折り極小</v>
      </c>
      <c r="M220" s="538"/>
      <c r="N220" s="533" t="s">
        <v>1324</v>
      </c>
      <c r="O220" s="533" t="s">
        <v>1325</v>
      </c>
      <c r="P220" s="534" t="str">
        <f t="shared" si="30"/>
        <v>2006</v>
      </c>
      <c r="Q220" s="534" t="str">
        <f t="shared" si="31"/>
        <v>連合2つ折り極小</v>
      </c>
      <c r="R220" s="538" t="str">
        <f t="shared" si="33"/>
        <v>20</v>
      </c>
      <c r="S220" s="538" t="str">
        <f t="shared" si="34"/>
        <v>06</v>
      </c>
      <c r="T220" s="471" t="s">
        <v>1136</v>
      </c>
      <c r="U220" s="538"/>
      <c r="V220" s="538"/>
      <c r="W220" s="471">
        <v>0</v>
      </c>
      <c r="X220" s="540"/>
      <c r="Y220" s="471">
        <v>0</v>
      </c>
      <c r="Z220" s="538"/>
      <c r="AA220" s="538"/>
      <c r="AB220" s="538"/>
      <c r="AC220" s="538"/>
      <c r="AD220" s="538"/>
      <c r="AE220" s="538"/>
      <c r="AF220" s="538"/>
      <c r="AG220" s="538"/>
      <c r="AH220" s="538"/>
      <c r="AI220" s="538"/>
      <c r="AJ220" s="538"/>
      <c r="AK220" s="538"/>
      <c r="AL220" s="538"/>
      <c r="AM220" s="538"/>
      <c r="AN220" s="538"/>
      <c r="AO220" s="538"/>
      <c r="AP220" s="538"/>
      <c r="AQ220" s="538"/>
      <c r="AR220" s="538"/>
      <c r="AS220" s="538"/>
      <c r="AT220" s="538"/>
      <c r="AU220" s="538"/>
      <c r="AV220" s="538"/>
      <c r="AW220" s="538"/>
      <c r="AX220" s="538"/>
      <c r="AY220" s="538"/>
      <c r="AZ220" s="538"/>
    </row>
    <row r="221" spans="1:52" s="471" customFormat="1">
      <c r="A221" s="465" t="s">
        <v>228</v>
      </c>
      <c r="B221" s="452" t="str">
        <f>VLOOKUP(A221,★新聞!$C$4:$D$12,2,FALSE)</f>
        <v>P</v>
      </c>
      <c r="C221" s="465" t="s">
        <v>1365</v>
      </c>
      <c r="D221" s="452" t="str">
        <f>VLOOKUP(C221,★サイズ表記!$D$4:$E$55,2,FALSE)</f>
        <v>2007</v>
      </c>
      <c r="E221" s="484" t="str">
        <f t="shared" si="27"/>
        <v>P2007</v>
      </c>
      <c r="F221" s="484" t="str">
        <f t="shared" si="28"/>
        <v>産経/連合タブ6P</v>
      </c>
      <c r="G221" s="483"/>
      <c r="I221" s="471" t="str">
        <f t="shared" si="32"/>
        <v>P2007</v>
      </c>
      <c r="J221" s="471" t="str">
        <f t="shared" si="29"/>
        <v>産経/連合タブ6P</v>
      </c>
      <c r="M221" s="538"/>
      <c r="N221" s="533" t="s">
        <v>1324</v>
      </c>
      <c r="O221" s="533" t="s">
        <v>1325</v>
      </c>
      <c r="P221" s="534" t="str">
        <f t="shared" si="30"/>
        <v>2007</v>
      </c>
      <c r="Q221" s="534" t="str">
        <f t="shared" si="31"/>
        <v>連合タブ6P</v>
      </c>
      <c r="R221" s="538" t="str">
        <f t="shared" si="33"/>
        <v>20</v>
      </c>
      <c r="S221" s="538" t="str">
        <f t="shared" si="34"/>
        <v>07</v>
      </c>
      <c r="T221" s="471" t="s">
        <v>1136</v>
      </c>
      <c r="U221" s="538"/>
      <c r="V221" s="538"/>
      <c r="W221" s="471">
        <v>0</v>
      </c>
      <c r="X221" s="540"/>
      <c r="Y221" s="471">
        <v>0</v>
      </c>
      <c r="Z221" s="538"/>
      <c r="AA221" s="538"/>
      <c r="AB221" s="538"/>
      <c r="AC221" s="538"/>
      <c r="AD221" s="538"/>
      <c r="AE221" s="538"/>
      <c r="AF221" s="538"/>
      <c r="AG221" s="538"/>
      <c r="AH221" s="538"/>
      <c r="AI221" s="538"/>
      <c r="AJ221" s="538"/>
      <c r="AK221" s="538"/>
      <c r="AL221" s="538"/>
      <c r="AM221" s="538"/>
      <c r="AN221" s="538"/>
      <c r="AO221" s="538"/>
      <c r="AP221" s="538"/>
      <c r="AQ221" s="538"/>
      <c r="AR221" s="538"/>
      <c r="AS221" s="538"/>
      <c r="AT221" s="538"/>
      <c r="AU221" s="538"/>
      <c r="AV221" s="538"/>
      <c r="AW221" s="538"/>
      <c r="AX221" s="538"/>
      <c r="AY221" s="538"/>
      <c r="AZ221" s="538"/>
    </row>
    <row r="222" spans="1:52" s="471" customFormat="1">
      <c r="A222" s="465" t="s">
        <v>228</v>
      </c>
      <c r="B222" s="452" t="str">
        <f>VLOOKUP(A222,★新聞!$C$4:$D$12,2,FALSE)</f>
        <v>P</v>
      </c>
      <c r="C222" s="465" t="s">
        <v>1366</v>
      </c>
      <c r="D222" s="452" t="str">
        <f>VLOOKUP(C222,★サイズ表記!$D$4:$E$55,2,FALSE)</f>
        <v>2008</v>
      </c>
      <c r="E222" s="484" t="str">
        <f t="shared" si="27"/>
        <v>P2008</v>
      </c>
      <c r="F222" s="484" t="str">
        <f t="shared" si="28"/>
        <v>産経/連合タブ8P</v>
      </c>
      <c r="G222" s="483"/>
      <c r="I222" s="471" t="str">
        <f t="shared" si="32"/>
        <v>P2008</v>
      </c>
      <c r="J222" s="471" t="str">
        <f t="shared" si="29"/>
        <v>産経/連合タブ8P</v>
      </c>
      <c r="M222" s="538"/>
      <c r="N222" s="533" t="s">
        <v>1324</v>
      </c>
      <c r="O222" s="533" t="s">
        <v>1325</v>
      </c>
      <c r="P222" s="534" t="str">
        <f t="shared" si="30"/>
        <v>2008</v>
      </c>
      <c r="Q222" s="534" t="str">
        <f t="shared" si="31"/>
        <v>連合タブ8P</v>
      </c>
      <c r="R222" s="538" t="str">
        <f t="shared" si="33"/>
        <v>20</v>
      </c>
      <c r="S222" s="538" t="str">
        <f t="shared" si="34"/>
        <v>08</v>
      </c>
      <c r="T222" s="471" t="s">
        <v>1136</v>
      </c>
      <c r="U222" s="538"/>
      <c r="V222" s="538"/>
      <c r="W222" s="471">
        <v>0</v>
      </c>
      <c r="X222" s="540"/>
      <c r="Y222" s="471">
        <v>0</v>
      </c>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8"/>
      <c r="AY222" s="538"/>
      <c r="AZ222" s="538"/>
    </row>
    <row r="223" spans="1:52" s="471" customFormat="1">
      <c r="A223" s="465" t="s">
        <v>228</v>
      </c>
      <c r="B223" s="452" t="str">
        <f>VLOOKUP(A223,★新聞!$C$4:$D$12,2,FALSE)</f>
        <v>P</v>
      </c>
      <c r="C223" s="465" t="s">
        <v>1364</v>
      </c>
      <c r="D223" s="452" t="str">
        <f>VLOOKUP(C223,★サイズ表記!$D$4:$E$55,2,FALSE)</f>
        <v>2009</v>
      </c>
      <c r="E223" s="484" t="str">
        <f t="shared" si="27"/>
        <v>P2009</v>
      </c>
      <c r="F223" s="484" t="str">
        <f t="shared" si="28"/>
        <v>産経/連合タブ12P</v>
      </c>
      <c r="G223" s="483"/>
      <c r="I223" s="471" t="str">
        <f t="shared" si="32"/>
        <v>P2009</v>
      </c>
      <c r="J223" s="471" t="str">
        <f t="shared" si="29"/>
        <v>産経/連合タブ12P</v>
      </c>
      <c r="M223" s="538"/>
      <c r="N223" s="533" t="s">
        <v>1324</v>
      </c>
      <c r="O223" s="533" t="s">
        <v>1325</v>
      </c>
      <c r="P223" s="534" t="str">
        <f t="shared" si="30"/>
        <v>2009</v>
      </c>
      <c r="Q223" s="534" t="str">
        <f t="shared" si="31"/>
        <v>連合タブ12P</v>
      </c>
      <c r="R223" s="538" t="str">
        <f t="shared" si="33"/>
        <v>20</v>
      </c>
      <c r="S223" s="538" t="str">
        <f t="shared" si="34"/>
        <v>09</v>
      </c>
      <c r="T223" s="471" t="s">
        <v>1136</v>
      </c>
      <c r="U223" s="538"/>
      <c r="V223" s="538"/>
      <c r="W223" s="471">
        <v>0</v>
      </c>
      <c r="X223" s="540"/>
      <c r="Y223" s="471">
        <v>0</v>
      </c>
      <c r="Z223" s="538"/>
      <c r="AA223" s="538"/>
      <c r="AB223" s="538"/>
      <c r="AC223" s="538"/>
      <c r="AD223" s="538"/>
      <c r="AE223" s="538"/>
      <c r="AF223" s="538"/>
      <c r="AG223" s="538"/>
      <c r="AH223" s="538"/>
      <c r="AI223" s="538"/>
      <c r="AJ223" s="538"/>
      <c r="AK223" s="538"/>
      <c r="AL223" s="538"/>
      <c r="AM223" s="538"/>
      <c r="AN223" s="538"/>
      <c r="AO223" s="538"/>
      <c r="AP223" s="538"/>
      <c r="AQ223" s="538"/>
      <c r="AR223" s="538"/>
      <c r="AS223" s="538"/>
      <c r="AT223" s="538"/>
      <c r="AU223" s="538"/>
      <c r="AV223" s="538"/>
      <c r="AW223" s="538"/>
      <c r="AX223" s="538"/>
      <c r="AY223" s="538"/>
      <c r="AZ223" s="538"/>
    </row>
    <row r="224" spans="1:52" s="471" customFormat="1">
      <c r="A224" s="465" t="s">
        <v>228</v>
      </c>
      <c r="B224" s="452" t="str">
        <f>VLOOKUP(A224,★新聞!$C$4:$D$12,2,FALSE)</f>
        <v>P</v>
      </c>
      <c r="C224" s="465" t="s">
        <v>969</v>
      </c>
      <c r="D224" s="452" t="str">
        <f>VLOOKUP(C224,★サイズ表記!$D$4:$E$55,2,FALSE)</f>
        <v>3001</v>
      </c>
      <c r="E224" s="484" t="str">
        <f t="shared" si="27"/>
        <v>P3001</v>
      </c>
      <c r="F224" s="484" t="str">
        <f t="shared" si="28"/>
        <v>産経/政治B4</v>
      </c>
      <c r="G224" s="483"/>
      <c r="I224" s="471" t="str">
        <f t="shared" si="32"/>
        <v>P3001</v>
      </c>
      <c r="J224" s="471" t="str">
        <f t="shared" si="29"/>
        <v>産経/政治B4</v>
      </c>
      <c r="M224" s="538"/>
      <c r="N224" s="533" t="s">
        <v>1324</v>
      </c>
      <c r="O224" s="533" t="s">
        <v>1325</v>
      </c>
      <c r="P224" s="534" t="str">
        <f t="shared" si="30"/>
        <v>3001</v>
      </c>
      <c r="Q224" s="534" t="str">
        <f t="shared" si="31"/>
        <v>政治B4</v>
      </c>
      <c r="R224" s="538" t="str">
        <f t="shared" si="33"/>
        <v>30</v>
      </c>
      <c r="S224" s="538" t="str">
        <f t="shared" si="34"/>
        <v>01</v>
      </c>
      <c r="T224" s="471" t="s">
        <v>1136</v>
      </c>
      <c r="U224" s="538"/>
      <c r="V224" s="538"/>
      <c r="W224" s="471">
        <v>0</v>
      </c>
      <c r="X224" s="540"/>
      <c r="Y224" s="471">
        <v>0</v>
      </c>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8"/>
      <c r="AY224" s="538"/>
      <c r="AZ224" s="538"/>
    </row>
    <row r="225" spans="1:52" s="471" customFormat="1">
      <c r="A225" s="465" t="s">
        <v>228</v>
      </c>
      <c r="B225" s="452" t="str">
        <f>VLOOKUP(A225,★新聞!$C$4:$D$12,2,FALSE)</f>
        <v>P</v>
      </c>
      <c r="C225" s="465" t="s">
        <v>970</v>
      </c>
      <c r="D225" s="452" t="str">
        <f>VLOOKUP(C225,★サイズ表記!$D$4:$E$55,2,FALSE)</f>
        <v>3002</v>
      </c>
      <c r="E225" s="484" t="str">
        <f t="shared" si="27"/>
        <v>P3002</v>
      </c>
      <c r="F225" s="484" t="str">
        <f t="shared" si="28"/>
        <v>産経/政治B3</v>
      </c>
      <c r="G225" s="483"/>
      <c r="I225" s="471" t="str">
        <f t="shared" si="32"/>
        <v>P3002</v>
      </c>
      <c r="J225" s="471" t="str">
        <f t="shared" si="29"/>
        <v>産経/政治B3</v>
      </c>
      <c r="M225" s="538"/>
      <c r="N225" s="533" t="s">
        <v>1324</v>
      </c>
      <c r="O225" s="533" t="s">
        <v>1325</v>
      </c>
      <c r="P225" s="534" t="str">
        <f t="shared" si="30"/>
        <v>3002</v>
      </c>
      <c r="Q225" s="534" t="str">
        <f t="shared" si="31"/>
        <v>政治B3</v>
      </c>
      <c r="R225" s="538" t="str">
        <f t="shared" si="33"/>
        <v>30</v>
      </c>
      <c r="S225" s="538" t="str">
        <f t="shared" si="34"/>
        <v>02</v>
      </c>
      <c r="T225" s="471" t="s">
        <v>1136</v>
      </c>
      <c r="U225" s="538"/>
      <c r="V225" s="538"/>
      <c r="W225" s="471">
        <v>0</v>
      </c>
      <c r="X225" s="540"/>
      <c r="Y225" s="471">
        <v>0</v>
      </c>
      <c r="Z225" s="538"/>
      <c r="AA225" s="538"/>
      <c r="AB225" s="538"/>
      <c r="AC225" s="538"/>
      <c r="AD225" s="538"/>
      <c r="AE225" s="538"/>
      <c r="AF225" s="538"/>
      <c r="AG225" s="538"/>
      <c r="AH225" s="538"/>
      <c r="AI225" s="538"/>
      <c r="AJ225" s="538"/>
      <c r="AK225" s="538"/>
      <c r="AL225" s="538"/>
      <c r="AM225" s="538"/>
      <c r="AN225" s="538"/>
      <c r="AO225" s="538"/>
      <c r="AP225" s="538"/>
      <c r="AQ225" s="538"/>
      <c r="AR225" s="538"/>
      <c r="AS225" s="538"/>
      <c r="AT225" s="538"/>
      <c r="AU225" s="538"/>
      <c r="AV225" s="538"/>
      <c r="AW225" s="538"/>
      <c r="AX225" s="538"/>
      <c r="AY225" s="538"/>
      <c r="AZ225" s="538"/>
    </row>
    <row r="226" spans="1:52" s="471" customFormat="1">
      <c r="A226" s="465" t="s">
        <v>228</v>
      </c>
      <c r="B226" s="452" t="str">
        <f>VLOOKUP(A226,★新聞!$C$4:$D$12,2,FALSE)</f>
        <v>P</v>
      </c>
      <c r="C226" s="465" t="s">
        <v>971</v>
      </c>
      <c r="D226" s="452" t="str">
        <f>VLOOKUP(C226,★サイズ表記!$D$4:$E$55,2,FALSE)</f>
        <v>3003</v>
      </c>
      <c r="E226" s="484" t="str">
        <f t="shared" si="27"/>
        <v>P3003</v>
      </c>
      <c r="F226" s="484" t="str">
        <f t="shared" si="28"/>
        <v>産経/政治B2</v>
      </c>
      <c r="G226" s="483"/>
      <c r="I226" s="471" t="str">
        <f t="shared" si="32"/>
        <v>P3003</v>
      </c>
      <c r="J226" s="471" t="str">
        <f t="shared" si="29"/>
        <v>産経/政治B2</v>
      </c>
      <c r="M226" s="538"/>
      <c r="N226" s="533" t="s">
        <v>1324</v>
      </c>
      <c r="O226" s="533" t="s">
        <v>1325</v>
      </c>
      <c r="P226" s="534" t="str">
        <f t="shared" si="30"/>
        <v>3003</v>
      </c>
      <c r="Q226" s="534" t="str">
        <f t="shared" si="31"/>
        <v>政治B2</v>
      </c>
      <c r="R226" s="538" t="str">
        <f t="shared" si="33"/>
        <v>30</v>
      </c>
      <c r="S226" s="538" t="str">
        <f t="shared" si="34"/>
        <v>03</v>
      </c>
      <c r="T226" s="471" t="s">
        <v>1136</v>
      </c>
      <c r="U226" s="538"/>
      <c r="V226" s="538"/>
      <c r="W226" s="471">
        <v>0</v>
      </c>
      <c r="X226" s="540"/>
      <c r="Y226" s="471">
        <v>0</v>
      </c>
      <c r="Z226" s="538"/>
      <c r="AA226" s="538"/>
      <c r="AB226" s="538"/>
      <c r="AC226" s="538"/>
      <c r="AD226" s="538"/>
      <c r="AE226" s="538"/>
      <c r="AF226" s="538"/>
      <c r="AG226" s="538"/>
      <c r="AH226" s="538"/>
      <c r="AI226" s="538"/>
      <c r="AJ226" s="538"/>
      <c r="AK226" s="538"/>
      <c r="AL226" s="538"/>
      <c r="AM226" s="538"/>
      <c r="AN226" s="538"/>
      <c r="AO226" s="538"/>
      <c r="AP226" s="538"/>
      <c r="AQ226" s="538"/>
      <c r="AR226" s="538"/>
      <c r="AS226" s="538"/>
      <c r="AT226" s="538"/>
      <c r="AU226" s="538"/>
      <c r="AV226" s="538"/>
      <c r="AW226" s="538"/>
      <c r="AX226" s="538"/>
      <c r="AY226" s="538"/>
      <c r="AZ226" s="538"/>
    </row>
    <row r="227" spans="1:52" s="471" customFormat="1">
      <c r="A227" s="465" t="s">
        <v>228</v>
      </c>
      <c r="B227" s="452" t="str">
        <f>VLOOKUP(A227,★新聞!$C$4:$D$12,2,FALSE)</f>
        <v>P</v>
      </c>
      <c r="C227" s="465" t="s">
        <v>972</v>
      </c>
      <c r="D227" s="452" t="str">
        <f>VLOOKUP(C227,★サイズ表記!$D$4:$E$55,2,FALSE)</f>
        <v>3004</v>
      </c>
      <c r="E227" s="484" t="str">
        <f t="shared" si="27"/>
        <v>P3004</v>
      </c>
      <c r="F227" s="484" t="str">
        <f t="shared" si="28"/>
        <v>産経/政治3つ折り</v>
      </c>
      <c r="G227" s="483"/>
      <c r="I227" s="471" t="str">
        <f t="shared" si="32"/>
        <v>P3004</v>
      </c>
      <c r="J227" s="471" t="str">
        <f t="shared" si="29"/>
        <v>産経/政治3つ折り</v>
      </c>
      <c r="M227" s="538"/>
      <c r="N227" s="533" t="s">
        <v>1324</v>
      </c>
      <c r="O227" s="533" t="s">
        <v>1325</v>
      </c>
      <c r="P227" s="534" t="str">
        <f t="shared" si="30"/>
        <v>3004</v>
      </c>
      <c r="Q227" s="534" t="str">
        <f t="shared" si="31"/>
        <v>政治3つ折り</v>
      </c>
      <c r="R227" s="538" t="str">
        <f t="shared" si="33"/>
        <v>30</v>
      </c>
      <c r="S227" s="538" t="str">
        <f t="shared" si="34"/>
        <v>04</v>
      </c>
      <c r="T227" s="471" t="s">
        <v>1136</v>
      </c>
      <c r="U227" s="538"/>
      <c r="V227" s="538"/>
      <c r="W227" s="471">
        <v>0</v>
      </c>
      <c r="X227" s="540"/>
      <c r="Y227" s="471">
        <v>0</v>
      </c>
      <c r="Z227" s="538"/>
      <c r="AA227" s="538"/>
      <c r="AB227" s="538"/>
      <c r="AC227" s="538"/>
      <c r="AD227" s="538"/>
      <c r="AE227" s="538"/>
      <c r="AF227" s="538"/>
      <c r="AG227" s="538"/>
      <c r="AH227" s="538"/>
      <c r="AI227" s="538"/>
      <c r="AJ227" s="538"/>
      <c r="AK227" s="538"/>
      <c r="AL227" s="538"/>
      <c r="AM227" s="538"/>
      <c r="AN227" s="538"/>
      <c r="AO227" s="538"/>
      <c r="AP227" s="538"/>
      <c r="AQ227" s="538"/>
      <c r="AR227" s="538"/>
      <c r="AS227" s="538"/>
      <c r="AT227" s="538"/>
      <c r="AU227" s="538"/>
      <c r="AV227" s="538"/>
      <c r="AW227" s="538"/>
      <c r="AX227" s="538"/>
      <c r="AY227" s="538"/>
      <c r="AZ227" s="538"/>
    </row>
    <row r="228" spans="1:52" s="471" customFormat="1">
      <c r="A228" s="465" t="s">
        <v>228</v>
      </c>
      <c r="B228" s="452" t="str">
        <f>VLOOKUP(A228,★新聞!$C$4:$D$12,2,FALSE)</f>
        <v>P</v>
      </c>
      <c r="C228" s="465" t="s">
        <v>973</v>
      </c>
      <c r="D228" s="452" t="str">
        <f>VLOOKUP(C228,★サイズ表記!$D$4:$E$55,2,FALSE)</f>
        <v>3005</v>
      </c>
      <c r="E228" s="484" t="str">
        <f t="shared" si="27"/>
        <v>P3005</v>
      </c>
      <c r="F228" s="484" t="str">
        <f t="shared" si="28"/>
        <v>産経/政治2つ折り極小</v>
      </c>
      <c r="G228" s="483"/>
      <c r="I228" s="471" t="str">
        <f t="shared" si="32"/>
        <v>P3005</v>
      </c>
      <c r="J228" s="471" t="str">
        <f t="shared" si="29"/>
        <v>産経/政治2つ折り極小</v>
      </c>
      <c r="M228" s="538"/>
      <c r="N228" s="533" t="s">
        <v>1324</v>
      </c>
      <c r="O228" s="533" t="s">
        <v>1325</v>
      </c>
      <c r="P228" s="534" t="str">
        <f t="shared" si="30"/>
        <v>3005</v>
      </c>
      <c r="Q228" s="534" t="str">
        <f t="shared" si="31"/>
        <v>政治2つ折り極小</v>
      </c>
      <c r="R228" s="538" t="str">
        <f t="shared" si="33"/>
        <v>30</v>
      </c>
      <c r="S228" s="538" t="str">
        <f t="shared" si="34"/>
        <v>05</v>
      </c>
      <c r="T228" s="471" t="s">
        <v>1136</v>
      </c>
      <c r="U228" s="538"/>
      <c r="V228" s="538"/>
      <c r="W228" s="471">
        <v>0</v>
      </c>
      <c r="X228" s="540"/>
      <c r="Y228" s="471">
        <v>0</v>
      </c>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8"/>
      <c r="AY228" s="538"/>
      <c r="AZ228" s="538"/>
    </row>
    <row r="229" spans="1:52" s="471" customFormat="1">
      <c r="A229" s="465" t="s">
        <v>228</v>
      </c>
      <c r="B229" s="452" t="str">
        <f>VLOOKUP(A229,★新聞!$C$4:$D$12,2,FALSE)</f>
        <v>P</v>
      </c>
      <c r="C229" s="465" t="s">
        <v>974</v>
      </c>
      <c r="D229" s="452" t="str">
        <f>VLOOKUP(C229,★サイズ表記!$D$4:$E$55,2,FALSE)</f>
        <v>3006</v>
      </c>
      <c r="E229" s="484" t="str">
        <f t="shared" si="27"/>
        <v>P3006</v>
      </c>
      <c r="F229" s="484" t="str">
        <f t="shared" si="28"/>
        <v>産経/政治B4厚紙</v>
      </c>
      <c r="G229" s="483"/>
      <c r="I229" s="471" t="str">
        <f t="shared" si="32"/>
        <v>P3006</v>
      </c>
      <c r="J229" s="471" t="str">
        <f t="shared" si="29"/>
        <v>産経/政治B4厚紙</v>
      </c>
      <c r="M229" s="538"/>
      <c r="N229" s="533" t="s">
        <v>1324</v>
      </c>
      <c r="O229" s="533" t="s">
        <v>1325</v>
      </c>
      <c r="P229" s="534" t="str">
        <f t="shared" si="30"/>
        <v>3006</v>
      </c>
      <c r="Q229" s="534" t="str">
        <f t="shared" si="31"/>
        <v>政治B4厚紙</v>
      </c>
      <c r="R229" s="538" t="str">
        <f t="shared" si="33"/>
        <v>30</v>
      </c>
      <c r="S229" s="538" t="str">
        <f t="shared" si="34"/>
        <v>06</v>
      </c>
      <c r="T229" s="471" t="s">
        <v>1136</v>
      </c>
      <c r="U229" s="538"/>
      <c r="V229" s="538"/>
      <c r="W229" s="471">
        <v>0</v>
      </c>
      <c r="X229" s="540"/>
      <c r="Y229" s="471">
        <v>0</v>
      </c>
      <c r="Z229" s="538"/>
      <c r="AA229" s="538"/>
      <c r="AB229" s="538"/>
      <c r="AC229" s="538"/>
      <c r="AD229" s="538"/>
      <c r="AE229" s="538"/>
      <c r="AF229" s="538"/>
      <c r="AG229" s="538"/>
      <c r="AH229" s="538"/>
      <c r="AI229" s="538"/>
      <c r="AJ229" s="538"/>
      <c r="AK229" s="538"/>
      <c r="AL229" s="538"/>
      <c r="AM229" s="538"/>
      <c r="AN229" s="538"/>
      <c r="AO229" s="538"/>
      <c r="AP229" s="538"/>
      <c r="AQ229" s="538"/>
      <c r="AR229" s="538"/>
      <c r="AS229" s="538"/>
      <c r="AT229" s="538"/>
      <c r="AU229" s="538"/>
      <c r="AV229" s="538"/>
      <c r="AW229" s="538"/>
      <c r="AX229" s="538"/>
      <c r="AY229" s="538"/>
      <c r="AZ229" s="538"/>
    </row>
    <row r="230" spans="1:52" s="471" customFormat="1">
      <c r="A230" s="465" t="s">
        <v>228</v>
      </c>
      <c r="B230" s="452" t="str">
        <f>VLOOKUP(A230,★新聞!$C$4:$D$12,2,FALSE)</f>
        <v>P</v>
      </c>
      <c r="C230" s="465" t="s">
        <v>1362</v>
      </c>
      <c r="D230" s="452" t="str">
        <f>VLOOKUP(C230,★サイズ表記!$D$4:$E$55,2,FALSE)</f>
        <v>3007</v>
      </c>
      <c r="E230" s="484" t="str">
        <f t="shared" si="27"/>
        <v>P3007</v>
      </c>
      <c r="F230" s="484" t="str">
        <f t="shared" si="28"/>
        <v>産経/政治タブ6P</v>
      </c>
      <c r="G230" s="483"/>
      <c r="I230" s="471" t="str">
        <f t="shared" si="32"/>
        <v>P3007</v>
      </c>
      <c r="J230" s="471" t="str">
        <f t="shared" si="29"/>
        <v>産経/政治タブ6P</v>
      </c>
      <c r="M230" s="538"/>
      <c r="N230" s="533" t="s">
        <v>1324</v>
      </c>
      <c r="O230" s="533" t="s">
        <v>1325</v>
      </c>
      <c r="P230" s="534" t="str">
        <f t="shared" si="30"/>
        <v>3007</v>
      </c>
      <c r="Q230" s="534" t="str">
        <f t="shared" si="31"/>
        <v>政治タブ6P</v>
      </c>
      <c r="R230" s="538" t="str">
        <f t="shared" si="33"/>
        <v>30</v>
      </c>
      <c r="S230" s="538" t="str">
        <f t="shared" si="34"/>
        <v>07</v>
      </c>
      <c r="T230" s="471" t="s">
        <v>1136</v>
      </c>
      <c r="U230" s="538"/>
      <c r="V230" s="538"/>
      <c r="W230" s="471">
        <v>0</v>
      </c>
      <c r="X230" s="540"/>
      <c r="Y230" s="471">
        <v>0</v>
      </c>
      <c r="Z230" s="538"/>
      <c r="AA230" s="538"/>
      <c r="AB230" s="538"/>
      <c r="AC230" s="538"/>
      <c r="AD230" s="538"/>
      <c r="AE230" s="538"/>
      <c r="AF230" s="538"/>
      <c r="AG230" s="538"/>
      <c r="AH230" s="538"/>
      <c r="AI230" s="538"/>
      <c r="AJ230" s="538"/>
      <c r="AK230" s="538"/>
      <c r="AL230" s="538"/>
      <c r="AM230" s="538"/>
      <c r="AN230" s="538"/>
      <c r="AO230" s="538"/>
      <c r="AP230" s="538"/>
      <c r="AQ230" s="538"/>
      <c r="AR230" s="538"/>
      <c r="AS230" s="538"/>
      <c r="AT230" s="538"/>
      <c r="AU230" s="538"/>
      <c r="AV230" s="538"/>
      <c r="AW230" s="538"/>
      <c r="AX230" s="538"/>
      <c r="AY230" s="538"/>
      <c r="AZ230" s="538"/>
    </row>
    <row r="231" spans="1:52" s="471" customFormat="1">
      <c r="A231" s="465" t="s">
        <v>228</v>
      </c>
      <c r="B231" s="452" t="str">
        <f>VLOOKUP(A231,★新聞!$C$4:$D$12,2,FALSE)</f>
        <v>P</v>
      </c>
      <c r="C231" s="465" t="s">
        <v>1363</v>
      </c>
      <c r="D231" s="452" t="str">
        <f>VLOOKUP(C231,★サイズ表記!$D$4:$E$55,2,FALSE)</f>
        <v>3008</v>
      </c>
      <c r="E231" s="484" t="str">
        <f t="shared" si="27"/>
        <v>P3008</v>
      </c>
      <c r="F231" s="484" t="str">
        <f t="shared" si="28"/>
        <v>産経/政治タブ8P</v>
      </c>
      <c r="G231" s="483"/>
      <c r="I231" s="471" t="str">
        <f t="shared" si="32"/>
        <v>P3008</v>
      </c>
      <c r="J231" s="471" t="str">
        <f t="shared" si="29"/>
        <v>産経/政治タブ8P</v>
      </c>
      <c r="M231" s="538"/>
      <c r="N231" s="533" t="s">
        <v>1324</v>
      </c>
      <c r="O231" s="533" t="s">
        <v>1325</v>
      </c>
      <c r="P231" s="534" t="str">
        <f t="shared" si="30"/>
        <v>3008</v>
      </c>
      <c r="Q231" s="534" t="str">
        <f t="shared" si="31"/>
        <v>政治タブ8P</v>
      </c>
      <c r="R231" s="538" t="str">
        <f t="shared" si="33"/>
        <v>30</v>
      </c>
      <c r="S231" s="538" t="str">
        <f t="shared" si="34"/>
        <v>08</v>
      </c>
      <c r="T231" s="471" t="s">
        <v>1136</v>
      </c>
      <c r="U231" s="538"/>
      <c r="V231" s="538"/>
      <c r="W231" s="471">
        <v>0</v>
      </c>
      <c r="X231" s="540"/>
      <c r="Y231" s="471">
        <v>0</v>
      </c>
      <c r="Z231" s="538"/>
      <c r="AA231" s="538"/>
      <c r="AB231" s="538"/>
      <c r="AC231" s="538"/>
      <c r="AD231" s="538"/>
      <c r="AE231" s="538"/>
      <c r="AF231" s="538"/>
      <c r="AG231" s="538"/>
      <c r="AH231" s="538"/>
      <c r="AI231" s="538"/>
      <c r="AJ231" s="538"/>
      <c r="AK231" s="538"/>
      <c r="AL231" s="538"/>
      <c r="AM231" s="538"/>
      <c r="AN231" s="538"/>
      <c r="AO231" s="538"/>
      <c r="AP231" s="538"/>
      <c r="AQ231" s="538"/>
      <c r="AR231" s="538"/>
      <c r="AS231" s="538"/>
      <c r="AT231" s="538"/>
      <c r="AU231" s="538"/>
      <c r="AV231" s="538"/>
      <c r="AW231" s="538"/>
      <c r="AX231" s="538"/>
      <c r="AY231" s="538"/>
      <c r="AZ231" s="538"/>
    </row>
    <row r="232" spans="1:52" s="471" customFormat="1">
      <c r="A232" s="465" t="s">
        <v>228</v>
      </c>
      <c r="B232" s="452" t="str">
        <f>VLOOKUP(A232,★新聞!$C$4:$D$12,2,FALSE)</f>
        <v>P</v>
      </c>
      <c r="C232" s="465" t="s">
        <v>1361</v>
      </c>
      <c r="D232" s="452" t="str">
        <f>VLOOKUP(C232,★サイズ表記!$D$4:$E$55,2,FALSE)</f>
        <v>3009</v>
      </c>
      <c r="E232" s="484" t="str">
        <f t="shared" si="27"/>
        <v>P3009</v>
      </c>
      <c r="F232" s="484" t="str">
        <f t="shared" si="28"/>
        <v>産経/政治タブ12P</v>
      </c>
      <c r="G232" s="483"/>
      <c r="I232" s="471" t="str">
        <f t="shared" si="32"/>
        <v>P3009</v>
      </c>
      <c r="J232" s="471" t="str">
        <f t="shared" si="29"/>
        <v>産経/政治タブ12P</v>
      </c>
      <c r="M232" s="538"/>
      <c r="N232" s="533" t="s">
        <v>1324</v>
      </c>
      <c r="O232" s="533" t="s">
        <v>1325</v>
      </c>
      <c r="P232" s="534" t="str">
        <f t="shared" si="30"/>
        <v>3009</v>
      </c>
      <c r="Q232" s="534" t="str">
        <f t="shared" si="31"/>
        <v>政治タブ12P</v>
      </c>
      <c r="R232" s="538" t="str">
        <f t="shared" si="33"/>
        <v>30</v>
      </c>
      <c r="S232" s="538" t="str">
        <f t="shared" si="34"/>
        <v>09</v>
      </c>
      <c r="T232" s="471" t="s">
        <v>1136</v>
      </c>
      <c r="U232" s="538"/>
      <c r="V232" s="538"/>
      <c r="W232" s="471">
        <v>0</v>
      </c>
      <c r="X232" s="540"/>
      <c r="Y232" s="471">
        <v>0</v>
      </c>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8"/>
      <c r="AY232" s="538"/>
      <c r="AZ232" s="538"/>
    </row>
    <row r="233" spans="1:52" s="471" customFormat="1">
      <c r="A233" s="465" t="s">
        <v>228</v>
      </c>
      <c r="B233" s="452" t="str">
        <f>VLOOKUP(A233,★新聞!$C$4:$D$12,2,FALSE)</f>
        <v>P</v>
      </c>
      <c r="C233" s="465" t="s">
        <v>1358</v>
      </c>
      <c r="D233" s="452" t="str">
        <f>VLOOKUP(C233,★サイズ表記!$D$4:$E$55,2,FALSE)</f>
        <v>4001</v>
      </c>
      <c r="E233" s="484" t="str">
        <f t="shared" si="27"/>
        <v>P4001</v>
      </c>
      <c r="F233" s="484" t="str">
        <f t="shared" si="28"/>
        <v>産経/タブ6P</v>
      </c>
      <c r="G233" s="483"/>
      <c r="I233" s="471" t="str">
        <f t="shared" si="32"/>
        <v>P4001</v>
      </c>
      <c r="J233" s="471" t="str">
        <f t="shared" si="29"/>
        <v>産経/タブ6P</v>
      </c>
      <c r="M233" s="538"/>
      <c r="N233" s="533" t="s">
        <v>1324</v>
      </c>
      <c r="O233" s="533" t="s">
        <v>1325</v>
      </c>
      <c r="P233" s="534" t="str">
        <f t="shared" si="30"/>
        <v>4001</v>
      </c>
      <c r="Q233" s="534" t="str">
        <f t="shared" si="31"/>
        <v>タブ6P</v>
      </c>
      <c r="R233" s="538" t="str">
        <f t="shared" si="33"/>
        <v>40</v>
      </c>
      <c r="S233" s="538" t="str">
        <f t="shared" si="34"/>
        <v>01</v>
      </c>
      <c r="T233" s="471" t="s">
        <v>1136</v>
      </c>
      <c r="U233" s="538"/>
      <c r="V233" s="538"/>
      <c r="W233" s="471">
        <v>0</v>
      </c>
      <c r="X233" s="540"/>
      <c r="Y233" s="471">
        <v>0</v>
      </c>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8"/>
      <c r="AY233" s="538"/>
      <c r="AZ233" s="538"/>
    </row>
    <row r="234" spans="1:52" s="471" customFormat="1">
      <c r="A234" s="465" t="s">
        <v>228</v>
      </c>
      <c r="B234" s="452" t="str">
        <f>VLOOKUP(A234,★新聞!$C$4:$D$12,2,FALSE)</f>
        <v>P</v>
      </c>
      <c r="C234" s="465" t="s">
        <v>1359</v>
      </c>
      <c r="D234" s="452" t="str">
        <f>VLOOKUP(C234,★サイズ表記!$D$4:$E$55,2,FALSE)</f>
        <v>4002</v>
      </c>
      <c r="E234" s="484" t="str">
        <f t="shared" si="27"/>
        <v>P4002</v>
      </c>
      <c r="F234" s="484" t="str">
        <f t="shared" si="28"/>
        <v>産経/タブ8P</v>
      </c>
      <c r="G234" s="483"/>
      <c r="I234" s="471" t="str">
        <f t="shared" si="32"/>
        <v>P4002</v>
      </c>
      <c r="J234" s="471" t="str">
        <f t="shared" si="29"/>
        <v>産経/タブ8P</v>
      </c>
      <c r="M234" s="538"/>
      <c r="N234" s="533" t="s">
        <v>1324</v>
      </c>
      <c r="O234" s="533" t="s">
        <v>1325</v>
      </c>
      <c r="P234" s="534" t="str">
        <f t="shared" si="30"/>
        <v>4002</v>
      </c>
      <c r="Q234" s="534" t="str">
        <f t="shared" si="31"/>
        <v>タブ8P</v>
      </c>
      <c r="R234" s="538" t="str">
        <f t="shared" si="33"/>
        <v>40</v>
      </c>
      <c r="S234" s="538" t="str">
        <f t="shared" si="34"/>
        <v>02</v>
      </c>
      <c r="T234" s="471" t="s">
        <v>1136</v>
      </c>
      <c r="U234" s="538"/>
      <c r="V234" s="538"/>
      <c r="W234" s="471">
        <v>0</v>
      </c>
      <c r="X234" s="540"/>
      <c r="Y234" s="471">
        <v>0</v>
      </c>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8"/>
      <c r="AY234" s="538"/>
      <c r="AZ234" s="538"/>
    </row>
    <row r="235" spans="1:52" s="471" customFormat="1">
      <c r="A235" s="465" t="s">
        <v>228</v>
      </c>
      <c r="B235" s="452" t="str">
        <f>VLOOKUP(A235,★新聞!$C$4:$D$12,2,FALSE)</f>
        <v>P</v>
      </c>
      <c r="C235" s="465" t="s">
        <v>1360</v>
      </c>
      <c r="D235" s="452" t="str">
        <f>VLOOKUP(C235,★サイズ表記!$D$4:$E$55,2,FALSE)</f>
        <v>4003</v>
      </c>
      <c r="E235" s="484" t="str">
        <f t="shared" si="27"/>
        <v>P4003</v>
      </c>
      <c r="F235" s="484" t="str">
        <f t="shared" si="28"/>
        <v>産経/タブ8Pホチキス止め</v>
      </c>
      <c r="G235" s="483"/>
      <c r="I235" s="471" t="str">
        <f t="shared" si="32"/>
        <v>P4003</v>
      </c>
      <c r="J235" s="471" t="str">
        <f t="shared" si="29"/>
        <v>産経/タブ8Pホチキス止め</v>
      </c>
      <c r="M235" s="538"/>
      <c r="N235" s="533" t="s">
        <v>1324</v>
      </c>
      <c r="O235" s="533" t="s">
        <v>1325</v>
      </c>
      <c r="P235" s="534" t="str">
        <f t="shared" si="30"/>
        <v>4003</v>
      </c>
      <c r="Q235" s="534" t="str">
        <f t="shared" si="31"/>
        <v>タブ8Pホチキス止め</v>
      </c>
      <c r="R235" s="538" t="str">
        <f t="shared" si="33"/>
        <v>40</v>
      </c>
      <c r="S235" s="538" t="str">
        <f t="shared" si="34"/>
        <v>03</v>
      </c>
      <c r="T235" s="471" t="s">
        <v>1136</v>
      </c>
      <c r="U235" s="538"/>
      <c r="V235" s="538"/>
      <c r="W235" s="471">
        <v>0</v>
      </c>
      <c r="X235" s="540"/>
      <c r="Y235" s="471">
        <v>0</v>
      </c>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8"/>
      <c r="AY235" s="538"/>
      <c r="AZ235" s="538"/>
    </row>
    <row r="236" spans="1:52" s="471" customFormat="1">
      <c r="A236" s="465" t="s">
        <v>228</v>
      </c>
      <c r="B236" s="452" t="str">
        <f>VLOOKUP(A236,★新聞!$C$4:$D$12,2,FALSE)</f>
        <v>P</v>
      </c>
      <c r="C236" s="465" t="s">
        <v>1350</v>
      </c>
      <c r="D236" s="452" t="str">
        <f>VLOOKUP(C236,★サイズ表記!$D$4:$E$55,2,FALSE)</f>
        <v>4004</v>
      </c>
      <c r="E236" s="484" t="str">
        <f t="shared" si="27"/>
        <v>P4004</v>
      </c>
      <c r="F236" s="484" t="str">
        <f t="shared" si="28"/>
        <v>産経/タブ10P</v>
      </c>
      <c r="G236" s="483"/>
      <c r="I236" s="471" t="str">
        <f t="shared" si="32"/>
        <v>P4004</v>
      </c>
      <c r="J236" s="471" t="str">
        <f t="shared" si="29"/>
        <v>産経/タブ10P</v>
      </c>
      <c r="M236" s="538"/>
      <c r="N236" s="533" t="s">
        <v>1324</v>
      </c>
      <c r="O236" s="533" t="s">
        <v>1325</v>
      </c>
      <c r="P236" s="534" t="str">
        <f t="shared" si="30"/>
        <v>4004</v>
      </c>
      <c r="Q236" s="534" t="str">
        <f t="shared" si="31"/>
        <v>タブ10P</v>
      </c>
      <c r="R236" s="538" t="str">
        <f t="shared" si="33"/>
        <v>40</v>
      </c>
      <c r="S236" s="538" t="str">
        <f t="shared" si="34"/>
        <v>04</v>
      </c>
      <c r="T236" s="471" t="s">
        <v>1136</v>
      </c>
      <c r="U236" s="538"/>
      <c r="V236" s="538"/>
      <c r="W236" s="471">
        <v>0</v>
      </c>
      <c r="X236" s="540"/>
      <c r="Y236" s="471">
        <v>0</v>
      </c>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8"/>
      <c r="AY236" s="538"/>
      <c r="AZ236" s="538"/>
    </row>
    <row r="237" spans="1:52" s="471" customFormat="1">
      <c r="A237" s="465" t="s">
        <v>228</v>
      </c>
      <c r="B237" s="452" t="str">
        <f>VLOOKUP(A237,★新聞!$C$4:$D$12,2,FALSE)</f>
        <v>P</v>
      </c>
      <c r="C237" s="465" t="s">
        <v>1351</v>
      </c>
      <c r="D237" s="452" t="str">
        <f>VLOOKUP(C237,★サイズ表記!$D$4:$E$55,2,FALSE)</f>
        <v>4005</v>
      </c>
      <c r="E237" s="484" t="str">
        <f t="shared" si="27"/>
        <v>P4005</v>
      </c>
      <c r="F237" s="484" t="str">
        <f t="shared" si="28"/>
        <v>産経/タブ12P</v>
      </c>
      <c r="G237" s="483"/>
      <c r="I237" s="471" t="str">
        <f t="shared" si="32"/>
        <v>P4005</v>
      </c>
      <c r="J237" s="471" t="str">
        <f t="shared" si="29"/>
        <v>産経/タブ12P</v>
      </c>
      <c r="M237" s="538"/>
      <c r="N237" s="533" t="s">
        <v>1324</v>
      </c>
      <c r="O237" s="533" t="s">
        <v>1325</v>
      </c>
      <c r="P237" s="534" t="str">
        <f t="shared" si="30"/>
        <v>4005</v>
      </c>
      <c r="Q237" s="534" t="str">
        <f t="shared" si="31"/>
        <v>タブ12P</v>
      </c>
      <c r="R237" s="538" t="str">
        <f t="shared" si="33"/>
        <v>40</v>
      </c>
      <c r="S237" s="538" t="str">
        <f t="shared" si="34"/>
        <v>05</v>
      </c>
      <c r="T237" s="471" t="s">
        <v>1136</v>
      </c>
      <c r="U237" s="538"/>
      <c r="V237" s="538"/>
      <c r="W237" s="471">
        <v>0</v>
      </c>
      <c r="X237" s="540"/>
      <c r="Y237" s="471">
        <v>0</v>
      </c>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8"/>
      <c r="AY237" s="538"/>
      <c r="AZ237" s="538"/>
    </row>
    <row r="238" spans="1:52" s="471" customFormat="1">
      <c r="A238" s="465" t="s">
        <v>228</v>
      </c>
      <c r="B238" s="452" t="str">
        <f>VLOOKUP(A238,★新聞!$C$4:$D$12,2,FALSE)</f>
        <v>P</v>
      </c>
      <c r="C238" s="465" t="s">
        <v>1352</v>
      </c>
      <c r="D238" s="452" t="str">
        <f>VLOOKUP(C238,★サイズ表記!$D$4:$E$55,2,FALSE)</f>
        <v>4006</v>
      </c>
      <c r="E238" s="484" t="str">
        <f t="shared" si="27"/>
        <v>P4006</v>
      </c>
      <c r="F238" s="484" t="str">
        <f t="shared" si="28"/>
        <v>産経/タブ14P</v>
      </c>
      <c r="G238" s="483"/>
      <c r="I238" s="471" t="str">
        <f t="shared" si="32"/>
        <v>P4006</v>
      </c>
      <c r="J238" s="471" t="str">
        <f t="shared" si="29"/>
        <v>産経/タブ14P</v>
      </c>
      <c r="M238" s="538"/>
      <c r="N238" s="533" t="s">
        <v>1324</v>
      </c>
      <c r="O238" s="533" t="s">
        <v>1325</v>
      </c>
      <c r="P238" s="534" t="str">
        <f t="shared" si="30"/>
        <v>4006</v>
      </c>
      <c r="Q238" s="534" t="str">
        <f t="shared" si="31"/>
        <v>タブ14P</v>
      </c>
      <c r="R238" s="538" t="str">
        <f t="shared" si="33"/>
        <v>40</v>
      </c>
      <c r="S238" s="538" t="str">
        <f t="shared" si="34"/>
        <v>06</v>
      </c>
      <c r="T238" s="471" t="s">
        <v>1136</v>
      </c>
      <c r="U238" s="538"/>
      <c r="V238" s="538"/>
      <c r="W238" s="471">
        <v>0</v>
      </c>
      <c r="X238" s="540"/>
      <c r="Y238" s="471">
        <v>0</v>
      </c>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8"/>
      <c r="AY238" s="538"/>
      <c r="AZ238" s="538"/>
    </row>
    <row r="239" spans="1:52" s="471" customFormat="1">
      <c r="A239" s="465" t="s">
        <v>228</v>
      </c>
      <c r="B239" s="452" t="str">
        <f>VLOOKUP(A239,★新聞!$C$4:$D$12,2,FALSE)</f>
        <v>P</v>
      </c>
      <c r="C239" s="465" t="s">
        <v>1353</v>
      </c>
      <c r="D239" s="452" t="str">
        <f>VLOOKUP(C239,★サイズ表記!$D$4:$E$55,2,FALSE)</f>
        <v>4007</v>
      </c>
      <c r="E239" s="484" t="str">
        <f t="shared" si="27"/>
        <v>P4007</v>
      </c>
      <c r="F239" s="484" t="str">
        <f t="shared" si="28"/>
        <v>産経/タブ16P</v>
      </c>
      <c r="G239" s="483"/>
      <c r="I239" s="471" t="str">
        <f t="shared" si="32"/>
        <v>P4007</v>
      </c>
      <c r="J239" s="471" t="str">
        <f t="shared" si="29"/>
        <v>産経/タブ16P</v>
      </c>
      <c r="M239" s="538"/>
      <c r="N239" s="533" t="s">
        <v>1324</v>
      </c>
      <c r="O239" s="533" t="s">
        <v>1325</v>
      </c>
      <c r="P239" s="534" t="str">
        <f t="shared" si="30"/>
        <v>4007</v>
      </c>
      <c r="Q239" s="534" t="str">
        <f t="shared" si="31"/>
        <v>タブ16P</v>
      </c>
      <c r="R239" s="538" t="str">
        <f t="shared" si="33"/>
        <v>40</v>
      </c>
      <c r="S239" s="538" t="str">
        <f t="shared" si="34"/>
        <v>07</v>
      </c>
      <c r="T239" s="471" t="s">
        <v>1136</v>
      </c>
      <c r="U239" s="538"/>
      <c r="V239" s="538"/>
      <c r="W239" s="471">
        <v>0</v>
      </c>
      <c r="X239" s="540"/>
      <c r="Y239" s="471">
        <v>0</v>
      </c>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8"/>
      <c r="AY239" s="538"/>
      <c r="AZ239" s="538"/>
    </row>
    <row r="240" spans="1:52" s="471" customFormat="1">
      <c r="A240" s="465" t="s">
        <v>228</v>
      </c>
      <c r="B240" s="452" t="str">
        <f>VLOOKUP(A240,★新聞!$C$4:$D$12,2,FALSE)</f>
        <v>P</v>
      </c>
      <c r="C240" s="465" t="s">
        <v>1355</v>
      </c>
      <c r="D240" s="452" t="str">
        <f>VLOOKUP(C240,★サイズ表記!$D$4:$E$55,2,FALSE)</f>
        <v>4008</v>
      </c>
      <c r="E240" s="484" t="str">
        <f t="shared" si="27"/>
        <v>P4008</v>
      </c>
      <c r="F240" s="484" t="str">
        <f t="shared" si="28"/>
        <v>産経/タブ18P</v>
      </c>
      <c r="G240" s="483"/>
      <c r="I240" s="471" t="str">
        <f t="shared" si="32"/>
        <v>P4008</v>
      </c>
      <c r="J240" s="471" t="str">
        <f t="shared" si="29"/>
        <v>産経/タブ18P</v>
      </c>
      <c r="M240" s="538"/>
      <c r="N240" s="533" t="s">
        <v>1324</v>
      </c>
      <c r="O240" s="533" t="s">
        <v>1325</v>
      </c>
      <c r="P240" s="534" t="str">
        <f t="shared" si="30"/>
        <v>4008</v>
      </c>
      <c r="Q240" s="534" t="str">
        <f t="shared" si="31"/>
        <v>タブ18P</v>
      </c>
      <c r="R240" s="538" t="str">
        <f t="shared" si="33"/>
        <v>40</v>
      </c>
      <c r="S240" s="538" t="str">
        <f t="shared" si="34"/>
        <v>08</v>
      </c>
      <c r="T240" s="471" t="s">
        <v>1136</v>
      </c>
      <c r="U240" s="538"/>
      <c r="V240" s="538"/>
      <c r="W240" s="471">
        <v>0</v>
      </c>
      <c r="X240" s="540"/>
      <c r="Y240" s="471">
        <v>0</v>
      </c>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8"/>
      <c r="AY240" s="538"/>
      <c r="AZ240" s="538"/>
    </row>
    <row r="241" spans="1:52" s="471" customFormat="1">
      <c r="A241" s="465" t="s">
        <v>228</v>
      </c>
      <c r="B241" s="452" t="str">
        <f>VLOOKUP(A241,★新聞!$C$4:$D$12,2,FALSE)</f>
        <v>P</v>
      </c>
      <c r="C241" s="465" t="s">
        <v>1356</v>
      </c>
      <c r="D241" s="452" t="str">
        <f>VLOOKUP(C241,★サイズ表記!$D$4:$E$55,2,FALSE)</f>
        <v>4009</v>
      </c>
      <c r="E241" s="484" t="str">
        <f t="shared" si="27"/>
        <v>P4009</v>
      </c>
      <c r="F241" s="484" t="str">
        <f t="shared" si="28"/>
        <v>産経/タブ20P</v>
      </c>
      <c r="G241" s="483"/>
      <c r="I241" s="471" t="str">
        <f t="shared" si="32"/>
        <v>P4009</v>
      </c>
      <c r="J241" s="471" t="str">
        <f t="shared" si="29"/>
        <v>産経/タブ20P</v>
      </c>
      <c r="M241" s="538"/>
      <c r="N241" s="533" t="s">
        <v>1324</v>
      </c>
      <c r="O241" s="533" t="s">
        <v>1325</v>
      </c>
      <c r="P241" s="534" t="str">
        <f t="shared" si="30"/>
        <v>4009</v>
      </c>
      <c r="Q241" s="534" t="str">
        <f t="shared" si="31"/>
        <v>タブ20P</v>
      </c>
      <c r="R241" s="538" t="str">
        <f t="shared" si="33"/>
        <v>40</v>
      </c>
      <c r="S241" s="538" t="str">
        <f t="shared" si="34"/>
        <v>09</v>
      </c>
      <c r="T241" s="471" t="s">
        <v>1136</v>
      </c>
      <c r="U241" s="538"/>
      <c r="V241" s="538"/>
      <c r="W241" s="471">
        <v>0</v>
      </c>
      <c r="X241" s="540"/>
      <c r="Y241" s="471">
        <v>0</v>
      </c>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8"/>
      <c r="AY241" s="538"/>
      <c r="AZ241" s="538"/>
    </row>
    <row r="242" spans="1:52" s="471" customFormat="1">
      <c r="A242" s="465" t="s">
        <v>228</v>
      </c>
      <c r="B242" s="452" t="str">
        <f>VLOOKUP(A242,★新聞!$C$4:$D$12,2,FALSE)</f>
        <v>P</v>
      </c>
      <c r="C242" s="465" t="s">
        <v>1354</v>
      </c>
      <c r="D242" s="452" t="str">
        <f>VLOOKUP(C242,★サイズ表記!$D$4:$E$55,2,FALSE)</f>
        <v>4010</v>
      </c>
      <c r="E242" s="484" t="str">
        <f t="shared" si="27"/>
        <v>P4010</v>
      </c>
      <c r="F242" s="484" t="str">
        <f t="shared" si="28"/>
        <v>産経/タブ16Pホチキス止め</v>
      </c>
      <c r="G242" s="483"/>
      <c r="I242" s="471" t="str">
        <f t="shared" si="32"/>
        <v>P4010</v>
      </c>
      <c r="J242" s="471" t="str">
        <f t="shared" si="29"/>
        <v>産経/タブ16Pホチキス止め</v>
      </c>
      <c r="M242" s="538"/>
      <c r="N242" s="533" t="s">
        <v>1324</v>
      </c>
      <c r="O242" s="533" t="s">
        <v>1325</v>
      </c>
      <c r="P242" s="534" t="str">
        <f t="shared" si="30"/>
        <v>4010</v>
      </c>
      <c r="Q242" s="534" t="str">
        <f t="shared" si="31"/>
        <v>タブ16Pホチキス止め</v>
      </c>
      <c r="R242" s="538" t="str">
        <f t="shared" si="33"/>
        <v>40</v>
      </c>
      <c r="S242" s="538" t="str">
        <f t="shared" si="34"/>
        <v>10</v>
      </c>
      <c r="T242" s="471" t="s">
        <v>1136</v>
      </c>
      <c r="U242" s="538"/>
      <c r="V242" s="538"/>
      <c r="W242" s="471">
        <v>0</v>
      </c>
      <c r="X242" s="540"/>
      <c r="Y242" s="471">
        <v>0</v>
      </c>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8"/>
      <c r="AY242" s="538"/>
      <c r="AZ242" s="538"/>
    </row>
    <row r="243" spans="1:52" s="471" customFormat="1">
      <c r="A243" s="465" t="s">
        <v>228</v>
      </c>
      <c r="B243" s="452" t="str">
        <f>VLOOKUP(A243,★新聞!$C$4:$D$12,2,FALSE)</f>
        <v>P</v>
      </c>
      <c r="C243" s="465" t="s">
        <v>1357</v>
      </c>
      <c r="D243" s="452" t="str">
        <f>VLOOKUP(C243,★サイズ表記!$D$4:$E$55,2,FALSE)</f>
        <v>4011</v>
      </c>
      <c r="E243" s="484" t="str">
        <f t="shared" si="27"/>
        <v>P4011</v>
      </c>
      <c r="F243" s="484" t="str">
        <f t="shared" si="28"/>
        <v>産経/タブ40P</v>
      </c>
      <c r="G243" s="483"/>
      <c r="I243" s="471" t="str">
        <f t="shared" si="32"/>
        <v>P4011</v>
      </c>
      <c r="J243" s="471" t="str">
        <f t="shared" si="29"/>
        <v>産経/タブ40P</v>
      </c>
      <c r="M243" s="538"/>
      <c r="N243" s="533" t="s">
        <v>1324</v>
      </c>
      <c r="O243" s="533" t="s">
        <v>1325</v>
      </c>
      <c r="P243" s="534" t="str">
        <f t="shared" si="30"/>
        <v>4011</v>
      </c>
      <c r="Q243" s="534" t="str">
        <f t="shared" si="31"/>
        <v>タブ40P</v>
      </c>
      <c r="R243" s="538" t="str">
        <f t="shared" si="33"/>
        <v>40</v>
      </c>
      <c r="S243" s="538" t="str">
        <f t="shared" si="34"/>
        <v>11</v>
      </c>
      <c r="T243" s="471" t="s">
        <v>1136</v>
      </c>
      <c r="U243" s="538"/>
      <c r="V243" s="538"/>
      <c r="W243" s="471">
        <v>0</v>
      </c>
      <c r="X243" s="540"/>
      <c r="Y243" s="471">
        <v>0</v>
      </c>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8"/>
      <c r="AY243" s="538"/>
      <c r="AZ243" s="538"/>
    </row>
    <row r="244" spans="1:52" s="471" customFormat="1">
      <c r="A244" s="465" t="s">
        <v>228</v>
      </c>
      <c r="B244" s="452" t="str">
        <f>VLOOKUP(A244,★新聞!$C$4:$D$12,2,FALSE)</f>
        <v>P</v>
      </c>
      <c r="C244" s="465" t="s">
        <v>975</v>
      </c>
      <c r="D244" s="452" t="str">
        <f>VLOOKUP(C244,★サイズ表記!$D$4:$E$55,2,FALSE)</f>
        <v>9001</v>
      </c>
      <c r="E244" s="484" t="str">
        <f t="shared" si="27"/>
        <v>P9001</v>
      </c>
      <c r="F244" s="484" t="str">
        <f t="shared" si="28"/>
        <v>産経/うさぎの耳</v>
      </c>
      <c r="G244" s="483"/>
      <c r="I244" s="471" t="str">
        <f t="shared" si="32"/>
        <v>P9001</v>
      </c>
      <c r="J244" s="471" t="str">
        <f t="shared" si="29"/>
        <v>産経/うさぎの耳</v>
      </c>
      <c r="M244" s="538"/>
      <c r="N244" s="533" t="s">
        <v>1324</v>
      </c>
      <c r="O244" s="533" t="s">
        <v>1325</v>
      </c>
      <c r="P244" s="534" t="str">
        <f t="shared" si="30"/>
        <v>9001</v>
      </c>
      <c r="Q244" s="534" t="str">
        <f t="shared" si="31"/>
        <v>うさぎの耳</v>
      </c>
      <c r="R244" s="538" t="str">
        <f t="shared" si="33"/>
        <v>90</v>
      </c>
      <c r="S244" s="538" t="str">
        <f t="shared" si="34"/>
        <v>01</v>
      </c>
      <c r="T244" s="471" t="s">
        <v>1136</v>
      </c>
      <c r="U244" s="538"/>
      <c r="V244" s="538"/>
      <c r="W244" s="471">
        <v>0</v>
      </c>
      <c r="X244" s="540"/>
      <c r="Y244" s="471">
        <v>0</v>
      </c>
      <c r="Z244" s="538"/>
      <c r="AA244" s="538"/>
      <c r="AB244" s="538"/>
      <c r="AC244" s="538"/>
      <c r="AD244" s="538"/>
      <c r="AE244" s="538"/>
      <c r="AF244" s="538"/>
      <c r="AG244" s="538"/>
      <c r="AH244" s="538"/>
      <c r="AI244" s="538"/>
      <c r="AJ244" s="538"/>
      <c r="AK244" s="538"/>
      <c r="AL244" s="538"/>
      <c r="AM244" s="538"/>
      <c r="AN244" s="538"/>
      <c r="AO244" s="538"/>
      <c r="AP244" s="538"/>
      <c r="AQ244" s="538"/>
      <c r="AR244" s="538"/>
      <c r="AS244" s="538"/>
      <c r="AT244" s="538"/>
      <c r="AU244" s="538"/>
      <c r="AV244" s="538"/>
      <c r="AW244" s="538"/>
      <c r="AX244" s="538"/>
      <c r="AY244" s="538"/>
      <c r="AZ244" s="538"/>
    </row>
    <row r="245" spans="1:52" s="471" customFormat="1">
      <c r="A245" s="465" t="s">
        <v>228</v>
      </c>
      <c r="B245" s="452" t="str">
        <f>VLOOKUP(A245,★新聞!$C$4:$D$12,2,FALSE)</f>
        <v>P</v>
      </c>
      <c r="C245" s="465" t="s">
        <v>976</v>
      </c>
      <c r="D245" s="452" t="str">
        <f>VLOOKUP(C245,★サイズ表記!$D$4:$E$55,2,FALSE)</f>
        <v>9002</v>
      </c>
      <c r="E245" s="484" t="str">
        <f t="shared" si="27"/>
        <v>P9002</v>
      </c>
      <c r="F245" s="484" t="str">
        <f t="shared" si="28"/>
        <v>産経/ユーキャン（題字）</v>
      </c>
      <c r="G245" s="483"/>
      <c r="I245" s="471" t="str">
        <f t="shared" si="32"/>
        <v>P9002</v>
      </c>
      <c r="J245" s="471" t="str">
        <f t="shared" si="29"/>
        <v>産経/ユーキャン（題字）</v>
      </c>
      <c r="M245" s="538"/>
      <c r="N245" s="533" t="s">
        <v>1324</v>
      </c>
      <c r="O245" s="533" t="s">
        <v>1325</v>
      </c>
      <c r="P245" s="534" t="str">
        <f t="shared" si="30"/>
        <v>9002</v>
      </c>
      <c r="Q245" s="534" t="str">
        <f t="shared" si="31"/>
        <v>ユーキャン（題字）</v>
      </c>
      <c r="R245" s="538" t="str">
        <f t="shared" si="33"/>
        <v>90</v>
      </c>
      <c r="S245" s="538" t="str">
        <f t="shared" si="34"/>
        <v>02</v>
      </c>
      <c r="T245" s="471" t="s">
        <v>1136</v>
      </c>
      <c r="U245" s="538"/>
      <c r="V245" s="538"/>
      <c r="W245" s="471">
        <v>0</v>
      </c>
      <c r="X245" s="540"/>
      <c r="Y245" s="471">
        <v>0</v>
      </c>
      <c r="Z245" s="538"/>
      <c r="AA245" s="538"/>
      <c r="AB245" s="538"/>
      <c r="AC245" s="538"/>
      <c r="AD245" s="538"/>
      <c r="AE245" s="538"/>
      <c r="AF245" s="538"/>
      <c r="AG245" s="538"/>
      <c r="AH245" s="538"/>
      <c r="AI245" s="538"/>
      <c r="AJ245" s="538"/>
      <c r="AK245" s="538"/>
      <c r="AL245" s="538"/>
      <c r="AM245" s="538"/>
      <c r="AN245" s="538"/>
      <c r="AO245" s="538"/>
      <c r="AP245" s="538"/>
      <c r="AQ245" s="538"/>
      <c r="AR245" s="538"/>
      <c r="AS245" s="538"/>
      <c r="AT245" s="538"/>
      <c r="AU245" s="538"/>
      <c r="AV245" s="538"/>
      <c r="AW245" s="538"/>
      <c r="AX245" s="538"/>
      <c r="AY245" s="538"/>
      <c r="AZ245" s="538"/>
    </row>
    <row r="246" spans="1:52" s="471" customFormat="1">
      <c r="A246" s="465" t="s">
        <v>228</v>
      </c>
      <c r="B246" s="452" t="str">
        <f>VLOOKUP(A246,★新聞!$C$4:$D$12,2,FALSE)</f>
        <v>P</v>
      </c>
      <c r="C246" s="465" t="s">
        <v>977</v>
      </c>
      <c r="D246" s="452" t="str">
        <f>VLOOKUP(C246,★サイズ表記!$D$4:$E$55,2,FALSE)</f>
        <v>9003</v>
      </c>
      <c r="E246" s="484" t="str">
        <f t="shared" si="27"/>
        <v>P9003</v>
      </c>
      <c r="F246" s="484" t="str">
        <f t="shared" si="28"/>
        <v>産経/横長B3</v>
      </c>
      <c r="G246" s="483"/>
      <c r="I246" s="471" t="str">
        <f t="shared" si="32"/>
        <v>P9003</v>
      </c>
      <c r="J246" s="471" t="str">
        <f t="shared" si="29"/>
        <v>産経/横長B3</v>
      </c>
      <c r="M246" s="538"/>
      <c r="N246" s="533" t="s">
        <v>1324</v>
      </c>
      <c r="O246" s="533" t="s">
        <v>1325</v>
      </c>
      <c r="P246" s="534" t="str">
        <f t="shared" si="30"/>
        <v>9003</v>
      </c>
      <c r="Q246" s="534" t="str">
        <f t="shared" si="31"/>
        <v>横長B3</v>
      </c>
      <c r="R246" s="538" t="str">
        <f t="shared" si="33"/>
        <v>90</v>
      </c>
      <c r="S246" s="538" t="str">
        <f t="shared" si="34"/>
        <v>03</v>
      </c>
      <c r="T246" s="471" t="s">
        <v>1136</v>
      </c>
      <c r="U246" s="538"/>
      <c r="V246" s="538"/>
      <c r="W246" s="471">
        <v>0</v>
      </c>
      <c r="X246" s="540"/>
      <c r="Y246" s="471">
        <v>0</v>
      </c>
      <c r="Z246" s="538"/>
      <c r="AA246" s="538"/>
      <c r="AB246" s="538"/>
      <c r="AC246" s="538"/>
      <c r="AD246" s="538"/>
      <c r="AE246" s="538"/>
      <c r="AF246" s="538"/>
      <c r="AG246" s="538"/>
      <c r="AH246" s="538"/>
      <c r="AI246" s="538"/>
      <c r="AJ246" s="538"/>
      <c r="AK246" s="538"/>
      <c r="AL246" s="538"/>
      <c r="AM246" s="538"/>
      <c r="AN246" s="538"/>
      <c r="AO246" s="538"/>
      <c r="AP246" s="538"/>
      <c r="AQ246" s="538"/>
      <c r="AR246" s="538"/>
      <c r="AS246" s="538"/>
      <c r="AT246" s="538"/>
      <c r="AU246" s="538"/>
      <c r="AV246" s="538"/>
      <c r="AW246" s="538"/>
      <c r="AX246" s="538"/>
      <c r="AY246" s="538"/>
      <c r="AZ246" s="538"/>
    </row>
    <row r="247" spans="1:52" s="471" customFormat="1">
      <c r="A247" s="465" t="s">
        <v>228</v>
      </c>
      <c r="B247" s="452" t="str">
        <f>VLOOKUP(A247,★新聞!$C$4:$D$12,2,FALSE)</f>
        <v>P</v>
      </c>
      <c r="C247" s="465" t="s">
        <v>978</v>
      </c>
      <c r="D247" s="452" t="str">
        <f>VLOOKUP(C247,★サイズ表記!$D$4:$E$55,2,FALSE)</f>
        <v>9004</v>
      </c>
      <c r="E247" s="484" t="str">
        <f t="shared" si="27"/>
        <v>P9004</v>
      </c>
      <c r="F247" s="484" t="str">
        <f t="shared" si="28"/>
        <v>産経/AD-BAG</v>
      </c>
      <c r="G247" s="483"/>
      <c r="I247" s="471" t="str">
        <f t="shared" si="32"/>
        <v>P9004</v>
      </c>
      <c r="J247" s="471" t="str">
        <f t="shared" si="29"/>
        <v>産経/AD-BAG</v>
      </c>
      <c r="M247" s="538"/>
      <c r="N247" s="533" t="s">
        <v>1324</v>
      </c>
      <c r="O247" s="533" t="s">
        <v>1325</v>
      </c>
      <c r="P247" s="534" t="str">
        <f t="shared" si="30"/>
        <v>9004</v>
      </c>
      <c r="Q247" s="534" t="str">
        <f t="shared" si="31"/>
        <v>AD-BAG</v>
      </c>
      <c r="R247" s="538" t="str">
        <f t="shared" si="33"/>
        <v>90</v>
      </c>
      <c r="S247" s="538" t="str">
        <f t="shared" si="34"/>
        <v>04</v>
      </c>
      <c r="T247" s="471" t="s">
        <v>1136</v>
      </c>
      <c r="U247" s="538"/>
      <c r="V247" s="538"/>
      <c r="W247" s="471">
        <v>0</v>
      </c>
      <c r="X247" s="540"/>
      <c r="Y247" s="471">
        <v>0</v>
      </c>
      <c r="Z247" s="538"/>
      <c r="AA247" s="538"/>
      <c r="AB247" s="538"/>
      <c r="AC247" s="538"/>
      <c r="AD247" s="538"/>
      <c r="AE247" s="538"/>
      <c r="AF247" s="538"/>
      <c r="AG247" s="538"/>
      <c r="AH247" s="538"/>
      <c r="AI247" s="538"/>
      <c r="AJ247" s="538"/>
      <c r="AK247" s="538"/>
      <c r="AL247" s="538"/>
      <c r="AM247" s="538"/>
      <c r="AN247" s="538"/>
      <c r="AO247" s="538"/>
      <c r="AP247" s="538"/>
      <c r="AQ247" s="538"/>
      <c r="AR247" s="538"/>
      <c r="AS247" s="538"/>
      <c r="AT247" s="538"/>
      <c r="AU247" s="538"/>
      <c r="AV247" s="538"/>
      <c r="AW247" s="538"/>
      <c r="AX247" s="538"/>
      <c r="AY247" s="538"/>
      <c r="AZ247" s="538"/>
    </row>
    <row r="248" spans="1:52" s="471" customFormat="1">
      <c r="A248" s="465" t="s">
        <v>228</v>
      </c>
      <c r="B248" s="452" t="str">
        <f>VLOOKUP(A248,★新聞!$C$4:$D$12,2,FALSE)</f>
        <v>P</v>
      </c>
      <c r="C248" s="465" t="s">
        <v>979</v>
      </c>
      <c r="D248" s="452" t="str">
        <f>VLOOKUP(C248,★サイズ表記!$D$4:$E$55,2,FALSE)</f>
        <v>9005</v>
      </c>
      <c r="E248" s="484" t="str">
        <f t="shared" si="27"/>
        <v>P9005</v>
      </c>
      <c r="F248" s="484" t="str">
        <f t="shared" si="28"/>
        <v>産経/封筒</v>
      </c>
      <c r="G248" s="483"/>
      <c r="I248" s="471" t="str">
        <f t="shared" si="32"/>
        <v>P9005</v>
      </c>
      <c r="J248" s="471" t="str">
        <f t="shared" si="29"/>
        <v>産経/封筒</v>
      </c>
      <c r="M248" s="538"/>
      <c r="N248" s="533" t="s">
        <v>1324</v>
      </c>
      <c r="O248" s="533" t="s">
        <v>1325</v>
      </c>
      <c r="P248" s="534" t="str">
        <f t="shared" si="30"/>
        <v>9005</v>
      </c>
      <c r="Q248" s="534" t="str">
        <f t="shared" si="31"/>
        <v>封筒</v>
      </c>
      <c r="R248" s="538" t="str">
        <f t="shared" si="33"/>
        <v>90</v>
      </c>
      <c r="S248" s="538" t="str">
        <f t="shared" si="34"/>
        <v>05</v>
      </c>
      <c r="T248" s="471" t="s">
        <v>1136</v>
      </c>
      <c r="U248" s="538"/>
      <c r="V248" s="538"/>
      <c r="W248" s="471">
        <v>0</v>
      </c>
      <c r="X248" s="540"/>
      <c r="Y248" s="471">
        <v>0</v>
      </c>
      <c r="Z248" s="538"/>
      <c r="AA248" s="538"/>
      <c r="AB248" s="538"/>
      <c r="AC248" s="538"/>
      <c r="AD248" s="538"/>
      <c r="AE248" s="538"/>
      <c r="AF248" s="538"/>
      <c r="AG248" s="538"/>
      <c r="AH248" s="538"/>
      <c r="AI248" s="538"/>
      <c r="AJ248" s="538"/>
      <c r="AK248" s="538"/>
      <c r="AL248" s="538"/>
      <c r="AM248" s="538"/>
      <c r="AN248" s="538"/>
      <c r="AO248" s="538"/>
      <c r="AP248" s="538"/>
      <c r="AQ248" s="538"/>
      <c r="AR248" s="538"/>
      <c r="AS248" s="538"/>
      <c r="AT248" s="538"/>
      <c r="AU248" s="538"/>
      <c r="AV248" s="538"/>
      <c r="AW248" s="538"/>
      <c r="AX248" s="538"/>
      <c r="AY248" s="538"/>
      <c r="AZ248" s="538"/>
    </row>
    <row r="249" spans="1:52" s="471" customFormat="1">
      <c r="A249" s="465" t="s">
        <v>228</v>
      </c>
      <c r="B249" s="452" t="str">
        <f>VLOOKUP(A249,★新聞!$C$4:$D$12,2,FALSE)</f>
        <v>P</v>
      </c>
      <c r="C249" s="465" t="s">
        <v>980</v>
      </c>
      <c r="D249" s="452" t="str">
        <f>VLOOKUP(C249,★サイズ表記!$D$4:$E$55,2,FALSE)</f>
        <v>9006</v>
      </c>
      <c r="E249" s="484" t="str">
        <f t="shared" si="27"/>
        <v>P9006</v>
      </c>
      <c r="F249" s="484" t="str">
        <f t="shared" si="28"/>
        <v>産経/圧着</v>
      </c>
      <c r="G249" s="483"/>
      <c r="I249" s="471" t="str">
        <f t="shared" si="32"/>
        <v>P9006</v>
      </c>
      <c r="J249" s="471" t="str">
        <f t="shared" si="29"/>
        <v>産経/圧着</v>
      </c>
      <c r="M249" s="538"/>
      <c r="N249" s="533" t="s">
        <v>1324</v>
      </c>
      <c r="O249" s="533" t="s">
        <v>1325</v>
      </c>
      <c r="P249" s="534" t="str">
        <f t="shared" si="30"/>
        <v>9006</v>
      </c>
      <c r="Q249" s="534" t="str">
        <f t="shared" si="31"/>
        <v>圧着</v>
      </c>
      <c r="R249" s="538" t="str">
        <f t="shared" si="33"/>
        <v>90</v>
      </c>
      <c r="S249" s="538" t="str">
        <f t="shared" si="34"/>
        <v>06</v>
      </c>
      <c r="T249" s="471" t="s">
        <v>1136</v>
      </c>
      <c r="U249" s="538"/>
      <c r="V249" s="538"/>
      <c r="W249" s="471">
        <v>0</v>
      </c>
      <c r="X249" s="540"/>
      <c r="Y249" s="471">
        <v>0</v>
      </c>
      <c r="Z249" s="538"/>
      <c r="AA249" s="538"/>
      <c r="AB249" s="538"/>
      <c r="AC249" s="538"/>
      <c r="AD249" s="538"/>
      <c r="AE249" s="538"/>
      <c r="AF249" s="538"/>
      <c r="AG249" s="538"/>
      <c r="AH249" s="538"/>
      <c r="AI249" s="538"/>
      <c r="AJ249" s="538"/>
      <c r="AK249" s="538"/>
      <c r="AL249" s="538"/>
      <c r="AM249" s="538"/>
      <c r="AN249" s="538"/>
      <c r="AO249" s="538"/>
      <c r="AP249" s="538"/>
      <c r="AQ249" s="538"/>
      <c r="AR249" s="538"/>
      <c r="AS249" s="538"/>
      <c r="AT249" s="538"/>
      <c r="AU249" s="538"/>
      <c r="AV249" s="538"/>
      <c r="AW249" s="538"/>
      <c r="AX249" s="538"/>
      <c r="AY249" s="538"/>
      <c r="AZ249" s="538"/>
    </row>
    <row r="250" spans="1:52" s="471" customFormat="1">
      <c r="A250" s="465" t="s">
        <v>228</v>
      </c>
      <c r="B250" s="452" t="str">
        <f>VLOOKUP(A250,★新聞!$C$4:$D$12,2,FALSE)</f>
        <v>P</v>
      </c>
      <c r="C250" s="465" t="s">
        <v>981</v>
      </c>
      <c r="D250" s="452" t="str">
        <f>VLOOKUP(C250,★サイズ表記!$D$4:$E$55,2,FALSE)</f>
        <v>9007</v>
      </c>
      <c r="E250" s="484" t="str">
        <f t="shared" si="27"/>
        <v>P9007</v>
      </c>
      <c r="F250" s="484" t="str">
        <f t="shared" si="28"/>
        <v>産経/圧着厚紙</v>
      </c>
      <c r="G250" s="483"/>
      <c r="I250" s="471" t="str">
        <f t="shared" si="32"/>
        <v>P9007</v>
      </c>
      <c r="J250" s="471" t="str">
        <f t="shared" si="29"/>
        <v>産経/圧着厚紙</v>
      </c>
      <c r="M250" s="538"/>
      <c r="N250" s="533" t="s">
        <v>1324</v>
      </c>
      <c r="O250" s="533" t="s">
        <v>1325</v>
      </c>
      <c r="P250" s="534" t="str">
        <f t="shared" si="30"/>
        <v>9007</v>
      </c>
      <c r="Q250" s="534" t="str">
        <f t="shared" si="31"/>
        <v>圧着厚紙</v>
      </c>
      <c r="R250" s="538" t="str">
        <f t="shared" si="33"/>
        <v>90</v>
      </c>
      <c r="S250" s="538" t="str">
        <f t="shared" si="34"/>
        <v>07</v>
      </c>
      <c r="T250" s="471" t="s">
        <v>1136</v>
      </c>
      <c r="U250" s="538"/>
      <c r="V250" s="538"/>
      <c r="W250" s="471">
        <v>0</v>
      </c>
      <c r="X250" s="540"/>
      <c r="Y250" s="471">
        <v>0</v>
      </c>
      <c r="Z250" s="538"/>
      <c r="AA250" s="538"/>
      <c r="AB250" s="538"/>
      <c r="AC250" s="538"/>
      <c r="AD250" s="538"/>
      <c r="AE250" s="538"/>
      <c r="AF250" s="538"/>
      <c r="AG250" s="538"/>
      <c r="AH250" s="538"/>
      <c r="AI250" s="538"/>
      <c r="AJ250" s="538"/>
      <c r="AK250" s="538"/>
      <c r="AL250" s="538"/>
      <c r="AM250" s="538"/>
      <c r="AN250" s="538"/>
      <c r="AO250" s="538"/>
      <c r="AP250" s="538"/>
      <c r="AQ250" s="538"/>
      <c r="AR250" s="538"/>
      <c r="AS250" s="538"/>
      <c r="AT250" s="538"/>
      <c r="AU250" s="538"/>
      <c r="AV250" s="538"/>
      <c r="AW250" s="538"/>
      <c r="AX250" s="538"/>
      <c r="AY250" s="538"/>
      <c r="AZ250" s="538"/>
    </row>
    <row r="251" spans="1:52">
      <c r="A251" s="465" t="s">
        <v>10</v>
      </c>
      <c r="B251" s="452" t="str">
        <f>VLOOKUP(A251,★新聞!$C$4:$D$12,2,FALSE)</f>
        <v>S</v>
      </c>
      <c r="C251" s="465" t="s">
        <v>948</v>
      </c>
      <c r="D251" s="452" t="str">
        <f>VLOOKUP(C251,★サイズ表記!$D$4:$E$55,2,FALSE)</f>
        <v>1001</v>
      </c>
      <c r="E251" s="484" t="str">
        <f t="shared" si="27"/>
        <v>S1001</v>
      </c>
      <c r="F251" s="484" t="str">
        <f t="shared" si="28"/>
        <v>山陰中央/B4（折り無し）</v>
      </c>
      <c r="I251" s="471" t="str">
        <f>E251</f>
        <v>S1001</v>
      </c>
      <c r="J251" s="471" t="str">
        <f t="shared" si="29"/>
        <v>山陰中央/B4（折り無し）</v>
      </c>
      <c r="N251" s="533" t="s">
        <v>1324</v>
      </c>
      <c r="O251" s="533" t="s">
        <v>1325</v>
      </c>
      <c r="P251" s="534" t="str">
        <f t="shared" si="30"/>
        <v>1001</v>
      </c>
      <c r="Q251" s="534" t="str">
        <f t="shared" si="31"/>
        <v>B4（折り無し）</v>
      </c>
      <c r="R251" s="538" t="str">
        <f>LEFT($D251,2)</f>
        <v>10</v>
      </c>
      <c r="S251" s="538" t="str">
        <f>RIGHT($D251,2)</f>
        <v>01</v>
      </c>
      <c r="T251" s="471" t="s">
        <v>1136</v>
      </c>
      <c r="W251" s="471">
        <v>0</v>
      </c>
      <c r="X251" s="540"/>
      <c r="Y251" s="471">
        <v>0</v>
      </c>
    </row>
    <row r="252" spans="1:52">
      <c r="A252" s="465" t="s">
        <v>10</v>
      </c>
      <c r="B252" s="452" t="str">
        <f>VLOOKUP(A252,★新聞!$C$4:$D$12,2,FALSE)</f>
        <v>S</v>
      </c>
      <c r="C252" s="465" t="s">
        <v>950</v>
      </c>
      <c r="D252" s="452" t="str">
        <f>VLOOKUP(C252,★サイズ表記!$D$4:$E$55,2,FALSE)</f>
        <v>1002</v>
      </c>
      <c r="E252" s="484" t="str">
        <f t="shared" si="27"/>
        <v>S1002</v>
      </c>
      <c r="F252" s="484" t="str">
        <f t="shared" si="28"/>
        <v>山陰中央/B3（2つ折り）</v>
      </c>
      <c r="I252" s="471" t="str">
        <f t="shared" ref="I252:I299" si="35">E252</f>
        <v>S1002</v>
      </c>
      <c r="J252" s="471" t="str">
        <f t="shared" si="29"/>
        <v>山陰中央/B3（2つ折り）</v>
      </c>
      <c r="N252" s="533" t="s">
        <v>1324</v>
      </c>
      <c r="O252" s="533" t="s">
        <v>1325</v>
      </c>
      <c r="P252" s="534" t="str">
        <f t="shared" si="30"/>
        <v>1002</v>
      </c>
      <c r="Q252" s="534" t="str">
        <f t="shared" si="31"/>
        <v>B3（2つ折り）</v>
      </c>
      <c r="R252" s="538" t="str">
        <f t="shared" si="33"/>
        <v>10</v>
      </c>
      <c r="S252" s="538" t="str">
        <f t="shared" si="34"/>
        <v>02</v>
      </c>
      <c r="T252" s="471" t="s">
        <v>1136</v>
      </c>
      <c r="W252" s="471">
        <v>0</v>
      </c>
      <c r="X252" s="540"/>
      <c r="Y252" s="471">
        <v>0</v>
      </c>
    </row>
    <row r="253" spans="1:52">
      <c r="A253" s="465" t="s">
        <v>10</v>
      </c>
      <c r="B253" s="452" t="str">
        <f>VLOOKUP(A253,★新聞!$C$4:$D$12,2,FALSE)</f>
        <v>S</v>
      </c>
      <c r="C253" s="465" t="s">
        <v>951</v>
      </c>
      <c r="D253" s="452" t="str">
        <f>VLOOKUP(C253,★サイズ表記!$D$4:$E$55,2,FALSE)</f>
        <v>1003</v>
      </c>
      <c r="E253" s="484" t="str">
        <f t="shared" si="27"/>
        <v>S1003</v>
      </c>
      <c r="F253" s="484" t="str">
        <f t="shared" si="28"/>
        <v>山陰中央/3つ折り</v>
      </c>
      <c r="I253" s="471" t="str">
        <f t="shared" si="35"/>
        <v>S1003</v>
      </c>
      <c r="J253" s="471" t="str">
        <f t="shared" si="29"/>
        <v>山陰中央/3つ折り</v>
      </c>
      <c r="N253" s="533" t="s">
        <v>1324</v>
      </c>
      <c r="O253" s="533" t="s">
        <v>1325</v>
      </c>
      <c r="P253" s="534" t="str">
        <f t="shared" si="30"/>
        <v>1003</v>
      </c>
      <c r="Q253" s="534" t="str">
        <f t="shared" si="31"/>
        <v>3つ折り</v>
      </c>
      <c r="R253" s="538" t="str">
        <f t="shared" si="33"/>
        <v>10</v>
      </c>
      <c r="S253" s="538" t="str">
        <f t="shared" si="34"/>
        <v>03</v>
      </c>
      <c r="T253" s="471" t="s">
        <v>1136</v>
      </c>
      <c r="W253" s="471">
        <v>0</v>
      </c>
      <c r="X253" s="540"/>
      <c r="Y253" s="471">
        <v>0</v>
      </c>
    </row>
    <row r="254" spans="1:52">
      <c r="A254" s="465" t="s">
        <v>10</v>
      </c>
      <c r="B254" s="452" t="str">
        <f>VLOOKUP(A254,★新聞!$C$4:$D$12,2,FALSE)</f>
        <v>S</v>
      </c>
      <c r="C254" s="465" t="s">
        <v>947</v>
      </c>
      <c r="D254" s="452" t="str">
        <f>VLOOKUP(C254,★サイズ表記!$D$4:$E$55,2,FALSE)</f>
        <v>1004</v>
      </c>
      <c r="E254" s="484" t="str">
        <f t="shared" si="27"/>
        <v>S1004</v>
      </c>
      <c r="F254" s="484" t="str">
        <f t="shared" si="28"/>
        <v>山陰中央/観音折</v>
      </c>
      <c r="I254" s="471" t="str">
        <f t="shared" si="35"/>
        <v>S1004</v>
      </c>
      <c r="J254" s="471" t="str">
        <f t="shared" si="29"/>
        <v>山陰中央/観音折</v>
      </c>
      <c r="N254" s="533" t="s">
        <v>1324</v>
      </c>
      <c r="O254" s="533" t="s">
        <v>1325</v>
      </c>
      <c r="P254" s="534" t="str">
        <f t="shared" si="30"/>
        <v>1004</v>
      </c>
      <c r="Q254" s="534" t="str">
        <f t="shared" si="31"/>
        <v>観音折</v>
      </c>
      <c r="R254" s="538" t="str">
        <f t="shared" si="33"/>
        <v>10</v>
      </c>
      <c r="S254" s="538" t="str">
        <f t="shared" si="34"/>
        <v>04</v>
      </c>
      <c r="T254" s="471" t="s">
        <v>1136</v>
      </c>
      <c r="W254" s="471">
        <v>0</v>
      </c>
      <c r="X254" s="540"/>
      <c r="Y254" s="471">
        <v>0</v>
      </c>
    </row>
    <row r="255" spans="1:52">
      <c r="A255" s="465" t="s">
        <v>10</v>
      </c>
      <c r="B255" s="452" t="str">
        <f>VLOOKUP(A255,★新聞!$C$4:$D$12,2,FALSE)</f>
        <v>S</v>
      </c>
      <c r="C255" s="465" t="s">
        <v>952</v>
      </c>
      <c r="D255" s="452" t="str">
        <f>VLOOKUP(C255,★サイズ表記!$D$4:$E$55,2,FALSE)</f>
        <v>1005</v>
      </c>
      <c r="E255" s="484" t="str">
        <f t="shared" si="27"/>
        <v>S1005</v>
      </c>
      <c r="F255" s="484" t="str">
        <f t="shared" si="28"/>
        <v>山陰中央/B2（4つ折り）</v>
      </c>
      <c r="I255" s="471" t="str">
        <f t="shared" si="35"/>
        <v>S1005</v>
      </c>
      <c r="J255" s="471" t="str">
        <f t="shared" si="29"/>
        <v>山陰中央/B2（4つ折り）</v>
      </c>
      <c r="N255" s="533" t="s">
        <v>1324</v>
      </c>
      <c r="O255" s="533" t="s">
        <v>1325</v>
      </c>
      <c r="P255" s="534" t="str">
        <f t="shared" si="30"/>
        <v>1005</v>
      </c>
      <c r="Q255" s="534" t="str">
        <f t="shared" si="31"/>
        <v>B2（4つ折り）</v>
      </c>
      <c r="R255" s="538" t="str">
        <f t="shared" si="33"/>
        <v>10</v>
      </c>
      <c r="S255" s="538" t="str">
        <f t="shared" si="34"/>
        <v>05</v>
      </c>
      <c r="T255" s="471" t="s">
        <v>1136</v>
      </c>
      <c r="W255" s="471">
        <v>0</v>
      </c>
      <c r="X255" s="540"/>
      <c r="Y255" s="471">
        <v>0</v>
      </c>
    </row>
    <row r="256" spans="1:52">
      <c r="A256" s="465" t="s">
        <v>10</v>
      </c>
      <c r="B256" s="452" t="str">
        <f>VLOOKUP(A256,★新聞!$C$4:$D$12,2,FALSE)</f>
        <v>S</v>
      </c>
      <c r="C256" s="465" t="s">
        <v>955</v>
      </c>
      <c r="D256" s="452" t="str">
        <f>VLOOKUP(C256,★サイズ表記!$D$4:$E$55,2,FALSE)</f>
        <v>1006</v>
      </c>
      <c r="E256" s="484" t="str">
        <f t="shared" si="27"/>
        <v>S1006</v>
      </c>
      <c r="F256" s="484" t="str">
        <f t="shared" si="28"/>
        <v>山陰中央/B1（8折り）</v>
      </c>
      <c r="I256" s="471" t="str">
        <f t="shared" si="35"/>
        <v>S1006</v>
      </c>
      <c r="J256" s="471" t="str">
        <f t="shared" si="29"/>
        <v>山陰中央/B1（8折り）</v>
      </c>
      <c r="N256" s="533" t="s">
        <v>1324</v>
      </c>
      <c r="O256" s="533" t="s">
        <v>1325</v>
      </c>
      <c r="P256" s="534" t="str">
        <f t="shared" si="30"/>
        <v>1006</v>
      </c>
      <c r="Q256" s="534" t="str">
        <f t="shared" si="31"/>
        <v>B1（8折り）</v>
      </c>
      <c r="R256" s="538" t="str">
        <f t="shared" si="33"/>
        <v>10</v>
      </c>
      <c r="S256" s="538" t="str">
        <f t="shared" si="34"/>
        <v>06</v>
      </c>
      <c r="T256" s="471" t="s">
        <v>1136</v>
      </c>
      <c r="W256" s="471">
        <v>0</v>
      </c>
      <c r="X256" s="540"/>
      <c r="Y256" s="471">
        <v>0</v>
      </c>
    </row>
    <row r="257" spans="1:52">
      <c r="A257" s="465" t="s">
        <v>10</v>
      </c>
      <c r="B257" s="452" t="str">
        <f>VLOOKUP(A257,★新聞!$C$4:$D$12,2,FALSE)</f>
        <v>S</v>
      </c>
      <c r="C257" s="465" t="s">
        <v>956</v>
      </c>
      <c r="D257" s="452" t="str">
        <f>VLOOKUP(C257,★サイズ表記!$D$4:$E$55,2,FALSE)</f>
        <v>1007</v>
      </c>
      <c r="E257" s="484" t="str">
        <f t="shared" si="27"/>
        <v>S1007</v>
      </c>
      <c r="F257" s="484" t="str">
        <f t="shared" si="28"/>
        <v>山陰中央/B4厚紙</v>
      </c>
      <c r="I257" s="471" t="str">
        <f t="shared" si="35"/>
        <v>S1007</v>
      </c>
      <c r="J257" s="471" t="str">
        <f t="shared" si="29"/>
        <v>山陰中央/B4厚紙</v>
      </c>
      <c r="N257" s="533" t="s">
        <v>1324</v>
      </c>
      <c r="O257" s="533" t="s">
        <v>1325</v>
      </c>
      <c r="P257" s="534" t="str">
        <f t="shared" si="30"/>
        <v>1007</v>
      </c>
      <c r="Q257" s="534" t="str">
        <f t="shared" si="31"/>
        <v>B4厚紙</v>
      </c>
      <c r="R257" s="538" t="str">
        <f t="shared" si="33"/>
        <v>10</v>
      </c>
      <c r="S257" s="538" t="str">
        <f t="shared" si="34"/>
        <v>07</v>
      </c>
      <c r="T257" s="471" t="s">
        <v>1136</v>
      </c>
      <c r="W257" s="471">
        <v>0</v>
      </c>
      <c r="X257" s="540"/>
      <c r="Y257" s="471">
        <v>0</v>
      </c>
    </row>
    <row r="258" spans="1:52">
      <c r="A258" s="465" t="s">
        <v>10</v>
      </c>
      <c r="B258" s="452" t="str">
        <f>VLOOKUP(A258,★新聞!$C$4:$D$12,2,FALSE)</f>
        <v>S</v>
      </c>
      <c r="C258" s="465" t="s">
        <v>957</v>
      </c>
      <c r="D258" s="452" t="str">
        <f>VLOOKUP(C258,★サイズ表記!$D$4:$E$55,2,FALSE)</f>
        <v>1008</v>
      </c>
      <c r="E258" s="484" t="str">
        <f t="shared" si="27"/>
        <v>S1008</v>
      </c>
      <c r="F258" s="484" t="str">
        <f t="shared" si="28"/>
        <v>山陰中央/B3厚紙</v>
      </c>
      <c r="I258" s="471" t="str">
        <f t="shared" si="35"/>
        <v>S1008</v>
      </c>
      <c r="J258" s="471" t="str">
        <f t="shared" si="29"/>
        <v>山陰中央/B3厚紙</v>
      </c>
      <c r="N258" s="533" t="s">
        <v>1324</v>
      </c>
      <c r="O258" s="533" t="s">
        <v>1325</v>
      </c>
      <c r="P258" s="534" t="str">
        <f t="shared" si="30"/>
        <v>1008</v>
      </c>
      <c r="Q258" s="534" t="str">
        <f t="shared" si="31"/>
        <v>B3厚紙</v>
      </c>
      <c r="R258" s="538" t="str">
        <f t="shared" si="33"/>
        <v>10</v>
      </c>
      <c r="S258" s="538" t="str">
        <f t="shared" si="34"/>
        <v>08</v>
      </c>
      <c r="T258" s="471" t="s">
        <v>1136</v>
      </c>
      <c r="W258" s="471">
        <v>0</v>
      </c>
      <c r="X258" s="540"/>
      <c r="Y258" s="471">
        <v>0</v>
      </c>
    </row>
    <row r="259" spans="1:52">
      <c r="A259" s="465" t="s">
        <v>10</v>
      </c>
      <c r="B259" s="452" t="str">
        <f>VLOOKUP(A259,★新聞!$C$4:$D$12,2,FALSE)</f>
        <v>S</v>
      </c>
      <c r="C259" s="465" t="s">
        <v>958</v>
      </c>
      <c r="D259" s="452" t="str">
        <f>VLOOKUP(C259,★サイズ表記!$D$4:$E$55,2,FALSE)</f>
        <v>1009</v>
      </c>
      <c r="E259" s="484" t="str">
        <f t="shared" si="27"/>
        <v>S1009</v>
      </c>
      <c r="F259" s="484" t="str">
        <f t="shared" si="28"/>
        <v>山陰中央/B2厚紙</v>
      </c>
      <c r="I259" s="471" t="str">
        <f t="shared" si="35"/>
        <v>S1009</v>
      </c>
      <c r="J259" s="471" t="str">
        <f t="shared" si="29"/>
        <v>山陰中央/B2厚紙</v>
      </c>
      <c r="N259" s="533" t="s">
        <v>1324</v>
      </c>
      <c r="O259" s="533" t="s">
        <v>1325</v>
      </c>
      <c r="P259" s="534" t="str">
        <f t="shared" si="30"/>
        <v>1009</v>
      </c>
      <c r="Q259" s="534" t="str">
        <f t="shared" si="31"/>
        <v>B2厚紙</v>
      </c>
      <c r="R259" s="538" t="str">
        <f t="shared" si="33"/>
        <v>10</v>
      </c>
      <c r="S259" s="538" t="str">
        <f t="shared" si="34"/>
        <v>09</v>
      </c>
      <c r="T259" s="471" t="s">
        <v>1136</v>
      </c>
      <c r="W259" s="471">
        <v>0</v>
      </c>
      <c r="X259" s="540"/>
      <c r="Y259" s="471">
        <v>0</v>
      </c>
    </row>
    <row r="260" spans="1:52">
      <c r="A260" s="465" t="s">
        <v>10</v>
      </c>
      <c r="B260" s="452" t="str">
        <f>VLOOKUP(A260,★新聞!$C$4:$D$12,2,FALSE)</f>
        <v>S</v>
      </c>
      <c r="C260" s="465" t="s">
        <v>959</v>
      </c>
      <c r="D260" s="452" t="str">
        <f>VLOOKUP(C260,★サイズ表記!$D$4:$E$55,2,FALSE)</f>
        <v>1010</v>
      </c>
      <c r="E260" s="484" t="str">
        <f t="shared" si="27"/>
        <v>S1010</v>
      </c>
      <c r="F260" s="484" t="str">
        <f t="shared" si="28"/>
        <v>山陰中央/B4以下変形</v>
      </c>
      <c r="I260" s="471" t="str">
        <f t="shared" si="35"/>
        <v>S1010</v>
      </c>
      <c r="J260" s="471" t="str">
        <f t="shared" si="29"/>
        <v>山陰中央/B4以下変形</v>
      </c>
      <c r="N260" s="533" t="s">
        <v>1324</v>
      </c>
      <c r="O260" s="533" t="s">
        <v>1325</v>
      </c>
      <c r="P260" s="534" t="str">
        <f t="shared" si="30"/>
        <v>1010</v>
      </c>
      <c r="Q260" s="534" t="str">
        <f t="shared" si="31"/>
        <v>B4以下変形</v>
      </c>
      <c r="R260" s="538" t="str">
        <f t="shared" si="33"/>
        <v>10</v>
      </c>
      <c r="S260" s="538" t="str">
        <f t="shared" si="34"/>
        <v>10</v>
      </c>
      <c r="T260" s="471" t="s">
        <v>1136</v>
      </c>
      <c r="W260" s="471">
        <v>0</v>
      </c>
      <c r="X260" s="540"/>
      <c r="Y260" s="471">
        <v>0</v>
      </c>
    </row>
    <row r="261" spans="1:52">
      <c r="A261" s="465" t="s">
        <v>10</v>
      </c>
      <c r="B261" s="452" t="str">
        <f>VLOOKUP(A261,★新聞!$C$4:$D$12,2,FALSE)</f>
        <v>S</v>
      </c>
      <c r="C261" s="465" t="s">
        <v>960</v>
      </c>
      <c r="D261" s="452" t="str">
        <f>VLOOKUP(C261,★サイズ表記!$D$4:$E$55,2,FALSE)</f>
        <v>1011</v>
      </c>
      <c r="E261" s="484" t="str">
        <f t="shared" si="27"/>
        <v>S1011</v>
      </c>
      <c r="F261" s="484" t="str">
        <f t="shared" si="28"/>
        <v>山陰中央/B4シール付き</v>
      </c>
      <c r="I261" s="471" t="str">
        <f t="shared" si="35"/>
        <v>S1011</v>
      </c>
      <c r="J261" s="471" t="str">
        <f t="shared" si="29"/>
        <v>山陰中央/B4シール付き</v>
      </c>
      <c r="N261" s="533" t="s">
        <v>1324</v>
      </c>
      <c r="O261" s="533" t="s">
        <v>1325</v>
      </c>
      <c r="P261" s="534" t="str">
        <f t="shared" si="30"/>
        <v>1011</v>
      </c>
      <c r="Q261" s="534" t="str">
        <f t="shared" si="31"/>
        <v>B4シール付き</v>
      </c>
      <c r="R261" s="538" t="str">
        <f t="shared" si="33"/>
        <v>10</v>
      </c>
      <c r="S261" s="538" t="str">
        <f t="shared" si="34"/>
        <v>11</v>
      </c>
      <c r="T261" s="471" t="s">
        <v>1136</v>
      </c>
      <c r="W261" s="471">
        <v>0</v>
      </c>
      <c r="X261" s="540"/>
      <c r="Y261" s="471">
        <v>0</v>
      </c>
    </row>
    <row r="262" spans="1:52" s="471" customFormat="1">
      <c r="A262" s="465" t="s">
        <v>10</v>
      </c>
      <c r="B262" s="452" t="str">
        <f>VLOOKUP(A262,★新聞!$C$4:$D$12,2,FALSE)</f>
        <v>S</v>
      </c>
      <c r="C262" s="465" t="s">
        <v>961</v>
      </c>
      <c r="D262" s="452" t="str">
        <f>VLOOKUP(C262,★サイズ表記!$D$4:$E$55,2,FALSE)</f>
        <v>1012</v>
      </c>
      <c r="E262" s="484" t="str">
        <f t="shared" ref="E262:E325" si="36">CONCATENATE(B262,D262)</f>
        <v>S1012</v>
      </c>
      <c r="F262" s="484" t="str">
        <f t="shared" si="28"/>
        <v>山陰中央/B3シール付き</v>
      </c>
      <c r="G262" s="483"/>
      <c r="I262" s="471" t="str">
        <f t="shared" si="35"/>
        <v>S1012</v>
      </c>
      <c r="J262" s="471" t="str">
        <f t="shared" si="29"/>
        <v>山陰中央/B3シール付き</v>
      </c>
      <c r="M262" s="538"/>
      <c r="N262" s="533" t="s">
        <v>1324</v>
      </c>
      <c r="O262" s="533" t="s">
        <v>1325</v>
      </c>
      <c r="P262" s="534" t="str">
        <f t="shared" si="30"/>
        <v>1012</v>
      </c>
      <c r="Q262" s="534" t="str">
        <f t="shared" si="31"/>
        <v>B3シール付き</v>
      </c>
      <c r="R262" s="538" t="str">
        <f t="shared" si="33"/>
        <v>10</v>
      </c>
      <c r="S262" s="538" t="str">
        <f t="shared" si="34"/>
        <v>12</v>
      </c>
      <c r="T262" s="471" t="s">
        <v>1136</v>
      </c>
      <c r="U262" s="538"/>
      <c r="V262" s="538"/>
      <c r="W262" s="471">
        <v>0</v>
      </c>
      <c r="X262" s="540"/>
      <c r="Y262" s="471">
        <v>0</v>
      </c>
      <c r="Z262" s="538"/>
      <c r="AA262" s="538"/>
      <c r="AB262" s="538"/>
      <c r="AC262" s="538"/>
      <c r="AD262" s="538"/>
      <c r="AE262" s="538"/>
      <c r="AF262" s="538"/>
      <c r="AG262" s="538"/>
      <c r="AH262" s="538"/>
      <c r="AI262" s="538"/>
      <c r="AJ262" s="538"/>
      <c r="AK262" s="538"/>
      <c r="AL262" s="538"/>
      <c r="AM262" s="538"/>
      <c r="AN262" s="538"/>
      <c r="AO262" s="538"/>
      <c r="AP262" s="538"/>
      <c r="AQ262" s="538"/>
      <c r="AR262" s="538"/>
      <c r="AS262" s="538"/>
      <c r="AT262" s="538"/>
      <c r="AU262" s="538"/>
      <c r="AV262" s="538"/>
      <c r="AW262" s="538"/>
      <c r="AX262" s="538"/>
      <c r="AY262" s="538"/>
      <c r="AZ262" s="538"/>
    </row>
    <row r="263" spans="1:52" s="471" customFormat="1">
      <c r="A263" s="465" t="s">
        <v>10</v>
      </c>
      <c r="B263" s="452" t="str">
        <f>VLOOKUP(A263,★新聞!$C$4:$D$12,2,FALSE)</f>
        <v>S</v>
      </c>
      <c r="C263" s="465" t="s">
        <v>962</v>
      </c>
      <c r="D263" s="452" t="str">
        <f>VLOOKUP(C263,★サイズ表記!$D$4:$E$55,2,FALSE)</f>
        <v>1013</v>
      </c>
      <c r="E263" s="484" t="str">
        <f t="shared" si="36"/>
        <v>S1013</v>
      </c>
      <c r="F263" s="484" t="str">
        <f t="shared" ref="F263:F326" si="37">CONCATENATE($A263,"/",$C263)</f>
        <v>山陰中央/B4スクラッチ付き</v>
      </c>
      <c r="G263" s="483"/>
      <c r="I263" s="471" t="str">
        <f t="shared" si="35"/>
        <v>S1013</v>
      </c>
      <c r="J263" s="471" t="str">
        <f t="shared" ref="J263:J326" si="38">F263</f>
        <v>山陰中央/B4スクラッチ付き</v>
      </c>
      <c r="M263" s="538"/>
      <c r="N263" s="533" t="s">
        <v>1324</v>
      </c>
      <c r="O263" s="533" t="s">
        <v>1325</v>
      </c>
      <c r="P263" s="534" t="str">
        <f t="shared" ref="P263:P326" si="39">D263</f>
        <v>1013</v>
      </c>
      <c r="Q263" s="534" t="str">
        <f t="shared" ref="Q263:Q326" si="40">C263</f>
        <v>B4スクラッチ付き</v>
      </c>
      <c r="R263" s="538" t="str">
        <f t="shared" si="33"/>
        <v>10</v>
      </c>
      <c r="S263" s="538" t="str">
        <f t="shared" si="34"/>
        <v>13</v>
      </c>
      <c r="T263" s="471" t="s">
        <v>1136</v>
      </c>
      <c r="U263" s="538"/>
      <c r="V263" s="538"/>
      <c r="W263" s="471">
        <v>0</v>
      </c>
      <c r="X263" s="540"/>
      <c r="Y263" s="471">
        <v>0</v>
      </c>
      <c r="Z263" s="538"/>
      <c r="AA263" s="538"/>
      <c r="AB263" s="538"/>
      <c r="AC263" s="538"/>
      <c r="AD263" s="538"/>
      <c r="AE263" s="538"/>
      <c r="AF263" s="538"/>
      <c r="AG263" s="538"/>
      <c r="AH263" s="538"/>
      <c r="AI263" s="538"/>
      <c r="AJ263" s="538"/>
      <c r="AK263" s="538"/>
      <c r="AL263" s="538"/>
      <c r="AM263" s="538"/>
      <c r="AN263" s="538"/>
      <c r="AO263" s="538"/>
      <c r="AP263" s="538"/>
      <c r="AQ263" s="538"/>
      <c r="AR263" s="538"/>
      <c r="AS263" s="538"/>
      <c r="AT263" s="538"/>
      <c r="AU263" s="538"/>
      <c r="AV263" s="538"/>
      <c r="AW263" s="538"/>
      <c r="AX263" s="538"/>
      <c r="AY263" s="538"/>
      <c r="AZ263" s="538"/>
    </row>
    <row r="264" spans="1:52" s="471" customFormat="1">
      <c r="A264" s="465" t="s">
        <v>10</v>
      </c>
      <c r="B264" s="452" t="str">
        <f>VLOOKUP(A264,★新聞!$C$4:$D$12,2,FALSE)</f>
        <v>S</v>
      </c>
      <c r="C264" s="465" t="s">
        <v>963</v>
      </c>
      <c r="D264" s="452" t="str">
        <f>VLOOKUP(C264,★サイズ表記!$D$4:$E$55,2,FALSE)</f>
        <v>2001</v>
      </c>
      <c r="E264" s="484" t="str">
        <f t="shared" si="36"/>
        <v>S2001</v>
      </c>
      <c r="F264" s="484" t="str">
        <f t="shared" si="37"/>
        <v>山陰中央/連合B4</v>
      </c>
      <c r="G264" s="483"/>
      <c r="I264" s="471" t="str">
        <f t="shared" si="35"/>
        <v>S2001</v>
      </c>
      <c r="J264" s="471" t="str">
        <f t="shared" si="38"/>
        <v>山陰中央/連合B4</v>
      </c>
      <c r="M264" s="538"/>
      <c r="N264" s="533" t="s">
        <v>1324</v>
      </c>
      <c r="O264" s="533" t="s">
        <v>1325</v>
      </c>
      <c r="P264" s="534" t="str">
        <f t="shared" si="39"/>
        <v>2001</v>
      </c>
      <c r="Q264" s="534" t="str">
        <f t="shared" si="40"/>
        <v>連合B4</v>
      </c>
      <c r="R264" s="538" t="str">
        <f t="shared" si="33"/>
        <v>20</v>
      </c>
      <c r="S264" s="538" t="str">
        <f t="shared" si="34"/>
        <v>01</v>
      </c>
      <c r="T264" s="471" t="s">
        <v>1136</v>
      </c>
      <c r="U264" s="538"/>
      <c r="V264" s="538"/>
      <c r="W264" s="471">
        <v>0</v>
      </c>
      <c r="X264" s="540"/>
      <c r="Y264" s="471">
        <v>0</v>
      </c>
      <c r="Z264" s="538"/>
      <c r="AA264" s="538"/>
      <c r="AB264" s="538"/>
      <c r="AC264" s="538"/>
      <c r="AD264" s="538"/>
      <c r="AE264" s="538"/>
      <c r="AF264" s="538"/>
      <c r="AG264" s="538"/>
      <c r="AH264" s="538"/>
      <c r="AI264" s="538"/>
      <c r="AJ264" s="538"/>
      <c r="AK264" s="538"/>
      <c r="AL264" s="538"/>
      <c r="AM264" s="538"/>
      <c r="AN264" s="538"/>
      <c r="AO264" s="538"/>
      <c r="AP264" s="538"/>
      <c r="AQ264" s="538"/>
      <c r="AR264" s="538"/>
      <c r="AS264" s="538"/>
      <c r="AT264" s="538"/>
      <c r="AU264" s="538"/>
      <c r="AV264" s="538"/>
      <c r="AW264" s="538"/>
      <c r="AX264" s="538"/>
      <c r="AY264" s="538"/>
      <c r="AZ264" s="538"/>
    </row>
    <row r="265" spans="1:52" s="471" customFormat="1">
      <c r="A265" s="465" t="s">
        <v>10</v>
      </c>
      <c r="B265" s="452" t="str">
        <f>VLOOKUP(A265,★新聞!$C$4:$D$12,2,FALSE)</f>
        <v>S</v>
      </c>
      <c r="C265" s="465" t="s">
        <v>964</v>
      </c>
      <c r="D265" s="452" t="str">
        <f>VLOOKUP(C265,★サイズ表記!$D$4:$E$55,2,FALSE)</f>
        <v>2002</v>
      </c>
      <c r="E265" s="484" t="str">
        <f t="shared" si="36"/>
        <v>S2002</v>
      </c>
      <c r="F265" s="484" t="str">
        <f t="shared" si="37"/>
        <v>山陰中央/連合B3</v>
      </c>
      <c r="G265" s="483"/>
      <c r="I265" s="471" t="str">
        <f t="shared" si="35"/>
        <v>S2002</v>
      </c>
      <c r="J265" s="471" t="str">
        <f t="shared" si="38"/>
        <v>山陰中央/連合B3</v>
      </c>
      <c r="M265" s="538"/>
      <c r="N265" s="533" t="s">
        <v>1324</v>
      </c>
      <c r="O265" s="533" t="s">
        <v>1325</v>
      </c>
      <c r="P265" s="534" t="str">
        <f t="shared" si="39"/>
        <v>2002</v>
      </c>
      <c r="Q265" s="534" t="str">
        <f t="shared" si="40"/>
        <v>連合B3</v>
      </c>
      <c r="R265" s="538" t="str">
        <f t="shared" si="33"/>
        <v>20</v>
      </c>
      <c r="S265" s="538" t="str">
        <f t="shared" si="34"/>
        <v>02</v>
      </c>
      <c r="T265" s="471" t="s">
        <v>1136</v>
      </c>
      <c r="U265" s="538"/>
      <c r="V265" s="538"/>
      <c r="W265" s="471">
        <v>0</v>
      </c>
      <c r="X265" s="540"/>
      <c r="Y265" s="471">
        <v>0</v>
      </c>
      <c r="Z265" s="538"/>
      <c r="AA265" s="538"/>
      <c r="AB265" s="538"/>
      <c r="AC265" s="538"/>
      <c r="AD265" s="538"/>
      <c r="AE265" s="538"/>
      <c r="AF265" s="538"/>
      <c r="AG265" s="538"/>
      <c r="AH265" s="538"/>
      <c r="AI265" s="538"/>
      <c r="AJ265" s="538"/>
      <c r="AK265" s="538"/>
      <c r="AL265" s="538"/>
      <c r="AM265" s="538"/>
      <c r="AN265" s="538"/>
      <c r="AO265" s="538"/>
      <c r="AP265" s="538"/>
      <c r="AQ265" s="538"/>
      <c r="AR265" s="538"/>
      <c r="AS265" s="538"/>
      <c r="AT265" s="538"/>
      <c r="AU265" s="538"/>
      <c r="AV265" s="538"/>
      <c r="AW265" s="538"/>
      <c r="AX265" s="538"/>
      <c r="AY265" s="538"/>
      <c r="AZ265" s="538"/>
    </row>
    <row r="266" spans="1:52" s="471" customFormat="1">
      <c r="A266" s="465" t="s">
        <v>10</v>
      </c>
      <c r="B266" s="452" t="str">
        <f>VLOOKUP(A266,★新聞!$C$4:$D$12,2,FALSE)</f>
        <v>S</v>
      </c>
      <c r="C266" s="465" t="s">
        <v>965</v>
      </c>
      <c r="D266" s="452" t="str">
        <f>VLOOKUP(C266,★サイズ表記!$D$4:$E$55,2,FALSE)</f>
        <v>2003</v>
      </c>
      <c r="E266" s="484" t="str">
        <f t="shared" si="36"/>
        <v>S2003</v>
      </c>
      <c r="F266" s="484" t="str">
        <f t="shared" si="37"/>
        <v>山陰中央/連合B2</v>
      </c>
      <c r="G266" s="483"/>
      <c r="I266" s="471" t="str">
        <f t="shared" si="35"/>
        <v>S2003</v>
      </c>
      <c r="J266" s="471" t="str">
        <f t="shared" si="38"/>
        <v>山陰中央/連合B2</v>
      </c>
      <c r="M266" s="538"/>
      <c r="N266" s="533" t="s">
        <v>1324</v>
      </c>
      <c r="O266" s="533" t="s">
        <v>1325</v>
      </c>
      <c r="P266" s="534" t="str">
        <f t="shared" si="39"/>
        <v>2003</v>
      </c>
      <c r="Q266" s="534" t="str">
        <f t="shared" si="40"/>
        <v>連合B2</v>
      </c>
      <c r="R266" s="538" t="str">
        <f t="shared" si="33"/>
        <v>20</v>
      </c>
      <c r="S266" s="538" t="str">
        <f t="shared" si="34"/>
        <v>03</v>
      </c>
      <c r="T266" s="471" t="s">
        <v>1136</v>
      </c>
      <c r="U266" s="538"/>
      <c r="V266" s="538"/>
      <c r="W266" s="471">
        <v>0</v>
      </c>
      <c r="X266" s="540"/>
      <c r="Y266" s="471">
        <v>0</v>
      </c>
      <c r="Z266" s="538"/>
      <c r="AA266" s="538"/>
      <c r="AB266" s="538"/>
      <c r="AC266" s="538"/>
      <c r="AD266" s="538"/>
      <c r="AE266" s="538"/>
      <c r="AF266" s="538"/>
      <c r="AG266" s="538"/>
      <c r="AH266" s="538"/>
      <c r="AI266" s="538"/>
      <c r="AJ266" s="538"/>
      <c r="AK266" s="538"/>
      <c r="AL266" s="538"/>
      <c r="AM266" s="538"/>
      <c r="AN266" s="538"/>
      <c r="AO266" s="538"/>
      <c r="AP266" s="538"/>
      <c r="AQ266" s="538"/>
      <c r="AR266" s="538"/>
      <c r="AS266" s="538"/>
      <c r="AT266" s="538"/>
      <c r="AU266" s="538"/>
      <c r="AV266" s="538"/>
      <c r="AW266" s="538"/>
      <c r="AX266" s="538"/>
      <c r="AY266" s="538"/>
      <c r="AZ266" s="538"/>
    </row>
    <row r="267" spans="1:52" s="471" customFormat="1">
      <c r="A267" s="465" t="s">
        <v>10</v>
      </c>
      <c r="B267" s="452" t="str">
        <f>VLOOKUP(A267,★新聞!$C$4:$D$12,2,FALSE)</f>
        <v>S</v>
      </c>
      <c r="C267" s="465" t="s">
        <v>966</v>
      </c>
      <c r="D267" s="452" t="str">
        <f>VLOOKUP(C267,★サイズ表記!$D$4:$E$55,2,FALSE)</f>
        <v>2004</v>
      </c>
      <c r="E267" s="484" t="str">
        <f t="shared" si="36"/>
        <v>S2004</v>
      </c>
      <c r="F267" s="484" t="str">
        <f t="shared" si="37"/>
        <v>山陰中央/連合3つ折り</v>
      </c>
      <c r="G267" s="483"/>
      <c r="I267" s="471" t="str">
        <f t="shared" si="35"/>
        <v>S2004</v>
      </c>
      <c r="J267" s="471" t="str">
        <f t="shared" si="38"/>
        <v>山陰中央/連合3つ折り</v>
      </c>
      <c r="M267" s="538"/>
      <c r="N267" s="533" t="s">
        <v>1324</v>
      </c>
      <c r="O267" s="533" t="s">
        <v>1325</v>
      </c>
      <c r="P267" s="534" t="str">
        <f t="shared" si="39"/>
        <v>2004</v>
      </c>
      <c r="Q267" s="534" t="str">
        <f t="shared" si="40"/>
        <v>連合3つ折り</v>
      </c>
      <c r="R267" s="538" t="str">
        <f t="shared" ref="R267:R299" si="41">LEFT($D267,2)</f>
        <v>20</v>
      </c>
      <c r="S267" s="538" t="str">
        <f t="shared" ref="S267:S299" si="42">RIGHT($D267,2)</f>
        <v>04</v>
      </c>
      <c r="T267" s="471" t="s">
        <v>1136</v>
      </c>
      <c r="U267" s="538"/>
      <c r="V267" s="538"/>
      <c r="W267" s="471">
        <v>0</v>
      </c>
      <c r="X267" s="540"/>
      <c r="Y267" s="471">
        <v>0</v>
      </c>
      <c r="Z267" s="538"/>
      <c r="AA267" s="538"/>
      <c r="AB267" s="538"/>
      <c r="AC267" s="538"/>
      <c r="AD267" s="538"/>
      <c r="AE267" s="538"/>
      <c r="AF267" s="538"/>
      <c r="AG267" s="538"/>
      <c r="AH267" s="538"/>
      <c r="AI267" s="538"/>
      <c r="AJ267" s="538"/>
      <c r="AK267" s="538"/>
      <c r="AL267" s="538"/>
      <c r="AM267" s="538"/>
      <c r="AN267" s="538"/>
      <c r="AO267" s="538"/>
      <c r="AP267" s="538"/>
      <c r="AQ267" s="538"/>
      <c r="AR267" s="538"/>
      <c r="AS267" s="538"/>
      <c r="AT267" s="538"/>
      <c r="AU267" s="538"/>
      <c r="AV267" s="538"/>
      <c r="AW267" s="538"/>
      <c r="AX267" s="538"/>
      <c r="AY267" s="538"/>
      <c r="AZ267" s="538"/>
    </row>
    <row r="268" spans="1:52" s="471" customFormat="1">
      <c r="A268" s="465" t="s">
        <v>10</v>
      </c>
      <c r="B268" s="452" t="str">
        <f>VLOOKUP(A268,★新聞!$C$4:$D$12,2,FALSE)</f>
        <v>S</v>
      </c>
      <c r="C268" s="465" t="s">
        <v>967</v>
      </c>
      <c r="D268" s="452" t="str">
        <f>VLOOKUP(C268,★サイズ表記!$D$4:$E$55,2,FALSE)</f>
        <v>2005</v>
      </c>
      <c r="E268" s="484" t="str">
        <f t="shared" si="36"/>
        <v>S2005</v>
      </c>
      <c r="F268" s="484" t="str">
        <f t="shared" si="37"/>
        <v>山陰中央/連合B4厚紙</v>
      </c>
      <c r="G268" s="483"/>
      <c r="I268" s="471" t="str">
        <f t="shared" si="35"/>
        <v>S2005</v>
      </c>
      <c r="J268" s="471" t="str">
        <f t="shared" si="38"/>
        <v>山陰中央/連合B4厚紙</v>
      </c>
      <c r="M268" s="538"/>
      <c r="N268" s="533" t="s">
        <v>1324</v>
      </c>
      <c r="O268" s="533" t="s">
        <v>1325</v>
      </c>
      <c r="P268" s="534" t="str">
        <f t="shared" si="39"/>
        <v>2005</v>
      </c>
      <c r="Q268" s="534" t="str">
        <f t="shared" si="40"/>
        <v>連合B4厚紙</v>
      </c>
      <c r="R268" s="538" t="str">
        <f t="shared" si="41"/>
        <v>20</v>
      </c>
      <c r="S268" s="538" t="str">
        <f t="shared" si="42"/>
        <v>05</v>
      </c>
      <c r="T268" s="471" t="s">
        <v>1136</v>
      </c>
      <c r="U268" s="538"/>
      <c r="V268" s="538"/>
      <c r="W268" s="471">
        <v>0</v>
      </c>
      <c r="X268" s="540"/>
      <c r="Y268" s="471">
        <v>0</v>
      </c>
      <c r="Z268" s="538"/>
      <c r="AA268" s="538"/>
      <c r="AB268" s="538"/>
      <c r="AC268" s="538"/>
      <c r="AD268" s="538"/>
      <c r="AE268" s="538"/>
      <c r="AF268" s="538"/>
      <c r="AG268" s="538"/>
      <c r="AH268" s="538"/>
      <c r="AI268" s="538"/>
      <c r="AJ268" s="538"/>
      <c r="AK268" s="538"/>
      <c r="AL268" s="538"/>
      <c r="AM268" s="538"/>
      <c r="AN268" s="538"/>
      <c r="AO268" s="538"/>
      <c r="AP268" s="538"/>
      <c r="AQ268" s="538"/>
      <c r="AR268" s="538"/>
      <c r="AS268" s="538"/>
      <c r="AT268" s="538"/>
      <c r="AU268" s="538"/>
      <c r="AV268" s="538"/>
      <c r="AW268" s="538"/>
      <c r="AX268" s="538"/>
      <c r="AY268" s="538"/>
      <c r="AZ268" s="538"/>
    </row>
    <row r="269" spans="1:52" s="471" customFormat="1">
      <c r="A269" s="465" t="s">
        <v>10</v>
      </c>
      <c r="B269" s="452" t="str">
        <f>VLOOKUP(A269,★新聞!$C$4:$D$12,2,FALSE)</f>
        <v>S</v>
      </c>
      <c r="C269" s="465" t="s">
        <v>968</v>
      </c>
      <c r="D269" s="452" t="str">
        <f>VLOOKUP(C269,★サイズ表記!$D$4:$E$55,2,FALSE)</f>
        <v>2006</v>
      </c>
      <c r="E269" s="484" t="str">
        <f t="shared" si="36"/>
        <v>S2006</v>
      </c>
      <c r="F269" s="484" t="str">
        <f t="shared" si="37"/>
        <v>山陰中央/連合2つ折り極小</v>
      </c>
      <c r="G269" s="483"/>
      <c r="I269" s="471" t="str">
        <f t="shared" si="35"/>
        <v>S2006</v>
      </c>
      <c r="J269" s="471" t="str">
        <f t="shared" si="38"/>
        <v>山陰中央/連合2つ折り極小</v>
      </c>
      <c r="M269" s="538"/>
      <c r="N269" s="533" t="s">
        <v>1324</v>
      </c>
      <c r="O269" s="533" t="s">
        <v>1325</v>
      </c>
      <c r="P269" s="534" t="str">
        <f t="shared" si="39"/>
        <v>2006</v>
      </c>
      <c r="Q269" s="534" t="str">
        <f t="shared" si="40"/>
        <v>連合2つ折り極小</v>
      </c>
      <c r="R269" s="538" t="str">
        <f t="shared" si="41"/>
        <v>20</v>
      </c>
      <c r="S269" s="538" t="str">
        <f t="shared" si="42"/>
        <v>06</v>
      </c>
      <c r="T269" s="471" t="s">
        <v>1136</v>
      </c>
      <c r="U269" s="538"/>
      <c r="V269" s="538"/>
      <c r="W269" s="471">
        <v>0</v>
      </c>
      <c r="X269" s="540"/>
      <c r="Y269" s="471">
        <v>0</v>
      </c>
      <c r="Z269" s="538"/>
      <c r="AA269" s="538"/>
      <c r="AB269" s="538"/>
      <c r="AC269" s="538"/>
      <c r="AD269" s="538"/>
      <c r="AE269" s="538"/>
      <c r="AF269" s="538"/>
      <c r="AG269" s="538"/>
      <c r="AH269" s="538"/>
      <c r="AI269" s="538"/>
      <c r="AJ269" s="538"/>
      <c r="AK269" s="538"/>
      <c r="AL269" s="538"/>
      <c r="AM269" s="538"/>
      <c r="AN269" s="538"/>
      <c r="AO269" s="538"/>
      <c r="AP269" s="538"/>
      <c r="AQ269" s="538"/>
      <c r="AR269" s="538"/>
      <c r="AS269" s="538"/>
      <c r="AT269" s="538"/>
      <c r="AU269" s="538"/>
      <c r="AV269" s="538"/>
      <c r="AW269" s="538"/>
      <c r="AX269" s="538"/>
      <c r="AY269" s="538"/>
      <c r="AZ269" s="538"/>
    </row>
    <row r="270" spans="1:52" s="471" customFormat="1">
      <c r="A270" s="465" t="s">
        <v>10</v>
      </c>
      <c r="B270" s="452" t="str">
        <f>VLOOKUP(A270,★新聞!$C$4:$D$12,2,FALSE)</f>
        <v>S</v>
      </c>
      <c r="C270" s="465" t="s">
        <v>1365</v>
      </c>
      <c r="D270" s="452" t="str">
        <f>VLOOKUP(C270,★サイズ表記!$D$4:$E$55,2,FALSE)</f>
        <v>2007</v>
      </c>
      <c r="E270" s="484" t="str">
        <f t="shared" si="36"/>
        <v>S2007</v>
      </c>
      <c r="F270" s="484" t="str">
        <f t="shared" si="37"/>
        <v>山陰中央/連合タブ6P</v>
      </c>
      <c r="G270" s="483"/>
      <c r="I270" s="471" t="str">
        <f t="shared" si="35"/>
        <v>S2007</v>
      </c>
      <c r="J270" s="471" t="str">
        <f t="shared" si="38"/>
        <v>山陰中央/連合タブ6P</v>
      </c>
      <c r="M270" s="538"/>
      <c r="N270" s="533" t="s">
        <v>1324</v>
      </c>
      <c r="O270" s="533" t="s">
        <v>1325</v>
      </c>
      <c r="P270" s="534" t="str">
        <f t="shared" si="39"/>
        <v>2007</v>
      </c>
      <c r="Q270" s="534" t="str">
        <f t="shared" si="40"/>
        <v>連合タブ6P</v>
      </c>
      <c r="R270" s="538" t="str">
        <f t="shared" si="41"/>
        <v>20</v>
      </c>
      <c r="S270" s="538" t="str">
        <f t="shared" si="42"/>
        <v>07</v>
      </c>
      <c r="T270" s="471" t="s">
        <v>1136</v>
      </c>
      <c r="U270" s="538"/>
      <c r="V270" s="538"/>
      <c r="W270" s="471">
        <v>0</v>
      </c>
      <c r="X270" s="540"/>
      <c r="Y270" s="471">
        <v>0</v>
      </c>
      <c r="Z270" s="538"/>
      <c r="AA270" s="538"/>
      <c r="AB270" s="538"/>
      <c r="AC270" s="538"/>
      <c r="AD270" s="538"/>
      <c r="AE270" s="538"/>
      <c r="AF270" s="538"/>
      <c r="AG270" s="538"/>
      <c r="AH270" s="538"/>
      <c r="AI270" s="538"/>
      <c r="AJ270" s="538"/>
      <c r="AK270" s="538"/>
      <c r="AL270" s="538"/>
      <c r="AM270" s="538"/>
      <c r="AN270" s="538"/>
      <c r="AO270" s="538"/>
      <c r="AP270" s="538"/>
      <c r="AQ270" s="538"/>
      <c r="AR270" s="538"/>
      <c r="AS270" s="538"/>
      <c r="AT270" s="538"/>
      <c r="AU270" s="538"/>
      <c r="AV270" s="538"/>
      <c r="AW270" s="538"/>
      <c r="AX270" s="538"/>
      <c r="AY270" s="538"/>
      <c r="AZ270" s="538"/>
    </row>
    <row r="271" spans="1:52" s="471" customFormat="1">
      <c r="A271" s="465" t="s">
        <v>10</v>
      </c>
      <c r="B271" s="452" t="str">
        <f>VLOOKUP(A271,★新聞!$C$4:$D$12,2,FALSE)</f>
        <v>S</v>
      </c>
      <c r="C271" s="465" t="s">
        <v>1366</v>
      </c>
      <c r="D271" s="452" t="str">
        <f>VLOOKUP(C271,★サイズ表記!$D$4:$E$55,2,FALSE)</f>
        <v>2008</v>
      </c>
      <c r="E271" s="484" t="str">
        <f t="shared" si="36"/>
        <v>S2008</v>
      </c>
      <c r="F271" s="484" t="str">
        <f t="shared" si="37"/>
        <v>山陰中央/連合タブ8P</v>
      </c>
      <c r="G271" s="483"/>
      <c r="I271" s="471" t="str">
        <f t="shared" si="35"/>
        <v>S2008</v>
      </c>
      <c r="J271" s="471" t="str">
        <f t="shared" si="38"/>
        <v>山陰中央/連合タブ8P</v>
      </c>
      <c r="M271" s="538"/>
      <c r="N271" s="533" t="s">
        <v>1324</v>
      </c>
      <c r="O271" s="533" t="s">
        <v>1325</v>
      </c>
      <c r="P271" s="534" t="str">
        <f t="shared" si="39"/>
        <v>2008</v>
      </c>
      <c r="Q271" s="534" t="str">
        <f t="shared" si="40"/>
        <v>連合タブ8P</v>
      </c>
      <c r="R271" s="538" t="str">
        <f t="shared" si="41"/>
        <v>20</v>
      </c>
      <c r="S271" s="538" t="str">
        <f t="shared" si="42"/>
        <v>08</v>
      </c>
      <c r="T271" s="471" t="s">
        <v>1136</v>
      </c>
      <c r="U271" s="538"/>
      <c r="V271" s="538"/>
      <c r="W271" s="471">
        <v>0</v>
      </c>
      <c r="X271" s="540"/>
      <c r="Y271" s="471">
        <v>0</v>
      </c>
      <c r="Z271" s="538"/>
      <c r="AA271" s="538"/>
      <c r="AB271" s="538"/>
      <c r="AC271" s="538"/>
      <c r="AD271" s="538"/>
      <c r="AE271" s="538"/>
      <c r="AF271" s="538"/>
      <c r="AG271" s="538"/>
      <c r="AH271" s="538"/>
      <c r="AI271" s="538"/>
      <c r="AJ271" s="538"/>
      <c r="AK271" s="538"/>
      <c r="AL271" s="538"/>
      <c r="AM271" s="538"/>
      <c r="AN271" s="538"/>
      <c r="AO271" s="538"/>
      <c r="AP271" s="538"/>
      <c r="AQ271" s="538"/>
      <c r="AR271" s="538"/>
      <c r="AS271" s="538"/>
      <c r="AT271" s="538"/>
      <c r="AU271" s="538"/>
      <c r="AV271" s="538"/>
      <c r="AW271" s="538"/>
      <c r="AX271" s="538"/>
      <c r="AY271" s="538"/>
      <c r="AZ271" s="538"/>
    </row>
    <row r="272" spans="1:52" s="471" customFormat="1">
      <c r="A272" s="465" t="s">
        <v>10</v>
      </c>
      <c r="B272" s="452" t="str">
        <f>VLOOKUP(A272,★新聞!$C$4:$D$12,2,FALSE)</f>
        <v>S</v>
      </c>
      <c r="C272" s="465" t="s">
        <v>1364</v>
      </c>
      <c r="D272" s="452" t="str">
        <f>VLOOKUP(C272,★サイズ表記!$D$4:$E$55,2,FALSE)</f>
        <v>2009</v>
      </c>
      <c r="E272" s="484" t="str">
        <f t="shared" si="36"/>
        <v>S2009</v>
      </c>
      <c r="F272" s="484" t="str">
        <f t="shared" si="37"/>
        <v>山陰中央/連合タブ12P</v>
      </c>
      <c r="G272" s="483"/>
      <c r="I272" s="471" t="str">
        <f t="shared" si="35"/>
        <v>S2009</v>
      </c>
      <c r="J272" s="471" t="str">
        <f t="shared" si="38"/>
        <v>山陰中央/連合タブ12P</v>
      </c>
      <c r="M272" s="538"/>
      <c r="N272" s="533" t="s">
        <v>1324</v>
      </c>
      <c r="O272" s="533" t="s">
        <v>1325</v>
      </c>
      <c r="P272" s="534" t="str">
        <f t="shared" si="39"/>
        <v>2009</v>
      </c>
      <c r="Q272" s="534" t="str">
        <f t="shared" si="40"/>
        <v>連合タブ12P</v>
      </c>
      <c r="R272" s="538" t="str">
        <f t="shared" si="41"/>
        <v>20</v>
      </c>
      <c r="S272" s="538" t="str">
        <f t="shared" si="42"/>
        <v>09</v>
      </c>
      <c r="T272" s="471" t="s">
        <v>1136</v>
      </c>
      <c r="U272" s="538"/>
      <c r="V272" s="538"/>
      <c r="W272" s="471">
        <v>0</v>
      </c>
      <c r="X272" s="540"/>
      <c r="Y272" s="471">
        <v>0</v>
      </c>
      <c r="Z272" s="538"/>
      <c r="AA272" s="538"/>
      <c r="AB272" s="538"/>
      <c r="AC272" s="538"/>
      <c r="AD272" s="538"/>
      <c r="AE272" s="538"/>
      <c r="AF272" s="538"/>
      <c r="AG272" s="538"/>
      <c r="AH272" s="538"/>
      <c r="AI272" s="538"/>
      <c r="AJ272" s="538"/>
      <c r="AK272" s="538"/>
      <c r="AL272" s="538"/>
      <c r="AM272" s="538"/>
      <c r="AN272" s="538"/>
      <c r="AO272" s="538"/>
      <c r="AP272" s="538"/>
      <c r="AQ272" s="538"/>
      <c r="AR272" s="538"/>
      <c r="AS272" s="538"/>
      <c r="AT272" s="538"/>
      <c r="AU272" s="538"/>
      <c r="AV272" s="538"/>
      <c r="AW272" s="538"/>
      <c r="AX272" s="538"/>
      <c r="AY272" s="538"/>
      <c r="AZ272" s="538"/>
    </row>
    <row r="273" spans="1:52" s="471" customFormat="1">
      <c r="A273" s="465" t="s">
        <v>10</v>
      </c>
      <c r="B273" s="452" t="str">
        <f>VLOOKUP(A273,★新聞!$C$4:$D$12,2,FALSE)</f>
        <v>S</v>
      </c>
      <c r="C273" s="465" t="s">
        <v>969</v>
      </c>
      <c r="D273" s="452" t="str">
        <f>VLOOKUP(C273,★サイズ表記!$D$4:$E$55,2,FALSE)</f>
        <v>3001</v>
      </c>
      <c r="E273" s="484" t="str">
        <f t="shared" si="36"/>
        <v>S3001</v>
      </c>
      <c r="F273" s="484" t="str">
        <f t="shared" si="37"/>
        <v>山陰中央/政治B4</v>
      </c>
      <c r="G273" s="483"/>
      <c r="I273" s="471" t="str">
        <f t="shared" si="35"/>
        <v>S3001</v>
      </c>
      <c r="J273" s="471" t="str">
        <f t="shared" si="38"/>
        <v>山陰中央/政治B4</v>
      </c>
      <c r="M273" s="538"/>
      <c r="N273" s="533" t="s">
        <v>1324</v>
      </c>
      <c r="O273" s="533" t="s">
        <v>1325</v>
      </c>
      <c r="P273" s="534" t="str">
        <f t="shared" si="39"/>
        <v>3001</v>
      </c>
      <c r="Q273" s="534" t="str">
        <f t="shared" si="40"/>
        <v>政治B4</v>
      </c>
      <c r="R273" s="538" t="str">
        <f t="shared" si="41"/>
        <v>30</v>
      </c>
      <c r="S273" s="538" t="str">
        <f t="shared" si="42"/>
        <v>01</v>
      </c>
      <c r="T273" s="471" t="s">
        <v>1136</v>
      </c>
      <c r="U273" s="538"/>
      <c r="V273" s="538"/>
      <c r="W273" s="471">
        <v>0</v>
      </c>
      <c r="X273" s="540"/>
      <c r="Y273" s="471">
        <v>0</v>
      </c>
      <c r="Z273" s="538"/>
      <c r="AA273" s="538"/>
      <c r="AB273" s="538"/>
      <c r="AC273" s="538"/>
      <c r="AD273" s="538"/>
      <c r="AE273" s="538"/>
      <c r="AF273" s="538"/>
      <c r="AG273" s="538"/>
      <c r="AH273" s="538"/>
      <c r="AI273" s="538"/>
      <c r="AJ273" s="538"/>
      <c r="AK273" s="538"/>
      <c r="AL273" s="538"/>
      <c r="AM273" s="538"/>
      <c r="AN273" s="538"/>
      <c r="AO273" s="538"/>
      <c r="AP273" s="538"/>
      <c r="AQ273" s="538"/>
      <c r="AR273" s="538"/>
      <c r="AS273" s="538"/>
      <c r="AT273" s="538"/>
      <c r="AU273" s="538"/>
      <c r="AV273" s="538"/>
      <c r="AW273" s="538"/>
      <c r="AX273" s="538"/>
      <c r="AY273" s="538"/>
      <c r="AZ273" s="538"/>
    </row>
    <row r="274" spans="1:52" s="471" customFormat="1">
      <c r="A274" s="465" t="s">
        <v>10</v>
      </c>
      <c r="B274" s="452" t="str">
        <f>VLOOKUP(A274,★新聞!$C$4:$D$12,2,FALSE)</f>
        <v>S</v>
      </c>
      <c r="C274" s="465" t="s">
        <v>970</v>
      </c>
      <c r="D274" s="452" t="str">
        <f>VLOOKUP(C274,★サイズ表記!$D$4:$E$55,2,FALSE)</f>
        <v>3002</v>
      </c>
      <c r="E274" s="484" t="str">
        <f t="shared" si="36"/>
        <v>S3002</v>
      </c>
      <c r="F274" s="484" t="str">
        <f t="shared" si="37"/>
        <v>山陰中央/政治B3</v>
      </c>
      <c r="G274" s="483"/>
      <c r="I274" s="471" t="str">
        <f t="shared" si="35"/>
        <v>S3002</v>
      </c>
      <c r="J274" s="471" t="str">
        <f t="shared" si="38"/>
        <v>山陰中央/政治B3</v>
      </c>
      <c r="M274" s="538"/>
      <c r="N274" s="533" t="s">
        <v>1324</v>
      </c>
      <c r="O274" s="533" t="s">
        <v>1325</v>
      </c>
      <c r="P274" s="534" t="str">
        <f t="shared" si="39"/>
        <v>3002</v>
      </c>
      <c r="Q274" s="534" t="str">
        <f t="shared" si="40"/>
        <v>政治B3</v>
      </c>
      <c r="R274" s="538" t="str">
        <f t="shared" si="41"/>
        <v>30</v>
      </c>
      <c r="S274" s="538" t="str">
        <f t="shared" si="42"/>
        <v>02</v>
      </c>
      <c r="T274" s="471" t="s">
        <v>1136</v>
      </c>
      <c r="U274" s="538"/>
      <c r="V274" s="538"/>
      <c r="W274" s="471">
        <v>0</v>
      </c>
      <c r="X274" s="540"/>
      <c r="Y274" s="471">
        <v>0</v>
      </c>
      <c r="Z274" s="538"/>
      <c r="AA274" s="538"/>
      <c r="AB274" s="538"/>
      <c r="AC274" s="538"/>
      <c r="AD274" s="538"/>
      <c r="AE274" s="538"/>
      <c r="AF274" s="538"/>
      <c r="AG274" s="538"/>
      <c r="AH274" s="538"/>
      <c r="AI274" s="538"/>
      <c r="AJ274" s="538"/>
      <c r="AK274" s="538"/>
      <c r="AL274" s="538"/>
      <c r="AM274" s="538"/>
      <c r="AN274" s="538"/>
      <c r="AO274" s="538"/>
      <c r="AP274" s="538"/>
      <c r="AQ274" s="538"/>
      <c r="AR274" s="538"/>
      <c r="AS274" s="538"/>
      <c r="AT274" s="538"/>
      <c r="AU274" s="538"/>
      <c r="AV274" s="538"/>
      <c r="AW274" s="538"/>
      <c r="AX274" s="538"/>
      <c r="AY274" s="538"/>
      <c r="AZ274" s="538"/>
    </row>
    <row r="275" spans="1:52" s="471" customFormat="1">
      <c r="A275" s="465" t="s">
        <v>10</v>
      </c>
      <c r="B275" s="452" t="str">
        <f>VLOOKUP(A275,★新聞!$C$4:$D$12,2,FALSE)</f>
        <v>S</v>
      </c>
      <c r="C275" s="465" t="s">
        <v>971</v>
      </c>
      <c r="D275" s="452" t="str">
        <f>VLOOKUP(C275,★サイズ表記!$D$4:$E$55,2,FALSE)</f>
        <v>3003</v>
      </c>
      <c r="E275" s="484" t="str">
        <f t="shared" si="36"/>
        <v>S3003</v>
      </c>
      <c r="F275" s="484" t="str">
        <f t="shared" si="37"/>
        <v>山陰中央/政治B2</v>
      </c>
      <c r="G275" s="483"/>
      <c r="I275" s="471" t="str">
        <f t="shared" si="35"/>
        <v>S3003</v>
      </c>
      <c r="J275" s="471" t="str">
        <f t="shared" si="38"/>
        <v>山陰中央/政治B2</v>
      </c>
      <c r="M275" s="538"/>
      <c r="N275" s="533" t="s">
        <v>1324</v>
      </c>
      <c r="O275" s="533" t="s">
        <v>1325</v>
      </c>
      <c r="P275" s="534" t="str">
        <f t="shared" si="39"/>
        <v>3003</v>
      </c>
      <c r="Q275" s="534" t="str">
        <f t="shared" si="40"/>
        <v>政治B2</v>
      </c>
      <c r="R275" s="538" t="str">
        <f t="shared" si="41"/>
        <v>30</v>
      </c>
      <c r="S275" s="538" t="str">
        <f t="shared" si="42"/>
        <v>03</v>
      </c>
      <c r="T275" s="471" t="s">
        <v>1136</v>
      </c>
      <c r="U275" s="538"/>
      <c r="V275" s="538"/>
      <c r="W275" s="471">
        <v>0</v>
      </c>
      <c r="X275" s="540"/>
      <c r="Y275" s="471">
        <v>0</v>
      </c>
      <c r="Z275" s="538"/>
      <c r="AA275" s="538"/>
      <c r="AB275" s="538"/>
      <c r="AC275" s="538"/>
      <c r="AD275" s="538"/>
      <c r="AE275" s="538"/>
      <c r="AF275" s="538"/>
      <c r="AG275" s="538"/>
      <c r="AH275" s="538"/>
      <c r="AI275" s="538"/>
      <c r="AJ275" s="538"/>
      <c r="AK275" s="538"/>
      <c r="AL275" s="538"/>
      <c r="AM275" s="538"/>
      <c r="AN275" s="538"/>
      <c r="AO275" s="538"/>
      <c r="AP275" s="538"/>
      <c r="AQ275" s="538"/>
      <c r="AR275" s="538"/>
      <c r="AS275" s="538"/>
      <c r="AT275" s="538"/>
      <c r="AU275" s="538"/>
      <c r="AV275" s="538"/>
      <c r="AW275" s="538"/>
      <c r="AX275" s="538"/>
      <c r="AY275" s="538"/>
      <c r="AZ275" s="538"/>
    </row>
    <row r="276" spans="1:52" s="471" customFormat="1">
      <c r="A276" s="465" t="s">
        <v>10</v>
      </c>
      <c r="B276" s="452" t="str">
        <f>VLOOKUP(A276,★新聞!$C$4:$D$12,2,FALSE)</f>
        <v>S</v>
      </c>
      <c r="C276" s="465" t="s">
        <v>972</v>
      </c>
      <c r="D276" s="452" t="str">
        <f>VLOOKUP(C276,★サイズ表記!$D$4:$E$55,2,FALSE)</f>
        <v>3004</v>
      </c>
      <c r="E276" s="484" t="str">
        <f t="shared" si="36"/>
        <v>S3004</v>
      </c>
      <c r="F276" s="484" t="str">
        <f t="shared" si="37"/>
        <v>山陰中央/政治3つ折り</v>
      </c>
      <c r="G276" s="483"/>
      <c r="I276" s="471" t="str">
        <f t="shared" si="35"/>
        <v>S3004</v>
      </c>
      <c r="J276" s="471" t="str">
        <f t="shared" si="38"/>
        <v>山陰中央/政治3つ折り</v>
      </c>
      <c r="M276" s="538"/>
      <c r="N276" s="533" t="s">
        <v>1324</v>
      </c>
      <c r="O276" s="533" t="s">
        <v>1325</v>
      </c>
      <c r="P276" s="534" t="str">
        <f t="shared" si="39"/>
        <v>3004</v>
      </c>
      <c r="Q276" s="534" t="str">
        <f t="shared" si="40"/>
        <v>政治3つ折り</v>
      </c>
      <c r="R276" s="538" t="str">
        <f t="shared" si="41"/>
        <v>30</v>
      </c>
      <c r="S276" s="538" t="str">
        <f t="shared" si="42"/>
        <v>04</v>
      </c>
      <c r="T276" s="471" t="s">
        <v>1136</v>
      </c>
      <c r="U276" s="538"/>
      <c r="V276" s="538"/>
      <c r="W276" s="471">
        <v>0</v>
      </c>
      <c r="X276" s="540"/>
      <c r="Y276" s="471">
        <v>0</v>
      </c>
      <c r="Z276" s="538"/>
      <c r="AA276" s="538"/>
      <c r="AB276" s="538"/>
      <c r="AC276" s="538"/>
      <c r="AD276" s="538"/>
      <c r="AE276" s="538"/>
      <c r="AF276" s="538"/>
      <c r="AG276" s="538"/>
      <c r="AH276" s="538"/>
      <c r="AI276" s="538"/>
      <c r="AJ276" s="538"/>
      <c r="AK276" s="538"/>
      <c r="AL276" s="538"/>
      <c r="AM276" s="538"/>
      <c r="AN276" s="538"/>
      <c r="AO276" s="538"/>
      <c r="AP276" s="538"/>
      <c r="AQ276" s="538"/>
      <c r="AR276" s="538"/>
      <c r="AS276" s="538"/>
      <c r="AT276" s="538"/>
      <c r="AU276" s="538"/>
      <c r="AV276" s="538"/>
      <c r="AW276" s="538"/>
      <c r="AX276" s="538"/>
      <c r="AY276" s="538"/>
      <c r="AZ276" s="538"/>
    </row>
    <row r="277" spans="1:52" s="471" customFormat="1">
      <c r="A277" s="465" t="s">
        <v>10</v>
      </c>
      <c r="B277" s="452" t="str">
        <f>VLOOKUP(A277,★新聞!$C$4:$D$12,2,FALSE)</f>
        <v>S</v>
      </c>
      <c r="C277" s="465" t="s">
        <v>973</v>
      </c>
      <c r="D277" s="452" t="str">
        <f>VLOOKUP(C277,★サイズ表記!$D$4:$E$55,2,FALSE)</f>
        <v>3005</v>
      </c>
      <c r="E277" s="484" t="str">
        <f t="shared" si="36"/>
        <v>S3005</v>
      </c>
      <c r="F277" s="484" t="str">
        <f t="shared" si="37"/>
        <v>山陰中央/政治2つ折り極小</v>
      </c>
      <c r="G277" s="483"/>
      <c r="I277" s="471" t="str">
        <f t="shared" si="35"/>
        <v>S3005</v>
      </c>
      <c r="J277" s="471" t="str">
        <f t="shared" si="38"/>
        <v>山陰中央/政治2つ折り極小</v>
      </c>
      <c r="M277" s="538"/>
      <c r="N277" s="533" t="s">
        <v>1324</v>
      </c>
      <c r="O277" s="533" t="s">
        <v>1325</v>
      </c>
      <c r="P277" s="534" t="str">
        <f t="shared" si="39"/>
        <v>3005</v>
      </c>
      <c r="Q277" s="534" t="str">
        <f t="shared" si="40"/>
        <v>政治2つ折り極小</v>
      </c>
      <c r="R277" s="538" t="str">
        <f t="shared" si="41"/>
        <v>30</v>
      </c>
      <c r="S277" s="538" t="str">
        <f t="shared" si="42"/>
        <v>05</v>
      </c>
      <c r="T277" s="471" t="s">
        <v>1136</v>
      </c>
      <c r="U277" s="538"/>
      <c r="V277" s="538"/>
      <c r="W277" s="471">
        <v>0</v>
      </c>
      <c r="X277" s="540"/>
      <c r="Y277" s="471">
        <v>0</v>
      </c>
      <c r="Z277" s="538"/>
      <c r="AA277" s="538"/>
      <c r="AB277" s="538"/>
      <c r="AC277" s="538"/>
      <c r="AD277" s="538"/>
      <c r="AE277" s="538"/>
      <c r="AF277" s="538"/>
      <c r="AG277" s="538"/>
      <c r="AH277" s="538"/>
      <c r="AI277" s="538"/>
      <c r="AJ277" s="538"/>
      <c r="AK277" s="538"/>
      <c r="AL277" s="538"/>
      <c r="AM277" s="538"/>
      <c r="AN277" s="538"/>
      <c r="AO277" s="538"/>
      <c r="AP277" s="538"/>
      <c r="AQ277" s="538"/>
      <c r="AR277" s="538"/>
      <c r="AS277" s="538"/>
      <c r="AT277" s="538"/>
      <c r="AU277" s="538"/>
      <c r="AV277" s="538"/>
      <c r="AW277" s="538"/>
      <c r="AX277" s="538"/>
      <c r="AY277" s="538"/>
      <c r="AZ277" s="538"/>
    </row>
    <row r="278" spans="1:52" s="471" customFormat="1">
      <c r="A278" s="465" t="s">
        <v>10</v>
      </c>
      <c r="B278" s="452" t="str">
        <f>VLOOKUP(A278,★新聞!$C$4:$D$12,2,FALSE)</f>
        <v>S</v>
      </c>
      <c r="C278" s="465" t="s">
        <v>974</v>
      </c>
      <c r="D278" s="452" t="str">
        <f>VLOOKUP(C278,★サイズ表記!$D$4:$E$55,2,FALSE)</f>
        <v>3006</v>
      </c>
      <c r="E278" s="484" t="str">
        <f t="shared" si="36"/>
        <v>S3006</v>
      </c>
      <c r="F278" s="484" t="str">
        <f t="shared" si="37"/>
        <v>山陰中央/政治B4厚紙</v>
      </c>
      <c r="G278" s="483"/>
      <c r="I278" s="471" t="str">
        <f t="shared" si="35"/>
        <v>S3006</v>
      </c>
      <c r="J278" s="471" t="str">
        <f t="shared" si="38"/>
        <v>山陰中央/政治B4厚紙</v>
      </c>
      <c r="M278" s="538"/>
      <c r="N278" s="533" t="s">
        <v>1324</v>
      </c>
      <c r="O278" s="533" t="s">
        <v>1325</v>
      </c>
      <c r="P278" s="534" t="str">
        <f t="shared" si="39"/>
        <v>3006</v>
      </c>
      <c r="Q278" s="534" t="str">
        <f t="shared" si="40"/>
        <v>政治B4厚紙</v>
      </c>
      <c r="R278" s="538" t="str">
        <f t="shared" si="41"/>
        <v>30</v>
      </c>
      <c r="S278" s="538" t="str">
        <f t="shared" si="42"/>
        <v>06</v>
      </c>
      <c r="T278" s="471" t="s">
        <v>1136</v>
      </c>
      <c r="U278" s="538"/>
      <c r="V278" s="538"/>
      <c r="W278" s="471">
        <v>0</v>
      </c>
      <c r="X278" s="540"/>
      <c r="Y278" s="471">
        <v>0</v>
      </c>
      <c r="Z278" s="538"/>
      <c r="AA278" s="538"/>
      <c r="AB278" s="538"/>
      <c r="AC278" s="538"/>
      <c r="AD278" s="538"/>
      <c r="AE278" s="538"/>
      <c r="AF278" s="538"/>
      <c r="AG278" s="538"/>
      <c r="AH278" s="538"/>
      <c r="AI278" s="538"/>
      <c r="AJ278" s="538"/>
      <c r="AK278" s="538"/>
      <c r="AL278" s="538"/>
      <c r="AM278" s="538"/>
      <c r="AN278" s="538"/>
      <c r="AO278" s="538"/>
      <c r="AP278" s="538"/>
      <c r="AQ278" s="538"/>
      <c r="AR278" s="538"/>
      <c r="AS278" s="538"/>
      <c r="AT278" s="538"/>
      <c r="AU278" s="538"/>
      <c r="AV278" s="538"/>
      <c r="AW278" s="538"/>
      <c r="AX278" s="538"/>
      <c r="AY278" s="538"/>
      <c r="AZ278" s="538"/>
    </row>
    <row r="279" spans="1:52" s="471" customFormat="1">
      <c r="A279" s="465" t="s">
        <v>10</v>
      </c>
      <c r="B279" s="452" t="str">
        <f>VLOOKUP(A279,★新聞!$C$4:$D$12,2,FALSE)</f>
        <v>S</v>
      </c>
      <c r="C279" s="465" t="s">
        <v>1362</v>
      </c>
      <c r="D279" s="452" t="str">
        <f>VLOOKUP(C279,★サイズ表記!$D$4:$E$55,2,FALSE)</f>
        <v>3007</v>
      </c>
      <c r="E279" s="484" t="str">
        <f t="shared" si="36"/>
        <v>S3007</v>
      </c>
      <c r="F279" s="484" t="str">
        <f t="shared" si="37"/>
        <v>山陰中央/政治タブ6P</v>
      </c>
      <c r="G279" s="483"/>
      <c r="I279" s="471" t="str">
        <f t="shared" si="35"/>
        <v>S3007</v>
      </c>
      <c r="J279" s="471" t="str">
        <f t="shared" si="38"/>
        <v>山陰中央/政治タブ6P</v>
      </c>
      <c r="M279" s="538"/>
      <c r="N279" s="533" t="s">
        <v>1324</v>
      </c>
      <c r="O279" s="533" t="s">
        <v>1325</v>
      </c>
      <c r="P279" s="534" t="str">
        <f t="shared" si="39"/>
        <v>3007</v>
      </c>
      <c r="Q279" s="534" t="str">
        <f t="shared" si="40"/>
        <v>政治タブ6P</v>
      </c>
      <c r="R279" s="538" t="str">
        <f t="shared" si="41"/>
        <v>30</v>
      </c>
      <c r="S279" s="538" t="str">
        <f t="shared" si="42"/>
        <v>07</v>
      </c>
      <c r="T279" s="471" t="s">
        <v>1136</v>
      </c>
      <c r="U279" s="538"/>
      <c r="V279" s="538"/>
      <c r="W279" s="471">
        <v>0</v>
      </c>
      <c r="X279" s="540"/>
      <c r="Y279" s="471">
        <v>0</v>
      </c>
      <c r="Z279" s="538"/>
      <c r="AA279" s="538"/>
      <c r="AB279" s="538"/>
      <c r="AC279" s="538"/>
      <c r="AD279" s="538"/>
      <c r="AE279" s="538"/>
      <c r="AF279" s="538"/>
      <c r="AG279" s="538"/>
      <c r="AH279" s="538"/>
      <c r="AI279" s="538"/>
      <c r="AJ279" s="538"/>
      <c r="AK279" s="538"/>
      <c r="AL279" s="538"/>
      <c r="AM279" s="538"/>
      <c r="AN279" s="538"/>
      <c r="AO279" s="538"/>
      <c r="AP279" s="538"/>
      <c r="AQ279" s="538"/>
      <c r="AR279" s="538"/>
      <c r="AS279" s="538"/>
      <c r="AT279" s="538"/>
      <c r="AU279" s="538"/>
      <c r="AV279" s="538"/>
      <c r="AW279" s="538"/>
      <c r="AX279" s="538"/>
      <c r="AY279" s="538"/>
      <c r="AZ279" s="538"/>
    </row>
    <row r="280" spans="1:52" s="471" customFormat="1">
      <c r="A280" s="465" t="s">
        <v>10</v>
      </c>
      <c r="B280" s="452" t="str">
        <f>VLOOKUP(A280,★新聞!$C$4:$D$12,2,FALSE)</f>
        <v>S</v>
      </c>
      <c r="C280" s="465" t="s">
        <v>1363</v>
      </c>
      <c r="D280" s="452" t="str">
        <f>VLOOKUP(C280,★サイズ表記!$D$4:$E$55,2,FALSE)</f>
        <v>3008</v>
      </c>
      <c r="E280" s="484" t="str">
        <f t="shared" si="36"/>
        <v>S3008</v>
      </c>
      <c r="F280" s="484" t="str">
        <f t="shared" si="37"/>
        <v>山陰中央/政治タブ8P</v>
      </c>
      <c r="G280" s="483"/>
      <c r="I280" s="471" t="str">
        <f t="shared" si="35"/>
        <v>S3008</v>
      </c>
      <c r="J280" s="471" t="str">
        <f t="shared" si="38"/>
        <v>山陰中央/政治タブ8P</v>
      </c>
      <c r="M280" s="538"/>
      <c r="N280" s="533" t="s">
        <v>1324</v>
      </c>
      <c r="O280" s="533" t="s">
        <v>1325</v>
      </c>
      <c r="P280" s="534" t="str">
        <f t="shared" si="39"/>
        <v>3008</v>
      </c>
      <c r="Q280" s="534" t="str">
        <f t="shared" si="40"/>
        <v>政治タブ8P</v>
      </c>
      <c r="R280" s="538" t="str">
        <f t="shared" si="41"/>
        <v>30</v>
      </c>
      <c r="S280" s="538" t="str">
        <f t="shared" si="42"/>
        <v>08</v>
      </c>
      <c r="T280" s="471" t="s">
        <v>1136</v>
      </c>
      <c r="U280" s="538"/>
      <c r="V280" s="538"/>
      <c r="W280" s="471">
        <v>0</v>
      </c>
      <c r="X280" s="540"/>
      <c r="Y280" s="471">
        <v>0</v>
      </c>
      <c r="Z280" s="538"/>
      <c r="AA280" s="538"/>
      <c r="AB280" s="538"/>
      <c r="AC280" s="538"/>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8"/>
      <c r="AY280" s="538"/>
      <c r="AZ280" s="538"/>
    </row>
    <row r="281" spans="1:52" s="471" customFormat="1">
      <c r="A281" s="465" t="s">
        <v>10</v>
      </c>
      <c r="B281" s="452" t="str">
        <f>VLOOKUP(A281,★新聞!$C$4:$D$12,2,FALSE)</f>
        <v>S</v>
      </c>
      <c r="C281" s="465" t="s">
        <v>1361</v>
      </c>
      <c r="D281" s="452" t="str">
        <f>VLOOKUP(C281,★サイズ表記!$D$4:$E$55,2,FALSE)</f>
        <v>3009</v>
      </c>
      <c r="E281" s="484" t="str">
        <f t="shared" si="36"/>
        <v>S3009</v>
      </c>
      <c r="F281" s="484" t="str">
        <f t="shared" si="37"/>
        <v>山陰中央/政治タブ12P</v>
      </c>
      <c r="G281" s="483"/>
      <c r="I281" s="471" t="str">
        <f t="shared" si="35"/>
        <v>S3009</v>
      </c>
      <c r="J281" s="471" t="str">
        <f t="shared" si="38"/>
        <v>山陰中央/政治タブ12P</v>
      </c>
      <c r="M281" s="538"/>
      <c r="N281" s="533" t="s">
        <v>1324</v>
      </c>
      <c r="O281" s="533" t="s">
        <v>1325</v>
      </c>
      <c r="P281" s="534" t="str">
        <f t="shared" si="39"/>
        <v>3009</v>
      </c>
      <c r="Q281" s="534" t="str">
        <f t="shared" si="40"/>
        <v>政治タブ12P</v>
      </c>
      <c r="R281" s="538" t="str">
        <f t="shared" si="41"/>
        <v>30</v>
      </c>
      <c r="S281" s="538" t="str">
        <f t="shared" si="42"/>
        <v>09</v>
      </c>
      <c r="T281" s="471" t="s">
        <v>1136</v>
      </c>
      <c r="U281" s="538"/>
      <c r="V281" s="538"/>
      <c r="W281" s="471">
        <v>0</v>
      </c>
      <c r="X281" s="540"/>
      <c r="Y281" s="471">
        <v>0</v>
      </c>
      <c r="Z281" s="538"/>
      <c r="AA281" s="538"/>
      <c r="AB281" s="538"/>
      <c r="AC281" s="538"/>
      <c r="AD281" s="538"/>
      <c r="AE281" s="538"/>
      <c r="AF281" s="538"/>
      <c r="AG281" s="538"/>
      <c r="AH281" s="538"/>
      <c r="AI281" s="538"/>
      <c r="AJ281" s="538"/>
      <c r="AK281" s="538"/>
      <c r="AL281" s="538"/>
      <c r="AM281" s="538"/>
      <c r="AN281" s="538"/>
      <c r="AO281" s="538"/>
      <c r="AP281" s="538"/>
      <c r="AQ281" s="538"/>
      <c r="AR281" s="538"/>
      <c r="AS281" s="538"/>
      <c r="AT281" s="538"/>
      <c r="AU281" s="538"/>
      <c r="AV281" s="538"/>
      <c r="AW281" s="538"/>
      <c r="AX281" s="538"/>
      <c r="AY281" s="538"/>
      <c r="AZ281" s="538"/>
    </row>
    <row r="282" spans="1:52" s="471" customFormat="1">
      <c r="A282" s="465" t="s">
        <v>10</v>
      </c>
      <c r="B282" s="452" t="str">
        <f>VLOOKUP(A282,★新聞!$C$4:$D$12,2,FALSE)</f>
        <v>S</v>
      </c>
      <c r="C282" s="465" t="s">
        <v>1358</v>
      </c>
      <c r="D282" s="452" t="str">
        <f>VLOOKUP(C282,★サイズ表記!$D$4:$E$55,2,FALSE)</f>
        <v>4001</v>
      </c>
      <c r="E282" s="484" t="str">
        <f t="shared" si="36"/>
        <v>S4001</v>
      </c>
      <c r="F282" s="484" t="str">
        <f t="shared" si="37"/>
        <v>山陰中央/タブ6P</v>
      </c>
      <c r="G282" s="483"/>
      <c r="I282" s="471" t="str">
        <f t="shared" si="35"/>
        <v>S4001</v>
      </c>
      <c r="J282" s="471" t="str">
        <f t="shared" si="38"/>
        <v>山陰中央/タブ6P</v>
      </c>
      <c r="M282" s="538"/>
      <c r="N282" s="533" t="s">
        <v>1324</v>
      </c>
      <c r="O282" s="533" t="s">
        <v>1325</v>
      </c>
      <c r="P282" s="534" t="str">
        <f t="shared" si="39"/>
        <v>4001</v>
      </c>
      <c r="Q282" s="534" t="str">
        <f t="shared" si="40"/>
        <v>タブ6P</v>
      </c>
      <c r="R282" s="538" t="str">
        <f t="shared" si="41"/>
        <v>40</v>
      </c>
      <c r="S282" s="538" t="str">
        <f t="shared" si="42"/>
        <v>01</v>
      </c>
      <c r="T282" s="471" t="s">
        <v>1136</v>
      </c>
      <c r="U282" s="538"/>
      <c r="V282" s="538"/>
      <c r="W282" s="471">
        <v>0</v>
      </c>
      <c r="X282" s="540"/>
      <c r="Y282" s="471">
        <v>0</v>
      </c>
      <c r="Z282" s="538"/>
      <c r="AA282" s="538"/>
      <c r="AB282" s="538"/>
      <c r="AC282" s="538"/>
      <c r="AD282" s="538"/>
      <c r="AE282" s="538"/>
      <c r="AF282" s="538"/>
      <c r="AG282" s="538"/>
      <c r="AH282" s="538"/>
      <c r="AI282" s="538"/>
      <c r="AJ282" s="538"/>
      <c r="AK282" s="538"/>
      <c r="AL282" s="538"/>
      <c r="AM282" s="538"/>
      <c r="AN282" s="538"/>
      <c r="AO282" s="538"/>
      <c r="AP282" s="538"/>
      <c r="AQ282" s="538"/>
      <c r="AR282" s="538"/>
      <c r="AS282" s="538"/>
      <c r="AT282" s="538"/>
      <c r="AU282" s="538"/>
      <c r="AV282" s="538"/>
      <c r="AW282" s="538"/>
      <c r="AX282" s="538"/>
      <c r="AY282" s="538"/>
      <c r="AZ282" s="538"/>
    </row>
    <row r="283" spans="1:52" s="471" customFormat="1">
      <c r="A283" s="465" t="s">
        <v>10</v>
      </c>
      <c r="B283" s="452" t="str">
        <f>VLOOKUP(A283,★新聞!$C$4:$D$12,2,FALSE)</f>
        <v>S</v>
      </c>
      <c r="C283" s="465" t="s">
        <v>1359</v>
      </c>
      <c r="D283" s="452" t="str">
        <f>VLOOKUP(C283,★サイズ表記!$D$4:$E$55,2,FALSE)</f>
        <v>4002</v>
      </c>
      <c r="E283" s="484" t="str">
        <f t="shared" si="36"/>
        <v>S4002</v>
      </c>
      <c r="F283" s="484" t="str">
        <f t="shared" si="37"/>
        <v>山陰中央/タブ8P</v>
      </c>
      <c r="G283" s="483"/>
      <c r="I283" s="471" t="str">
        <f t="shared" si="35"/>
        <v>S4002</v>
      </c>
      <c r="J283" s="471" t="str">
        <f t="shared" si="38"/>
        <v>山陰中央/タブ8P</v>
      </c>
      <c r="M283" s="538"/>
      <c r="N283" s="533" t="s">
        <v>1324</v>
      </c>
      <c r="O283" s="533" t="s">
        <v>1325</v>
      </c>
      <c r="P283" s="534" t="str">
        <f t="shared" si="39"/>
        <v>4002</v>
      </c>
      <c r="Q283" s="534" t="str">
        <f t="shared" si="40"/>
        <v>タブ8P</v>
      </c>
      <c r="R283" s="538" t="str">
        <f t="shared" si="41"/>
        <v>40</v>
      </c>
      <c r="S283" s="538" t="str">
        <f t="shared" si="42"/>
        <v>02</v>
      </c>
      <c r="T283" s="471" t="s">
        <v>1136</v>
      </c>
      <c r="U283" s="538"/>
      <c r="V283" s="538"/>
      <c r="W283" s="471">
        <v>0</v>
      </c>
      <c r="X283" s="540"/>
      <c r="Y283" s="471">
        <v>0</v>
      </c>
      <c r="Z283" s="538"/>
      <c r="AA283" s="538"/>
      <c r="AB283" s="538"/>
      <c r="AC283" s="538"/>
      <c r="AD283" s="538"/>
      <c r="AE283" s="538"/>
      <c r="AF283" s="538"/>
      <c r="AG283" s="538"/>
      <c r="AH283" s="538"/>
      <c r="AI283" s="538"/>
      <c r="AJ283" s="538"/>
      <c r="AK283" s="538"/>
      <c r="AL283" s="538"/>
      <c r="AM283" s="538"/>
      <c r="AN283" s="538"/>
      <c r="AO283" s="538"/>
      <c r="AP283" s="538"/>
      <c r="AQ283" s="538"/>
      <c r="AR283" s="538"/>
      <c r="AS283" s="538"/>
      <c r="AT283" s="538"/>
      <c r="AU283" s="538"/>
      <c r="AV283" s="538"/>
      <c r="AW283" s="538"/>
      <c r="AX283" s="538"/>
      <c r="AY283" s="538"/>
      <c r="AZ283" s="538"/>
    </row>
    <row r="284" spans="1:52" s="471" customFormat="1">
      <c r="A284" s="465" t="s">
        <v>10</v>
      </c>
      <c r="B284" s="452" t="str">
        <f>VLOOKUP(A284,★新聞!$C$4:$D$12,2,FALSE)</f>
        <v>S</v>
      </c>
      <c r="C284" s="465" t="s">
        <v>1360</v>
      </c>
      <c r="D284" s="452" t="str">
        <f>VLOOKUP(C284,★サイズ表記!$D$4:$E$55,2,FALSE)</f>
        <v>4003</v>
      </c>
      <c r="E284" s="484" t="str">
        <f t="shared" si="36"/>
        <v>S4003</v>
      </c>
      <c r="F284" s="484" t="str">
        <f t="shared" si="37"/>
        <v>山陰中央/タブ8Pホチキス止め</v>
      </c>
      <c r="G284" s="483"/>
      <c r="I284" s="471" t="str">
        <f t="shared" si="35"/>
        <v>S4003</v>
      </c>
      <c r="J284" s="471" t="str">
        <f t="shared" si="38"/>
        <v>山陰中央/タブ8Pホチキス止め</v>
      </c>
      <c r="M284" s="538"/>
      <c r="N284" s="533" t="s">
        <v>1324</v>
      </c>
      <c r="O284" s="533" t="s">
        <v>1325</v>
      </c>
      <c r="P284" s="534" t="str">
        <f t="shared" si="39"/>
        <v>4003</v>
      </c>
      <c r="Q284" s="534" t="str">
        <f t="shared" si="40"/>
        <v>タブ8Pホチキス止め</v>
      </c>
      <c r="R284" s="538" t="str">
        <f t="shared" si="41"/>
        <v>40</v>
      </c>
      <c r="S284" s="538" t="str">
        <f t="shared" si="42"/>
        <v>03</v>
      </c>
      <c r="T284" s="471" t="s">
        <v>1136</v>
      </c>
      <c r="U284" s="538"/>
      <c r="V284" s="538"/>
      <c r="W284" s="471">
        <v>0</v>
      </c>
      <c r="X284" s="540"/>
      <c r="Y284" s="471">
        <v>0</v>
      </c>
      <c r="Z284" s="538"/>
      <c r="AA284" s="538"/>
      <c r="AB284" s="538"/>
      <c r="AC284" s="538"/>
      <c r="AD284" s="538"/>
      <c r="AE284" s="538"/>
      <c r="AF284" s="538"/>
      <c r="AG284" s="538"/>
      <c r="AH284" s="538"/>
      <c r="AI284" s="538"/>
      <c r="AJ284" s="538"/>
      <c r="AK284" s="538"/>
      <c r="AL284" s="538"/>
      <c r="AM284" s="538"/>
      <c r="AN284" s="538"/>
      <c r="AO284" s="538"/>
      <c r="AP284" s="538"/>
      <c r="AQ284" s="538"/>
      <c r="AR284" s="538"/>
      <c r="AS284" s="538"/>
      <c r="AT284" s="538"/>
      <c r="AU284" s="538"/>
      <c r="AV284" s="538"/>
      <c r="AW284" s="538"/>
      <c r="AX284" s="538"/>
      <c r="AY284" s="538"/>
      <c r="AZ284" s="538"/>
    </row>
    <row r="285" spans="1:52" s="471" customFormat="1">
      <c r="A285" s="465" t="s">
        <v>10</v>
      </c>
      <c r="B285" s="452" t="str">
        <f>VLOOKUP(A285,★新聞!$C$4:$D$12,2,FALSE)</f>
        <v>S</v>
      </c>
      <c r="C285" s="465" t="s">
        <v>1350</v>
      </c>
      <c r="D285" s="452" t="str">
        <f>VLOOKUP(C285,★サイズ表記!$D$4:$E$55,2,FALSE)</f>
        <v>4004</v>
      </c>
      <c r="E285" s="484" t="str">
        <f t="shared" si="36"/>
        <v>S4004</v>
      </c>
      <c r="F285" s="484" t="str">
        <f t="shared" si="37"/>
        <v>山陰中央/タブ10P</v>
      </c>
      <c r="G285" s="483"/>
      <c r="I285" s="471" t="str">
        <f t="shared" si="35"/>
        <v>S4004</v>
      </c>
      <c r="J285" s="471" t="str">
        <f t="shared" si="38"/>
        <v>山陰中央/タブ10P</v>
      </c>
      <c r="M285" s="538"/>
      <c r="N285" s="533" t="s">
        <v>1324</v>
      </c>
      <c r="O285" s="533" t="s">
        <v>1325</v>
      </c>
      <c r="P285" s="534" t="str">
        <f t="shared" si="39"/>
        <v>4004</v>
      </c>
      <c r="Q285" s="534" t="str">
        <f t="shared" si="40"/>
        <v>タブ10P</v>
      </c>
      <c r="R285" s="538" t="str">
        <f t="shared" si="41"/>
        <v>40</v>
      </c>
      <c r="S285" s="538" t="str">
        <f t="shared" si="42"/>
        <v>04</v>
      </c>
      <c r="T285" s="471" t="s">
        <v>1136</v>
      </c>
      <c r="U285" s="538"/>
      <c r="V285" s="538"/>
      <c r="W285" s="471">
        <v>0</v>
      </c>
      <c r="X285" s="540"/>
      <c r="Y285" s="471">
        <v>0</v>
      </c>
      <c r="Z285" s="538"/>
      <c r="AA285" s="538"/>
      <c r="AB285" s="538"/>
      <c r="AC285" s="538"/>
      <c r="AD285" s="538"/>
      <c r="AE285" s="538"/>
      <c r="AF285" s="538"/>
      <c r="AG285" s="538"/>
      <c r="AH285" s="538"/>
      <c r="AI285" s="538"/>
      <c r="AJ285" s="538"/>
      <c r="AK285" s="538"/>
      <c r="AL285" s="538"/>
      <c r="AM285" s="538"/>
      <c r="AN285" s="538"/>
      <c r="AO285" s="538"/>
      <c r="AP285" s="538"/>
      <c r="AQ285" s="538"/>
      <c r="AR285" s="538"/>
      <c r="AS285" s="538"/>
      <c r="AT285" s="538"/>
      <c r="AU285" s="538"/>
      <c r="AV285" s="538"/>
      <c r="AW285" s="538"/>
      <c r="AX285" s="538"/>
      <c r="AY285" s="538"/>
      <c r="AZ285" s="538"/>
    </row>
    <row r="286" spans="1:52" s="471" customFormat="1">
      <c r="A286" s="465" t="s">
        <v>10</v>
      </c>
      <c r="B286" s="452" t="str">
        <f>VLOOKUP(A286,★新聞!$C$4:$D$12,2,FALSE)</f>
        <v>S</v>
      </c>
      <c r="C286" s="465" t="s">
        <v>1351</v>
      </c>
      <c r="D286" s="452" t="str">
        <f>VLOOKUP(C286,★サイズ表記!$D$4:$E$55,2,FALSE)</f>
        <v>4005</v>
      </c>
      <c r="E286" s="484" t="str">
        <f t="shared" si="36"/>
        <v>S4005</v>
      </c>
      <c r="F286" s="484" t="str">
        <f t="shared" si="37"/>
        <v>山陰中央/タブ12P</v>
      </c>
      <c r="G286" s="483"/>
      <c r="I286" s="471" t="str">
        <f t="shared" si="35"/>
        <v>S4005</v>
      </c>
      <c r="J286" s="471" t="str">
        <f t="shared" si="38"/>
        <v>山陰中央/タブ12P</v>
      </c>
      <c r="M286" s="538"/>
      <c r="N286" s="533" t="s">
        <v>1324</v>
      </c>
      <c r="O286" s="533" t="s">
        <v>1325</v>
      </c>
      <c r="P286" s="534" t="str">
        <f t="shared" si="39"/>
        <v>4005</v>
      </c>
      <c r="Q286" s="534" t="str">
        <f t="shared" si="40"/>
        <v>タブ12P</v>
      </c>
      <c r="R286" s="538" t="str">
        <f t="shared" si="41"/>
        <v>40</v>
      </c>
      <c r="S286" s="538" t="str">
        <f t="shared" si="42"/>
        <v>05</v>
      </c>
      <c r="T286" s="471" t="s">
        <v>1136</v>
      </c>
      <c r="U286" s="538"/>
      <c r="V286" s="538"/>
      <c r="W286" s="471">
        <v>0</v>
      </c>
      <c r="X286" s="540"/>
      <c r="Y286" s="471">
        <v>0</v>
      </c>
      <c r="Z286" s="538"/>
      <c r="AA286" s="538"/>
      <c r="AB286" s="538"/>
      <c r="AC286" s="538"/>
      <c r="AD286" s="538"/>
      <c r="AE286" s="538"/>
      <c r="AF286" s="538"/>
      <c r="AG286" s="538"/>
      <c r="AH286" s="538"/>
      <c r="AI286" s="538"/>
      <c r="AJ286" s="538"/>
      <c r="AK286" s="538"/>
      <c r="AL286" s="538"/>
      <c r="AM286" s="538"/>
      <c r="AN286" s="538"/>
      <c r="AO286" s="538"/>
      <c r="AP286" s="538"/>
      <c r="AQ286" s="538"/>
      <c r="AR286" s="538"/>
      <c r="AS286" s="538"/>
      <c r="AT286" s="538"/>
      <c r="AU286" s="538"/>
      <c r="AV286" s="538"/>
      <c r="AW286" s="538"/>
      <c r="AX286" s="538"/>
      <c r="AY286" s="538"/>
      <c r="AZ286" s="538"/>
    </row>
    <row r="287" spans="1:52" s="471" customFormat="1">
      <c r="A287" s="465" t="s">
        <v>10</v>
      </c>
      <c r="B287" s="452" t="str">
        <f>VLOOKUP(A287,★新聞!$C$4:$D$12,2,FALSE)</f>
        <v>S</v>
      </c>
      <c r="C287" s="465" t="s">
        <v>1352</v>
      </c>
      <c r="D287" s="452" t="str">
        <f>VLOOKUP(C287,★サイズ表記!$D$4:$E$55,2,FALSE)</f>
        <v>4006</v>
      </c>
      <c r="E287" s="484" t="str">
        <f t="shared" si="36"/>
        <v>S4006</v>
      </c>
      <c r="F287" s="484" t="str">
        <f t="shared" si="37"/>
        <v>山陰中央/タブ14P</v>
      </c>
      <c r="G287" s="483"/>
      <c r="I287" s="471" t="str">
        <f t="shared" si="35"/>
        <v>S4006</v>
      </c>
      <c r="J287" s="471" t="str">
        <f t="shared" si="38"/>
        <v>山陰中央/タブ14P</v>
      </c>
      <c r="M287" s="538"/>
      <c r="N287" s="533" t="s">
        <v>1324</v>
      </c>
      <c r="O287" s="533" t="s">
        <v>1325</v>
      </c>
      <c r="P287" s="534" t="str">
        <f t="shared" si="39"/>
        <v>4006</v>
      </c>
      <c r="Q287" s="534" t="str">
        <f t="shared" si="40"/>
        <v>タブ14P</v>
      </c>
      <c r="R287" s="538" t="str">
        <f t="shared" si="41"/>
        <v>40</v>
      </c>
      <c r="S287" s="538" t="str">
        <f t="shared" si="42"/>
        <v>06</v>
      </c>
      <c r="T287" s="471" t="s">
        <v>1136</v>
      </c>
      <c r="U287" s="538"/>
      <c r="V287" s="538"/>
      <c r="W287" s="471">
        <v>0</v>
      </c>
      <c r="X287" s="540"/>
      <c r="Y287" s="471">
        <v>0</v>
      </c>
      <c r="Z287" s="538"/>
      <c r="AA287" s="538"/>
      <c r="AB287" s="538"/>
      <c r="AC287" s="538"/>
      <c r="AD287" s="538"/>
      <c r="AE287" s="538"/>
      <c r="AF287" s="538"/>
      <c r="AG287" s="538"/>
      <c r="AH287" s="538"/>
      <c r="AI287" s="538"/>
      <c r="AJ287" s="538"/>
      <c r="AK287" s="538"/>
      <c r="AL287" s="538"/>
      <c r="AM287" s="538"/>
      <c r="AN287" s="538"/>
      <c r="AO287" s="538"/>
      <c r="AP287" s="538"/>
      <c r="AQ287" s="538"/>
      <c r="AR287" s="538"/>
      <c r="AS287" s="538"/>
      <c r="AT287" s="538"/>
      <c r="AU287" s="538"/>
      <c r="AV287" s="538"/>
      <c r="AW287" s="538"/>
      <c r="AX287" s="538"/>
      <c r="AY287" s="538"/>
      <c r="AZ287" s="538"/>
    </row>
    <row r="288" spans="1:52" s="471" customFormat="1">
      <c r="A288" s="465" t="s">
        <v>10</v>
      </c>
      <c r="B288" s="452" t="str">
        <f>VLOOKUP(A288,★新聞!$C$4:$D$12,2,FALSE)</f>
        <v>S</v>
      </c>
      <c r="C288" s="465" t="s">
        <v>1353</v>
      </c>
      <c r="D288" s="452" t="str">
        <f>VLOOKUP(C288,★サイズ表記!$D$4:$E$55,2,FALSE)</f>
        <v>4007</v>
      </c>
      <c r="E288" s="484" t="str">
        <f t="shared" si="36"/>
        <v>S4007</v>
      </c>
      <c r="F288" s="484" t="str">
        <f t="shared" si="37"/>
        <v>山陰中央/タブ16P</v>
      </c>
      <c r="G288" s="483"/>
      <c r="I288" s="471" t="str">
        <f t="shared" si="35"/>
        <v>S4007</v>
      </c>
      <c r="J288" s="471" t="str">
        <f t="shared" si="38"/>
        <v>山陰中央/タブ16P</v>
      </c>
      <c r="M288" s="538"/>
      <c r="N288" s="533" t="s">
        <v>1324</v>
      </c>
      <c r="O288" s="533" t="s">
        <v>1325</v>
      </c>
      <c r="P288" s="534" t="str">
        <f t="shared" si="39"/>
        <v>4007</v>
      </c>
      <c r="Q288" s="534" t="str">
        <f t="shared" si="40"/>
        <v>タブ16P</v>
      </c>
      <c r="R288" s="538" t="str">
        <f t="shared" si="41"/>
        <v>40</v>
      </c>
      <c r="S288" s="538" t="str">
        <f t="shared" si="42"/>
        <v>07</v>
      </c>
      <c r="T288" s="471" t="s">
        <v>1136</v>
      </c>
      <c r="U288" s="538"/>
      <c r="V288" s="538"/>
      <c r="W288" s="471">
        <v>0</v>
      </c>
      <c r="X288" s="540"/>
      <c r="Y288" s="471">
        <v>0</v>
      </c>
      <c r="Z288" s="538"/>
      <c r="AA288" s="538"/>
      <c r="AB288" s="538"/>
      <c r="AC288" s="538"/>
      <c r="AD288" s="538"/>
      <c r="AE288" s="538"/>
      <c r="AF288" s="538"/>
      <c r="AG288" s="538"/>
      <c r="AH288" s="538"/>
      <c r="AI288" s="538"/>
      <c r="AJ288" s="538"/>
      <c r="AK288" s="538"/>
      <c r="AL288" s="538"/>
      <c r="AM288" s="538"/>
      <c r="AN288" s="538"/>
      <c r="AO288" s="538"/>
      <c r="AP288" s="538"/>
      <c r="AQ288" s="538"/>
      <c r="AR288" s="538"/>
      <c r="AS288" s="538"/>
      <c r="AT288" s="538"/>
      <c r="AU288" s="538"/>
      <c r="AV288" s="538"/>
      <c r="AW288" s="538"/>
      <c r="AX288" s="538"/>
      <c r="AY288" s="538"/>
      <c r="AZ288" s="538"/>
    </row>
    <row r="289" spans="1:52" s="471" customFormat="1">
      <c r="A289" s="465" t="s">
        <v>10</v>
      </c>
      <c r="B289" s="452" t="str">
        <f>VLOOKUP(A289,★新聞!$C$4:$D$12,2,FALSE)</f>
        <v>S</v>
      </c>
      <c r="C289" s="465" t="s">
        <v>1355</v>
      </c>
      <c r="D289" s="452" t="str">
        <f>VLOOKUP(C289,★サイズ表記!$D$4:$E$55,2,FALSE)</f>
        <v>4008</v>
      </c>
      <c r="E289" s="484" t="str">
        <f t="shared" si="36"/>
        <v>S4008</v>
      </c>
      <c r="F289" s="484" t="str">
        <f t="shared" si="37"/>
        <v>山陰中央/タブ18P</v>
      </c>
      <c r="G289" s="483"/>
      <c r="I289" s="471" t="str">
        <f t="shared" si="35"/>
        <v>S4008</v>
      </c>
      <c r="J289" s="471" t="str">
        <f t="shared" si="38"/>
        <v>山陰中央/タブ18P</v>
      </c>
      <c r="M289" s="538"/>
      <c r="N289" s="533" t="s">
        <v>1324</v>
      </c>
      <c r="O289" s="533" t="s">
        <v>1325</v>
      </c>
      <c r="P289" s="534" t="str">
        <f t="shared" si="39"/>
        <v>4008</v>
      </c>
      <c r="Q289" s="534" t="str">
        <f t="shared" si="40"/>
        <v>タブ18P</v>
      </c>
      <c r="R289" s="538" t="str">
        <f t="shared" si="41"/>
        <v>40</v>
      </c>
      <c r="S289" s="538" t="str">
        <f t="shared" si="42"/>
        <v>08</v>
      </c>
      <c r="T289" s="471" t="s">
        <v>1136</v>
      </c>
      <c r="U289" s="538"/>
      <c r="V289" s="538"/>
      <c r="W289" s="471">
        <v>0</v>
      </c>
      <c r="X289" s="540"/>
      <c r="Y289" s="471">
        <v>0</v>
      </c>
      <c r="Z289" s="538"/>
      <c r="AA289" s="538"/>
      <c r="AB289" s="538"/>
      <c r="AC289" s="538"/>
      <c r="AD289" s="538"/>
      <c r="AE289" s="538"/>
      <c r="AF289" s="538"/>
      <c r="AG289" s="538"/>
      <c r="AH289" s="538"/>
      <c r="AI289" s="538"/>
      <c r="AJ289" s="538"/>
      <c r="AK289" s="538"/>
      <c r="AL289" s="538"/>
      <c r="AM289" s="538"/>
      <c r="AN289" s="538"/>
      <c r="AO289" s="538"/>
      <c r="AP289" s="538"/>
      <c r="AQ289" s="538"/>
      <c r="AR289" s="538"/>
      <c r="AS289" s="538"/>
      <c r="AT289" s="538"/>
      <c r="AU289" s="538"/>
      <c r="AV289" s="538"/>
      <c r="AW289" s="538"/>
      <c r="AX289" s="538"/>
      <c r="AY289" s="538"/>
      <c r="AZ289" s="538"/>
    </row>
    <row r="290" spans="1:52" s="471" customFormat="1">
      <c r="A290" s="465" t="s">
        <v>10</v>
      </c>
      <c r="B290" s="452" t="str">
        <f>VLOOKUP(A290,★新聞!$C$4:$D$12,2,FALSE)</f>
        <v>S</v>
      </c>
      <c r="C290" s="465" t="s">
        <v>1356</v>
      </c>
      <c r="D290" s="452" t="str">
        <f>VLOOKUP(C290,★サイズ表記!$D$4:$E$55,2,FALSE)</f>
        <v>4009</v>
      </c>
      <c r="E290" s="484" t="str">
        <f t="shared" si="36"/>
        <v>S4009</v>
      </c>
      <c r="F290" s="484" t="str">
        <f t="shared" si="37"/>
        <v>山陰中央/タブ20P</v>
      </c>
      <c r="G290" s="483"/>
      <c r="I290" s="471" t="str">
        <f t="shared" si="35"/>
        <v>S4009</v>
      </c>
      <c r="J290" s="471" t="str">
        <f t="shared" si="38"/>
        <v>山陰中央/タブ20P</v>
      </c>
      <c r="M290" s="538"/>
      <c r="N290" s="533" t="s">
        <v>1324</v>
      </c>
      <c r="O290" s="533" t="s">
        <v>1325</v>
      </c>
      <c r="P290" s="534" t="str">
        <f t="shared" si="39"/>
        <v>4009</v>
      </c>
      <c r="Q290" s="534" t="str">
        <f t="shared" si="40"/>
        <v>タブ20P</v>
      </c>
      <c r="R290" s="538" t="str">
        <f t="shared" si="41"/>
        <v>40</v>
      </c>
      <c r="S290" s="538" t="str">
        <f t="shared" si="42"/>
        <v>09</v>
      </c>
      <c r="T290" s="471" t="s">
        <v>1136</v>
      </c>
      <c r="U290" s="538"/>
      <c r="V290" s="538"/>
      <c r="W290" s="471">
        <v>0</v>
      </c>
      <c r="X290" s="540"/>
      <c r="Y290" s="471">
        <v>0</v>
      </c>
      <c r="Z290" s="538"/>
      <c r="AA290" s="538"/>
      <c r="AB290" s="538"/>
      <c r="AC290" s="538"/>
      <c r="AD290" s="538"/>
      <c r="AE290" s="538"/>
      <c r="AF290" s="538"/>
      <c r="AG290" s="538"/>
      <c r="AH290" s="538"/>
      <c r="AI290" s="538"/>
      <c r="AJ290" s="538"/>
      <c r="AK290" s="538"/>
      <c r="AL290" s="538"/>
      <c r="AM290" s="538"/>
      <c r="AN290" s="538"/>
      <c r="AO290" s="538"/>
      <c r="AP290" s="538"/>
      <c r="AQ290" s="538"/>
      <c r="AR290" s="538"/>
      <c r="AS290" s="538"/>
      <c r="AT290" s="538"/>
      <c r="AU290" s="538"/>
      <c r="AV290" s="538"/>
      <c r="AW290" s="538"/>
      <c r="AX290" s="538"/>
      <c r="AY290" s="538"/>
      <c r="AZ290" s="538"/>
    </row>
    <row r="291" spans="1:52" s="471" customFormat="1">
      <c r="A291" s="465" t="s">
        <v>10</v>
      </c>
      <c r="B291" s="452" t="str">
        <f>VLOOKUP(A291,★新聞!$C$4:$D$12,2,FALSE)</f>
        <v>S</v>
      </c>
      <c r="C291" s="465" t="s">
        <v>1354</v>
      </c>
      <c r="D291" s="452" t="str">
        <f>VLOOKUP(C291,★サイズ表記!$D$4:$E$55,2,FALSE)</f>
        <v>4010</v>
      </c>
      <c r="E291" s="484" t="str">
        <f t="shared" si="36"/>
        <v>S4010</v>
      </c>
      <c r="F291" s="484" t="str">
        <f t="shared" si="37"/>
        <v>山陰中央/タブ16Pホチキス止め</v>
      </c>
      <c r="G291" s="483"/>
      <c r="I291" s="471" t="str">
        <f t="shared" si="35"/>
        <v>S4010</v>
      </c>
      <c r="J291" s="471" t="str">
        <f t="shared" si="38"/>
        <v>山陰中央/タブ16Pホチキス止め</v>
      </c>
      <c r="M291" s="538"/>
      <c r="N291" s="533" t="s">
        <v>1324</v>
      </c>
      <c r="O291" s="533" t="s">
        <v>1325</v>
      </c>
      <c r="P291" s="534" t="str">
        <f t="shared" si="39"/>
        <v>4010</v>
      </c>
      <c r="Q291" s="534" t="str">
        <f t="shared" si="40"/>
        <v>タブ16Pホチキス止め</v>
      </c>
      <c r="R291" s="538" t="str">
        <f t="shared" si="41"/>
        <v>40</v>
      </c>
      <c r="S291" s="538" t="str">
        <f t="shared" si="42"/>
        <v>10</v>
      </c>
      <c r="T291" s="471" t="s">
        <v>1136</v>
      </c>
      <c r="U291" s="538"/>
      <c r="V291" s="538"/>
      <c r="W291" s="471">
        <v>0</v>
      </c>
      <c r="X291" s="540"/>
      <c r="Y291" s="471">
        <v>0</v>
      </c>
      <c r="Z291" s="538"/>
      <c r="AA291" s="538"/>
      <c r="AB291" s="538"/>
      <c r="AC291" s="538"/>
      <c r="AD291" s="538"/>
      <c r="AE291" s="538"/>
      <c r="AF291" s="538"/>
      <c r="AG291" s="538"/>
      <c r="AH291" s="538"/>
      <c r="AI291" s="538"/>
      <c r="AJ291" s="538"/>
      <c r="AK291" s="538"/>
      <c r="AL291" s="538"/>
      <c r="AM291" s="538"/>
      <c r="AN291" s="538"/>
      <c r="AO291" s="538"/>
      <c r="AP291" s="538"/>
      <c r="AQ291" s="538"/>
      <c r="AR291" s="538"/>
      <c r="AS291" s="538"/>
      <c r="AT291" s="538"/>
      <c r="AU291" s="538"/>
      <c r="AV291" s="538"/>
      <c r="AW291" s="538"/>
      <c r="AX291" s="538"/>
      <c r="AY291" s="538"/>
      <c r="AZ291" s="538"/>
    </row>
    <row r="292" spans="1:52" s="471" customFormat="1">
      <c r="A292" s="465" t="s">
        <v>10</v>
      </c>
      <c r="B292" s="452" t="str">
        <f>VLOOKUP(A292,★新聞!$C$4:$D$12,2,FALSE)</f>
        <v>S</v>
      </c>
      <c r="C292" s="465" t="s">
        <v>1357</v>
      </c>
      <c r="D292" s="452" t="str">
        <f>VLOOKUP(C292,★サイズ表記!$D$4:$E$55,2,FALSE)</f>
        <v>4011</v>
      </c>
      <c r="E292" s="484" t="str">
        <f t="shared" si="36"/>
        <v>S4011</v>
      </c>
      <c r="F292" s="484" t="str">
        <f t="shared" si="37"/>
        <v>山陰中央/タブ40P</v>
      </c>
      <c r="G292" s="483"/>
      <c r="I292" s="471" t="str">
        <f t="shared" si="35"/>
        <v>S4011</v>
      </c>
      <c r="J292" s="471" t="str">
        <f t="shared" si="38"/>
        <v>山陰中央/タブ40P</v>
      </c>
      <c r="M292" s="538"/>
      <c r="N292" s="533" t="s">
        <v>1324</v>
      </c>
      <c r="O292" s="533" t="s">
        <v>1325</v>
      </c>
      <c r="P292" s="534" t="str">
        <f t="shared" si="39"/>
        <v>4011</v>
      </c>
      <c r="Q292" s="534" t="str">
        <f t="shared" si="40"/>
        <v>タブ40P</v>
      </c>
      <c r="R292" s="538" t="str">
        <f t="shared" si="41"/>
        <v>40</v>
      </c>
      <c r="S292" s="538" t="str">
        <f t="shared" si="42"/>
        <v>11</v>
      </c>
      <c r="T292" s="471" t="s">
        <v>1136</v>
      </c>
      <c r="U292" s="538"/>
      <c r="V292" s="538"/>
      <c r="W292" s="471">
        <v>0</v>
      </c>
      <c r="X292" s="540"/>
      <c r="Y292" s="471">
        <v>0</v>
      </c>
      <c r="Z292" s="538"/>
      <c r="AA292" s="538"/>
      <c r="AB292" s="538"/>
      <c r="AC292" s="538"/>
      <c r="AD292" s="538"/>
      <c r="AE292" s="538"/>
      <c r="AF292" s="538"/>
      <c r="AG292" s="538"/>
      <c r="AH292" s="538"/>
      <c r="AI292" s="538"/>
      <c r="AJ292" s="538"/>
      <c r="AK292" s="538"/>
      <c r="AL292" s="538"/>
      <c r="AM292" s="538"/>
      <c r="AN292" s="538"/>
      <c r="AO292" s="538"/>
      <c r="AP292" s="538"/>
      <c r="AQ292" s="538"/>
      <c r="AR292" s="538"/>
      <c r="AS292" s="538"/>
      <c r="AT292" s="538"/>
      <c r="AU292" s="538"/>
      <c r="AV292" s="538"/>
      <c r="AW292" s="538"/>
      <c r="AX292" s="538"/>
      <c r="AY292" s="538"/>
      <c r="AZ292" s="538"/>
    </row>
    <row r="293" spans="1:52" s="471" customFormat="1">
      <c r="A293" s="465" t="s">
        <v>10</v>
      </c>
      <c r="B293" s="452" t="str">
        <f>VLOOKUP(A293,★新聞!$C$4:$D$12,2,FALSE)</f>
        <v>S</v>
      </c>
      <c r="C293" s="465" t="s">
        <v>975</v>
      </c>
      <c r="D293" s="452" t="str">
        <f>VLOOKUP(C293,★サイズ表記!$D$4:$E$55,2,FALSE)</f>
        <v>9001</v>
      </c>
      <c r="E293" s="484" t="str">
        <f t="shared" si="36"/>
        <v>S9001</v>
      </c>
      <c r="F293" s="484" t="str">
        <f t="shared" si="37"/>
        <v>山陰中央/うさぎの耳</v>
      </c>
      <c r="G293" s="483"/>
      <c r="I293" s="471" t="str">
        <f t="shared" si="35"/>
        <v>S9001</v>
      </c>
      <c r="J293" s="471" t="str">
        <f t="shared" si="38"/>
        <v>山陰中央/うさぎの耳</v>
      </c>
      <c r="M293" s="538"/>
      <c r="N293" s="533" t="s">
        <v>1324</v>
      </c>
      <c r="O293" s="533" t="s">
        <v>1325</v>
      </c>
      <c r="P293" s="534" t="str">
        <f t="shared" si="39"/>
        <v>9001</v>
      </c>
      <c r="Q293" s="534" t="str">
        <f t="shared" si="40"/>
        <v>うさぎの耳</v>
      </c>
      <c r="R293" s="538" t="str">
        <f t="shared" si="41"/>
        <v>90</v>
      </c>
      <c r="S293" s="538" t="str">
        <f t="shared" si="42"/>
        <v>01</v>
      </c>
      <c r="T293" s="471" t="s">
        <v>1136</v>
      </c>
      <c r="U293" s="538"/>
      <c r="V293" s="538"/>
      <c r="W293" s="471">
        <v>0</v>
      </c>
      <c r="X293" s="540"/>
      <c r="Y293" s="471">
        <v>0</v>
      </c>
      <c r="Z293" s="538"/>
      <c r="AA293" s="538"/>
      <c r="AB293" s="538"/>
      <c r="AC293" s="538"/>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8"/>
      <c r="AY293" s="538"/>
      <c r="AZ293" s="538"/>
    </row>
    <row r="294" spans="1:52" s="471" customFormat="1">
      <c r="A294" s="465" t="s">
        <v>10</v>
      </c>
      <c r="B294" s="452" t="str">
        <f>VLOOKUP(A294,★新聞!$C$4:$D$12,2,FALSE)</f>
        <v>S</v>
      </c>
      <c r="C294" s="465" t="s">
        <v>976</v>
      </c>
      <c r="D294" s="452" t="str">
        <f>VLOOKUP(C294,★サイズ表記!$D$4:$E$55,2,FALSE)</f>
        <v>9002</v>
      </c>
      <c r="E294" s="484" t="str">
        <f t="shared" si="36"/>
        <v>S9002</v>
      </c>
      <c r="F294" s="484" t="str">
        <f t="shared" si="37"/>
        <v>山陰中央/ユーキャン（題字）</v>
      </c>
      <c r="G294" s="483"/>
      <c r="I294" s="471" t="str">
        <f t="shared" si="35"/>
        <v>S9002</v>
      </c>
      <c r="J294" s="471" t="str">
        <f t="shared" si="38"/>
        <v>山陰中央/ユーキャン（題字）</v>
      </c>
      <c r="M294" s="538"/>
      <c r="N294" s="533" t="s">
        <v>1324</v>
      </c>
      <c r="O294" s="533" t="s">
        <v>1325</v>
      </c>
      <c r="P294" s="534" t="str">
        <f t="shared" si="39"/>
        <v>9002</v>
      </c>
      <c r="Q294" s="534" t="str">
        <f t="shared" si="40"/>
        <v>ユーキャン（題字）</v>
      </c>
      <c r="R294" s="538" t="str">
        <f t="shared" si="41"/>
        <v>90</v>
      </c>
      <c r="S294" s="538" t="str">
        <f t="shared" si="42"/>
        <v>02</v>
      </c>
      <c r="T294" s="471" t="s">
        <v>1136</v>
      </c>
      <c r="U294" s="538"/>
      <c r="V294" s="538"/>
      <c r="W294" s="471">
        <v>0</v>
      </c>
      <c r="X294" s="540"/>
      <c r="Y294" s="471">
        <v>0</v>
      </c>
      <c r="Z294" s="538"/>
      <c r="AA294" s="538"/>
      <c r="AB294" s="538"/>
      <c r="AC294" s="538"/>
      <c r="AD294" s="538"/>
      <c r="AE294" s="538"/>
      <c r="AF294" s="538"/>
      <c r="AG294" s="538"/>
      <c r="AH294" s="538"/>
      <c r="AI294" s="538"/>
      <c r="AJ294" s="538"/>
      <c r="AK294" s="538"/>
      <c r="AL294" s="538"/>
      <c r="AM294" s="538"/>
      <c r="AN294" s="538"/>
      <c r="AO294" s="538"/>
      <c r="AP294" s="538"/>
      <c r="AQ294" s="538"/>
      <c r="AR294" s="538"/>
      <c r="AS294" s="538"/>
      <c r="AT294" s="538"/>
      <c r="AU294" s="538"/>
      <c r="AV294" s="538"/>
      <c r="AW294" s="538"/>
      <c r="AX294" s="538"/>
      <c r="AY294" s="538"/>
      <c r="AZ294" s="538"/>
    </row>
    <row r="295" spans="1:52" s="471" customFormat="1">
      <c r="A295" s="465" t="s">
        <v>10</v>
      </c>
      <c r="B295" s="452" t="str">
        <f>VLOOKUP(A295,★新聞!$C$4:$D$12,2,FALSE)</f>
        <v>S</v>
      </c>
      <c r="C295" s="465" t="s">
        <v>977</v>
      </c>
      <c r="D295" s="452" t="str">
        <f>VLOOKUP(C295,★サイズ表記!$D$4:$E$55,2,FALSE)</f>
        <v>9003</v>
      </c>
      <c r="E295" s="484" t="str">
        <f t="shared" si="36"/>
        <v>S9003</v>
      </c>
      <c r="F295" s="484" t="str">
        <f t="shared" si="37"/>
        <v>山陰中央/横長B3</v>
      </c>
      <c r="G295" s="483"/>
      <c r="I295" s="471" t="str">
        <f t="shared" si="35"/>
        <v>S9003</v>
      </c>
      <c r="J295" s="471" t="str">
        <f t="shared" si="38"/>
        <v>山陰中央/横長B3</v>
      </c>
      <c r="M295" s="538"/>
      <c r="N295" s="533" t="s">
        <v>1324</v>
      </c>
      <c r="O295" s="533" t="s">
        <v>1325</v>
      </c>
      <c r="P295" s="534" t="str">
        <f t="shared" si="39"/>
        <v>9003</v>
      </c>
      <c r="Q295" s="534" t="str">
        <f t="shared" si="40"/>
        <v>横長B3</v>
      </c>
      <c r="R295" s="538" t="str">
        <f t="shared" si="41"/>
        <v>90</v>
      </c>
      <c r="S295" s="538" t="str">
        <f t="shared" si="42"/>
        <v>03</v>
      </c>
      <c r="T295" s="471" t="s">
        <v>1136</v>
      </c>
      <c r="U295" s="538"/>
      <c r="V295" s="538"/>
      <c r="W295" s="471">
        <v>0</v>
      </c>
      <c r="X295" s="540"/>
      <c r="Y295" s="471">
        <v>0</v>
      </c>
      <c r="Z295" s="538"/>
      <c r="AA295" s="538"/>
      <c r="AB295" s="538"/>
      <c r="AC295" s="538"/>
      <c r="AD295" s="538"/>
      <c r="AE295" s="538"/>
      <c r="AF295" s="538"/>
      <c r="AG295" s="538"/>
      <c r="AH295" s="538"/>
      <c r="AI295" s="538"/>
      <c r="AJ295" s="538"/>
      <c r="AK295" s="538"/>
      <c r="AL295" s="538"/>
      <c r="AM295" s="538"/>
      <c r="AN295" s="538"/>
      <c r="AO295" s="538"/>
      <c r="AP295" s="538"/>
      <c r="AQ295" s="538"/>
      <c r="AR295" s="538"/>
      <c r="AS295" s="538"/>
      <c r="AT295" s="538"/>
      <c r="AU295" s="538"/>
      <c r="AV295" s="538"/>
      <c r="AW295" s="538"/>
      <c r="AX295" s="538"/>
      <c r="AY295" s="538"/>
      <c r="AZ295" s="538"/>
    </row>
    <row r="296" spans="1:52" s="471" customFormat="1">
      <c r="A296" s="465" t="s">
        <v>10</v>
      </c>
      <c r="B296" s="452" t="str">
        <f>VLOOKUP(A296,★新聞!$C$4:$D$12,2,FALSE)</f>
        <v>S</v>
      </c>
      <c r="C296" s="465" t="s">
        <v>978</v>
      </c>
      <c r="D296" s="452" t="str">
        <f>VLOOKUP(C296,★サイズ表記!$D$4:$E$55,2,FALSE)</f>
        <v>9004</v>
      </c>
      <c r="E296" s="484" t="str">
        <f t="shared" si="36"/>
        <v>S9004</v>
      </c>
      <c r="F296" s="484" t="str">
        <f t="shared" si="37"/>
        <v>山陰中央/AD-BAG</v>
      </c>
      <c r="G296" s="483"/>
      <c r="I296" s="471" t="str">
        <f t="shared" si="35"/>
        <v>S9004</v>
      </c>
      <c r="J296" s="471" t="str">
        <f t="shared" si="38"/>
        <v>山陰中央/AD-BAG</v>
      </c>
      <c r="M296" s="538"/>
      <c r="N296" s="533" t="s">
        <v>1324</v>
      </c>
      <c r="O296" s="533" t="s">
        <v>1325</v>
      </c>
      <c r="P296" s="534" t="str">
        <f t="shared" si="39"/>
        <v>9004</v>
      </c>
      <c r="Q296" s="534" t="str">
        <f t="shared" si="40"/>
        <v>AD-BAG</v>
      </c>
      <c r="R296" s="538" t="str">
        <f t="shared" si="41"/>
        <v>90</v>
      </c>
      <c r="S296" s="538" t="str">
        <f t="shared" si="42"/>
        <v>04</v>
      </c>
      <c r="T296" s="471" t="s">
        <v>1136</v>
      </c>
      <c r="U296" s="538"/>
      <c r="V296" s="538"/>
      <c r="W296" s="471">
        <v>0</v>
      </c>
      <c r="X296" s="540"/>
      <c r="Y296" s="471">
        <v>0</v>
      </c>
      <c r="Z296" s="538"/>
      <c r="AA296" s="538"/>
      <c r="AB296" s="538"/>
      <c r="AC296" s="538"/>
      <c r="AD296" s="538"/>
      <c r="AE296" s="538"/>
      <c r="AF296" s="538"/>
      <c r="AG296" s="538"/>
      <c r="AH296" s="538"/>
      <c r="AI296" s="538"/>
      <c r="AJ296" s="538"/>
      <c r="AK296" s="538"/>
      <c r="AL296" s="538"/>
      <c r="AM296" s="538"/>
      <c r="AN296" s="538"/>
      <c r="AO296" s="538"/>
      <c r="AP296" s="538"/>
      <c r="AQ296" s="538"/>
      <c r="AR296" s="538"/>
      <c r="AS296" s="538"/>
      <c r="AT296" s="538"/>
      <c r="AU296" s="538"/>
      <c r="AV296" s="538"/>
      <c r="AW296" s="538"/>
      <c r="AX296" s="538"/>
      <c r="AY296" s="538"/>
      <c r="AZ296" s="538"/>
    </row>
    <row r="297" spans="1:52" s="471" customFormat="1">
      <c r="A297" s="465" t="s">
        <v>10</v>
      </c>
      <c r="B297" s="452" t="str">
        <f>VLOOKUP(A297,★新聞!$C$4:$D$12,2,FALSE)</f>
        <v>S</v>
      </c>
      <c r="C297" s="465" t="s">
        <v>979</v>
      </c>
      <c r="D297" s="452" t="str">
        <f>VLOOKUP(C297,★サイズ表記!$D$4:$E$55,2,FALSE)</f>
        <v>9005</v>
      </c>
      <c r="E297" s="484" t="str">
        <f t="shared" si="36"/>
        <v>S9005</v>
      </c>
      <c r="F297" s="484" t="str">
        <f t="shared" si="37"/>
        <v>山陰中央/封筒</v>
      </c>
      <c r="G297" s="483"/>
      <c r="I297" s="471" t="str">
        <f t="shared" si="35"/>
        <v>S9005</v>
      </c>
      <c r="J297" s="471" t="str">
        <f t="shared" si="38"/>
        <v>山陰中央/封筒</v>
      </c>
      <c r="M297" s="538"/>
      <c r="N297" s="533" t="s">
        <v>1324</v>
      </c>
      <c r="O297" s="533" t="s">
        <v>1325</v>
      </c>
      <c r="P297" s="534" t="str">
        <f t="shared" si="39"/>
        <v>9005</v>
      </c>
      <c r="Q297" s="534" t="str">
        <f t="shared" si="40"/>
        <v>封筒</v>
      </c>
      <c r="R297" s="538" t="str">
        <f t="shared" si="41"/>
        <v>90</v>
      </c>
      <c r="S297" s="538" t="str">
        <f t="shared" si="42"/>
        <v>05</v>
      </c>
      <c r="T297" s="471" t="s">
        <v>1136</v>
      </c>
      <c r="U297" s="538"/>
      <c r="V297" s="538"/>
      <c r="W297" s="471">
        <v>0</v>
      </c>
      <c r="X297" s="540"/>
      <c r="Y297" s="471">
        <v>0</v>
      </c>
      <c r="Z297" s="538"/>
      <c r="AA297" s="538"/>
      <c r="AB297" s="538"/>
      <c r="AC297" s="538"/>
      <c r="AD297" s="538"/>
      <c r="AE297" s="538"/>
      <c r="AF297" s="538"/>
      <c r="AG297" s="538"/>
      <c r="AH297" s="538"/>
      <c r="AI297" s="538"/>
      <c r="AJ297" s="538"/>
      <c r="AK297" s="538"/>
      <c r="AL297" s="538"/>
      <c r="AM297" s="538"/>
      <c r="AN297" s="538"/>
      <c r="AO297" s="538"/>
      <c r="AP297" s="538"/>
      <c r="AQ297" s="538"/>
      <c r="AR297" s="538"/>
      <c r="AS297" s="538"/>
      <c r="AT297" s="538"/>
      <c r="AU297" s="538"/>
      <c r="AV297" s="538"/>
      <c r="AW297" s="538"/>
      <c r="AX297" s="538"/>
      <c r="AY297" s="538"/>
      <c r="AZ297" s="538"/>
    </row>
    <row r="298" spans="1:52" s="471" customFormat="1">
      <c r="A298" s="465" t="s">
        <v>10</v>
      </c>
      <c r="B298" s="452" t="str">
        <f>VLOOKUP(A298,★新聞!$C$4:$D$12,2,FALSE)</f>
        <v>S</v>
      </c>
      <c r="C298" s="465" t="s">
        <v>980</v>
      </c>
      <c r="D298" s="452" t="str">
        <f>VLOOKUP(C298,★サイズ表記!$D$4:$E$55,2,FALSE)</f>
        <v>9006</v>
      </c>
      <c r="E298" s="484" t="str">
        <f t="shared" si="36"/>
        <v>S9006</v>
      </c>
      <c r="F298" s="484" t="str">
        <f t="shared" si="37"/>
        <v>山陰中央/圧着</v>
      </c>
      <c r="G298" s="483"/>
      <c r="I298" s="471" t="str">
        <f t="shared" si="35"/>
        <v>S9006</v>
      </c>
      <c r="J298" s="471" t="str">
        <f t="shared" si="38"/>
        <v>山陰中央/圧着</v>
      </c>
      <c r="M298" s="538"/>
      <c r="N298" s="533" t="s">
        <v>1324</v>
      </c>
      <c r="O298" s="533" t="s">
        <v>1325</v>
      </c>
      <c r="P298" s="534" t="str">
        <f t="shared" si="39"/>
        <v>9006</v>
      </c>
      <c r="Q298" s="534" t="str">
        <f t="shared" si="40"/>
        <v>圧着</v>
      </c>
      <c r="R298" s="538" t="str">
        <f t="shared" si="41"/>
        <v>90</v>
      </c>
      <c r="S298" s="538" t="str">
        <f t="shared" si="42"/>
        <v>06</v>
      </c>
      <c r="T298" s="471" t="s">
        <v>1136</v>
      </c>
      <c r="U298" s="538"/>
      <c r="V298" s="538"/>
      <c r="W298" s="471">
        <v>0</v>
      </c>
      <c r="X298" s="540"/>
      <c r="Y298" s="471">
        <v>0</v>
      </c>
      <c r="Z298" s="538"/>
      <c r="AA298" s="538"/>
      <c r="AB298" s="538"/>
      <c r="AC298" s="538"/>
      <c r="AD298" s="538"/>
      <c r="AE298" s="538"/>
      <c r="AF298" s="538"/>
      <c r="AG298" s="538"/>
      <c r="AH298" s="538"/>
      <c r="AI298" s="538"/>
      <c r="AJ298" s="538"/>
      <c r="AK298" s="538"/>
      <c r="AL298" s="538"/>
      <c r="AM298" s="538"/>
      <c r="AN298" s="538"/>
      <c r="AO298" s="538"/>
      <c r="AP298" s="538"/>
      <c r="AQ298" s="538"/>
      <c r="AR298" s="538"/>
      <c r="AS298" s="538"/>
      <c r="AT298" s="538"/>
      <c r="AU298" s="538"/>
      <c r="AV298" s="538"/>
      <c r="AW298" s="538"/>
      <c r="AX298" s="538"/>
      <c r="AY298" s="538"/>
      <c r="AZ298" s="538"/>
    </row>
    <row r="299" spans="1:52" s="471" customFormat="1">
      <c r="A299" s="465" t="s">
        <v>10</v>
      </c>
      <c r="B299" s="452" t="str">
        <f>VLOOKUP(A299,★新聞!$C$4:$D$12,2,FALSE)</f>
        <v>S</v>
      </c>
      <c r="C299" s="465" t="s">
        <v>981</v>
      </c>
      <c r="D299" s="452" t="str">
        <f>VLOOKUP(C299,★サイズ表記!$D$4:$E$55,2,FALSE)</f>
        <v>9007</v>
      </c>
      <c r="E299" s="484" t="str">
        <f t="shared" si="36"/>
        <v>S9007</v>
      </c>
      <c r="F299" s="484" t="str">
        <f t="shared" si="37"/>
        <v>山陰中央/圧着厚紙</v>
      </c>
      <c r="G299" s="483"/>
      <c r="I299" s="471" t="str">
        <f t="shared" si="35"/>
        <v>S9007</v>
      </c>
      <c r="J299" s="471" t="str">
        <f t="shared" si="38"/>
        <v>山陰中央/圧着厚紙</v>
      </c>
      <c r="M299" s="538"/>
      <c r="N299" s="533" t="s">
        <v>1324</v>
      </c>
      <c r="O299" s="533" t="s">
        <v>1325</v>
      </c>
      <c r="P299" s="534" t="str">
        <f t="shared" si="39"/>
        <v>9007</v>
      </c>
      <c r="Q299" s="534" t="str">
        <f t="shared" si="40"/>
        <v>圧着厚紙</v>
      </c>
      <c r="R299" s="538" t="str">
        <f t="shared" si="41"/>
        <v>90</v>
      </c>
      <c r="S299" s="538" t="str">
        <f t="shared" si="42"/>
        <v>07</v>
      </c>
      <c r="T299" s="471" t="s">
        <v>1136</v>
      </c>
      <c r="U299" s="538"/>
      <c r="V299" s="538"/>
      <c r="W299" s="471">
        <v>0</v>
      </c>
      <c r="X299" s="540"/>
      <c r="Y299" s="471">
        <v>0</v>
      </c>
      <c r="Z299" s="538"/>
      <c r="AA299" s="538"/>
      <c r="AB299" s="538"/>
      <c r="AC299" s="538"/>
      <c r="AD299" s="538"/>
      <c r="AE299" s="538"/>
      <c r="AF299" s="538"/>
      <c r="AG299" s="538"/>
      <c r="AH299" s="538"/>
      <c r="AI299" s="538"/>
      <c r="AJ299" s="538"/>
      <c r="AK299" s="538"/>
      <c r="AL299" s="538"/>
      <c r="AM299" s="538"/>
      <c r="AN299" s="538"/>
      <c r="AO299" s="538"/>
      <c r="AP299" s="538"/>
      <c r="AQ299" s="538"/>
      <c r="AR299" s="538"/>
      <c r="AS299" s="538"/>
      <c r="AT299" s="538"/>
      <c r="AU299" s="538"/>
      <c r="AV299" s="538"/>
      <c r="AW299" s="538"/>
      <c r="AX299" s="538"/>
      <c r="AY299" s="538"/>
      <c r="AZ299" s="538"/>
    </row>
    <row r="300" spans="1:52">
      <c r="A300" s="465" t="s">
        <v>280</v>
      </c>
      <c r="B300" s="452" t="str">
        <f>VLOOKUP(A300,★新聞!$C$4:$D$12,2,FALSE)</f>
        <v>V</v>
      </c>
      <c r="C300" s="465" t="s">
        <v>948</v>
      </c>
      <c r="D300" s="452" t="str">
        <f>VLOOKUP(C300,★サイズ表記!$D$4:$E$55,2,FALSE)</f>
        <v>1001</v>
      </c>
      <c r="E300" s="484" t="str">
        <f t="shared" si="36"/>
        <v>V1001</v>
      </c>
      <c r="F300" s="484" t="str">
        <f t="shared" si="37"/>
        <v>日経/B4（折り無し）</v>
      </c>
      <c r="I300" s="471" t="str">
        <f>E300</f>
        <v>V1001</v>
      </c>
      <c r="J300" s="471" t="str">
        <f t="shared" si="38"/>
        <v>日経/B4（折り無し）</v>
      </c>
      <c r="N300" s="533" t="s">
        <v>1324</v>
      </c>
      <c r="O300" s="533" t="s">
        <v>1325</v>
      </c>
      <c r="P300" s="534" t="str">
        <f t="shared" si="39"/>
        <v>1001</v>
      </c>
      <c r="Q300" s="534" t="str">
        <f t="shared" si="40"/>
        <v>B4（折り無し）</v>
      </c>
      <c r="R300" s="538" t="str">
        <f>LEFT($D300,2)</f>
        <v>10</v>
      </c>
      <c r="S300" s="538" t="str">
        <f>RIGHT($D300,2)</f>
        <v>01</v>
      </c>
      <c r="T300" s="471" t="s">
        <v>1136</v>
      </c>
      <c r="W300" s="471">
        <v>0</v>
      </c>
      <c r="X300" s="540"/>
      <c r="Y300" s="471">
        <v>0</v>
      </c>
    </row>
    <row r="301" spans="1:52">
      <c r="A301" s="465" t="s">
        <v>280</v>
      </c>
      <c r="B301" s="452" t="str">
        <f>VLOOKUP(A301,★新聞!$C$4:$D$12,2,FALSE)</f>
        <v>V</v>
      </c>
      <c r="C301" s="465" t="s">
        <v>950</v>
      </c>
      <c r="D301" s="452" t="str">
        <f>VLOOKUP(C301,★サイズ表記!$D$4:$E$55,2,FALSE)</f>
        <v>1002</v>
      </c>
      <c r="E301" s="484" t="str">
        <f t="shared" si="36"/>
        <v>V1002</v>
      </c>
      <c r="F301" s="484" t="str">
        <f t="shared" si="37"/>
        <v>日経/B3（2つ折り）</v>
      </c>
      <c r="I301" s="471" t="str">
        <f t="shared" ref="I301:I348" si="43">E301</f>
        <v>V1002</v>
      </c>
      <c r="J301" s="471" t="str">
        <f t="shared" si="38"/>
        <v>日経/B3（2つ折り）</v>
      </c>
      <c r="N301" s="533" t="s">
        <v>1324</v>
      </c>
      <c r="O301" s="533" t="s">
        <v>1325</v>
      </c>
      <c r="P301" s="534" t="str">
        <f t="shared" si="39"/>
        <v>1002</v>
      </c>
      <c r="Q301" s="534" t="str">
        <f t="shared" si="40"/>
        <v>B3（2つ折り）</v>
      </c>
      <c r="R301" s="538" t="str">
        <f t="shared" ref="R301:R348" si="44">LEFT($D301,2)</f>
        <v>10</v>
      </c>
      <c r="S301" s="538" t="str">
        <f t="shared" ref="S301:S348" si="45">RIGHT($D301,2)</f>
        <v>02</v>
      </c>
      <c r="T301" s="471" t="s">
        <v>1136</v>
      </c>
      <c r="W301" s="471">
        <v>0</v>
      </c>
      <c r="X301" s="540"/>
      <c r="Y301" s="471">
        <v>0</v>
      </c>
    </row>
    <row r="302" spans="1:52">
      <c r="A302" s="465" t="s">
        <v>280</v>
      </c>
      <c r="B302" s="452" t="str">
        <f>VLOOKUP(A302,★新聞!$C$4:$D$12,2,FALSE)</f>
        <v>V</v>
      </c>
      <c r="C302" s="465" t="s">
        <v>951</v>
      </c>
      <c r="D302" s="452" t="str">
        <f>VLOOKUP(C302,★サイズ表記!$D$4:$E$55,2,FALSE)</f>
        <v>1003</v>
      </c>
      <c r="E302" s="484" t="str">
        <f t="shared" si="36"/>
        <v>V1003</v>
      </c>
      <c r="F302" s="484" t="str">
        <f t="shared" si="37"/>
        <v>日経/3つ折り</v>
      </c>
      <c r="I302" s="471" t="str">
        <f t="shared" si="43"/>
        <v>V1003</v>
      </c>
      <c r="J302" s="471" t="str">
        <f t="shared" si="38"/>
        <v>日経/3つ折り</v>
      </c>
      <c r="N302" s="533" t="s">
        <v>1324</v>
      </c>
      <c r="O302" s="533" t="s">
        <v>1325</v>
      </c>
      <c r="P302" s="534" t="str">
        <f t="shared" si="39"/>
        <v>1003</v>
      </c>
      <c r="Q302" s="534" t="str">
        <f t="shared" si="40"/>
        <v>3つ折り</v>
      </c>
      <c r="R302" s="538" t="str">
        <f t="shared" si="44"/>
        <v>10</v>
      </c>
      <c r="S302" s="538" t="str">
        <f t="shared" si="45"/>
        <v>03</v>
      </c>
      <c r="T302" s="471" t="s">
        <v>1136</v>
      </c>
      <c r="W302" s="471">
        <v>0</v>
      </c>
      <c r="X302" s="540"/>
      <c r="Y302" s="471">
        <v>0</v>
      </c>
    </row>
    <row r="303" spans="1:52">
      <c r="A303" s="465" t="s">
        <v>280</v>
      </c>
      <c r="B303" s="452" t="str">
        <f>VLOOKUP(A303,★新聞!$C$4:$D$12,2,FALSE)</f>
        <v>V</v>
      </c>
      <c r="C303" s="465" t="s">
        <v>947</v>
      </c>
      <c r="D303" s="452" t="str">
        <f>VLOOKUP(C303,★サイズ表記!$D$4:$E$55,2,FALSE)</f>
        <v>1004</v>
      </c>
      <c r="E303" s="484" t="str">
        <f t="shared" si="36"/>
        <v>V1004</v>
      </c>
      <c r="F303" s="484" t="str">
        <f t="shared" si="37"/>
        <v>日経/観音折</v>
      </c>
      <c r="I303" s="471" t="str">
        <f t="shared" si="43"/>
        <v>V1004</v>
      </c>
      <c r="J303" s="471" t="str">
        <f t="shared" si="38"/>
        <v>日経/観音折</v>
      </c>
      <c r="N303" s="533" t="s">
        <v>1324</v>
      </c>
      <c r="O303" s="533" t="s">
        <v>1325</v>
      </c>
      <c r="P303" s="534" t="str">
        <f t="shared" si="39"/>
        <v>1004</v>
      </c>
      <c r="Q303" s="534" t="str">
        <f t="shared" si="40"/>
        <v>観音折</v>
      </c>
      <c r="R303" s="538" t="str">
        <f t="shared" si="44"/>
        <v>10</v>
      </c>
      <c r="S303" s="538" t="str">
        <f t="shared" si="45"/>
        <v>04</v>
      </c>
      <c r="T303" s="471" t="s">
        <v>1136</v>
      </c>
      <c r="W303" s="471">
        <v>0</v>
      </c>
      <c r="X303" s="540"/>
      <c r="Y303" s="471">
        <v>0</v>
      </c>
    </row>
    <row r="304" spans="1:52">
      <c r="A304" s="465" t="s">
        <v>280</v>
      </c>
      <c r="B304" s="452" t="str">
        <f>VLOOKUP(A304,★新聞!$C$4:$D$12,2,FALSE)</f>
        <v>V</v>
      </c>
      <c r="C304" s="465" t="s">
        <v>952</v>
      </c>
      <c r="D304" s="452" t="str">
        <f>VLOOKUP(C304,★サイズ表記!$D$4:$E$55,2,FALSE)</f>
        <v>1005</v>
      </c>
      <c r="E304" s="484" t="str">
        <f t="shared" si="36"/>
        <v>V1005</v>
      </c>
      <c r="F304" s="484" t="str">
        <f t="shared" si="37"/>
        <v>日経/B2（4つ折り）</v>
      </c>
      <c r="I304" s="471" t="str">
        <f t="shared" si="43"/>
        <v>V1005</v>
      </c>
      <c r="J304" s="471" t="str">
        <f t="shared" si="38"/>
        <v>日経/B2（4つ折り）</v>
      </c>
      <c r="N304" s="533" t="s">
        <v>1324</v>
      </c>
      <c r="O304" s="533" t="s">
        <v>1325</v>
      </c>
      <c r="P304" s="534" t="str">
        <f t="shared" si="39"/>
        <v>1005</v>
      </c>
      <c r="Q304" s="534" t="str">
        <f t="shared" si="40"/>
        <v>B2（4つ折り）</v>
      </c>
      <c r="R304" s="538" t="str">
        <f t="shared" si="44"/>
        <v>10</v>
      </c>
      <c r="S304" s="538" t="str">
        <f t="shared" si="45"/>
        <v>05</v>
      </c>
      <c r="T304" s="471" t="s">
        <v>1136</v>
      </c>
      <c r="W304" s="471">
        <v>0</v>
      </c>
      <c r="X304" s="540"/>
      <c r="Y304" s="471">
        <v>0</v>
      </c>
    </row>
    <row r="305" spans="1:52">
      <c r="A305" s="465" t="s">
        <v>280</v>
      </c>
      <c r="B305" s="452" t="str">
        <f>VLOOKUP(A305,★新聞!$C$4:$D$12,2,FALSE)</f>
        <v>V</v>
      </c>
      <c r="C305" s="465" t="s">
        <v>955</v>
      </c>
      <c r="D305" s="452" t="str">
        <f>VLOOKUP(C305,★サイズ表記!$D$4:$E$55,2,FALSE)</f>
        <v>1006</v>
      </c>
      <c r="E305" s="484" t="str">
        <f t="shared" si="36"/>
        <v>V1006</v>
      </c>
      <c r="F305" s="484" t="str">
        <f t="shared" si="37"/>
        <v>日経/B1（8折り）</v>
      </c>
      <c r="I305" s="471" t="str">
        <f t="shared" si="43"/>
        <v>V1006</v>
      </c>
      <c r="J305" s="471" t="str">
        <f t="shared" si="38"/>
        <v>日経/B1（8折り）</v>
      </c>
      <c r="N305" s="533" t="s">
        <v>1324</v>
      </c>
      <c r="O305" s="533" t="s">
        <v>1325</v>
      </c>
      <c r="P305" s="534" t="str">
        <f t="shared" si="39"/>
        <v>1006</v>
      </c>
      <c r="Q305" s="534" t="str">
        <f t="shared" si="40"/>
        <v>B1（8折り）</v>
      </c>
      <c r="R305" s="538" t="str">
        <f t="shared" si="44"/>
        <v>10</v>
      </c>
      <c r="S305" s="538" t="str">
        <f t="shared" si="45"/>
        <v>06</v>
      </c>
      <c r="T305" s="471" t="s">
        <v>1136</v>
      </c>
      <c r="W305" s="471">
        <v>0</v>
      </c>
      <c r="X305" s="540"/>
      <c r="Y305" s="471">
        <v>0</v>
      </c>
    </row>
    <row r="306" spans="1:52">
      <c r="A306" s="465" t="s">
        <v>280</v>
      </c>
      <c r="B306" s="452" t="str">
        <f>VLOOKUP(A306,★新聞!$C$4:$D$12,2,FALSE)</f>
        <v>V</v>
      </c>
      <c r="C306" s="465" t="s">
        <v>956</v>
      </c>
      <c r="D306" s="452" t="str">
        <f>VLOOKUP(C306,★サイズ表記!$D$4:$E$55,2,FALSE)</f>
        <v>1007</v>
      </c>
      <c r="E306" s="484" t="str">
        <f t="shared" si="36"/>
        <v>V1007</v>
      </c>
      <c r="F306" s="484" t="str">
        <f t="shared" si="37"/>
        <v>日経/B4厚紙</v>
      </c>
      <c r="I306" s="471" t="str">
        <f t="shared" si="43"/>
        <v>V1007</v>
      </c>
      <c r="J306" s="471" t="str">
        <f t="shared" si="38"/>
        <v>日経/B4厚紙</v>
      </c>
      <c r="N306" s="533" t="s">
        <v>1324</v>
      </c>
      <c r="O306" s="533" t="s">
        <v>1325</v>
      </c>
      <c r="P306" s="534" t="str">
        <f t="shared" si="39"/>
        <v>1007</v>
      </c>
      <c r="Q306" s="534" t="str">
        <f t="shared" si="40"/>
        <v>B4厚紙</v>
      </c>
      <c r="R306" s="538" t="str">
        <f t="shared" si="44"/>
        <v>10</v>
      </c>
      <c r="S306" s="538" t="str">
        <f t="shared" si="45"/>
        <v>07</v>
      </c>
      <c r="T306" s="471" t="s">
        <v>1136</v>
      </c>
      <c r="W306" s="471">
        <v>0</v>
      </c>
      <c r="X306" s="540"/>
      <c r="Y306" s="471">
        <v>0</v>
      </c>
    </row>
    <row r="307" spans="1:52">
      <c r="A307" s="465" t="s">
        <v>280</v>
      </c>
      <c r="B307" s="452" t="str">
        <f>VLOOKUP(A307,★新聞!$C$4:$D$12,2,FALSE)</f>
        <v>V</v>
      </c>
      <c r="C307" s="465" t="s">
        <v>957</v>
      </c>
      <c r="D307" s="452" t="str">
        <f>VLOOKUP(C307,★サイズ表記!$D$4:$E$55,2,FALSE)</f>
        <v>1008</v>
      </c>
      <c r="E307" s="484" t="str">
        <f t="shared" si="36"/>
        <v>V1008</v>
      </c>
      <c r="F307" s="484" t="str">
        <f t="shared" si="37"/>
        <v>日経/B3厚紙</v>
      </c>
      <c r="I307" s="471" t="str">
        <f t="shared" si="43"/>
        <v>V1008</v>
      </c>
      <c r="J307" s="471" t="str">
        <f t="shared" si="38"/>
        <v>日経/B3厚紙</v>
      </c>
      <c r="N307" s="533" t="s">
        <v>1324</v>
      </c>
      <c r="O307" s="533" t="s">
        <v>1325</v>
      </c>
      <c r="P307" s="534" t="str">
        <f t="shared" si="39"/>
        <v>1008</v>
      </c>
      <c r="Q307" s="534" t="str">
        <f t="shared" si="40"/>
        <v>B3厚紙</v>
      </c>
      <c r="R307" s="538" t="str">
        <f t="shared" si="44"/>
        <v>10</v>
      </c>
      <c r="S307" s="538" t="str">
        <f t="shared" si="45"/>
        <v>08</v>
      </c>
      <c r="T307" s="471" t="s">
        <v>1136</v>
      </c>
      <c r="W307" s="471">
        <v>0</v>
      </c>
      <c r="X307" s="540"/>
      <c r="Y307" s="471">
        <v>0</v>
      </c>
    </row>
    <row r="308" spans="1:52">
      <c r="A308" s="465" t="s">
        <v>280</v>
      </c>
      <c r="B308" s="452" t="str">
        <f>VLOOKUP(A308,★新聞!$C$4:$D$12,2,FALSE)</f>
        <v>V</v>
      </c>
      <c r="C308" s="465" t="s">
        <v>958</v>
      </c>
      <c r="D308" s="452" t="str">
        <f>VLOOKUP(C308,★サイズ表記!$D$4:$E$55,2,FALSE)</f>
        <v>1009</v>
      </c>
      <c r="E308" s="484" t="str">
        <f t="shared" si="36"/>
        <v>V1009</v>
      </c>
      <c r="F308" s="484" t="str">
        <f t="shared" si="37"/>
        <v>日経/B2厚紙</v>
      </c>
      <c r="I308" s="471" t="str">
        <f t="shared" si="43"/>
        <v>V1009</v>
      </c>
      <c r="J308" s="471" t="str">
        <f t="shared" si="38"/>
        <v>日経/B2厚紙</v>
      </c>
      <c r="N308" s="533" t="s">
        <v>1324</v>
      </c>
      <c r="O308" s="533" t="s">
        <v>1325</v>
      </c>
      <c r="P308" s="534" t="str">
        <f t="shared" si="39"/>
        <v>1009</v>
      </c>
      <c r="Q308" s="534" t="str">
        <f t="shared" si="40"/>
        <v>B2厚紙</v>
      </c>
      <c r="R308" s="538" t="str">
        <f t="shared" si="44"/>
        <v>10</v>
      </c>
      <c r="S308" s="538" t="str">
        <f t="shared" si="45"/>
        <v>09</v>
      </c>
      <c r="T308" s="471" t="s">
        <v>1136</v>
      </c>
      <c r="W308" s="471">
        <v>0</v>
      </c>
      <c r="X308" s="540"/>
      <c r="Y308" s="471">
        <v>0</v>
      </c>
    </row>
    <row r="309" spans="1:52">
      <c r="A309" s="465" t="s">
        <v>280</v>
      </c>
      <c r="B309" s="452" t="str">
        <f>VLOOKUP(A309,★新聞!$C$4:$D$12,2,FALSE)</f>
        <v>V</v>
      </c>
      <c r="C309" s="465" t="s">
        <v>959</v>
      </c>
      <c r="D309" s="452" t="str">
        <f>VLOOKUP(C309,★サイズ表記!$D$4:$E$55,2,FALSE)</f>
        <v>1010</v>
      </c>
      <c r="E309" s="484" t="str">
        <f t="shared" si="36"/>
        <v>V1010</v>
      </c>
      <c r="F309" s="484" t="str">
        <f t="shared" si="37"/>
        <v>日経/B4以下変形</v>
      </c>
      <c r="I309" s="471" t="str">
        <f t="shared" si="43"/>
        <v>V1010</v>
      </c>
      <c r="J309" s="471" t="str">
        <f t="shared" si="38"/>
        <v>日経/B4以下変形</v>
      </c>
      <c r="N309" s="533" t="s">
        <v>1324</v>
      </c>
      <c r="O309" s="533" t="s">
        <v>1325</v>
      </c>
      <c r="P309" s="534" t="str">
        <f t="shared" si="39"/>
        <v>1010</v>
      </c>
      <c r="Q309" s="534" t="str">
        <f t="shared" si="40"/>
        <v>B4以下変形</v>
      </c>
      <c r="R309" s="538" t="str">
        <f t="shared" si="44"/>
        <v>10</v>
      </c>
      <c r="S309" s="538" t="str">
        <f t="shared" si="45"/>
        <v>10</v>
      </c>
      <c r="T309" s="471" t="s">
        <v>1136</v>
      </c>
      <c r="W309" s="471">
        <v>0</v>
      </c>
      <c r="X309" s="540"/>
      <c r="Y309" s="471">
        <v>0</v>
      </c>
    </row>
    <row r="310" spans="1:52">
      <c r="A310" s="465" t="s">
        <v>280</v>
      </c>
      <c r="B310" s="452" t="str">
        <f>VLOOKUP(A310,★新聞!$C$4:$D$12,2,FALSE)</f>
        <v>V</v>
      </c>
      <c r="C310" s="465" t="s">
        <v>960</v>
      </c>
      <c r="D310" s="452" t="str">
        <f>VLOOKUP(C310,★サイズ表記!$D$4:$E$55,2,FALSE)</f>
        <v>1011</v>
      </c>
      <c r="E310" s="484" t="str">
        <f t="shared" si="36"/>
        <v>V1011</v>
      </c>
      <c r="F310" s="484" t="str">
        <f t="shared" si="37"/>
        <v>日経/B4シール付き</v>
      </c>
      <c r="I310" s="471" t="str">
        <f t="shared" si="43"/>
        <v>V1011</v>
      </c>
      <c r="J310" s="471" t="str">
        <f t="shared" si="38"/>
        <v>日経/B4シール付き</v>
      </c>
      <c r="N310" s="533" t="s">
        <v>1324</v>
      </c>
      <c r="O310" s="533" t="s">
        <v>1325</v>
      </c>
      <c r="P310" s="534" t="str">
        <f t="shared" si="39"/>
        <v>1011</v>
      </c>
      <c r="Q310" s="534" t="str">
        <f t="shared" si="40"/>
        <v>B4シール付き</v>
      </c>
      <c r="R310" s="538" t="str">
        <f t="shared" si="44"/>
        <v>10</v>
      </c>
      <c r="S310" s="538" t="str">
        <f t="shared" si="45"/>
        <v>11</v>
      </c>
      <c r="T310" s="471" t="s">
        <v>1136</v>
      </c>
      <c r="W310" s="471">
        <v>0</v>
      </c>
      <c r="X310" s="540"/>
      <c r="Y310" s="471">
        <v>0</v>
      </c>
    </row>
    <row r="311" spans="1:52" s="471" customFormat="1">
      <c r="A311" s="465" t="s">
        <v>280</v>
      </c>
      <c r="B311" s="452" t="str">
        <f>VLOOKUP(A311,★新聞!$C$4:$D$12,2,FALSE)</f>
        <v>V</v>
      </c>
      <c r="C311" s="465" t="s">
        <v>961</v>
      </c>
      <c r="D311" s="452" t="str">
        <f>VLOOKUP(C311,★サイズ表記!$D$4:$E$55,2,FALSE)</f>
        <v>1012</v>
      </c>
      <c r="E311" s="484" t="str">
        <f t="shared" si="36"/>
        <v>V1012</v>
      </c>
      <c r="F311" s="484" t="str">
        <f t="shared" si="37"/>
        <v>日経/B3シール付き</v>
      </c>
      <c r="G311" s="483"/>
      <c r="I311" s="471" t="str">
        <f t="shared" si="43"/>
        <v>V1012</v>
      </c>
      <c r="J311" s="471" t="str">
        <f t="shared" si="38"/>
        <v>日経/B3シール付き</v>
      </c>
      <c r="M311" s="538"/>
      <c r="N311" s="533" t="s">
        <v>1324</v>
      </c>
      <c r="O311" s="533" t="s">
        <v>1325</v>
      </c>
      <c r="P311" s="534" t="str">
        <f t="shared" si="39"/>
        <v>1012</v>
      </c>
      <c r="Q311" s="534" t="str">
        <f t="shared" si="40"/>
        <v>B3シール付き</v>
      </c>
      <c r="R311" s="538" t="str">
        <f t="shared" si="44"/>
        <v>10</v>
      </c>
      <c r="S311" s="538" t="str">
        <f t="shared" si="45"/>
        <v>12</v>
      </c>
      <c r="T311" s="471" t="s">
        <v>1136</v>
      </c>
      <c r="U311" s="538"/>
      <c r="V311" s="538"/>
      <c r="W311" s="471">
        <v>0</v>
      </c>
      <c r="X311" s="540"/>
      <c r="Y311" s="471">
        <v>0</v>
      </c>
      <c r="Z311" s="538"/>
      <c r="AA311" s="538"/>
      <c r="AB311" s="538"/>
      <c r="AC311" s="538"/>
      <c r="AD311" s="538"/>
      <c r="AE311" s="538"/>
      <c r="AF311" s="538"/>
      <c r="AG311" s="538"/>
      <c r="AH311" s="538"/>
      <c r="AI311" s="538"/>
      <c r="AJ311" s="538"/>
      <c r="AK311" s="538"/>
      <c r="AL311" s="538"/>
      <c r="AM311" s="538"/>
      <c r="AN311" s="538"/>
      <c r="AO311" s="538"/>
      <c r="AP311" s="538"/>
      <c r="AQ311" s="538"/>
      <c r="AR311" s="538"/>
      <c r="AS311" s="538"/>
      <c r="AT311" s="538"/>
      <c r="AU311" s="538"/>
      <c r="AV311" s="538"/>
      <c r="AW311" s="538"/>
      <c r="AX311" s="538"/>
      <c r="AY311" s="538"/>
      <c r="AZ311" s="538"/>
    </row>
    <row r="312" spans="1:52" s="471" customFormat="1">
      <c r="A312" s="465" t="s">
        <v>280</v>
      </c>
      <c r="B312" s="452" t="str">
        <f>VLOOKUP(A312,★新聞!$C$4:$D$12,2,FALSE)</f>
        <v>V</v>
      </c>
      <c r="C312" s="465" t="s">
        <v>962</v>
      </c>
      <c r="D312" s="452" t="str">
        <f>VLOOKUP(C312,★サイズ表記!$D$4:$E$55,2,FALSE)</f>
        <v>1013</v>
      </c>
      <c r="E312" s="484" t="str">
        <f t="shared" si="36"/>
        <v>V1013</v>
      </c>
      <c r="F312" s="484" t="str">
        <f t="shared" si="37"/>
        <v>日経/B4スクラッチ付き</v>
      </c>
      <c r="G312" s="483"/>
      <c r="I312" s="471" t="str">
        <f t="shared" si="43"/>
        <v>V1013</v>
      </c>
      <c r="J312" s="471" t="str">
        <f t="shared" si="38"/>
        <v>日経/B4スクラッチ付き</v>
      </c>
      <c r="M312" s="538"/>
      <c r="N312" s="533" t="s">
        <v>1324</v>
      </c>
      <c r="O312" s="533" t="s">
        <v>1325</v>
      </c>
      <c r="P312" s="534" t="str">
        <f t="shared" si="39"/>
        <v>1013</v>
      </c>
      <c r="Q312" s="534" t="str">
        <f t="shared" si="40"/>
        <v>B4スクラッチ付き</v>
      </c>
      <c r="R312" s="538" t="str">
        <f t="shared" si="44"/>
        <v>10</v>
      </c>
      <c r="S312" s="538" t="str">
        <f t="shared" si="45"/>
        <v>13</v>
      </c>
      <c r="T312" s="471" t="s">
        <v>1136</v>
      </c>
      <c r="U312" s="538"/>
      <c r="V312" s="538"/>
      <c r="W312" s="471">
        <v>0</v>
      </c>
      <c r="X312" s="540"/>
      <c r="Y312" s="471">
        <v>0</v>
      </c>
      <c r="Z312" s="538"/>
      <c r="AA312" s="538"/>
      <c r="AB312" s="538"/>
      <c r="AC312" s="538"/>
      <c r="AD312" s="538"/>
      <c r="AE312" s="538"/>
      <c r="AF312" s="538"/>
      <c r="AG312" s="538"/>
      <c r="AH312" s="538"/>
      <c r="AI312" s="538"/>
      <c r="AJ312" s="538"/>
      <c r="AK312" s="538"/>
      <c r="AL312" s="538"/>
      <c r="AM312" s="538"/>
      <c r="AN312" s="538"/>
      <c r="AO312" s="538"/>
      <c r="AP312" s="538"/>
      <c r="AQ312" s="538"/>
      <c r="AR312" s="538"/>
      <c r="AS312" s="538"/>
      <c r="AT312" s="538"/>
      <c r="AU312" s="538"/>
      <c r="AV312" s="538"/>
      <c r="AW312" s="538"/>
      <c r="AX312" s="538"/>
      <c r="AY312" s="538"/>
      <c r="AZ312" s="538"/>
    </row>
    <row r="313" spans="1:52" s="471" customFormat="1">
      <c r="A313" s="465" t="s">
        <v>280</v>
      </c>
      <c r="B313" s="452" t="str">
        <f>VLOOKUP(A313,★新聞!$C$4:$D$12,2,FALSE)</f>
        <v>V</v>
      </c>
      <c r="C313" s="465" t="s">
        <v>963</v>
      </c>
      <c r="D313" s="452" t="str">
        <f>VLOOKUP(C313,★サイズ表記!$D$4:$E$55,2,FALSE)</f>
        <v>2001</v>
      </c>
      <c r="E313" s="484" t="str">
        <f t="shared" si="36"/>
        <v>V2001</v>
      </c>
      <c r="F313" s="484" t="str">
        <f t="shared" si="37"/>
        <v>日経/連合B4</v>
      </c>
      <c r="G313" s="483"/>
      <c r="I313" s="471" t="str">
        <f t="shared" si="43"/>
        <v>V2001</v>
      </c>
      <c r="J313" s="471" t="str">
        <f t="shared" si="38"/>
        <v>日経/連合B4</v>
      </c>
      <c r="M313" s="538"/>
      <c r="N313" s="533" t="s">
        <v>1324</v>
      </c>
      <c r="O313" s="533" t="s">
        <v>1325</v>
      </c>
      <c r="P313" s="534" t="str">
        <f t="shared" si="39"/>
        <v>2001</v>
      </c>
      <c r="Q313" s="534" t="str">
        <f t="shared" si="40"/>
        <v>連合B4</v>
      </c>
      <c r="R313" s="538" t="str">
        <f t="shared" si="44"/>
        <v>20</v>
      </c>
      <c r="S313" s="538" t="str">
        <f t="shared" si="45"/>
        <v>01</v>
      </c>
      <c r="T313" s="471" t="s">
        <v>1136</v>
      </c>
      <c r="U313" s="538"/>
      <c r="V313" s="538"/>
      <c r="W313" s="471">
        <v>0</v>
      </c>
      <c r="X313" s="540"/>
      <c r="Y313" s="471">
        <v>0</v>
      </c>
      <c r="Z313" s="538"/>
      <c r="AA313" s="538"/>
      <c r="AB313" s="538"/>
      <c r="AC313" s="538"/>
      <c r="AD313" s="538"/>
      <c r="AE313" s="538"/>
      <c r="AF313" s="538"/>
      <c r="AG313" s="538"/>
      <c r="AH313" s="538"/>
      <c r="AI313" s="538"/>
      <c r="AJ313" s="538"/>
      <c r="AK313" s="538"/>
      <c r="AL313" s="538"/>
      <c r="AM313" s="538"/>
      <c r="AN313" s="538"/>
      <c r="AO313" s="538"/>
      <c r="AP313" s="538"/>
      <c r="AQ313" s="538"/>
      <c r="AR313" s="538"/>
      <c r="AS313" s="538"/>
      <c r="AT313" s="538"/>
      <c r="AU313" s="538"/>
      <c r="AV313" s="538"/>
      <c r="AW313" s="538"/>
      <c r="AX313" s="538"/>
      <c r="AY313" s="538"/>
      <c r="AZ313" s="538"/>
    </row>
    <row r="314" spans="1:52" s="471" customFormat="1">
      <c r="A314" s="465" t="s">
        <v>280</v>
      </c>
      <c r="B314" s="452" t="str">
        <f>VLOOKUP(A314,★新聞!$C$4:$D$12,2,FALSE)</f>
        <v>V</v>
      </c>
      <c r="C314" s="465" t="s">
        <v>964</v>
      </c>
      <c r="D314" s="452" t="str">
        <f>VLOOKUP(C314,★サイズ表記!$D$4:$E$55,2,FALSE)</f>
        <v>2002</v>
      </c>
      <c r="E314" s="484" t="str">
        <f t="shared" si="36"/>
        <v>V2002</v>
      </c>
      <c r="F314" s="484" t="str">
        <f t="shared" si="37"/>
        <v>日経/連合B3</v>
      </c>
      <c r="G314" s="483"/>
      <c r="I314" s="471" t="str">
        <f t="shared" si="43"/>
        <v>V2002</v>
      </c>
      <c r="J314" s="471" t="str">
        <f t="shared" si="38"/>
        <v>日経/連合B3</v>
      </c>
      <c r="M314" s="538"/>
      <c r="N314" s="533" t="s">
        <v>1324</v>
      </c>
      <c r="O314" s="533" t="s">
        <v>1325</v>
      </c>
      <c r="P314" s="534" t="str">
        <f t="shared" si="39"/>
        <v>2002</v>
      </c>
      <c r="Q314" s="534" t="str">
        <f t="shared" si="40"/>
        <v>連合B3</v>
      </c>
      <c r="R314" s="538" t="str">
        <f t="shared" si="44"/>
        <v>20</v>
      </c>
      <c r="S314" s="538" t="str">
        <f t="shared" si="45"/>
        <v>02</v>
      </c>
      <c r="T314" s="471" t="s">
        <v>1136</v>
      </c>
      <c r="U314" s="538"/>
      <c r="V314" s="538"/>
      <c r="W314" s="471">
        <v>0</v>
      </c>
      <c r="X314" s="540"/>
      <c r="Y314" s="471">
        <v>0</v>
      </c>
      <c r="Z314" s="538"/>
      <c r="AA314" s="538"/>
      <c r="AB314" s="538"/>
      <c r="AC314" s="538"/>
      <c r="AD314" s="538"/>
      <c r="AE314" s="538"/>
      <c r="AF314" s="538"/>
      <c r="AG314" s="538"/>
      <c r="AH314" s="538"/>
      <c r="AI314" s="538"/>
      <c r="AJ314" s="538"/>
      <c r="AK314" s="538"/>
      <c r="AL314" s="538"/>
      <c r="AM314" s="538"/>
      <c r="AN314" s="538"/>
      <c r="AO314" s="538"/>
      <c r="AP314" s="538"/>
      <c r="AQ314" s="538"/>
      <c r="AR314" s="538"/>
      <c r="AS314" s="538"/>
      <c r="AT314" s="538"/>
      <c r="AU314" s="538"/>
      <c r="AV314" s="538"/>
      <c r="AW314" s="538"/>
      <c r="AX314" s="538"/>
      <c r="AY314" s="538"/>
      <c r="AZ314" s="538"/>
    </row>
    <row r="315" spans="1:52" s="471" customFormat="1">
      <c r="A315" s="465" t="s">
        <v>280</v>
      </c>
      <c r="B315" s="452" t="str">
        <f>VLOOKUP(A315,★新聞!$C$4:$D$12,2,FALSE)</f>
        <v>V</v>
      </c>
      <c r="C315" s="465" t="s">
        <v>965</v>
      </c>
      <c r="D315" s="452" t="str">
        <f>VLOOKUP(C315,★サイズ表記!$D$4:$E$55,2,FALSE)</f>
        <v>2003</v>
      </c>
      <c r="E315" s="484" t="str">
        <f t="shared" si="36"/>
        <v>V2003</v>
      </c>
      <c r="F315" s="484" t="str">
        <f t="shared" si="37"/>
        <v>日経/連合B2</v>
      </c>
      <c r="G315" s="483"/>
      <c r="I315" s="471" t="str">
        <f t="shared" si="43"/>
        <v>V2003</v>
      </c>
      <c r="J315" s="471" t="str">
        <f t="shared" si="38"/>
        <v>日経/連合B2</v>
      </c>
      <c r="M315" s="538"/>
      <c r="N315" s="533" t="s">
        <v>1324</v>
      </c>
      <c r="O315" s="533" t="s">
        <v>1325</v>
      </c>
      <c r="P315" s="534" t="str">
        <f t="shared" si="39"/>
        <v>2003</v>
      </c>
      <c r="Q315" s="534" t="str">
        <f t="shared" si="40"/>
        <v>連合B2</v>
      </c>
      <c r="R315" s="538" t="str">
        <f t="shared" si="44"/>
        <v>20</v>
      </c>
      <c r="S315" s="538" t="str">
        <f t="shared" si="45"/>
        <v>03</v>
      </c>
      <c r="T315" s="471" t="s">
        <v>1136</v>
      </c>
      <c r="U315" s="538"/>
      <c r="V315" s="538"/>
      <c r="W315" s="471">
        <v>0</v>
      </c>
      <c r="X315" s="540"/>
      <c r="Y315" s="471">
        <v>0</v>
      </c>
      <c r="Z315" s="538"/>
      <c r="AA315" s="538"/>
      <c r="AB315" s="538"/>
      <c r="AC315" s="538"/>
      <c r="AD315" s="538"/>
      <c r="AE315" s="538"/>
      <c r="AF315" s="538"/>
      <c r="AG315" s="538"/>
      <c r="AH315" s="538"/>
      <c r="AI315" s="538"/>
      <c r="AJ315" s="538"/>
      <c r="AK315" s="538"/>
      <c r="AL315" s="538"/>
      <c r="AM315" s="538"/>
      <c r="AN315" s="538"/>
      <c r="AO315" s="538"/>
      <c r="AP315" s="538"/>
      <c r="AQ315" s="538"/>
      <c r="AR315" s="538"/>
      <c r="AS315" s="538"/>
      <c r="AT315" s="538"/>
      <c r="AU315" s="538"/>
      <c r="AV315" s="538"/>
      <c r="AW315" s="538"/>
      <c r="AX315" s="538"/>
      <c r="AY315" s="538"/>
      <c r="AZ315" s="538"/>
    </row>
    <row r="316" spans="1:52" s="471" customFormat="1">
      <c r="A316" s="465" t="s">
        <v>280</v>
      </c>
      <c r="B316" s="452" t="str">
        <f>VLOOKUP(A316,★新聞!$C$4:$D$12,2,FALSE)</f>
        <v>V</v>
      </c>
      <c r="C316" s="465" t="s">
        <v>966</v>
      </c>
      <c r="D316" s="452" t="str">
        <f>VLOOKUP(C316,★サイズ表記!$D$4:$E$55,2,FALSE)</f>
        <v>2004</v>
      </c>
      <c r="E316" s="484" t="str">
        <f t="shared" si="36"/>
        <v>V2004</v>
      </c>
      <c r="F316" s="484" t="str">
        <f t="shared" si="37"/>
        <v>日経/連合3つ折り</v>
      </c>
      <c r="G316" s="483"/>
      <c r="I316" s="471" t="str">
        <f t="shared" si="43"/>
        <v>V2004</v>
      </c>
      <c r="J316" s="471" t="str">
        <f t="shared" si="38"/>
        <v>日経/連合3つ折り</v>
      </c>
      <c r="M316" s="538"/>
      <c r="N316" s="533" t="s">
        <v>1324</v>
      </c>
      <c r="O316" s="533" t="s">
        <v>1325</v>
      </c>
      <c r="P316" s="534" t="str">
        <f t="shared" si="39"/>
        <v>2004</v>
      </c>
      <c r="Q316" s="534" t="str">
        <f t="shared" si="40"/>
        <v>連合3つ折り</v>
      </c>
      <c r="R316" s="538" t="str">
        <f t="shared" si="44"/>
        <v>20</v>
      </c>
      <c r="S316" s="538" t="str">
        <f t="shared" si="45"/>
        <v>04</v>
      </c>
      <c r="T316" s="471" t="s">
        <v>1136</v>
      </c>
      <c r="U316" s="538"/>
      <c r="V316" s="538"/>
      <c r="W316" s="471">
        <v>0</v>
      </c>
      <c r="X316" s="540"/>
      <c r="Y316" s="471">
        <v>0</v>
      </c>
      <c r="Z316" s="538"/>
      <c r="AA316" s="538"/>
      <c r="AB316" s="538"/>
      <c r="AC316" s="538"/>
      <c r="AD316" s="538"/>
      <c r="AE316" s="538"/>
      <c r="AF316" s="538"/>
      <c r="AG316" s="538"/>
      <c r="AH316" s="538"/>
      <c r="AI316" s="538"/>
      <c r="AJ316" s="538"/>
      <c r="AK316" s="538"/>
      <c r="AL316" s="538"/>
      <c r="AM316" s="538"/>
      <c r="AN316" s="538"/>
      <c r="AO316" s="538"/>
      <c r="AP316" s="538"/>
      <c r="AQ316" s="538"/>
      <c r="AR316" s="538"/>
      <c r="AS316" s="538"/>
      <c r="AT316" s="538"/>
      <c r="AU316" s="538"/>
      <c r="AV316" s="538"/>
      <c r="AW316" s="538"/>
      <c r="AX316" s="538"/>
      <c r="AY316" s="538"/>
      <c r="AZ316" s="538"/>
    </row>
    <row r="317" spans="1:52" s="471" customFormat="1">
      <c r="A317" s="465" t="s">
        <v>280</v>
      </c>
      <c r="B317" s="452" t="str">
        <f>VLOOKUP(A317,★新聞!$C$4:$D$12,2,FALSE)</f>
        <v>V</v>
      </c>
      <c r="C317" s="465" t="s">
        <v>967</v>
      </c>
      <c r="D317" s="452" t="str">
        <f>VLOOKUP(C317,★サイズ表記!$D$4:$E$55,2,FALSE)</f>
        <v>2005</v>
      </c>
      <c r="E317" s="484" t="str">
        <f t="shared" si="36"/>
        <v>V2005</v>
      </c>
      <c r="F317" s="484" t="str">
        <f t="shared" si="37"/>
        <v>日経/連合B4厚紙</v>
      </c>
      <c r="G317" s="483"/>
      <c r="I317" s="471" t="str">
        <f t="shared" si="43"/>
        <v>V2005</v>
      </c>
      <c r="J317" s="471" t="str">
        <f t="shared" si="38"/>
        <v>日経/連合B4厚紙</v>
      </c>
      <c r="M317" s="538"/>
      <c r="N317" s="533" t="s">
        <v>1324</v>
      </c>
      <c r="O317" s="533" t="s">
        <v>1325</v>
      </c>
      <c r="P317" s="534" t="str">
        <f t="shared" si="39"/>
        <v>2005</v>
      </c>
      <c r="Q317" s="534" t="str">
        <f t="shared" si="40"/>
        <v>連合B4厚紙</v>
      </c>
      <c r="R317" s="538" t="str">
        <f t="shared" si="44"/>
        <v>20</v>
      </c>
      <c r="S317" s="538" t="str">
        <f t="shared" si="45"/>
        <v>05</v>
      </c>
      <c r="T317" s="471" t="s">
        <v>1136</v>
      </c>
      <c r="U317" s="538"/>
      <c r="V317" s="538"/>
      <c r="W317" s="471">
        <v>0</v>
      </c>
      <c r="X317" s="540"/>
      <c r="Y317" s="471">
        <v>0</v>
      </c>
      <c r="Z317" s="538"/>
      <c r="AA317" s="538"/>
      <c r="AB317" s="538"/>
      <c r="AC317" s="538"/>
      <c r="AD317" s="538"/>
      <c r="AE317" s="538"/>
      <c r="AF317" s="538"/>
      <c r="AG317" s="538"/>
      <c r="AH317" s="538"/>
      <c r="AI317" s="538"/>
      <c r="AJ317" s="538"/>
      <c r="AK317" s="538"/>
      <c r="AL317" s="538"/>
      <c r="AM317" s="538"/>
      <c r="AN317" s="538"/>
      <c r="AO317" s="538"/>
      <c r="AP317" s="538"/>
      <c r="AQ317" s="538"/>
      <c r="AR317" s="538"/>
      <c r="AS317" s="538"/>
      <c r="AT317" s="538"/>
      <c r="AU317" s="538"/>
      <c r="AV317" s="538"/>
      <c r="AW317" s="538"/>
      <c r="AX317" s="538"/>
      <c r="AY317" s="538"/>
      <c r="AZ317" s="538"/>
    </row>
    <row r="318" spans="1:52" s="471" customFormat="1">
      <c r="A318" s="465" t="s">
        <v>280</v>
      </c>
      <c r="B318" s="452" t="str">
        <f>VLOOKUP(A318,★新聞!$C$4:$D$12,2,FALSE)</f>
        <v>V</v>
      </c>
      <c r="C318" s="465" t="s">
        <v>968</v>
      </c>
      <c r="D318" s="452" t="str">
        <f>VLOOKUP(C318,★サイズ表記!$D$4:$E$55,2,FALSE)</f>
        <v>2006</v>
      </c>
      <c r="E318" s="484" t="str">
        <f t="shared" si="36"/>
        <v>V2006</v>
      </c>
      <c r="F318" s="484" t="str">
        <f t="shared" si="37"/>
        <v>日経/連合2つ折り極小</v>
      </c>
      <c r="G318" s="483"/>
      <c r="I318" s="471" t="str">
        <f t="shared" si="43"/>
        <v>V2006</v>
      </c>
      <c r="J318" s="471" t="str">
        <f t="shared" si="38"/>
        <v>日経/連合2つ折り極小</v>
      </c>
      <c r="M318" s="538"/>
      <c r="N318" s="533" t="s">
        <v>1324</v>
      </c>
      <c r="O318" s="533" t="s">
        <v>1325</v>
      </c>
      <c r="P318" s="534" t="str">
        <f t="shared" si="39"/>
        <v>2006</v>
      </c>
      <c r="Q318" s="534" t="str">
        <f t="shared" si="40"/>
        <v>連合2つ折り極小</v>
      </c>
      <c r="R318" s="538" t="str">
        <f t="shared" si="44"/>
        <v>20</v>
      </c>
      <c r="S318" s="538" t="str">
        <f t="shared" si="45"/>
        <v>06</v>
      </c>
      <c r="T318" s="471" t="s">
        <v>1136</v>
      </c>
      <c r="U318" s="538"/>
      <c r="V318" s="538"/>
      <c r="W318" s="471">
        <v>0</v>
      </c>
      <c r="X318" s="540"/>
      <c r="Y318" s="471">
        <v>0</v>
      </c>
      <c r="Z318" s="538"/>
      <c r="AA318" s="538"/>
      <c r="AB318" s="538"/>
      <c r="AC318" s="538"/>
      <c r="AD318" s="538"/>
      <c r="AE318" s="538"/>
      <c r="AF318" s="538"/>
      <c r="AG318" s="538"/>
      <c r="AH318" s="538"/>
      <c r="AI318" s="538"/>
      <c r="AJ318" s="538"/>
      <c r="AK318" s="538"/>
      <c r="AL318" s="538"/>
      <c r="AM318" s="538"/>
      <c r="AN318" s="538"/>
      <c r="AO318" s="538"/>
      <c r="AP318" s="538"/>
      <c r="AQ318" s="538"/>
      <c r="AR318" s="538"/>
      <c r="AS318" s="538"/>
      <c r="AT318" s="538"/>
      <c r="AU318" s="538"/>
      <c r="AV318" s="538"/>
      <c r="AW318" s="538"/>
      <c r="AX318" s="538"/>
      <c r="AY318" s="538"/>
      <c r="AZ318" s="538"/>
    </row>
    <row r="319" spans="1:52" s="471" customFormat="1">
      <c r="A319" s="465" t="s">
        <v>280</v>
      </c>
      <c r="B319" s="452" t="str">
        <f>VLOOKUP(A319,★新聞!$C$4:$D$12,2,FALSE)</f>
        <v>V</v>
      </c>
      <c r="C319" s="465" t="s">
        <v>1365</v>
      </c>
      <c r="D319" s="452" t="str">
        <f>VLOOKUP(C319,★サイズ表記!$D$4:$E$55,2,FALSE)</f>
        <v>2007</v>
      </c>
      <c r="E319" s="484" t="str">
        <f t="shared" si="36"/>
        <v>V2007</v>
      </c>
      <c r="F319" s="484" t="str">
        <f t="shared" si="37"/>
        <v>日経/連合タブ6P</v>
      </c>
      <c r="G319" s="483"/>
      <c r="I319" s="471" t="str">
        <f t="shared" si="43"/>
        <v>V2007</v>
      </c>
      <c r="J319" s="471" t="str">
        <f t="shared" si="38"/>
        <v>日経/連合タブ6P</v>
      </c>
      <c r="M319" s="538"/>
      <c r="N319" s="533" t="s">
        <v>1324</v>
      </c>
      <c r="O319" s="533" t="s">
        <v>1325</v>
      </c>
      <c r="P319" s="534" t="str">
        <f t="shared" si="39"/>
        <v>2007</v>
      </c>
      <c r="Q319" s="534" t="str">
        <f t="shared" si="40"/>
        <v>連合タブ6P</v>
      </c>
      <c r="R319" s="538" t="str">
        <f t="shared" si="44"/>
        <v>20</v>
      </c>
      <c r="S319" s="538" t="str">
        <f t="shared" si="45"/>
        <v>07</v>
      </c>
      <c r="T319" s="471" t="s">
        <v>1136</v>
      </c>
      <c r="U319" s="538"/>
      <c r="V319" s="538"/>
      <c r="W319" s="471">
        <v>0</v>
      </c>
      <c r="X319" s="540"/>
      <c r="Y319" s="471">
        <v>0</v>
      </c>
      <c r="Z319" s="538"/>
      <c r="AA319" s="538"/>
      <c r="AB319" s="538"/>
      <c r="AC319" s="538"/>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8"/>
      <c r="AY319" s="538"/>
      <c r="AZ319" s="538"/>
    </row>
    <row r="320" spans="1:52" s="471" customFormat="1">
      <c r="A320" s="465" t="s">
        <v>280</v>
      </c>
      <c r="B320" s="452" t="str">
        <f>VLOOKUP(A320,★新聞!$C$4:$D$12,2,FALSE)</f>
        <v>V</v>
      </c>
      <c r="C320" s="465" t="s">
        <v>1366</v>
      </c>
      <c r="D320" s="452" t="str">
        <f>VLOOKUP(C320,★サイズ表記!$D$4:$E$55,2,FALSE)</f>
        <v>2008</v>
      </c>
      <c r="E320" s="484" t="str">
        <f t="shared" si="36"/>
        <v>V2008</v>
      </c>
      <c r="F320" s="484" t="str">
        <f t="shared" si="37"/>
        <v>日経/連合タブ8P</v>
      </c>
      <c r="G320" s="483"/>
      <c r="I320" s="471" t="str">
        <f t="shared" si="43"/>
        <v>V2008</v>
      </c>
      <c r="J320" s="471" t="str">
        <f t="shared" si="38"/>
        <v>日経/連合タブ8P</v>
      </c>
      <c r="M320" s="538"/>
      <c r="N320" s="533" t="s">
        <v>1324</v>
      </c>
      <c r="O320" s="533" t="s">
        <v>1325</v>
      </c>
      <c r="P320" s="534" t="str">
        <f t="shared" si="39"/>
        <v>2008</v>
      </c>
      <c r="Q320" s="534" t="str">
        <f t="shared" si="40"/>
        <v>連合タブ8P</v>
      </c>
      <c r="R320" s="538" t="str">
        <f t="shared" si="44"/>
        <v>20</v>
      </c>
      <c r="S320" s="538" t="str">
        <f t="shared" si="45"/>
        <v>08</v>
      </c>
      <c r="T320" s="471" t="s">
        <v>1136</v>
      </c>
      <c r="U320" s="538"/>
      <c r="V320" s="538"/>
      <c r="W320" s="471">
        <v>0</v>
      </c>
      <c r="X320" s="540"/>
      <c r="Y320" s="471">
        <v>0</v>
      </c>
      <c r="Z320" s="538"/>
      <c r="AA320" s="538"/>
      <c r="AB320" s="538"/>
      <c r="AC320" s="538"/>
      <c r="AD320" s="538"/>
      <c r="AE320" s="538"/>
      <c r="AF320" s="538"/>
      <c r="AG320" s="538"/>
      <c r="AH320" s="538"/>
      <c r="AI320" s="538"/>
      <c r="AJ320" s="538"/>
      <c r="AK320" s="538"/>
      <c r="AL320" s="538"/>
      <c r="AM320" s="538"/>
      <c r="AN320" s="538"/>
      <c r="AO320" s="538"/>
      <c r="AP320" s="538"/>
      <c r="AQ320" s="538"/>
      <c r="AR320" s="538"/>
      <c r="AS320" s="538"/>
      <c r="AT320" s="538"/>
      <c r="AU320" s="538"/>
      <c r="AV320" s="538"/>
      <c r="AW320" s="538"/>
      <c r="AX320" s="538"/>
      <c r="AY320" s="538"/>
      <c r="AZ320" s="538"/>
    </row>
    <row r="321" spans="1:52" s="471" customFormat="1">
      <c r="A321" s="465" t="s">
        <v>280</v>
      </c>
      <c r="B321" s="452" t="str">
        <f>VLOOKUP(A321,★新聞!$C$4:$D$12,2,FALSE)</f>
        <v>V</v>
      </c>
      <c r="C321" s="465" t="s">
        <v>1364</v>
      </c>
      <c r="D321" s="452" t="str">
        <f>VLOOKUP(C321,★サイズ表記!$D$4:$E$55,2,FALSE)</f>
        <v>2009</v>
      </c>
      <c r="E321" s="484" t="str">
        <f t="shared" si="36"/>
        <v>V2009</v>
      </c>
      <c r="F321" s="484" t="str">
        <f t="shared" si="37"/>
        <v>日経/連合タブ12P</v>
      </c>
      <c r="G321" s="483"/>
      <c r="I321" s="471" t="str">
        <f t="shared" si="43"/>
        <v>V2009</v>
      </c>
      <c r="J321" s="471" t="str">
        <f t="shared" si="38"/>
        <v>日経/連合タブ12P</v>
      </c>
      <c r="M321" s="538"/>
      <c r="N321" s="533" t="s">
        <v>1324</v>
      </c>
      <c r="O321" s="533" t="s">
        <v>1325</v>
      </c>
      <c r="P321" s="534" t="str">
        <f t="shared" si="39"/>
        <v>2009</v>
      </c>
      <c r="Q321" s="534" t="str">
        <f t="shared" si="40"/>
        <v>連合タブ12P</v>
      </c>
      <c r="R321" s="538" t="str">
        <f t="shared" si="44"/>
        <v>20</v>
      </c>
      <c r="S321" s="538" t="str">
        <f t="shared" si="45"/>
        <v>09</v>
      </c>
      <c r="T321" s="471" t="s">
        <v>1136</v>
      </c>
      <c r="U321" s="538"/>
      <c r="V321" s="538"/>
      <c r="W321" s="471">
        <v>0</v>
      </c>
      <c r="X321" s="540"/>
      <c r="Y321" s="471">
        <v>0</v>
      </c>
      <c r="Z321" s="538"/>
      <c r="AA321" s="538"/>
      <c r="AB321" s="538"/>
      <c r="AC321" s="538"/>
      <c r="AD321" s="538"/>
      <c r="AE321" s="538"/>
      <c r="AF321" s="538"/>
      <c r="AG321" s="538"/>
      <c r="AH321" s="538"/>
      <c r="AI321" s="538"/>
      <c r="AJ321" s="538"/>
      <c r="AK321" s="538"/>
      <c r="AL321" s="538"/>
      <c r="AM321" s="538"/>
      <c r="AN321" s="538"/>
      <c r="AO321" s="538"/>
      <c r="AP321" s="538"/>
      <c r="AQ321" s="538"/>
      <c r="AR321" s="538"/>
      <c r="AS321" s="538"/>
      <c r="AT321" s="538"/>
      <c r="AU321" s="538"/>
      <c r="AV321" s="538"/>
      <c r="AW321" s="538"/>
      <c r="AX321" s="538"/>
      <c r="AY321" s="538"/>
      <c r="AZ321" s="538"/>
    </row>
    <row r="322" spans="1:52" s="471" customFormat="1">
      <c r="A322" s="465" t="s">
        <v>280</v>
      </c>
      <c r="B322" s="452" t="str">
        <f>VLOOKUP(A322,★新聞!$C$4:$D$12,2,FALSE)</f>
        <v>V</v>
      </c>
      <c r="C322" s="465" t="s">
        <v>969</v>
      </c>
      <c r="D322" s="452" t="str">
        <f>VLOOKUP(C322,★サイズ表記!$D$4:$E$55,2,FALSE)</f>
        <v>3001</v>
      </c>
      <c r="E322" s="484" t="str">
        <f t="shared" si="36"/>
        <v>V3001</v>
      </c>
      <c r="F322" s="484" t="str">
        <f t="shared" si="37"/>
        <v>日経/政治B4</v>
      </c>
      <c r="G322" s="483"/>
      <c r="I322" s="471" t="str">
        <f t="shared" si="43"/>
        <v>V3001</v>
      </c>
      <c r="J322" s="471" t="str">
        <f t="shared" si="38"/>
        <v>日経/政治B4</v>
      </c>
      <c r="M322" s="538"/>
      <c r="N322" s="533" t="s">
        <v>1324</v>
      </c>
      <c r="O322" s="533" t="s">
        <v>1325</v>
      </c>
      <c r="P322" s="534" t="str">
        <f t="shared" si="39"/>
        <v>3001</v>
      </c>
      <c r="Q322" s="534" t="str">
        <f t="shared" si="40"/>
        <v>政治B4</v>
      </c>
      <c r="R322" s="538" t="str">
        <f t="shared" si="44"/>
        <v>30</v>
      </c>
      <c r="S322" s="538" t="str">
        <f t="shared" si="45"/>
        <v>01</v>
      </c>
      <c r="T322" s="471" t="s">
        <v>1136</v>
      </c>
      <c r="U322" s="538"/>
      <c r="V322" s="538"/>
      <c r="W322" s="471">
        <v>0</v>
      </c>
      <c r="X322" s="540"/>
      <c r="Y322" s="471">
        <v>0</v>
      </c>
      <c r="Z322" s="538"/>
      <c r="AA322" s="538"/>
      <c r="AB322" s="538"/>
      <c r="AC322" s="538"/>
      <c r="AD322" s="538"/>
      <c r="AE322" s="538"/>
      <c r="AF322" s="538"/>
      <c r="AG322" s="538"/>
      <c r="AH322" s="538"/>
      <c r="AI322" s="538"/>
      <c r="AJ322" s="538"/>
      <c r="AK322" s="538"/>
      <c r="AL322" s="538"/>
      <c r="AM322" s="538"/>
      <c r="AN322" s="538"/>
      <c r="AO322" s="538"/>
      <c r="AP322" s="538"/>
      <c r="AQ322" s="538"/>
      <c r="AR322" s="538"/>
      <c r="AS322" s="538"/>
      <c r="AT322" s="538"/>
      <c r="AU322" s="538"/>
      <c r="AV322" s="538"/>
      <c r="AW322" s="538"/>
      <c r="AX322" s="538"/>
      <c r="AY322" s="538"/>
      <c r="AZ322" s="538"/>
    </row>
    <row r="323" spans="1:52" s="471" customFormat="1">
      <c r="A323" s="465" t="s">
        <v>280</v>
      </c>
      <c r="B323" s="452" t="str">
        <f>VLOOKUP(A323,★新聞!$C$4:$D$12,2,FALSE)</f>
        <v>V</v>
      </c>
      <c r="C323" s="465" t="s">
        <v>970</v>
      </c>
      <c r="D323" s="452" t="str">
        <f>VLOOKUP(C323,★サイズ表記!$D$4:$E$55,2,FALSE)</f>
        <v>3002</v>
      </c>
      <c r="E323" s="484" t="str">
        <f t="shared" si="36"/>
        <v>V3002</v>
      </c>
      <c r="F323" s="484" t="str">
        <f t="shared" si="37"/>
        <v>日経/政治B3</v>
      </c>
      <c r="G323" s="483"/>
      <c r="I323" s="471" t="str">
        <f t="shared" si="43"/>
        <v>V3002</v>
      </c>
      <c r="J323" s="471" t="str">
        <f t="shared" si="38"/>
        <v>日経/政治B3</v>
      </c>
      <c r="M323" s="538"/>
      <c r="N323" s="533" t="s">
        <v>1324</v>
      </c>
      <c r="O323" s="533" t="s">
        <v>1325</v>
      </c>
      <c r="P323" s="534" t="str">
        <f t="shared" si="39"/>
        <v>3002</v>
      </c>
      <c r="Q323" s="534" t="str">
        <f t="shared" si="40"/>
        <v>政治B3</v>
      </c>
      <c r="R323" s="538" t="str">
        <f t="shared" si="44"/>
        <v>30</v>
      </c>
      <c r="S323" s="538" t="str">
        <f t="shared" si="45"/>
        <v>02</v>
      </c>
      <c r="T323" s="471" t="s">
        <v>1136</v>
      </c>
      <c r="U323" s="538"/>
      <c r="V323" s="538"/>
      <c r="W323" s="471">
        <v>0</v>
      </c>
      <c r="X323" s="540"/>
      <c r="Y323" s="471">
        <v>0</v>
      </c>
      <c r="Z323" s="538"/>
      <c r="AA323" s="538"/>
      <c r="AB323" s="538"/>
      <c r="AC323" s="538"/>
      <c r="AD323" s="538"/>
      <c r="AE323" s="538"/>
      <c r="AF323" s="538"/>
      <c r="AG323" s="538"/>
      <c r="AH323" s="538"/>
      <c r="AI323" s="538"/>
      <c r="AJ323" s="538"/>
      <c r="AK323" s="538"/>
      <c r="AL323" s="538"/>
      <c r="AM323" s="538"/>
      <c r="AN323" s="538"/>
      <c r="AO323" s="538"/>
      <c r="AP323" s="538"/>
      <c r="AQ323" s="538"/>
      <c r="AR323" s="538"/>
      <c r="AS323" s="538"/>
      <c r="AT323" s="538"/>
      <c r="AU323" s="538"/>
      <c r="AV323" s="538"/>
      <c r="AW323" s="538"/>
      <c r="AX323" s="538"/>
      <c r="AY323" s="538"/>
      <c r="AZ323" s="538"/>
    </row>
    <row r="324" spans="1:52" s="471" customFormat="1">
      <c r="A324" s="465" t="s">
        <v>280</v>
      </c>
      <c r="B324" s="452" t="str">
        <f>VLOOKUP(A324,★新聞!$C$4:$D$12,2,FALSE)</f>
        <v>V</v>
      </c>
      <c r="C324" s="465" t="s">
        <v>971</v>
      </c>
      <c r="D324" s="452" t="str">
        <f>VLOOKUP(C324,★サイズ表記!$D$4:$E$55,2,FALSE)</f>
        <v>3003</v>
      </c>
      <c r="E324" s="484" t="str">
        <f t="shared" si="36"/>
        <v>V3003</v>
      </c>
      <c r="F324" s="484" t="str">
        <f t="shared" si="37"/>
        <v>日経/政治B2</v>
      </c>
      <c r="G324" s="483"/>
      <c r="I324" s="471" t="str">
        <f t="shared" si="43"/>
        <v>V3003</v>
      </c>
      <c r="J324" s="471" t="str">
        <f t="shared" si="38"/>
        <v>日経/政治B2</v>
      </c>
      <c r="M324" s="538"/>
      <c r="N324" s="533" t="s">
        <v>1324</v>
      </c>
      <c r="O324" s="533" t="s">
        <v>1325</v>
      </c>
      <c r="P324" s="534" t="str">
        <f t="shared" si="39"/>
        <v>3003</v>
      </c>
      <c r="Q324" s="534" t="str">
        <f t="shared" si="40"/>
        <v>政治B2</v>
      </c>
      <c r="R324" s="538" t="str">
        <f t="shared" si="44"/>
        <v>30</v>
      </c>
      <c r="S324" s="538" t="str">
        <f t="shared" si="45"/>
        <v>03</v>
      </c>
      <c r="T324" s="471" t="s">
        <v>1136</v>
      </c>
      <c r="U324" s="538"/>
      <c r="V324" s="538"/>
      <c r="W324" s="471">
        <v>0</v>
      </c>
      <c r="X324" s="540"/>
      <c r="Y324" s="471">
        <v>0</v>
      </c>
      <c r="Z324" s="538"/>
      <c r="AA324" s="538"/>
      <c r="AB324" s="538"/>
      <c r="AC324" s="538"/>
      <c r="AD324" s="538"/>
      <c r="AE324" s="538"/>
      <c r="AF324" s="538"/>
      <c r="AG324" s="538"/>
      <c r="AH324" s="538"/>
      <c r="AI324" s="538"/>
      <c r="AJ324" s="538"/>
      <c r="AK324" s="538"/>
      <c r="AL324" s="538"/>
      <c r="AM324" s="538"/>
      <c r="AN324" s="538"/>
      <c r="AO324" s="538"/>
      <c r="AP324" s="538"/>
      <c r="AQ324" s="538"/>
      <c r="AR324" s="538"/>
      <c r="AS324" s="538"/>
      <c r="AT324" s="538"/>
      <c r="AU324" s="538"/>
      <c r="AV324" s="538"/>
      <c r="AW324" s="538"/>
      <c r="AX324" s="538"/>
      <c r="AY324" s="538"/>
      <c r="AZ324" s="538"/>
    </row>
    <row r="325" spans="1:52" s="471" customFormat="1">
      <c r="A325" s="465" t="s">
        <v>280</v>
      </c>
      <c r="B325" s="452" t="str">
        <f>VLOOKUP(A325,★新聞!$C$4:$D$12,2,FALSE)</f>
        <v>V</v>
      </c>
      <c r="C325" s="465" t="s">
        <v>972</v>
      </c>
      <c r="D325" s="452" t="str">
        <f>VLOOKUP(C325,★サイズ表記!$D$4:$E$55,2,FALSE)</f>
        <v>3004</v>
      </c>
      <c r="E325" s="484" t="str">
        <f t="shared" si="36"/>
        <v>V3004</v>
      </c>
      <c r="F325" s="484" t="str">
        <f t="shared" si="37"/>
        <v>日経/政治3つ折り</v>
      </c>
      <c r="G325" s="483"/>
      <c r="I325" s="471" t="str">
        <f t="shared" si="43"/>
        <v>V3004</v>
      </c>
      <c r="J325" s="471" t="str">
        <f t="shared" si="38"/>
        <v>日経/政治3つ折り</v>
      </c>
      <c r="M325" s="538"/>
      <c r="N325" s="533" t="s">
        <v>1324</v>
      </c>
      <c r="O325" s="533" t="s">
        <v>1325</v>
      </c>
      <c r="P325" s="534" t="str">
        <f t="shared" si="39"/>
        <v>3004</v>
      </c>
      <c r="Q325" s="534" t="str">
        <f t="shared" si="40"/>
        <v>政治3つ折り</v>
      </c>
      <c r="R325" s="538" t="str">
        <f t="shared" si="44"/>
        <v>30</v>
      </c>
      <c r="S325" s="538" t="str">
        <f t="shared" si="45"/>
        <v>04</v>
      </c>
      <c r="T325" s="471" t="s">
        <v>1136</v>
      </c>
      <c r="U325" s="538"/>
      <c r="V325" s="538"/>
      <c r="W325" s="471">
        <v>0</v>
      </c>
      <c r="X325" s="540"/>
      <c r="Y325" s="471">
        <v>0</v>
      </c>
      <c r="Z325" s="538"/>
      <c r="AA325" s="538"/>
      <c r="AB325" s="538"/>
      <c r="AC325" s="538"/>
      <c r="AD325" s="538"/>
      <c r="AE325" s="538"/>
      <c r="AF325" s="538"/>
      <c r="AG325" s="538"/>
      <c r="AH325" s="538"/>
      <c r="AI325" s="538"/>
      <c r="AJ325" s="538"/>
      <c r="AK325" s="538"/>
      <c r="AL325" s="538"/>
      <c r="AM325" s="538"/>
      <c r="AN325" s="538"/>
      <c r="AO325" s="538"/>
      <c r="AP325" s="538"/>
      <c r="AQ325" s="538"/>
      <c r="AR325" s="538"/>
      <c r="AS325" s="538"/>
      <c r="AT325" s="538"/>
      <c r="AU325" s="538"/>
      <c r="AV325" s="538"/>
      <c r="AW325" s="538"/>
      <c r="AX325" s="538"/>
      <c r="AY325" s="538"/>
      <c r="AZ325" s="538"/>
    </row>
    <row r="326" spans="1:52" s="471" customFormat="1">
      <c r="A326" s="465" t="s">
        <v>280</v>
      </c>
      <c r="B326" s="452" t="str">
        <f>VLOOKUP(A326,★新聞!$C$4:$D$12,2,FALSE)</f>
        <v>V</v>
      </c>
      <c r="C326" s="465" t="s">
        <v>973</v>
      </c>
      <c r="D326" s="452" t="str">
        <f>VLOOKUP(C326,★サイズ表記!$D$4:$E$55,2,FALSE)</f>
        <v>3005</v>
      </c>
      <c r="E326" s="484" t="str">
        <f t="shared" ref="E326:E348" si="46">CONCATENATE(B326,D326)</f>
        <v>V3005</v>
      </c>
      <c r="F326" s="484" t="str">
        <f t="shared" si="37"/>
        <v>日経/政治2つ折り極小</v>
      </c>
      <c r="G326" s="483"/>
      <c r="I326" s="471" t="str">
        <f t="shared" si="43"/>
        <v>V3005</v>
      </c>
      <c r="J326" s="471" t="str">
        <f t="shared" si="38"/>
        <v>日経/政治2つ折り極小</v>
      </c>
      <c r="M326" s="538"/>
      <c r="N326" s="533" t="s">
        <v>1324</v>
      </c>
      <c r="O326" s="533" t="s">
        <v>1325</v>
      </c>
      <c r="P326" s="534" t="str">
        <f t="shared" si="39"/>
        <v>3005</v>
      </c>
      <c r="Q326" s="534" t="str">
        <f t="shared" si="40"/>
        <v>政治2つ折り極小</v>
      </c>
      <c r="R326" s="538" t="str">
        <f t="shared" si="44"/>
        <v>30</v>
      </c>
      <c r="S326" s="538" t="str">
        <f t="shared" si="45"/>
        <v>05</v>
      </c>
      <c r="T326" s="471" t="s">
        <v>1136</v>
      </c>
      <c r="U326" s="538"/>
      <c r="V326" s="538"/>
      <c r="W326" s="471">
        <v>0</v>
      </c>
      <c r="X326" s="540"/>
      <c r="Y326" s="471">
        <v>0</v>
      </c>
      <c r="Z326" s="538"/>
      <c r="AA326" s="538"/>
      <c r="AB326" s="538"/>
      <c r="AC326" s="538"/>
      <c r="AD326" s="538"/>
      <c r="AE326" s="538"/>
      <c r="AF326" s="538"/>
      <c r="AG326" s="538"/>
      <c r="AH326" s="538"/>
      <c r="AI326" s="538"/>
      <c r="AJ326" s="538"/>
      <c r="AK326" s="538"/>
      <c r="AL326" s="538"/>
      <c r="AM326" s="538"/>
      <c r="AN326" s="538"/>
      <c r="AO326" s="538"/>
      <c r="AP326" s="538"/>
      <c r="AQ326" s="538"/>
      <c r="AR326" s="538"/>
      <c r="AS326" s="538"/>
      <c r="AT326" s="538"/>
      <c r="AU326" s="538"/>
      <c r="AV326" s="538"/>
      <c r="AW326" s="538"/>
      <c r="AX326" s="538"/>
      <c r="AY326" s="538"/>
      <c r="AZ326" s="538"/>
    </row>
    <row r="327" spans="1:52" s="471" customFormat="1">
      <c r="A327" s="465" t="s">
        <v>280</v>
      </c>
      <c r="B327" s="452" t="str">
        <f>VLOOKUP(A327,★新聞!$C$4:$D$12,2,FALSE)</f>
        <v>V</v>
      </c>
      <c r="C327" s="465" t="s">
        <v>974</v>
      </c>
      <c r="D327" s="452" t="str">
        <f>VLOOKUP(C327,★サイズ表記!$D$4:$E$55,2,FALSE)</f>
        <v>3006</v>
      </c>
      <c r="E327" s="484" t="str">
        <f t="shared" si="46"/>
        <v>V3006</v>
      </c>
      <c r="F327" s="484" t="str">
        <f t="shared" ref="F327:F348" si="47">CONCATENATE($A327,"/",$C327)</f>
        <v>日経/政治B4厚紙</v>
      </c>
      <c r="G327" s="483"/>
      <c r="I327" s="471" t="str">
        <f t="shared" si="43"/>
        <v>V3006</v>
      </c>
      <c r="J327" s="471" t="str">
        <f t="shared" ref="J327:J348" si="48">F327</f>
        <v>日経/政治B4厚紙</v>
      </c>
      <c r="M327" s="538"/>
      <c r="N327" s="533" t="s">
        <v>1324</v>
      </c>
      <c r="O327" s="533" t="s">
        <v>1325</v>
      </c>
      <c r="P327" s="534" t="str">
        <f t="shared" ref="P327:P348" si="49">D327</f>
        <v>3006</v>
      </c>
      <c r="Q327" s="534" t="str">
        <f t="shared" ref="Q327:Q348" si="50">C327</f>
        <v>政治B4厚紙</v>
      </c>
      <c r="R327" s="538" t="str">
        <f t="shared" si="44"/>
        <v>30</v>
      </c>
      <c r="S327" s="538" t="str">
        <f t="shared" si="45"/>
        <v>06</v>
      </c>
      <c r="T327" s="471" t="s">
        <v>1136</v>
      </c>
      <c r="U327" s="538"/>
      <c r="V327" s="538"/>
      <c r="W327" s="471">
        <v>0</v>
      </c>
      <c r="X327" s="540"/>
      <c r="Y327" s="471">
        <v>0</v>
      </c>
      <c r="Z327" s="538"/>
      <c r="AA327" s="538"/>
      <c r="AB327" s="538"/>
      <c r="AC327" s="538"/>
      <c r="AD327" s="538"/>
      <c r="AE327" s="538"/>
      <c r="AF327" s="538"/>
      <c r="AG327" s="538"/>
      <c r="AH327" s="538"/>
      <c r="AI327" s="538"/>
      <c r="AJ327" s="538"/>
      <c r="AK327" s="538"/>
      <c r="AL327" s="538"/>
      <c r="AM327" s="538"/>
      <c r="AN327" s="538"/>
      <c r="AO327" s="538"/>
      <c r="AP327" s="538"/>
      <c r="AQ327" s="538"/>
      <c r="AR327" s="538"/>
      <c r="AS327" s="538"/>
      <c r="AT327" s="538"/>
      <c r="AU327" s="538"/>
      <c r="AV327" s="538"/>
      <c r="AW327" s="538"/>
      <c r="AX327" s="538"/>
      <c r="AY327" s="538"/>
      <c r="AZ327" s="538"/>
    </row>
    <row r="328" spans="1:52" s="471" customFormat="1">
      <c r="A328" s="465" t="s">
        <v>280</v>
      </c>
      <c r="B328" s="452" t="str">
        <f>VLOOKUP(A328,★新聞!$C$4:$D$12,2,FALSE)</f>
        <v>V</v>
      </c>
      <c r="C328" s="465" t="s">
        <v>1362</v>
      </c>
      <c r="D328" s="452" t="str">
        <f>VLOOKUP(C328,★サイズ表記!$D$4:$E$55,2,FALSE)</f>
        <v>3007</v>
      </c>
      <c r="E328" s="484" t="str">
        <f t="shared" si="46"/>
        <v>V3007</v>
      </c>
      <c r="F328" s="484" t="str">
        <f t="shared" si="47"/>
        <v>日経/政治タブ6P</v>
      </c>
      <c r="G328" s="483"/>
      <c r="I328" s="471" t="str">
        <f t="shared" si="43"/>
        <v>V3007</v>
      </c>
      <c r="J328" s="471" t="str">
        <f t="shared" si="48"/>
        <v>日経/政治タブ6P</v>
      </c>
      <c r="M328" s="538"/>
      <c r="N328" s="533" t="s">
        <v>1324</v>
      </c>
      <c r="O328" s="533" t="s">
        <v>1325</v>
      </c>
      <c r="P328" s="534" t="str">
        <f t="shared" si="49"/>
        <v>3007</v>
      </c>
      <c r="Q328" s="534" t="str">
        <f t="shared" si="50"/>
        <v>政治タブ6P</v>
      </c>
      <c r="R328" s="538" t="str">
        <f t="shared" si="44"/>
        <v>30</v>
      </c>
      <c r="S328" s="538" t="str">
        <f t="shared" si="45"/>
        <v>07</v>
      </c>
      <c r="T328" s="471" t="s">
        <v>1136</v>
      </c>
      <c r="U328" s="538"/>
      <c r="V328" s="538"/>
      <c r="W328" s="471">
        <v>0</v>
      </c>
      <c r="X328" s="540"/>
      <c r="Y328" s="471">
        <v>0</v>
      </c>
      <c r="Z328" s="538"/>
      <c r="AA328" s="538"/>
      <c r="AB328" s="538"/>
      <c r="AC328" s="538"/>
      <c r="AD328" s="538"/>
      <c r="AE328" s="538"/>
      <c r="AF328" s="538"/>
      <c r="AG328" s="538"/>
      <c r="AH328" s="538"/>
      <c r="AI328" s="538"/>
      <c r="AJ328" s="538"/>
      <c r="AK328" s="538"/>
      <c r="AL328" s="538"/>
      <c r="AM328" s="538"/>
      <c r="AN328" s="538"/>
      <c r="AO328" s="538"/>
      <c r="AP328" s="538"/>
      <c r="AQ328" s="538"/>
      <c r="AR328" s="538"/>
      <c r="AS328" s="538"/>
      <c r="AT328" s="538"/>
      <c r="AU328" s="538"/>
      <c r="AV328" s="538"/>
      <c r="AW328" s="538"/>
      <c r="AX328" s="538"/>
      <c r="AY328" s="538"/>
      <c r="AZ328" s="538"/>
    </row>
    <row r="329" spans="1:52" s="471" customFormat="1">
      <c r="A329" s="465" t="s">
        <v>280</v>
      </c>
      <c r="B329" s="452" t="str">
        <f>VLOOKUP(A329,★新聞!$C$4:$D$12,2,FALSE)</f>
        <v>V</v>
      </c>
      <c r="C329" s="465" t="s">
        <v>1363</v>
      </c>
      <c r="D329" s="452" t="str">
        <f>VLOOKUP(C329,★サイズ表記!$D$4:$E$55,2,FALSE)</f>
        <v>3008</v>
      </c>
      <c r="E329" s="484" t="str">
        <f t="shared" si="46"/>
        <v>V3008</v>
      </c>
      <c r="F329" s="484" t="str">
        <f t="shared" si="47"/>
        <v>日経/政治タブ8P</v>
      </c>
      <c r="G329" s="483"/>
      <c r="I329" s="471" t="str">
        <f t="shared" si="43"/>
        <v>V3008</v>
      </c>
      <c r="J329" s="471" t="str">
        <f t="shared" si="48"/>
        <v>日経/政治タブ8P</v>
      </c>
      <c r="M329" s="538"/>
      <c r="N329" s="533" t="s">
        <v>1324</v>
      </c>
      <c r="O329" s="533" t="s">
        <v>1325</v>
      </c>
      <c r="P329" s="534" t="str">
        <f t="shared" si="49"/>
        <v>3008</v>
      </c>
      <c r="Q329" s="534" t="str">
        <f t="shared" si="50"/>
        <v>政治タブ8P</v>
      </c>
      <c r="R329" s="538" t="str">
        <f t="shared" si="44"/>
        <v>30</v>
      </c>
      <c r="S329" s="538" t="str">
        <f t="shared" si="45"/>
        <v>08</v>
      </c>
      <c r="T329" s="471" t="s">
        <v>1136</v>
      </c>
      <c r="U329" s="538"/>
      <c r="V329" s="538"/>
      <c r="W329" s="471">
        <v>0</v>
      </c>
      <c r="X329" s="540"/>
      <c r="Y329" s="471">
        <v>0</v>
      </c>
      <c r="Z329" s="538"/>
      <c r="AA329" s="538"/>
      <c r="AB329" s="538"/>
      <c r="AC329" s="538"/>
      <c r="AD329" s="538"/>
      <c r="AE329" s="538"/>
      <c r="AF329" s="538"/>
      <c r="AG329" s="538"/>
      <c r="AH329" s="538"/>
      <c r="AI329" s="538"/>
      <c r="AJ329" s="538"/>
      <c r="AK329" s="538"/>
      <c r="AL329" s="538"/>
      <c r="AM329" s="538"/>
      <c r="AN329" s="538"/>
      <c r="AO329" s="538"/>
      <c r="AP329" s="538"/>
      <c r="AQ329" s="538"/>
      <c r="AR329" s="538"/>
      <c r="AS329" s="538"/>
      <c r="AT329" s="538"/>
      <c r="AU329" s="538"/>
      <c r="AV329" s="538"/>
      <c r="AW329" s="538"/>
      <c r="AX329" s="538"/>
      <c r="AY329" s="538"/>
      <c r="AZ329" s="538"/>
    </row>
    <row r="330" spans="1:52" s="471" customFormat="1">
      <c r="A330" s="465" t="s">
        <v>280</v>
      </c>
      <c r="B330" s="452" t="str">
        <f>VLOOKUP(A330,★新聞!$C$4:$D$12,2,FALSE)</f>
        <v>V</v>
      </c>
      <c r="C330" s="465" t="s">
        <v>1361</v>
      </c>
      <c r="D330" s="452" t="str">
        <f>VLOOKUP(C330,★サイズ表記!$D$4:$E$55,2,FALSE)</f>
        <v>3009</v>
      </c>
      <c r="E330" s="484" t="str">
        <f t="shared" si="46"/>
        <v>V3009</v>
      </c>
      <c r="F330" s="484" t="str">
        <f t="shared" si="47"/>
        <v>日経/政治タブ12P</v>
      </c>
      <c r="G330" s="483"/>
      <c r="I330" s="471" t="str">
        <f t="shared" si="43"/>
        <v>V3009</v>
      </c>
      <c r="J330" s="471" t="str">
        <f t="shared" si="48"/>
        <v>日経/政治タブ12P</v>
      </c>
      <c r="M330" s="538"/>
      <c r="N330" s="533" t="s">
        <v>1324</v>
      </c>
      <c r="O330" s="533" t="s">
        <v>1325</v>
      </c>
      <c r="P330" s="534" t="str">
        <f t="shared" si="49"/>
        <v>3009</v>
      </c>
      <c r="Q330" s="534" t="str">
        <f t="shared" si="50"/>
        <v>政治タブ12P</v>
      </c>
      <c r="R330" s="538" t="str">
        <f t="shared" si="44"/>
        <v>30</v>
      </c>
      <c r="S330" s="538" t="str">
        <f t="shared" si="45"/>
        <v>09</v>
      </c>
      <c r="T330" s="471" t="s">
        <v>1136</v>
      </c>
      <c r="U330" s="538"/>
      <c r="V330" s="538"/>
      <c r="W330" s="471">
        <v>0</v>
      </c>
      <c r="X330" s="540"/>
      <c r="Y330" s="471">
        <v>0</v>
      </c>
      <c r="Z330" s="538"/>
      <c r="AA330" s="538"/>
      <c r="AB330" s="538"/>
      <c r="AC330" s="538"/>
      <c r="AD330" s="538"/>
      <c r="AE330" s="538"/>
      <c r="AF330" s="538"/>
      <c r="AG330" s="538"/>
      <c r="AH330" s="538"/>
      <c r="AI330" s="538"/>
      <c r="AJ330" s="538"/>
      <c r="AK330" s="538"/>
      <c r="AL330" s="538"/>
      <c r="AM330" s="538"/>
      <c r="AN330" s="538"/>
      <c r="AO330" s="538"/>
      <c r="AP330" s="538"/>
      <c r="AQ330" s="538"/>
      <c r="AR330" s="538"/>
      <c r="AS330" s="538"/>
      <c r="AT330" s="538"/>
      <c r="AU330" s="538"/>
      <c r="AV330" s="538"/>
      <c r="AW330" s="538"/>
      <c r="AX330" s="538"/>
      <c r="AY330" s="538"/>
      <c r="AZ330" s="538"/>
    </row>
    <row r="331" spans="1:52" s="471" customFormat="1">
      <c r="A331" s="465" t="s">
        <v>280</v>
      </c>
      <c r="B331" s="452" t="str">
        <f>VLOOKUP(A331,★新聞!$C$4:$D$12,2,FALSE)</f>
        <v>V</v>
      </c>
      <c r="C331" s="465" t="s">
        <v>1358</v>
      </c>
      <c r="D331" s="452" t="str">
        <f>VLOOKUP(C331,★サイズ表記!$D$4:$E$55,2,FALSE)</f>
        <v>4001</v>
      </c>
      <c r="E331" s="484" t="str">
        <f t="shared" si="46"/>
        <v>V4001</v>
      </c>
      <c r="F331" s="484" t="str">
        <f t="shared" si="47"/>
        <v>日経/タブ6P</v>
      </c>
      <c r="G331" s="483"/>
      <c r="I331" s="471" t="str">
        <f t="shared" si="43"/>
        <v>V4001</v>
      </c>
      <c r="J331" s="471" t="str">
        <f t="shared" si="48"/>
        <v>日経/タブ6P</v>
      </c>
      <c r="M331" s="538"/>
      <c r="N331" s="533" t="s">
        <v>1324</v>
      </c>
      <c r="O331" s="533" t="s">
        <v>1325</v>
      </c>
      <c r="P331" s="534" t="str">
        <f t="shared" si="49"/>
        <v>4001</v>
      </c>
      <c r="Q331" s="534" t="str">
        <f t="shared" si="50"/>
        <v>タブ6P</v>
      </c>
      <c r="R331" s="538" t="str">
        <f t="shared" si="44"/>
        <v>40</v>
      </c>
      <c r="S331" s="538" t="str">
        <f t="shared" si="45"/>
        <v>01</v>
      </c>
      <c r="T331" s="471" t="s">
        <v>1136</v>
      </c>
      <c r="U331" s="538"/>
      <c r="V331" s="538"/>
      <c r="W331" s="471">
        <v>0</v>
      </c>
      <c r="X331" s="540"/>
      <c r="Y331" s="471">
        <v>0</v>
      </c>
      <c r="Z331" s="538"/>
      <c r="AA331" s="538"/>
      <c r="AB331" s="538"/>
      <c r="AC331" s="538"/>
      <c r="AD331" s="538"/>
      <c r="AE331" s="538"/>
      <c r="AF331" s="538"/>
      <c r="AG331" s="538"/>
      <c r="AH331" s="538"/>
      <c r="AI331" s="538"/>
      <c r="AJ331" s="538"/>
      <c r="AK331" s="538"/>
      <c r="AL331" s="538"/>
      <c r="AM331" s="538"/>
      <c r="AN331" s="538"/>
      <c r="AO331" s="538"/>
      <c r="AP331" s="538"/>
      <c r="AQ331" s="538"/>
      <c r="AR331" s="538"/>
      <c r="AS331" s="538"/>
      <c r="AT331" s="538"/>
      <c r="AU331" s="538"/>
      <c r="AV331" s="538"/>
      <c r="AW331" s="538"/>
      <c r="AX331" s="538"/>
      <c r="AY331" s="538"/>
      <c r="AZ331" s="538"/>
    </row>
    <row r="332" spans="1:52" s="471" customFormat="1">
      <c r="A332" s="465" t="s">
        <v>280</v>
      </c>
      <c r="B332" s="452" t="str">
        <f>VLOOKUP(A332,★新聞!$C$4:$D$12,2,FALSE)</f>
        <v>V</v>
      </c>
      <c r="C332" s="465" t="s">
        <v>1359</v>
      </c>
      <c r="D332" s="452" t="str">
        <f>VLOOKUP(C332,★サイズ表記!$D$4:$E$55,2,FALSE)</f>
        <v>4002</v>
      </c>
      <c r="E332" s="484" t="str">
        <f t="shared" si="46"/>
        <v>V4002</v>
      </c>
      <c r="F332" s="484" t="str">
        <f t="shared" si="47"/>
        <v>日経/タブ8P</v>
      </c>
      <c r="G332" s="483"/>
      <c r="I332" s="471" t="str">
        <f t="shared" si="43"/>
        <v>V4002</v>
      </c>
      <c r="J332" s="471" t="str">
        <f t="shared" si="48"/>
        <v>日経/タブ8P</v>
      </c>
      <c r="M332" s="538"/>
      <c r="N332" s="533" t="s">
        <v>1324</v>
      </c>
      <c r="O332" s="533" t="s">
        <v>1325</v>
      </c>
      <c r="P332" s="534" t="str">
        <f t="shared" si="49"/>
        <v>4002</v>
      </c>
      <c r="Q332" s="534" t="str">
        <f t="shared" si="50"/>
        <v>タブ8P</v>
      </c>
      <c r="R332" s="538" t="str">
        <f t="shared" si="44"/>
        <v>40</v>
      </c>
      <c r="S332" s="538" t="str">
        <f t="shared" si="45"/>
        <v>02</v>
      </c>
      <c r="T332" s="471" t="s">
        <v>1136</v>
      </c>
      <c r="U332" s="538"/>
      <c r="V332" s="538"/>
      <c r="W332" s="471">
        <v>0</v>
      </c>
      <c r="X332" s="540"/>
      <c r="Y332" s="471">
        <v>0</v>
      </c>
      <c r="Z332" s="538"/>
      <c r="AA332" s="538"/>
      <c r="AB332" s="538"/>
      <c r="AC332" s="538"/>
      <c r="AD332" s="538"/>
      <c r="AE332" s="538"/>
      <c r="AF332" s="538"/>
      <c r="AG332" s="538"/>
      <c r="AH332" s="538"/>
      <c r="AI332" s="538"/>
      <c r="AJ332" s="538"/>
      <c r="AK332" s="538"/>
      <c r="AL332" s="538"/>
      <c r="AM332" s="538"/>
      <c r="AN332" s="538"/>
      <c r="AO332" s="538"/>
      <c r="AP332" s="538"/>
      <c r="AQ332" s="538"/>
      <c r="AR332" s="538"/>
      <c r="AS332" s="538"/>
      <c r="AT332" s="538"/>
      <c r="AU332" s="538"/>
      <c r="AV332" s="538"/>
      <c r="AW332" s="538"/>
      <c r="AX332" s="538"/>
      <c r="AY332" s="538"/>
      <c r="AZ332" s="538"/>
    </row>
    <row r="333" spans="1:52" s="471" customFormat="1">
      <c r="A333" s="465" t="s">
        <v>280</v>
      </c>
      <c r="B333" s="452" t="str">
        <f>VLOOKUP(A333,★新聞!$C$4:$D$12,2,FALSE)</f>
        <v>V</v>
      </c>
      <c r="C333" s="465" t="s">
        <v>1360</v>
      </c>
      <c r="D333" s="452" t="str">
        <f>VLOOKUP(C333,★サイズ表記!$D$4:$E$55,2,FALSE)</f>
        <v>4003</v>
      </c>
      <c r="E333" s="484" t="str">
        <f t="shared" si="46"/>
        <v>V4003</v>
      </c>
      <c r="F333" s="484" t="str">
        <f t="shared" si="47"/>
        <v>日経/タブ8Pホチキス止め</v>
      </c>
      <c r="G333" s="483"/>
      <c r="I333" s="471" t="str">
        <f t="shared" si="43"/>
        <v>V4003</v>
      </c>
      <c r="J333" s="471" t="str">
        <f t="shared" si="48"/>
        <v>日経/タブ8Pホチキス止め</v>
      </c>
      <c r="M333" s="538"/>
      <c r="N333" s="533" t="s">
        <v>1324</v>
      </c>
      <c r="O333" s="533" t="s">
        <v>1325</v>
      </c>
      <c r="P333" s="534" t="str">
        <f t="shared" si="49"/>
        <v>4003</v>
      </c>
      <c r="Q333" s="534" t="str">
        <f t="shared" si="50"/>
        <v>タブ8Pホチキス止め</v>
      </c>
      <c r="R333" s="538" t="str">
        <f t="shared" si="44"/>
        <v>40</v>
      </c>
      <c r="S333" s="538" t="str">
        <f t="shared" si="45"/>
        <v>03</v>
      </c>
      <c r="T333" s="471" t="s">
        <v>1136</v>
      </c>
      <c r="U333" s="538"/>
      <c r="V333" s="538"/>
      <c r="W333" s="471">
        <v>0</v>
      </c>
      <c r="X333" s="540"/>
      <c r="Y333" s="471">
        <v>0</v>
      </c>
      <c r="Z333" s="538"/>
      <c r="AA333" s="538"/>
      <c r="AB333" s="538"/>
      <c r="AC333" s="538"/>
      <c r="AD333" s="538"/>
      <c r="AE333" s="538"/>
      <c r="AF333" s="538"/>
      <c r="AG333" s="538"/>
      <c r="AH333" s="538"/>
      <c r="AI333" s="538"/>
      <c r="AJ333" s="538"/>
      <c r="AK333" s="538"/>
      <c r="AL333" s="538"/>
      <c r="AM333" s="538"/>
      <c r="AN333" s="538"/>
      <c r="AO333" s="538"/>
      <c r="AP333" s="538"/>
      <c r="AQ333" s="538"/>
      <c r="AR333" s="538"/>
      <c r="AS333" s="538"/>
      <c r="AT333" s="538"/>
      <c r="AU333" s="538"/>
      <c r="AV333" s="538"/>
      <c r="AW333" s="538"/>
      <c r="AX333" s="538"/>
      <c r="AY333" s="538"/>
      <c r="AZ333" s="538"/>
    </row>
    <row r="334" spans="1:52" s="471" customFormat="1">
      <c r="A334" s="465" t="s">
        <v>280</v>
      </c>
      <c r="B334" s="452" t="str">
        <f>VLOOKUP(A334,★新聞!$C$4:$D$12,2,FALSE)</f>
        <v>V</v>
      </c>
      <c r="C334" s="465" t="s">
        <v>1350</v>
      </c>
      <c r="D334" s="452" t="str">
        <f>VLOOKUP(C334,★サイズ表記!$D$4:$E$55,2,FALSE)</f>
        <v>4004</v>
      </c>
      <c r="E334" s="484" t="str">
        <f t="shared" si="46"/>
        <v>V4004</v>
      </c>
      <c r="F334" s="484" t="str">
        <f t="shared" si="47"/>
        <v>日経/タブ10P</v>
      </c>
      <c r="G334" s="483"/>
      <c r="I334" s="471" t="str">
        <f t="shared" si="43"/>
        <v>V4004</v>
      </c>
      <c r="J334" s="471" t="str">
        <f t="shared" si="48"/>
        <v>日経/タブ10P</v>
      </c>
      <c r="M334" s="538"/>
      <c r="N334" s="533" t="s">
        <v>1324</v>
      </c>
      <c r="O334" s="533" t="s">
        <v>1325</v>
      </c>
      <c r="P334" s="534" t="str">
        <f t="shared" si="49"/>
        <v>4004</v>
      </c>
      <c r="Q334" s="534" t="str">
        <f t="shared" si="50"/>
        <v>タブ10P</v>
      </c>
      <c r="R334" s="538" t="str">
        <f t="shared" si="44"/>
        <v>40</v>
      </c>
      <c r="S334" s="538" t="str">
        <f t="shared" si="45"/>
        <v>04</v>
      </c>
      <c r="T334" s="471" t="s">
        <v>1136</v>
      </c>
      <c r="U334" s="538"/>
      <c r="V334" s="538"/>
      <c r="W334" s="471">
        <v>0</v>
      </c>
      <c r="X334" s="540"/>
      <c r="Y334" s="471">
        <v>0</v>
      </c>
      <c r="Z334" s="538"/>
      <c r="AA334" s="538"/>
      <c r="AB334" s="538"/>
      <c r="AC334" s="538"/>
      <c r="AD334" s="538"/>
      <c r="AE334" s="538"/>
      <c r="AF334" s="538"/>
      <c r="AG334" s="538"/>
      <c r="AH334" s="538"/>
      <c r="AI334" s="538"/>
      <c r="AJ334" s="538"/>
      <c r="AK334" s="538"/>
      <c r="AL334" s="538"/>
      <c r="AM334" s="538"/>
      <c r="AN334" s="538"/>
      <c r="AO334" s="538"/>
      <c r="AP334" s="538"/>
      <c r="AQ334" s="538"/>
      <c r="AR334" s="538"/>
      <c r="AS334" s="538"/>
      <c r="AT334" s="538"/>
      <c r="AU334" s="538"/>
      <c r="AV334" s="538"/>
      <c r="AW334" s="538"/>
      <c r="AX334" s="538"/>
      <c r="AY334" s="538"/>
      <c r="AZ334" s="538"/>
    </row>
    <row r="335" spans="1:52" s="471" customFormat="1">
      <c r="A335" s="465" t="s">
        <v>280</v>
      </c>
      <c r="B335" s="452" t="str">
        <f>VLOOKUP(A335,★新聞!$C$4:$D$12,2,FALSE)</f>
        <v>V</v>
      </c>
      <c r="C335" s="465" t="s">
        <v>1351</v>
      </c>
      <c r="D335" s="452" t="str">
        <f>VLOOKUP(C335,★サイズ表記!$D$4:$E$55,2,FALSE)</f>
        <v>4005</v>
      </c>
      <c r="E335" s="484" t="str">
        <f t="shared" si="46"/>
        <v>V4005</v>
      </c>
      <c r="F335" s="484" t="str">
        <f t="shared" si="47"/>
        <v>日経/タブ12P</v>
      </c>
      <c r="G335" s="483"/>
      <c r="I335" s="471" t="str">
        <f t="shared" si="43"/>
        <v>V4005</v>
      </c>
      <c r="J335" s="471" t="str">
        <f t="shared" si="48"/>
        <v>日経/タブ12P</v>
      </c>
      <c r="M335" s="538"/>
      <c r="N335" s="533" t="s">
        <v>1324</v>
      </c>
      <c r="O335" s="533" t="s">
        <v>1325</v>
      </c>
      <c r="P335" s="534" t="str">
        <f t="shared" si="49"/>
        <v>4005</v>
      </c>
      <c r="Q335" s="534" t="str">
        <f t="shared" si="50"/>
        <v>タブ12P</v>
      </c>
      <c r="R335" s="538" t="str">
        <f t="shared" si="44"/>
        <v>40</v>
      </c>
      <c r="S335" s="538" t="str">
        <f t="shared" si="45"/>
        <v>05</v>
      </c>
      <c r="T335" s="471" t="s">
        <v>1136</v>
      </c>
      <c r="U335" s="538"/>
      <c r="V335" s="538"/>
      <c r="W335" s="471">
        <v>0</v>
      </c>
      <c r="X335" s="540"/>
      <c r="Y335" s="471">
        <v>0</v>
      </c>
      <c r="Z335" s="538"/>
      <c r="AA335" s="538"/>
      <c r="AB335" s="538"/>
      <c r="AC335" s="538"/>
      <c r="AD335" s="538"/>
      <c r="AE335" s="538"/>
      <c r="AF335" s="538"/>
      <c r="AG335" s="538"/>
      <c r="AH335" s="538"/>
      <c r="AI335" s="538"/>
      <c r="AJ335" s="538"/>
      <c r="AK335" s="538"/>
      <c r="AL335" s="538"/>
      <c r="AM335" s="538"/>
      <c r="AN335" s="538"/>
      <c r="AO335" s="538"/>
      <c r="AP335" s="538"/>
      <c r="AQ335" s="538"/>
      <c r="AR335" s="538"/>
      <c r="AS335" s="538"/>
      <c r="AT335" s="538"/>
      <c r="AU335" s="538"/>
      <c r="AV335" s="538"/>
      <c r="AW335" s="538"/>
      <c r="AX335" s="538"/>
      <c r="AY335" s="538"/>
      <c r="AZ335" s="538"/>
    </row>
    <row r="336" spans="1:52" s="471" customFormat="1">
      <c r="A336" s="465" t="s">
        <v>280</v>
      </c>
      <c r="B336" s="452" t="str">
        <f>VLOOKUP(A336,★新聞!$C$4:$D$12,2,FALSE)</f>
        <v>V</v>
      </c>
      <c r="C336" s="465" t="s">
        <v>1352</v>
      </c>
      <c r="D336" s="452" t="str">
        <f>VLOOKUP(C336,★サイズ表記!$D$4:$E$55,2,FALSE)</f>
        <v>4006</v>
      </c>
      <c r="E336" s="484" t="str">
        <f t="shared" si="46"/>
        <v>V4006</v>
      </c>
      <c r="F336" s="484" t="str">
        <f t="shared" si="47"/>
        <v>日経/タブ14P</v>
      </c>
      <c r="G336" s="483"/>
      <c r="I336" s="471" t="str">
        <f t="shared" si="43"/>
        <v>V4006</v>
      </c>
      <c r="J336" s="471" t="str">
        <f t="shared" si="48"/>
        <v>日経/タブ14P</v>
      </c>
      <c r="M336" s="538"/>
      <c r="N336" s="533" t="s">
        <v>1324</v>
      </c>
      <c r="O336" s="533" t="s">
        <v>1325</v>
      </c>
      <c r="P336" s="534" t="str">
        <f t="shared" si="49"/>
        <v>4006</v>
      </c>
      <c r="Q336" s="534" t="str">
        <f t="shared" si="50"/>
        <v>タブ14P</v>
      </c>
      <c r="R336" s="538" t="str">
        <f t="shared" si="44"/>
        <v>40</v>
      </c>
      <c r="S336" s="538" t="str">
        <f t="shared" si="45"/>
        <v>06</v>
      </c>
      <c r="T336" s="471" t="s">
        <v>1136</v>
      </c>
      <c r="U336" s="538"/>
      <c r="V336" s="538"/>
      <c r="W336" s="471">
        <v>0</v>
      </c>
      <c r="X336" s="540"/>
      <c r="Y336" s="471">
        <v>0</v>
      </c>
      <c r="Z336" s="538"/>
      <c r="AA336" s="538"/>
      <c r="AB336" s="538"/>
      <c r="AC336" s="538"/>
      <c r="AD336" s="538"/>
      <c r="AE336" s="538"/>
      <c r="AF336" s="538"/>
      <c r="AG336" s="538"/>
      <c r="AH336" s="538"/>
      <c r="AI336" s="538"/>
      <c r="AJ336" s="538"/>
      <c r="AK336" s="538"/>
      <c r="AL336" s="538"/>
      <c r="AM336" s="538"/>
      <c r="AN336" s="538"/>
      <c r="AO336" s="538"/>
      <c r="AP336" s="538"/>
      <c r="AQ336" s="538"/>
      <c r="AR336" s="538"/>
      <c r="AS336" s="538"/>
      <c r="AT336" s="538"/>
      <c r="AU336" s="538"/>
      <c r="AV336" s="538"/>
      <c r="AW336" s="538"/>
      <c r="AX336" s="538"/>
      <c r="AY336" s="538"/>
      <c r="AZ336" s="538"/>
    </row>
    <row r="337" spans="1:52" s="471" customFormat="1">
      <c r="A337" s="465" t="s">
        <v>280</v>
      </c>
      <c r="B337" s="452" t="str">
        <f>VLOOKUP(A337,★新聞!$C$4:$D$12,2,FALSE)</f>
        <v>V</v>
      </c>
      <c r="C337" s="465" t="s">
        <v>1353</v>
      </c>
      <c r="D337" s="452" t="str">
        <f>VLOOKUP(C337,★サイズ表記!$D$4:$E$55,2,FALSE)</f>
        <v>4007</v>
      </c>
      <c r="E337" s="484" t="str">
        <f t="shared" si="46"/>
        <v>V4007</v>
      </c>
      <c r="F337" s="484" t="str">
        <f t="shared" si="47"/>
        <v>日経/タブ16P</v>
      </c>
      <c r="G337" s="483"/>
      <c r="I337" s="471" t="str">
        <f t="shared" si="43"/>
        <v>V4007</v>
      </c>
      <c r="J337" s="471" t="str">
        <f t="shared" si="48"/>
        <v>日経/タブ16P</v>
      </c>
      <c r="M337" s="538"/>
      <c r="N337" s="533" t="s">
        <v>1324</v>
      </c>
      <c r="O337" s="533" t="s">
        <v>1325</v>
      </c>
      <c r="P337" s="534" t="str">
        <f t="shared" si="49"/>
        <v>4007</v>
      </c>
      <c r="Q337" s="534" t="str">
        <f t="shared" si="50"/>
        <v>タブ16P</v>
      </c>
      <c r="R337" s="538" t="str">
        <f t="shared" si="44"/>
        <v>40</v>
      </c>
      <c r="S337" s="538" t="str">
        <f t="shared" si="45"/>
        <v>07</v>
      </c>
      <c r="T337" s="471" t="s">
        <v>1136</v>
      </c>
      <c r="U337" s="538"/>
      <c r="V337" s="538"/>
      <c r="W337" s="471">
        <v>0</v>
      </c>
      <c r="X337" s="540"/>
      <c r="Y337" s="471">
        <v>0</v>
      </c>
      <c r="Z337" s="538"/>
      <c r="AA337" s="538"/>
      <c r="AB337" s="538"/>
      <c r="AC337" s="538"/>
      <c r="AD337" s="538"/>
      <c r="AE337" s="538"/>
      <c r="AF337" s="538"/>
      <c r="AG337" s="538"/>
      <c r="AH337" s="538"/>
      <c r="AI337" s="538"/>
      <c r="AJ337" s="538"/>
      <c r="AK337" s="538"/>
      <c r="AL337" s="538"/>
      <c r="AM337" s="538"/>
      <c r="AN337" s="538"/>
      <c r="AO337" s="538"/>
      <c r="AP337" s="538"/>
      <c r="AQ337" s="538"/>
      <c r="AR337" s="538"/>
      <c r="AS337" s="538"/>
      <c r="AT337" s="538"/>
      <c r="AU337" s="538"/>
      <c r="AV337" s="538"/>
      <c r="AW337" s="538"/>
      <c r="AX337" s="538"/>
      <c r="AY337" s="538"/>
      <c r="AZ337" s="538"/>
    </row>
    <row r="338" spans="1:52" s="471" customFormat="1">
      <c r="A338" s="465" t="s">
        <v>280</v>
      </c>
      <c r="B338" s="452" t="str">
        <f>VLOOKUP(A338,★新聞!$C$4:$D$12,2,FALSE)</f>
        <v>V</v>
      </c>
      <c r="C338" s="465" t="s">
        <v>1355</v>
      </c>
      <c r="D338" s="452" t="str">
        <f>VLOOKUP(C338,★サイズ表記!$D$4:$E$55,2,FALSE)</f>
        <v>4008</v>
      </c>
      <c r="E338" s="484" t="str">
        <f t="shared" si="46"/>
        <v>V4008</v>
      </c>
      <c r="F338" s="484" t="str">
        <f t="shared" si="47"/>
        <v>日経/タブ18P</v>
      </c>
      <c r="G338" s="483"/>
      <c r="I338" s="471" t="str">
        <f t="shared" si="43"/>
        <v>V4008</v>
      </c>
      <c r="J338" s="471" t="str">
        <f t="shared" si="48"/>
        <v>日経/タブ18P</v>
      </c>
      <c r="M338" s="538"/>
      <c r="N338" s="533" t="s">
        <v>1324</v>
      </c>
      <c r="O338" s="533" t="s">
        <v>1325</v>
      </c>
      <c r="P338" s="534" t="str">
        <f t="shared" si="49"/>
        <v>4008</v>
      </c>
      <c r="Q338" s="534" t="str">
        <f t="shared" si="50"/>
        <v>タブ18P</v>
      </c>
      <c r="R338" s="538" t="str">
        <f t="shared" si="44"/>
        <v>40</v>
      </c>
      <c r="S338" s="538" t="str">
        <f t="shared" si="45"/>
        <v>08</v>
      </c>
      <c r="T338" s="471" t="s">
        <v>1136</v>
      </c>
      <c r="U338" s="538"/>
      <c r="V338" s="538"/>
      <c r="W338" s="471">
        <v>0</v>
      </c>
      <c r="X338" s="540"/>
      <c r="Y338" s="471">
        <v>0</v>
      </c>
      <c r="Z338" s="538"/>
      <c r="AA338" s="538"/>
      <c r="AB338" s="538"/>
      <c r="AC338" s="538"/>
      <c r="AD338" s="538"/>
      <c r="AE338" s="538"/>
      <c r="AF338" s="538"/>
      <c r="AG338" s="538"/>
      <c r="AH338" s="538"/>
      <c r="AI338" s="538"/>
      <c r="AJ338" s="538"/>
      <c r="AK338" s="538"/>
      <c r="AL338" s="538"/>
      <c r="AM338" s="538"/>
      <c r="AN338" s="538"/>
      <c r="AO338" s="538"/>
      <c r="AP338" s="538"/>
      <c r="AQ338" s="538"/>
      <c r="AR338" s="538"/>
      <c r="AS338" s="538"/>
      <c r="AT338" s="538"/>
      <c r="AU338" s="538"/>
      <c r="AV338" s="538"/>
      <c r="AW338" s="538"/>
      <c r="AX338" s="538"/>
      <c r="AY338" s="538"/>
      <c r="AZ338" s="538"/>
    </row>
    <row r="339" spans="1:52" s="471" customFormat="1">
      <c r="A339" s="465" t="s">
        <v>280</v>
      </c>
      <c r="B339" s="452" t="str">
        <f>VLOOKUP(A339,★新聞!$C$4:$D$12,2,FALSE)</f>
        <v>V</v>
      </c>
      <c r="C339" s="465" t="s">
        <v>1356</v>
      </c>
      <c r="D339" s="452" t="str">
        <f>VLOOKUP(C339,★サイズ表記!$D$4:$E$55,2,FALSE)</f>
        <v>4009</v>
      </c>
      <c r="E339" s="484" t="str">
        <f t="shared" si="46"/>
        <v>V4009</v>
      </c>
      <c r="F339" s="484" t="str">
        <f t="shared" si="47"/>
        <v>日経/タブ20P</v>
      </c>
      <c r="G339" s="483"/>
      <c r="I339" s="471" t="str">
        <f t="shared" si="43"/>
        <v>V4009</v>
      </c>
      <c r="J339" s="471" t="str">
        <f t="shared" si="48"/>
        <v>日経/タブ20P</v>
      </c>
      <c r="M339" s="538"/>
      <c r="N339" s="533" t="s">
        <v>1324</v>
      </c>
      <c r="O339" s="533" t="s">
        <v>1325</v>
      </c>
      <c r="P339" s="534" t="str">
        <f t="shared" si="49"/>
        <v>4009</v>
      </c>
      <c r="Q339" s="534" t="str">
        <f t="shared" si="50"/>
        <v>タブ20P</v>
      </c>
      <c r="R339" s="538" t="str">
        <f t="shared" si="44"/>
        <v>40</v>
      </c>
      <c r="S339" s="538" t="str">
        <f t="shared" si="45"/>
        <v>09</v>
      </c>
      <c r="T339" s="471" t="s">
        <v>1136</v>
      </c>
      <c r="U339" s="538"/>
      <c r="V339" s="538"/>
      <c r="W339" s="471">
        <v>0</v>
      </c>
      <c r="X339" s="540"/>
      <c r="Y339" s="471">
        <v>0</v>
      </c>
      <c r="Z339" s="538"/>
      <c r="AA339" s="538"/>
      <c r="AB339" s="538"/>
      <c r="AC339" s="538"/>
      <c r="AD339" s="538"/>
      <c r="AE339" s="538"/>
      <c r="AF339" s="538"/>
      <c r="AG339" s="538"/>
      <c r="AH339" s="538"/>
      <c r="AI339" s="538"/>
      <c r="AJ339" s="538"/>
      <c r="AK339" s="538"/>
      <c r="AL339" s="538"/>
      <c r="AM339" s="538"/>
      <c r="AN339" s="538"/>
      <c r="AO339" s="538"/>
      <c r="AP339" s="538"/>
      <c r="AQ339" s="538"/>
      <c r="AR339" s="538"/>
      <c r="AS339" s="538"/>
      <c r="AT339" s="538"/>
      <c r="AU339" s="538"/>
      <c r="AV339" s="538"/>
      <c r="AW339" s="538"/>
      <c r="AX339" s="538"/>
      <c r="AY339" s="538"/>
      <c r="AZ339" s="538"/>
    </row>
    <row r="340" spans="1:52" s="471" customFormat="1">
      <c r="A340" s="465" t="s">
        <v>280</v>
      </c>
      <c r="B340" s="452" t="str">
        <f>VLOOKUP(A340,★新聞!$C$4:$D$12,2,FALSE)</f>
        <v>V</v>
      </c>
      <c r="C340" s="465" t="s">
        <v>1354</v>
      </c>
      <c r="D340" s="452" t="str">
        <f>VLOOKUP(C340,★サイズ表記!$D$4:$E$55,2,FALSE)</f>
        <v>4010</v>
      </c>
      <c r="E340" s="484" t="str">
        <f t="shared" si="46"/>
        <v>V4010</v>
      </c>
      <c r="F340" s="484" t="str">
        <f t="shared" si="47"/>
        <v>日経/タブ16Pホチキス止め</v>
      </c>
      <c r="G340" s="483"/>
      <c r="I340" s="471" t="str">
        <f t="shared" si="43"/>
        <v>V4010</v>
      </c>
      <c r="J340" s="471" t="str">
        <f t="shared" si="48"/>
        <v>日経/タブ16Pホチキス止め</v>
      </c>
      <c r="M340" s="538"/>
      <c r="N340" s="533" t="s">
        <v>1324</v>
      </c>
      <c r="O340" s="533" t="s">
        <v>1325</v>
      </c>
      <c r="P340" s="534" t="str">
        <f t="shared" si="49"/>
        <v>4010</v>
      </c>
      <c r="Q340" s="534" t="str">
        <f t="shared" si="50"/>
        <v>タブ16Pホチキス止め</v>
      </c>
      <c r="R340" s="538" t="str">
        <f t="shared" si="44"/>
        <v>40</v>
      </c>
      <c r="S340" s="538" t="str">
        <f t="shared" si="45"/>
        <v>10</v>
      </c>
      <c r="T340" s="471" t="s">
        <v>1136</v>
      </c>
      <c r="U340" s="538"/>
      <c r="V340" s="538"/>
      <c r="W340" s="471">
        <v>0</v>
      </c>
      <c r="X340" s="540"/>
      <c r="Y340" s="471">
        <v>0</v>
      </c>
      <c r="Z340" s="538"/>
      <c r="AA340" s="538"/>
      <c r="AB340" s="538"/>
      <c r="AC340" s="538"/>
      <c r="AD340" s="538"/>
      <c r="AE340" s="538"/>
      <c r="AF340" s="538"/>
      <c r="AG340" s="538"/>
      <c r="AH340" s="538"/>
      <c r="AI340" s="538"/>
      <c r="AJ340" s="538"/>
      <c r="AK340" s="538"/>
      <c r="AL340" s="538"/>
      <c r="AM340" s="538"/>
      <c r="AN340" s="538"/>
      <c r="AO340" s="538"/>
      <c r="AP340" s="538"/>
      <c r="AQ340" s="538"/>
      <c r="AR340" s="538"/>
      <c r="AS340" s="538"/>
      <c r="AT340" s="538"/>
      <c r="AU340" s="538"/>
      <c r="AV340" s="538"/>
      <c r="AW340" s="538"/>
      <c r="AX340" s="538"/>
      <c r="AY340" s="538"/>
      <c r="AZ340" s="538"/>
    </row>
    <row r="341" spans="1:52" s="471" customFormat="1">
      <c r="A341" s="465" t="s">
        <v>280</v>
      </c>
      <c r="B341" s="452" t="str">
        <f>VLOOKUP(A341,★新聞!$C$4:$D$12,2,FALSE)</f>
        <v>V</v>
      </c>
      <c r="C341" s="465" t="s">
        <v>1357</v>
      </c>
      <c r="D341" s="452" t="str">
        <f>VLOOKUP(C341,★サイズ表記!$D$4:$E$55,2,FALSE)</f>
        <v>4011</v>
      </c>
      <c r="E341" s="484" t="str">
        <f t="shared" si="46"/>
        <v>V4011</v>
      </c>
      <c r="F341" s="484" t="str">
        <f t="shared" si="47"/>
        <v>日経/タブ40P</v>
      </c>
      <c r="G341" s="483"/>
      <c r="I341" s="471" t="str">
        <f t="shared" si="43"/>
        <v>V4011</v>
      </c>
      <c r="J341" s="471" t="str">
        <f t="shared" si="48"/>
        <v>日経/タブ40P</v>
      </c>
      <c r="M341" s="538"/>
      <c r="N341" s="533" t="s">
        <v>1324</v>
      </c>
      <c r="O341" s="533" t="s">
        <v>1325</v>
      </c>
      <c r="P341" s="534" t="str">
        <f t="shared" si="49"/>
        <v>4011</v>
      </c>
      <c r="Q341" s="534" t="str">
        <f t="shared" si="50"/>
        <v>タブ40P</v>
      </c>
      <c r="R341" s="538" t="str">
        <f t="shared" si="44"/>
        <v>40</v>
      </c>
      <c r="S341" s="538" t="str">
        <f t="shared" si="45"/>
        <v>11</v>
      </c>
      <c r="T341" s="471" t="s">
        <v>1136</v>
      </c>
      <c r="U341" s="538"/>
      <c r="V341" s="538"/>
      <c r="W341" s="471">
        <v>0</v>
      </c>
      <c r="X341" s="540"/>
      <c r="Y341" s="471">
        <v>0</v>
      </c>
      <c r="Z341" s="538"/>
      <c r="AA341" s="538"/>
      <c r="AB341" s="538"/>
      <c r="AC341" s="538"/>
      <c r="AD341" s="538"/>
      <c r="AE341" s="538"/>
      <c r="AF341" s="538"/>
      <c r="AG341" s="538"/>
      <c r="AH341" s="538"/>
      <c r="AI341" s="538"/>
      <c r="AJ341" s="538"/>
      <c r="AK341" s="538"/>
      <c r="AL341" s="538"/>
      <c r="AM341" s="538"/>
      <c r="AN341" s="538"/>
      <c r="AO341" s="538"/>
      <c r="AP341" s="538"/>
      <c r="AQ341" s="538"/>
      <c r="AR341" s="538"/>
      <c r="AS341" s="538"/>
      <c r="AT341" s="538"/>
      <c r="AU341" s="538"/>
      <c r="AV341" s="538"/>
      <c r="AW341" s="538"/>
      <c r="AX341" s="538"/>
      <c r="AY341" s="538"/>
      <c r="AZ341" s="538"/>
    </row>
    <row r="342" spans="1:52" s="471" customFormat="1">
      <c r="A342" s="465" t="s">
        <v>280</v>
      </c>
      <c r="B342" s="452" t="str">
        <f>VLOOKUP(A342,★新聞!$C$4:$D$12,2,FALSE)</f>
        <v>V</v>
      </c>
      <c r="C342" s="465" t="s">
        <v>975</v>
      </c>
      <c r="D342" s="452" t="str">
        <f>VLOOKUP(C342,★サイズ表記!$D$4:$E$55,2,FALSE)</f>
        <v>9001</v>
      </c>
      <c r="E342" s="484" t="str">
        <f t="shared" si="46"/>
        <v>V9001</v>
      </c>
      <c r="F342" s="484" t="str">
        <f t="shared" si="47"/>
        <v>日経/うさぎの耳</v>
      </c>
      <c r="G342" s="483"/>
      <c r="I342" s="471" t="str">
        <f t="shared" si="43"/>
        <v>V9001</v>
      </c>
      <c r="J342" s="471" t="str">
        <f t="shared" si="48"/>
        <v>日経/うさぎの耳</v>
      </c>
      <c r="M342" s="538"/>
      <c r="N342" s="533" t="s">
        <v>1324</v>
      </c>
      <c r="O342" s="533" t="s">
        <v>1325</v>
      </c>
      <c r="P342" s="534" t="str">
        <f t="shared" si="49"/>
        <v>9001</v>
      </c>
      <c r="Q342" s="534" t="str">
        <f t="shared" si="50"/>
        <v>うさぎの耳</v>
      </c>
      <c r="R342" s="538" t="str">
        <f t="shared" si="44"/>
        <v>90</v>
      </c>
      <c r="S342" s="538" t="str">
        <f t="shared" si="45"/>
        <v>01</v>
      </c>
      <c r="T342" s="471" t="s">
        <v>1136</v>
      </c>
      <c r="U342" s="538"/>
      <c r="V342" s="538"/>
      <c r="W342" s="471">
        <v>0</v>
      </c>
      <c r="X342" s="540"/>
      <c r="Y342" s="471">
        <v>0</v>
      </c>
      <c r="Z342" s="538"/>
      <c r="AA342" s="538"/>
      <c r="AB342" s="538"/>
      <c r="AC342" s="538"/>
      <c r="AD342" s="538"/>
      <c r="AE342" s="538"/>
      <c r="AF342" s="538"/>
      <c r="AG342" s="538"/>
      <c r="AH342" s="538"/>
      <c r="AI342" s="538"/>
      <c r="AJ342" s="538"/>
      <c r="AK342" s="538"/>
      <c r="AL342" s="538"/>
      <c r="AM342" s="538"/>
      <c r="AN342" s="538"/>
      <c r="AO342" s="538"/>
      <c r="AP342" s="538"/>
      <c r="AQ342" s="538"/>
      <c r="AR342" s="538"/>
      <c r="AS342" s="538"/>
      <c r="AT342" s="538"/>
      <c r="AU342" s="538"/>
      <c r="AV342" s="538"/>
      <c r="AW342" s="538"/>
      <c r="AX342" s="538"/>
      <c r="AY342" s="538"/>
      <c r="AZ342" s="538"/>
    </row>
    <row r="343" spans="1:52" s="471" customFormat="1">
      <c r="A343" s="465" t="s">
        <v>280</v>
      </c>
      <c r="B343" s="452" t="str">
        <f>VLOOKUP(A343,★新聞!$C$4:$D$12,2,FALSE)</f>
        <v>V</v>
      </c>
      <c r="C343" s="465" t="s">
        <v>976</v>
      </c>
      <c r="D343" s="452" t="str">
        <f>VLOOKUP(C343,★サイズ表記!$D$4:$E$55,2,FALSE)</f>
        <v>9002</v>
      </c>
      <c r="E343" s="484" t="str">
        <f t="shared" si="46"/>
        <v>V9002</v>
      </c>
      <c r="F343" s="484" t="str">
        <f t="shared" si="47"/>
        <v>日経/ユーキャン（題字）</v>
      </c>
      <c r="G343" s="483"/>
      <c r="I343" s="471" t="str">
        <f t="shared" si="43"/>
        <v>V9002</v>
      </c>
      <c r="J343" s="471" t="str">
        <f t="shared" si="48"/>
        <v>日経/ユーキャン（題字）</v>
      </c>
      <c r="M343" s="538"/>
      <c r="N343" s="533" t="s">
        <v>1324</v>
      </c>
      <c r="O343" s="533" t="s">
        <v>1325</v>
      </c>
      <c r="P343" s="534" t="str">
        <f t="shared" si="49"/>
        <v>9002</v>
      </c>
      <c r="Q343" s="534" t="str">
        <f t="shared" si="50"/>
        <v>ユーキャン（題字）</v>
      </c>
      <c r="R343" s="538" t="str">
        <f t="shared" si="44"/>
        <v>90</v>
      </c>
      <c r="S343" s="538" t="str">
        <f t="shared" si="45"/>
        <v>02</v>
      </c>
      <c r="T343" s="471" t="s">
        <v>1136</v>
      </c>
      <c r="U343" s="538"/>
      <c r="V343" s="538"/>
      <c r="W343" s="471">
        <v>0</v>
      </c>
      <c r="X343" s="540"/>
      <c r="Y343" s="471">
        <v>0</v>
      </c>
      <c r="Z343" s="538"/>
      <c r="AA343" s="538"/>
      <c r="AB343" s="538"/>
      <c r="AC343" s="538"/>
      <c r="AD343" s="538"/>
      <c r="AE343" s="538"/>
      <c r="AF343" s="538"/>
      <c r="AG343" s="538"/>
      <c r="AH343" s="538"/>
      <c r="AI343" s="538"/>
      <c r="AJ343" s="538"/>
      <c r="AK343" s="538"/>
      <c r="AL343" s="538"/>
      <c r="AM343" s="538"/>
      <c r="AN343" s="538"/>
      <c r="AO343" s="538"/>
      <c r="AP343" s="538"/>
      <c r="AQ343" s="538"/>
      <c r="AR343" s="538"/>
      <c r="AS343" s="538"/>
      <c r="AT343" s="538"/>
      <c r="AU343" s="538"/>
      <c r="AV343" s="538"/>
      <c r="AW343" s="538"/>
      <c r="AX343" s="538"/>
      <c r="AY343" s="538"/>
      <c r="AZ343" s="538"/>
    </row>
    <row r="344" spans="1:52" s="471" customFormat="1">
      <c r="A344" s="465" t="s">
        <v>280</v>
      </c>
      <c r="B344" s="452" t="str">
        <f>VLOOKUP(A344,★新聞!$C$4:$D$12,2,FALSE)</f>
        <v>V</v>
      </c>
      <c r="C344" s="465" t="s">
        <v>977</v>
      </c>
      <c r="D344" s="452" t="str">
        <f>VLOOKUP(C344,★サイズ表記!$D$4:$E$55,2,FALSE)</f>
        <v>9003</v>
      </c>
      <c r="E344" s="484" t="str">
        <f t="shared" si="46"/>
        <v>V9003</v>
      </c>
      <c r="F344" s="484" t="str">
        <f t="shared" si="47"/>
        <v>日経/横長B3</v>
      </c>
      <c r="G344" s="483"/>
      <c r="I344" s="471" t="str">
        <f t="shared" si="43"/>
        <v>V9003</v>
      </c>
      <c r="J344" s="471" t="str">
        <f t="shared" si="48"/>
        <v>日経/横長B3</v>
      </c>
      <c r="M344" s="538"/>
      <c r="N344" s="533" t="s">
        <v>1324</v>
      </c>
      <c r="O344" s="533" t="s">
        <v>1325</v>
      </c>
      <c r="P344" s="534" t="str">
        <f t="shared" si="49"/>
        <v>9003</v>
      </c>
      <c r="Q344" s="534" t="str">
        <f t="shared" si="50"/>
        <v>横長B3</v>
      </c>
      <c r="R344" s="538" t="str">
        <f t="shared" si="44"/>
        <v>90</v>
      </c>
      <c r="S344" s="538" t="str">
        <f t="shared" si="45"/>
        <v>03</v>
      </c>
      <c r="T344" s="471" t="s">
        <v>1136</v>
      </c>
      <c r="U344" s="538"/>
      <c r="V344" s="538"/>
      <c r="W344" s="471">
        <v>0</v>
      </c>
      <c r="X344" s="540"/>
      <c r="Y344" s="471">
        <v>0</v>
      </c>
      <c r="Z344" s="538"/>
      <c r="AA344" s="538"/>
      <c r="AB344" s="538"/>
      <c r="AC344" s="538"/>
      <c r="AD344" s="538"/>
      <c r="AE344" s="538"/>
      <c r="AF344" s="538"/>
      <c r="AG344" s="538"/>
      <c r="AH344" s="538"/>
      <c r="AI344" s="538"/>
      <c r="AJ344" s="538"/>
      <c r="AK344" s="538"/>
      <c r="AL344" s="538"/>
      <c r="AM344" s="538"/>
      <c r="AN344" s="538"/>
      <c r="AO344" s="538"/>
      <c r="AP344" s="538"/>
      <c r="AQ344" s="538"/>
      <c r="AR344" s="538"/>
      <c r="AS344" s="538"/>
      <c r="AT344" s="538"/>
      <c r="AU344" s="538"/>
      <c r="AV344" s="538"/>
      <c r="AW344" s="538"/>
      <c r="AX344" s="538"/>
      <c r="AY344" s="538"/>
      <c r="AZ344" s="538"/>
    </row>
    <row r="345" spans="1:52" s="471" customFormat="1">
      <c r="A345" s="465" t="s">
        <v>280</v>
      </c>
      <c r="B345" s="452" t="str">
        <f>VLOOKUP(A345,★新聞!$C$4:$D$12,2,FALSE)</f>
        <v>V</v>
      </c>
      <c r="C345" s="465" t="s">
        <v>978</v>
      </c>
      <c r="D345" s="452" t="str">
        <f>VLOOKUP(C345,★サイズ表記!$D$4:$E$55,2,FALSE)</f>
        <v>9004</v>
      </c>
      <c r="E345" s="484" t="str">
        <f t="shared" si="46"/>
        <v>V9004</v>
      </c>
      <c r="F345" s="484" t="str">
        <f t="shared" si="47"/>
        <v>日経/AD-BAG</v>
      </c>
      <c r="G345" s="483"/>
      <c r="I345" s="471" t="str">
        <f t="shared" si="43"/>
        <v>V9004</v>
      </c>
      <c r="J345" s="471" t="str">
        <f t="shared" si="48"/>
        <v>日経/AD-BAG</v>
      </c>
      <c r="M345" s="538"/>
      <c r="N345" s="533" t="s">
        <v>1324</v>
      </c>
      <c r="O345" s="533" t="s">
        <v>1325</v>
      </c>
      <c r="P345" s="534" t="str">
        <f t="shared" si="49"/>
        <v>9004</v>
      </c>
      <c r="Q345" s="534" t="str">
        <f t="shared" si="50"/>
        <v>AD-BAG</v>
      </c>
      <c r="R345" s="538" t="str">
        <f t="shared" si="44"/>
        <v>90</v>
      </c>
      <c r="S345" s="538" t="str">
        <f t="shared" si="45"/>
        <v>04</v>
      </c>
      <c r="T345" s="471" t="s">
        <v>1136</v>
      </c>
      <c r="U345" s="538"/>
      <c r="V345" s="538"/>
      <c r="W345" s="471">
        <v>0</v>
      </c>
      <c r="X345" s="540"/>
      <c r="Y345" s="471">
        <v>0</v>
      </c>
      <c r="Z345" s="538"/>
      <c r="AA345" s="538"/>
      <c r="AB345" s="538"/>
      <c r="AC345" s="538"/>
      <c r="AD345" s="538"/>
      <c r="AE345" s="538"/>
      <c r="AF345" s="538"/>
      <c r="AG345" s="538"/>
      <c r="AH345" s="538"/>
      <c r="AI345" s="538"/>
      <c r="AJ345" s="538"/>
      <c r="AK345" s="538"/>
      <c r="AL345" s="538"/>
      <c r="AM345" s="538"/>
      <c r="AN345" s="538"/>
      <c r="AO345" s="538"/>
      <c r="AP345" s="538"/>
      <c r="AQ345" s="538"/>
      <c r="AR345" s="538"/>
      <c r="AS345" s="538"/>
      <c r="AT345" s="538"/>
      <c r="AU345" s="538"/>
      <c r="AV345" s="538"/>
      <c r="AW345" s="538"/>
      <c r="AX345" s="538"/>
      <c r="AY345" s="538"/>
      <c r="AZ345" s="538"/>
    </row>
    <row r="346" spans="1:52" s="471" customFormat="1">
      <c r="A346" s="465" t="s">
        <v>280</v>
      </c>
      <c r="B346" s="452" t="str">
        <f>VLOOKUP(A346,★新聞!$C$4:$D$12,2,FALSE)</f>
        <v>V</v>
      </c>
      <c r="C346" s="465" t="s">
        <v>979</v>
      </c>
      <c r="D346" s="452" t="str">
        <f>VLOOKUP(C346,★サイズ表記!$D$4:$E$55,2,FALSE)</f>
        <v>9005</v>
      </c>
      <c r="E346" s="484" t="str">
        <f t="shared" si="46"/>
        <v>V9005</v>
      </c>
      <c r="F346" s="484" t="str">
        <f t="shared" si="47"/>
        <v>日経/封筒</v>
      </c>
      <c r="G346" s="483"/>
      <c r="I346" s="471" t="str">
        <f t="shared" si="43"/>
        <v>V9005</v>
      </c>
      <c r="J346" s="471" t="str">
        <f t="shared" si="48"/>
        <v>日経/封筒</v>
      </c>
      <c r="M346" s="538"/>
      <c r="N346" s="533" t="s">
        <v>1324</v>
      </c>
      <c r="O346" s="533" t="s">
        <v>1325</v>
      </c>
      <c r="P346" s="534" t="str">
        <f t="shared" si="49"/>
        <v>9005</v>
      </c>
      <c r="Q346" s="534" t="str">
        <f t="shared" si="50"/>
        <v>封筒</v>
      </c>
      <c r="R346" s="538" t="str">
        <f t="shared" si="44"/>
        <v>90</v>
      </c>
      <c r="S346" s="538" t="str">
        <f t="shared" si="45"/>
        <v>05</v>
      </c>
      <c r="T346" s="471" t="s">
        <v>1136</v>
      </c>
      <c r="U346" s="538"/>
      <c r="V346" s="538"/>
      <c r="W346" s="471">
        <v>0</v>
      </c>
      <c r="X346" s="540"/>
      <c r="Y346" s="471">
        <v>0</v>
      </c>
      <c r="Z346" s="538"/>
      <c r="AA346" s="538"/>
      <c r="AB346" s="538"/>
      <c r="AC346" s="538"/>
      <c r="AD346" s="538"/>
      <c r="AE346" s="538"/>
      <c r="AF346" s="538"/>
      <c r="AG346" s="538"/>
      <c r="AH346" s="538"/>
      <c r="AI346" s="538"/>
      <c r="AJ346" s="538"/>
      <c r="AK346" s="538"/>
      <c r="AL346" s="538"/>
      <c r="AM346" s="538"/>
      <c r="AN346" s="538"/>
      <c r="AO346" s="538"/>
      <c r="AP346" s="538"/>
      <c r="AQ346" s="538"/>
      <c r="AR346" s="538"/>
      <c r="AS346" s="538"/>
      <c r="AT346" s="538"/>
      <c r="AU346" s="538"/>
      <c r="AV346" s="538"/>
      <c r="AW346" s="538"/>
      <c r="AX346" s="538"/>
      <c r="AY346" s="538"/>
      <c r="AZ346" s="538"/>
    </row>
    <row r="347" spans="1:52" s="471" customFormat="1">
      <c r="A347" s="465" t="s">
        <v>280</v>
      </c>
      <c r="B347" s="452" t="str">
        <f>VLOOKUP(A347,★新聞!$C$4:$D$12,2,FALSE)</f>
        <v>V</v>
      </c>
      <c r="C347" s="465" t="s">
        <v>980</v>
      </c>
      <c r="D347" s="452" t="str">
        <f>VLOOKUP(C347,★サイズ表記!$D$4:$E$55,2,FALSE)</f>
        <v>9006</v>
      </c>
      <c r="E347" s="484" t="str">
        <f t="shared" si="46"/>
        <v>V9006</v>
      </c>
      <c r="F347" s="484" t="str">
        <f t="shared" si="47"/>
        <v>日経/圧着</v>
      </c>
      <c r="G347" s="483"/>
      <c r="I347" s="471" t="str">
        <f t="shared" si="43"/>
        <v>V9006</v>
      </c>
      <c r="J347" s="471" t="str">
        <f t="shared" si="48"/>
        <v>日経/圧着</v>
      </c>
      <c r="M347" s="538"/>
      <c r="N347" s="533" t="s">
        <v>1324</v>
      </c>
      <c r="O347" s="533" t="s">
        <v>1325</v>
      </c>
      <c r="P347" s="534" t="str">
        <f t="shared" si="49"/>
        <v>9006</v>
      </c>
      <c r="Q347" s="534" t="str">
        <f t="shared" si="50"/>
        <v>圧着</v>
      </c>
      <c r="R347" s="538" t="str">
        <f t="shared" si="44"/>
        <v>90</v>
      </c>
      <c r="S347" s="538" t="str">
        <f t="shared" si="45"/>
        <v>06</v>
      </c>
      <c r="T347" s="471" t="s">
        <v>1136</v>
      </c>
      <c r="U347" s="538"/>
      <c r="V347" s="538"/>
      <c r="W347" s="471">
        <v>0</v>
      </c>
      <c r="X347" s="540"/>
      <c r="Y347" s="471">
        <v>0</v>
      </c>
      <c r="Z347" s="538"/>
      <c r="AA347" s="538"/>
      <c r="AB347" s="538"/>
      <c r="AC347" s="538"/>
      <c r="AD347" s="538"/>
      <c r="AE347" s="538"/>
      <c r="AF347" s="538"/>
      <c r="AG347" s="538"/>
      <c r="AH347" s="538"/>
      <c r="AI347" s="538"/>
      <c r="AJ347" s="538"/>
      <c r="AK347" s="538"/>
      <c r="AL347" s="538"/>
      <c r="AM347" s="538"/>
      <c r="AN347" s="538"/>
      <c r="AO347" s="538"/>
      <c r="AP347" s="538"/>
      <c r="AQ347" s="538"/>
      <c r="AR347" s="538"/>
      <c r="AS347" s="538"/>
      <c r="AT347" s="538"/>
      <c r="AU347" s="538"/>
      <c r="AV347" s="538"/>
      <c r="AW347" s="538"/>
      <c r="AX347" s="538"/>
      <c r="AY347" s="538"/>
      <c r="AZ347" s="538"/>
    </row>
    <row r="348" spans="1:52" s="471" customFormat="1">
      <c r="A348" s="465" t="s">
        <v>280</v>
      </c>
      <c r="B348" s="452" t="str">
        <f>VLOOKUP(A348,★新聞!$C$4:$D$12,2,FALSE)</f>
        <v>V</v>
      </c>
      <c r="C348" s="465" t="s">
        <v>981</v>
      </c>
      <c r="D348" s="452" t="str">
        <f>VLOOKUP(C348,★サイズ表記!$D$4:$E$55,2,FALSE)</f>
        <v>9007</v>
      </c>
      <c r="E348" s="484" t="str">
        <f t="shared" si="46"/>
        <v>V9007</v>
      </c>
      <c r="F348" s="484" t="str">
        <f t="shared" si="47"/>
        <v>日経/圧着厚紙</v>
      </c>
      <c r="G348" s="483"/>
      <c r="I348" s="471" t="str">
        <f t="shared" si="43"/>
        <v>V9007</v>
      </c>
      <c r="J348" s="471" t="str">
        <f t="shared" si="48"/>
        <v>日経/圧着厚紙</v>
      </c>
      <c r="M348" s="538"/>
      <c r="N348" s="533" t="s">
        <v>1324</v>
      </c>
      <c r="O348" s="533" t="s">
        <v>1325</v>
      </c>
      <c r="P348" s="534" t="str">
        <f t="shared" si="49"/>
        <v>9007</v>
      </c>
      <c r="Q348" s="534" t="str">
        <f t="shared" si="50"/>
        <v>圧着厚紙</v>
      </c>
      <c r="R348" s="538" t="str">
        <f t="shared" si="44"/>
        <v>90</v>
      </c>
      <c r="S348" s="538" t="str">
        <f t="shared" si="45"/>
        <v>07</v>
      </c>
      <c r="T348" s="471" t="s">
        <v>1136</v>
      </c>
      <c r="U348" s="538"/>
      <c r="V348" s="538"/>
      <c r="W348" s="471">
        <v>0</v>
      </c>
      <c r="X348" s="540"/>
      <c r="Y348" s="471">
        <v>0</v>
      </c>
      <c r="Z348" s="538"/>
      <c r="AA348" s="538"/>
      <c r="AB348" s="538"/>
      <c r="AC348" s="538"/>
      <c r="AD348" s="538"/>
      <c r="AE348" s="538"/>
      <c r="AF348" s="538"/>
      <c r="AG348" s="538"/>
      <c r="AH348" s="538"/>
      <c r="AI348" s="538"/>
      <c r="AJ348" s="538"/>
      <c r="AK348" s="538"/>
      <c r="AL348" s="538"/>
      <c r="AM348" s="538"/>
      <c r="AN348" s="538"/>
      <c r="AO348" s="538"/>
      <c r="AP348" s="538"/>
      <c r="AQ348" s="538"/>
      <c r="AR348" s="538"/>
      <c r="AS348" s="538"/>
      <c r="AT348" s="538"/>
      <c r="AU348" s="538"/>
      <c r="AV348" s="538"/>
      <c r="AW348" s="538"/>
      <c r="AX348" s="538"/>
      <c r="AY348" s="538"/>
      <c r="AZ348" s="538"/>
    </row>
    <row r="349" spans="1:52" s="471" customFormat="1">
      <c r="A349" s="465"/>
      <c r="B349" s="452"/>
      <c r="C349" s="465"/>
      <c r="D349" s="452"/>
      <c r="E349" s="452"/>
      <c r="F349" s="452"/>
      <c r="G349" s="483" t="s">
        <v>1118</v>
      </c>
      <c r="M349" s="538"/>
      <c r="R349" s="538"/>
      <c r="S349" s="538"/>
      <c r="U349" s="538"/>
      <c r="V349" s="538"/>
      <c r="X349" s="538"/>
      <c r="Z349" s="538"/>
      <c r="AA349" s="538"/>
      <c r="AB349" s="538"/>
      <c r="AC349" s="538"/>
      <c r="AD349" s="538"/>
      <c r="AE349" s="538"/>
      <c r="AF349" s="538"/>
      <c r="AG349" s="538"/>
      <c r="AH349" s="538"/>
      <c r="AI349" s="538"/>
      <c r="AJ349" s="538"/>
      <c r="AK349" s="538"/>
      <c r="AL349" s="538"/>
      <c r="AM349" s="538"/>
      <c r="AN349" s="538"/>
      <c r="AO349" s="538"/>
      <c r="AP349" s="538"/>
      <c r="AQ349" s="538"/>
      <c r="AR349" s="538"/>
      <c r="AS349" s="538"/>
      <c r="AT349" s="538"/>
      <c r="AU349" s="538"/>
      <c r="AV349" s="538"/>
      <c r="AW349" s="538"/>
      <c r="AX349" s="538"/>
      <c r="AY349" s="538"/>
      <c r="AZ349" s="538"/>
    </row>
  </sheetData>
  <sheetProtection algorithmName="SHA-512" hashValue="1l9Gw0bz0n9WnJEbb8fIGyYBPiod1IjqSUQHb04enKUX2gZQWtO3hCiTjOLJgrVIG2S5WI3XQlhpxF/g8kkQig==" saltValue="lYWrTT/YJCrnkz2ShXmNJw==" spinCount="100000" sheet="1" objects="1" scenarios="1"/>
  <autoFilter ref="A5:AZ349" xr:uid="{19443B41-59C4-462D-9910-A986F5147818}">
    <filterColumn colId="0" showButton="0"/>
    <filterColumn colId="2" showButton="0"/>
  </autoFilter>
  <mergeCells count="4">
    <mergeCell ref="A1:B5"/>
    <mergeCell ref="F1:F5"/>
    <mergeCell ref="C1:D5"/>
    <mergeCell ref="E1:E5"/>
  </mergeCells>
  <phoneticPr fontId="15"/>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1294836-8BE7-4898-AEA0-1CD59FB2678C}">
          <x14:formula1>
            <xm:f>★サイズ表記!$D$4:$D$55</xm:f>
          </x14:formula1>
          <xm:sqref>A349 C6:C349</xm:sqref>
        </x14:dataValidation>
        <x14:dataValidation type="list" allowBlank="1" showInputMessage="1" showErrorMessage="1" xr:uid="{C681E762-A676-454F-B124-19CE0A6222CC}">
          <x14:formula1>
            <xm:f>★新聞!$C$4:$C$12</xm:f>
          </x14:formula1>
          <xm:sqref>A6:A348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27FE-10E1-4EF3-8E21-8D10C7C34C82}">
  <sheetPr codeName="Sheet16">
    <tabColor rgb="FF0070C0"/>
  </sheetPr>
  <dimension ref="A1:F50"/>
  <sheetViews>
    <sheetView zoomScale="80" zoomScaleNormal="80" workbookViewId="0">
      <pane ySplit="1" topLeftCell="A2" activePane="bottomLeft" state="frozen"/>
      <selection pane="bottomLeft" activeCell="F6" sqref="F6"/>
    </sheetView>
  </sheetViews>
  <sheetFormatPr defaultColWidth="8.875" defaultRowHeight="18.75"/>
  <cols>
    <col min="1" max="1" width="30.625" style="476" bestFit="1" customWidth="1"/>
    <col min="2" max="2" width="45.5" style="476" bestFit="1" customWidth="1"/>
    <col min="3" max="4" width="6.625" style="476" bestFit="1" customWidth="1"/>
    <col min="5" max="5" width="6.625" style="476" customWidth="1"/>
    <col min="6" max="16384" width="8.875" style="476"/>
  </cols>
  <sheetData>
    <row r="1" spans="1:5" s="474" customFormat="1" ht="114">
      <c r="A1" s="473" t="s">
        <v>1097</v>
      </c>
      <c r="B1" s="473" t="s">
        <v>1098</v>
      </c>
      <c r="C1" s="473" t="s">
        <v>1099</v>
      </c>
      <c r="D1" s="473" t="s">
        <v>1100</v>
      </c>
      <c r="E1" s="473" t="s">
        <v>1312</v>
      </c>
    </row>
    <row r="2" spans="1:5">
      <c r="A2" s="475" t="s">
        <v>1135</v>
      </c>
      <c r="B2" s="475" t="s">
        <v>1102</v>
      </c>
      <c r="C2" s="480">
        <v>74</v>
      </c>
      <c r="D2" s="480">
        <v>84</v>
      </c>
      <c r="E2" s="480">
        <v>100</v>
      </c>
    </row>
    <row r="3" spans="1:5">
      <c r="A3" s="475" t="s">
        <v>1101</v>
      </c>
      <c r="B3" s="475" t="s">
        <v>1103</v>
      </c>
      <c r="C3" s="480">
        <v>84</v>
      </c>
      <c r="D3" s="480">
        <v>84</v>
      </c>
      <c r="E3" s="480">
        <v>100</v>
      </c>
    </row>
    <row r="4" spans="1:5">
      <c r="A4" s="475" t="s">
        <v>1101</v>
      </c>
      <c r="B4" s="475" t="s">
        <v>1104</v>
      </c>
      <c r="C4" s="480">
        <v>84</v>
      </c>
      <c r="D4" s="480">
        <v>84</v>
      </c>
      <c r="E4" s="480">
        <v>100</v>
      </c>
    </row>
    <row r="5" spans="1:5">
      <c r="A5" s="475" t="s">
        <v>1135</v>
      </c>
      <c r="B5" s="475" t="s">
        <v>1105</v>
      </c>
      <c r="C5" s="480">
        <v>66</v>
      </c>
      <c r="D5" s="480">
        <v>76</v>
      </c>
      <c r="E5" s="480">
        <v>100</v>
      </c>
    </row>
    <row r="6" spans="1:5">
      <c r="A6" s="475" t="s">
        <v>1135</v>
      </c>
      <c r="B6" s="475" t="s">
        <v>1107</v>
      </c>
      <c r="C6" s="480">
        <v>76</v>
      </c>
      <c r="D6" s="480">
        <v>76</v>
      </c>
      <c r="E6" s="480">
        <v>100</v>
      </c>
    </row>
    <row r="7" spans="1:5">
      <c r="A7" s="475" t="s">
        <v>1016</v>
      </c>
      <c r="B7" s="475" t="s">
        <v>1105</v>
      </c>
      <c r="C7" s="480">
        <v>66</v>
      </c>
      <c r="D7" s="480">
        <v>76</v>
      </c>
      <c r="E7" s="480">
        <v>100</v>
      </c>
    </row>
    <row r="8" spans="1:5">
      <c r="A8" s="475" t="s">
        <v>1016</v>
      </c>
      <c r="B8" s="475" t="s">
        <v>1106</v>
      </c>
      <c r="C8" s="480">
        <v>76</v>
      </c>
      <c r="D8" s="480">
        <v>76</v>
      </c>
      <c r="E8" s="480">
        <v>100</v>
      </c>
    </row>
    <row r="9" spans="1:5">
      <c r="A9" s="475" t="s">
        <v>1016</v>
      </c>
      <c r="B9" s="475" t="s">
        <v>1107</v>
      </c>
      <c r="C9" s="480">
        <v>76</v>
      </c>
      <c r="D9" s="480">
        <v>76</v>
      </c>
      <c r="E9" s="480">
        <v>100</v>
      </c>
    </row>
    <row r="10" spans="1:5">
      <c r="A10" s="475" t="s">
        <v>1017</v>
      </c>
      <c r="B10" s="475" t="s">
        <v>1108</v>
      </c>
      <c r="C10" s="480">
        <v>82</v>
      </c>
      <c r="D10" s="480">
        <v>86</v>
      </c>
      <c r="E10" s="480">
        <v>100</v>
      </c>
    </row>
    <row r="11" spans="1:5">
      <c r="A11" s="475" t="s">
        <v>1017</v>
      </c>
      <c r="B11" s="475" t="s">
        <v>1105</v>
      </c>
      <c r="C11" s="480">
        <v>78</v>
      </c>
      <c r="D11" s="480">
        <v>82</v>
      </c>
      <c r="E11" s="480">
        <v>100</v>
      </c>
    </row>
    <row r="12" spans="1:5">
      <c r="A12" s="475" t="s">
        <v>1017</v>
      </c>
      <c r="B12" s="475" t="s">
        <v>1110</v>
      </c>
      <c r="C12" s="480">
        <v>100</v>
      </c>
      <c r="D12" s="480">
        <v>100</v>
      </c>
      <c r="E12" s="480">
        <v>100</v>
      </c>
    </row>
    <row r="13" spans="1:5">
      <c r="A13" s="475" t="s">
        <v>1017</v>
      </c>
      <c r="B13" s="475" t="s">
        <v>1103</v>
      </c>
      <c r="C13" s="480">
        <v>86</v>
      </c>
      <c r="D13" s="480">
        <v>86</v>
      </c>
      <c r="E13" s="480">
        <v>100</v>
      </c>
    </row>
    <row r="14" spans="1:5">
      <c r="A14" s="475" t="s">
        <v>1017</v>
      </c>
      <c r="B14" s="475" t="s">
        <v>1109</v>
      </c>
      <c r="C14" s="480">
        <v>82</v>
      </c>
      <c r="D14" s="480">
        <v>82</v>
      </c>
      <c r="E14" s="480">
        <v>100</v>
      </c>
    </row>
    <row r="15" spans="1:5">
      <c r="A15" s="475" t="s">
        <v>1017</v>
      </c>
      <c r="B15" s="475" t="s">
        <v>1104</v>
      </c>
      <c r="C15" s="480">
        <v>86</v>
      </c>
      <c r="D15" s="480">
        <v>86</v>
      </c>
      <c r="E15" s="480">
        <v>100</v>
      </c>
    </row>
    <row r="16" spans="1:5">
      <c r="A16" s="475" t="s">
        <v>1017</v>
      </c>
      <c r="B16" s="475" t="s">
        <v>1107</v>
      </c>
      <c r="C16" s="480">
        <v>82</v>
      </c>
      <c r="D16" s="480">
        <v>82</v>
      </c>
      <c r="E16" s="480">
        <v>100</v>
      </c>
    </row>
    <row r="17" spans="1:5">
      <c r="A17" s="475" t="s">
        <v>1152</v>
      </c>
      <c r="B17" s="475" t="s">
        <v>1108</v>
      </c>
      <c r="C17" s="480">
        <v>82</v>
      </c>
      <c r="D17" s="480">
        <v>86</v>
      </c>
      <c r="E17" s="480">
        <v>100</v>
      </c>
    </row>
    <row r="18" spans="1:5">
      <c r="A18" s="475" t="s">
        <v>1152</v>
      </c>
      <c r="B18" s="475" t="s">
        <v>1105</v>
      </c>
      <c r="C18" s="480">
        <v>78</v>
      </c>
      <c r="D18" s="480">
        <v>82</v>
      </c>
      <c r="E18" s="480">
        <v>100</v>
      </c>
    </row>
    <row r="19" spans="1:5">
      <c r="A19" s="475" t="s">
        <v>1152</v>
      </c>
      <c r="B19" s="475" t="s">
        <v>1110</v>
      </c>
      <c r="C19" s="480">
        <v>100</v>
      </c>
      <c r="D19" s="480">
        <v>100</v>
      </c>
      <c r="E19" s="480">
        <v>100</v>
      </c>
    </row>
    <row r="20" spans="1:5">
      <c r="A20" s="475" t="s">
        <v>1152</v>
      </c>
      <c r="B20" s="475" t="s">
        <v>1103</v>
      </c>
      <c r="C20" s="480">
        <v>86</v>
      </c>
      <c r="D20" s="480">
        <v>86</v>
      </c>
      <c r="E20" s="480">
        <v>100</v>
      </c>
    </row>
    <row r="21" spans="1:5">
      <c r="A21" s="475" t="s">
        <v>1152</v>
      </c>
      <c r="B21" s="475" t="s">
        <v>1109</v>
      </c>
      <c r="C21" s="480">
        <v>82</v>
      </c>
      <c r="D21" s="480">
        <v>82</v>
      </c>
      <c r="E21" s="480">
        <v>100</v>
      </c>
    </row>
    <row r="22" spans="1:5">
      <c r="A22" s="475" t="s">
        <v>1152</v>
      </c>
      <c r="B22" s="475" t="s">
        <v>1104</v>
      </c>
      <c r="C22" s="480">
        <v>86</v>
      </c>
      <c r="D22" s="480">
        <v>86</v>
      </c>
      <c r="E22" s="480">
        <v>100</v>
      </c>
    </row>
    <row r="23" spans="1:5">
      <c r="A23" s="475" t="s">
        <v>1152</v>
      </c>
      <c r="B23" s="475" t="s">
        <v>1107</v>
      </c>
      <c r="C23" s="480">
        <v>82</v>
      </c>
      <c r="D23" s="480">
        <v>82</v>
      </c>
      <c r="E23" s="480">
        <v>100</v>
      </c>
    </row>
    <row r="24" spans="1:5">
      <c r="A24" s="475" t="s">
        <v>1152</v>
      </c>
      <c r="B24" s="475" t="s">
        <v>1150</v>
      </c>
      <c r="C24" s="480">
        <v>90</v>
      </c>
      <c r="D24" s="480">
        <v>90</v>
      </c>
      <c r="E24" s="480">
        <v>100</v>
      </c>
    </row>
    <row r="25" spans="1:5">
      <c r="A25" s="475" t="s">
        <v>1018</v>
      </c>
      <c r="B25" s="475" t="s">
        <v>1102</v>
      </c>
      <c r="C25" s="480">
        <v>81</v>
      </c>
      <c r="D25" s="480">
        <v>85</v>
      </c>
      <c r="E25" s="480">
        <v>100</v>
      </c>
    </row>
    <row r="26" spans="1:5">
      <c r="A26" s="475" t="s">
        <v>1018</v>
      </c>
      <c r="B26" s="475" t="s">
        <v>1103</v>
      </c>
      <c r="C26" s="480">
        <v>85</v>
      </c>
      <c r="D26" s="480">
        <v>85</v>
      </c>
      <c r="E26" s="480">
        <v>100</v>
      </c>
    </row>
    <row r="27" spans="1:5">
      <c r="A27" s="475" t="s">
        <v>1018</v>
      </c>
      <c r="B27" s="475" t="s">
        <v>1104</v>
      </c>
      <c r="C27" s="480">
        <v>85</v>
      </c>
      <c r="D27" s="480">
        <v>85</v>
      </c>
      <c r="E27" s="480">
        <v>100</v>
      </c>
    </row>
    <row r="28" spans="1:5">
      <c r="A28" s="475" t="s">
        <v>1018</v>
      </c>
      <c r="B28" s="475" t="s">
        <v>1114</v>
      </c>
      <c r="C28" s="480">
        <v>94</v>
      </c>
      <c r="D28" s="480">
        <v>94</v>
      </c>
      <c r="E28" s="480">
        <v>100</v>
      </c>
    </row>
    <row r="29" spans="1:5">
      <c r="A29" s="475" t="s">
        <v>1111</v>
      </c>
      <c r="B29" s="475" t="s">
        <v>1102</v>
      </c>
      <c r="C29" s="480">
        <v>80</v>
      </c>
      <c r="D29" s="480">
        <v>84</v>
      </c>
      <c r="E29" s="480">
        <v>100</v>
      </c>
    </row>
    <row r="30" spans="1:5">
      <c r="A30" s="475" t="s">
        <v>1111</v>
      </c>
      <c r="B30" s="475" t="s">
        <v>1103</v>
      </c>
      <c r="C30" s="480">
        <v>85</v>
      </c>
      <c r="D30" s="480">
        <v>85</v>
      </c>
      <c r="E30" s="480">
        <v>100</v>
      </c>
    </row>
    <row r="31" spans="1:5">
      <c r="A31" s="475" t="s">
        <v>1111</v>
      </c>
      <c r="B31" s="475" t="s">
        <v>1104</v>
      </c>
      <c r="C31" s="480">
        <v>85</v>
      </c>
      <c r="D31" s="480">
        <v>85</v>
      </c>
      <c r="E31" s="480">
        <v>100</v>
      </c>
    </row>
    <row r="32" spans="1:5">
      <c r="A32" s="475" t="s">
        <v>1020</v>
      </c>
      <c r="B32" s="475" t="s">
        <v>1102</v>
      </c>
      <c r="C32" s="480">
        <v>81</v>
      </c>
      <c r="D32" s="480">
        <v>85</v>
      </c>
      <c r="E32" s="480">
        <v>100</v>
      </c>
    </row>
    <row r="33" spans="1:5">
      <c r="A33" s="475" t="s">
        <v>1020</v>
      </c>
      <c r="B33" s="475" t="s">
        <v>1103</v>
      </c>
      <c r="C33" s="480">
        <v>85</v>
      </c>
      <c r="D33" s="480">
        <v>85</v>
      </c>
      <c r="E33" s="480">
        <v>100</v>
      </c>
    </row>
    <row r="34" spans="1:5">
      <c r="A34" s="475" t="s">
        <v>1020</v>
      </c>
      <c r="B34" s="475" t="s">
        <v>1104</v>
      </c>
      <c r="C34" s="480">
        <v>85</v>
      </c>
      <c r="D34" s="480">
        <v>85</v>
      </c>
      <c r="E34" s="480">
        <v>100</v>
      </c>
    </row>
    <row r="35" spans="1:5">
      <c r="A35" s="475" t="s">
        <v>1020</v>
      </c>
      <c r="B35" s="475" t="s">
        <v>1129</v>
      </c>
      <c r="C35" s="480">
        <v>80</v>
      </c>
      <c r="D35" s="480">
        <v>84</v>
      </c>
      <c r="E35" s="480">
        <v>100</v>
      </c>
    </row>
    <row r="36" spans="1:5">
      <c r="A36" s="475" t="s">
        <v>1020</v>
      </c>
      <c r="B36" s="475" t="s">
        <v>1130</v>
      </c>
      <c r="C36" s="480">
        <v>72</v>
      </c>
      <c r="D36" s="480">
        <v>75.400000000000006</v>
      </c>
      <c r="E36" s="480">
        <v>100</v>
      </c>
    </row>
    <row r="37" spans="1:5">
      <c r="A37" s="475" t="s">
        <v>1020</v>
      </c>
      <c r="B37" s="475" t="s">
        <v>1131</v>
      </c>
      <c r="C37" s="480">
        <v>70</v>
      </c>
      <c r="D37" s="480">
        <v>73.5</v>
      </c>
      <c r="E37" s="480">
        <v>100</v>
      </c>
    </row>
    <row r="38" spans="1:5">
      <c r="A38" s="475" t="s">
        <v>1020</v>
      </c>
      <c r="B38" s="475" t="s">
        <v>1132</v>
      </c>
      <c r="C38" s="480">
        <v>74.3</v>
      </c>
      <c r="D38" s="480">
        <v>78</v>
      </c>
      <c r="E38" s="480">
        <v>100</v>
      </c>
    </row>
    <row r="39" spans="1:5">
      <c r="A39" s="475" t="s">
        <v>1020</v>
      </c>
      <c r="B39" s="475" t="s">
        <v>1133</v>
      </c>
      <c r="C39" s="480">
        <v>60</v>
      </c>
      <c r="D39" s="480">
        <v>63</v>
      </c>
      <c r="E39" s="480">
        <v>100</v>
      </c>
    </row>
    <row r="40" spans="1:5">
      <c r="A40" s="475" t="s">
        <v>1020</v>
      </c>
      <c r="B40" s="475" t="s">
        <v>1134</v>
      </c>
      <c r="C40" s="480">
        <v>84</v>
      </c>
      <c r="D40" s="480">
        <v>84</v>
      </c>
      <c r="E40" s="480">
        <v>100</v>
      </c>
    </row>
    <row r="41" spans="1:5">
      <c r="A41" s="475" t="s">
        <v>1112</v>
      </c>
      <c r="B41" s="475" t="s">
        <v>1120</v>
      </c>
      <c r="C41" s="480">
        <v>80</v>
      </c>
      <c r="D41" s="480">
        <v>80</v>
      </c>
      <c r="E41" s="480">
        <v>100</v>
      </c>
    </row>
    <row r="42" spans="1:5">
      <c r="A42" s="475" t="s">
        <v>1112</v>
      </c>
      <c r="B42" s="475" t="s">
        <v>1122</v>
      </c>
      <c r="C42" s="480">
        <v>100</v>
      </c>
      <c r="D42" s="480">
        <v>100</v>
      </c>
      <c r="E42" s="480">
        <v>100</v>
      </c>
    </row>
    <row r="43" spans="1:5">
      <c r="A43" s="475" t="s">
        <v>1112</v>
      </c>
      <c r="B43" s="475" t="s">
        <v>1123</v>
      </c>
      <c r="C43" s="480">
        <v>90</v>
      </c>
      <c r="D43" s="480">
        <v>90</v>
      </c>
      <c r="E43" s="480">
        <v>100</v>
      </c>
    </row>
    <row r="44" spans="1:5">
      <c r="A44" s="475" t="s">
        <v>1112</v>
      </c>
      <c r="B44" s="475" t="s">
        <v>1124</v>
      </c>
      <c r="C44" s="480">
        <v>100</v>
      </c>
      <c r="D44" s="480">
        <v>100</v>
      </c>
      <c r="E44" s="480">
        <v>100</v>
      </c>
    </row>
    <row r="45" spans="1:5">
      <c r="A45" s="475" t="s">
        <v>1112</v>
      </c>
      <c r="B45" s="475" t="s">
        <v>1121</v>
      </c>
      <c r="C45" s="480">
        <v>80</v>
      </c>
      <c r="D45" s="480">
        <v>80</v>
      </c>
      <c r="E45" s="480">
        <v>100</v>
      </c>
    </row>
    <row r="46" spans="1:5">
      <c r="A46" s="475" t="s">
        <v>1112</v>
      </c>
      <c r="B46" s="475" t="s">
        <v>1126</v>
      </c>
      <c r="C46" s="480">
        <v>100</v>
      </c>
      <c r="D46" s="480">
        <v>100</v>
      </c>
      <c r="E46" s="480">
        <v>100</v>
      </c>
    </row>
    <row r="47" spans="1:5">
      <c r="A47" s="475" t="s">
        <v>1112</v>
      </c>
      <c r="B47" s="475" t="s">
        <v>1127</v>
      </c>
      <c r="C47" s="480">
        <v>90</v>
      </c>
      <c r="D47" s="480">
        <v>90</v>
      </c>
      <c r="E47" s="480">
        <v>100</v>
      </c>
    </row>
    <row r="48" spans="1:5">
      <c r="A48" s="475" t="s">
        <v>1112</v>
      </c>
      <c r="B48" s="475" t="s">
        <v>1125</v>
      </c>
      <c r="C48" s="480">
        <v>100</v>
      </c>
      <c r="D48" s="480">
        <v>100</v>
      </c>
      <c r="E48" s="480">
        <v>100</v>
      </c>
    </row>
    <row r="49" spans="1:6">
      <c r="A49" s="475" t="s">
        <v>1246</v>
      </c>
      <c r="B49" s="475" t="s">
        <v>1247</v>
      </c>
      <c r="C49" s="480">
        <v>50</v>
      </c>
      <c r="D49" s="480">
        <v>50</v>
      </c>
      <c r="E49" s="480">
        <v>85</v>
      </c>
    </row>
    <row r="50" spans="1:6">
      <c r="A50" s="475"/>
      <c r="B50" s="475"/>
      <c r="C50" s="475"/>
      <c r="D50" s="475"/>
      <c r="E50" s="475"/>
      <c r="F50" s="476" t="s">
        <v>1118</v>
      </c>
    </row>
  </sheetData>
  <sheetProtection algorithmName="SHA-512" hashValue="7rICUczLE9Fz3yGX2805tCB8OaiH3+Y/tKkW/ac9Fuj+KZFcWP2rAuerddpkuMBcKDBpukOwX7aAreo2WKV+ZQ==" saltValue="TlyXQ/0CeZY7EXCHe2Ho2w==" spinCount="100000" sheet="1" objects="1" scenarios="1"/>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広告基準 </vt:lpstr>
      <vt:lpstr>料金表 </vt:lpstr>
      <vt:lpstr>申込書</vt:lpstr>
      <vt:lpstr>①総合計</vt:lpstr>
      <vt:lpstr>②旧鳥取市</vt:lpstr>
      <vt:lpstr>③郡部</vt:lpstr>
      <vt:lpstr>④中部</vt:lpstr>
      <vt:lpstr>⑤米子市</vt:lpstr>
      <vt:lpstr>⑥西伯・日野郡</vt:lpstr>
      <vt:lpstr>⑦境・島根</vt:lpstr>
      <vt:lpstr>⑧兵庫</vt:lpstr>
      <vt:lpstr>各営業所住所</vt:lpstr>
      <vt:lpstr>★設定</vt:lpstr>
      <vt:lpstr>①総合計!Print_Area</vt:lpstr>
      <vt:lpstr>②旧鳥取市!Print_Area</vt:lpstr>
      <vt:lpstr>③郡部!Print_Area</vt:lpstr>
      <vt:lpstr>④中部!Print_Area</vt:lpstr>
      <vt:lpstr>④中部・トップ折込センター!Print_Area</vt:lpstr>
      <vt:lpstr>⑤米子市!Print_Area</vt:lpstr>
      <vt:lpstr>⑥西伯・日野郡!Print_Area</vt:lpstr>
      <vt:lpstr>⑦境・島根!Print_Area</vt:lpstr>
      <vt:lpstr>⑧兵庫!Print_Area</vt:lpstr>
      <vt:lpstr>⑨大阪!Print_Area</vt:lpstr>
      <vt:lpstr>'広告基準 '!Print_Area</vt:lpstr>
      <vt:lpstr>申込書!Print_Area</vt:lpstr>
      <vt:lpstr>'料金表 '!Print_Area</vt:lpstr>
    </vt:vector>
  </TitlesOfParts>
  <Company>日本海折込センター本部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日本海ディヴェロプメント株式会社</dc:creator>
  <cp:lastModifiedBy>紙面検索端末２</cp:lastModifiedBy>
  <cp:lastPrinted>2023-07-20T03:08:51Z</cp:lastPrinted>
  <dcterms:created xsi:type="dcterms:W3CDTF">2005-05-21T06:26:36Z</dcterms:created>
  <dcterms:modified xsi:type="dcterms:W3CDTF">2023-09-25T00:33:24Z</dcterms:modified>
</cp:coreProperties>
</file>